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585" windowWidth="21255" windowHeight="11475" activeTab="3"/>
  </bookViews>
  <sheets>
    <sheet name="보스" sheetId="1" r:id="rId1"/>
    <sheet name="모든조합시트" sheetId="2" r:id="rId2"/>
    <sheet name="측정원본" sheetId="3" r:id="rId3"/>
    <sheet name="수정 dps표" sheetId="5" r:id="rId4"/>
  </sheets>
  <definedNames>
    <definedName name="_xlnm._FilterDatabase" localSheetId="3" hidden="1">'수정 dps표'!$B$75:$AY$977</definedName>
  </definedNames>
  <calcPr calcId="145621"/>
</workbook>
</file>

<file path=xl/calcChain.xml><?xml version="1.0" encoding="utf-8"?>
<calcChain xmlns="http://schemas.openxmlformats.org/spreadsheetml/2006/main">
  <c r="D57" i="5" l="1"/>
  <c r="AE820" i="5"/>
  <c r="AE833" i="5"/>
  <c r="AE900" i="5"/>
  <c r="AE821" i="5"/>
  <c r="AE834" i="5"/>
  <c r="AE713" i="5"/>
  <c r="AE610" i="5"/>
  <c r="AE456" i="5"/>
  <c r="AE714" i="5"/>
  <c r="AE611" i="5"/>
  <c r="AE457" i="5"/>
  <c r="AE715" i="5"/>
  <c r="AE612" i="5"/>
  <c r="AE458" i="5"/>
  <c r="AE716" i="5"/>
  <c r="AE613" i="5"/>
  <c r="AE459" i="5"/>
  <c r="AE916" i="5"/>
  <c r="AE835" i="5"/>
  <c r="AE852" i="5"/>
  <c r="AE917" i="5"/>
  <c r="AE836" i="5"/>
  <c r="AE853" i="5"/>
  <c r="AE743" i="5"/>
  <c r="AE645" i="5"/>
  <c r="AE495" i="5"/>
  <c r="AE930" i="5"/>
  <c r="AE931" i="5"/>
  <c r="AE784" i="5"/>
  <c r="AE953" i="5"/>
  <c r="AE866" i="5"/>
  <c r="AE707" i="5"/>
  <c r="AE867" i="5"/>
  <c r="AE708" i="5"/>
  <c r="AE800" i="5"/>
  <c r="AE582" i="5"/>
  <c r="AE955" i="5"/>
  <c r="AE911" i="5"/>
  <c r="AE956" i="5"/>
  <c r="AE912" i="5"/>
  <c r="AE940" i="5"/>
  <c r="AE846" i="5"/>
  <c r="AE961" i="5"/>
  <c r="AE962" i="5"/>
  <c r="AE948" i="5"/>
  <c r="AE965" i="5"/>
  <c r="AE899" i="5"/>
  <c r="AE744" i="5"/>
  <c r="AE497" i="5"/>
  <c r="AE745" i="5"/>
  <c r="AE498" i="5"/>
  <c r="AE640" i="5"/>
  <c r="AE378" i="5"/>
  <c r="AE746" i="5"/>
  <c r="AE499" i="5"/>
  <c r="AE747" i="5"/>
  <c r="AE500" i="5"/>
  <c r="AE641" i="5"/>
  <c r="AE379" i="5"/>
  <c r="AE923" i="5"/>
  <c r="AE805" i="5"/>
  <c r="AE924" i="5"/>
  <c r="AE806" i="5"/>
  <c r="AE873" i="5"/>
  <c r="AE711" i="5"/>
  <c r="AE938" i="5"/>
  <c r="AE939" i="5"/>
  <c r="AE901" i="5"/>
  <c r="AE958" i="5"/>
  <c r="AE864" i="5"/>
  <c r="AE705" i="5"/>
  <c r="AE865" i="5"/>
  <c r="AE706" i="5"/>
  <c r="AE799" i="5"/>
  <c r="AE581" i="5"/>
  <c r="AE740" i="5"/>
  <c r="AE507" i="5"/>
  <c r="AE529" i="5"/>
  <c r="AE526" i="5"/>
  <c r="AE341" i="5"/>
  <c r="AE361" i="5"/>
  <c r="AE604" i="5"/>
  <c r="AE392" i="5"/>
  <c r="AE406" i="5"/>
  <c r="AE364" i="5"/>
  <c r="AE253" i="5"/>
  <c r="AE259" i="5"/>
  <c r="AE761" i="5"/>
  <c r="AE549" i="5"/>
  <c r="AE565" i="5"/>
  <c r="AE564" i="5"/>
  <c r="AE374" i="5"/>
  <c r="AE391" i="5"/>
  <c r="AE804" i="5"/>
  <c r="AE627" i="5"/>
  <c r="AE890" i="5"/>
  <c r="AE249" i="5"/>
  <c r="AE314" i="5"/>
  <c r="AE218" i="5"/>
  <c r="AE184" i="5"/>
  <c r="AE868" i="5"/>
  <c r="AE776" i="5"/>
  <c r="AE717" i="5"/>
  <c r="AE869" i="5"/>
  <c r="AE777" i="5"/>
  <c r="AE718" i="5"/>
  <c r="AE807" i="5"/>
  <c r="AE676" i="5"/>
  <c r="AE603" i="5"/>
  <c r="AE470" i="5"/>
  <c r="AE310" i="5"/>
  <c r="AE270" i="5"/>
  <c r="AE471" i="5"/>
  <c r="AE311" i="5"/>
  <c r="AE271" i="5"/>
  <c r="AE357" i="5"/>
  <c r="AE236" i="5"/>
  <c r="AE197" i="5"/>
  <c r="AE536" i="5"/>
  <c r="AE537" i="5"/>
  <c r="AE403" i="5"/>
  <c r="AE698" i="5"/>
  <c r="AE180" i="5"/>
  <c r="AE153" i="5"/>
  <c r="AE274" i="5"/>
  <c r="AE181" i="5"/>
  <c r="AE154" i="5"/>
  <c r="AE198" i="5"/>
  <c r="AE133" i="5"/>
  <c r="AE118" i="5"/>
  <c r="AE748" i="5"/>
  <c r="AE597" i="5"/>
  <c r="AE532" i="5"/>
  <c r="AE749" i="5"/>
  <c r="AE598" i="5"/>
  <c r="AE533" i="5"/>
  <c r="AE635" i="5"/>
  <c r="AE447" i="5"/>
  <c r="AE402" i="5"/>
  <c r="AE292" i="5"/>
  <c r="AE192" i="5"/>
  <c r="AE164" i="5"/>
  <c r="AE293" i="5"/>
  <c r="AE193" i="5"/>
  <c r="AE165" i="5"/>
  <c r="AE213" i="5"/>
  <c r="AE142" i="5"/>
  <c r="AE127" i="5"/>
  <c r="AE316" i="5"/>
  <c r="AE317" i="5"/>
  <c r="AE247" i="5"/>
  <c r="AE483" i="5"/>
  <c r="AE437" i="5"/>
  <c r="AE294" i="5"/>
  <c r="AE248" i="5"/>
  <c r="AE438" i="5"/>
  <c r="AE295" i="5"/>
  <c r="AE273" i="5"/>
  <c r="AE524" i="5"/>
  <c r="AE190" i="5"/>
  <c r="AE368" i="5"/>
  <c r="AE525" i="5"/>
  <c r="AE191" i="5"/>
  <c r="AE369" i="5"/>
  <c r="AE386" i="5"/>
  <c r="AE138" i="5"/>
  <c r="AE264" i="5"/>
  <c r="AE631" i="5"/>
  <c r="AE244" i="5"/>
  <c r="AE450" i="5"/>
  <c r="AE632" i="5"/>
  <c r="AE245" i="5"/>
  <c r="AE451" i="5"/>
  <c r="AE484" i="5"/>
  <c r="AE176" i="5"/>
  <c r="AE322" i="5"/>
  <c r="AE855" i="5"/>
  <c r="AE505" i="5"/>
  <c r="AE757" i="5"/>
  <c r="AE856" i="5"/>
  <c r="AE506" i="5"/>
  <c r="AE758" i="5"/>
  <c r="AE778" i="5"/>
  <c r="AE372" i="5"/>
  <c r="AE644" i="5"/>
  <c r="AE871" i="5"/>
  <c r="AE872" i="5"/>
  <c r="AE798" i="5"/>
  <c r="AE935" i="5"/>
  <c r="AE268" i="5"/>
  <c r="AE407" i="5"/>
  <c r="AE178" i="5"/>
  <c r="AE425" i="5"/>
  <c r="AE187" i="5"/>
  <c r="AE589" i="5"/>
  <c r="AE269" i="5"/>
  <c r="AE408" i="5"/>
  <c r="AE179" i="5"/>
  <c r="AE426" i="5"/>
  <c r="AE188" i="5"/>
  <c r="AE848" i="5"/>
  <c r="AE741" i="5"/>
  <c r="AE759" i="5"/>
  <c r="AE849" i="5"/>
  <c r="AE742" i="5"/>
  <c r="AE760" i="5"/>
  <c r="AE878" i="5"/>
  <c r="AE879" i="5"/>
  <c r="AE937" i="5"/>
  <c r="AE588" i="5"/>
  <c r="AE915" i="5"/>
  <c r="AE954" i="5"/>
  <c r="AE224" i="5"/>
  <c r="AE353" i="5"/>
  <c r="AE204" i="5"/>
  <c r="AE481" i="5"/>
  <c r="AE288" i="5"/>
  <c r="AE431" i="5"/>
  <c r="AE263" i="5"/>
  <c r="AE823" i="5"/>
  <c r="AE661" i="5"/>
  <c r="AE774" i="5"/>
  <c r="AE606" i="5"/>
  <c r="AE847" i="5"/>
  <c r="AE816" i="5"/>
  <c r="AE921" i="5"/>
  <c r="AE605" i="5"/>
  <c r="AE371" i="5"/>
  <c r="AE561" i="5"/>
  <c r="AE333" i="5"/>
  <c r="AE697" i="5"/>
  <c r="AE464" i="5"/>
  <c r="AE656" i="5"/>
  <c r="AE423" i="5"/>
  <c r="AE918" i="5"/>
  <c r="AE826" i="5"/>
  <c r="AE889" i="5"/>
  <c r="AE781" i="5"/>
  <c r="AE934" i="5"/>
  <c r="AE385" i="5"/>
  <c r="AE573" i="5"/>
  <c r="AE571" i="5"/>
  <c r="AE662" i="5"/>
  <c r="AE482" i="5"/>
  <c r="AE480" i="5"/>
  <c r="AE751" i="5"/>
  <c r="AE574" i="5"/>
  <c r="AE572" i="5"/>
  <c r="AE813" i="5"/>
  <c r="AE586" i="5"/>
  <c r="AE584" i="5"/>
  <c r="AE728" i="5"/>
  <c r="AE501" i="5"/>
  <c r="AE496" i="5"/>
  <c r="AE814" i="5"/>
  <c r="AE587" i="5"/>
  <c r="AE585" i="5"/>
  <c r="AE907" i="5"/>
  <c r="AE772" i="5"/>
  <c r="AE767" i="5"/>
  <c r="AE839" i="5"/>
  <c r="AE687" i="5"/>
  <c r="AE686" i="5"/>
  <c r="AE908" i="5"/>
  <c r="AE773" i="5"/>
  <c r="AE768" i="5"/>
  <c r="AE925" i="5"/>
  <c r="AE863" i="5"/>
  <c r="AE926" i="5"/>
  <c r="AE951" i="5"/>
  <c r="AE568" i="5"/>
  <c r="AE510" i="5"/>
  <c r="AE370" i="5"/>
  <c r="AE404" i="5"/>
  <c r="AE312" i="5"/>
  <c r="AE383" i="5"/>
  <c r="AE373" i="5"/>
  <c r="AE352" i="5"/>
  <c r="AE699" i="5"/>
  <c r="AE683" i="5"/>
  <c r="AE652" i="5"/>
  <c r="AE861" i="5"/>
  <c r="AE933" i="5"/>
  <c r="AE621" i="5"/>
  <c r="AE622" i="5"/>
  <c r="AE280" i="5"/>
  <c r="AE441" i="5"/>
  <c r="AE442" i="5"/>
  <c r="AE205" i="5"/>
  <c r="AE623" i="5"/>
  <c r="AE624" i="5"/>
  <c r="AE243" i="5"/>
  <c r="AE817" i="5"/>
  <c r="AE818" i="5"/>
  <c r="AE513" i="5"/>
  <c r="AE684" i="5"/>
  <c r="AE685" i="5"/>
  <c r="AE401" i="5"/>
  <c r="AE681" i="5"/>
  <c r="AE682" i="5"/>
  <c r="AE315" i="5"/>
  <c r="AE919" i="5"/>
  <c r="AE920" i="5"/>
  <c r="AE674" i="5"/>
  <c r="AE843" i="5"/>
  <c r="AE844" i="5"/>
  <c r="AE575" i="5"/>
  <c r="AE827" i="5"/>
  <c r="AE828" i="5"/>
  <c r="AE439" i="5"/>
  <c r="AE936" i="5"/>
  <c r="AE877" i="5"/>
  <c r="AE854" i="5"/>
  <c r="AE957" i="5"/>
  <c r="AE755" i="5"/>
  <c r="AE607" i="5"/>
  <c r="AE609" i="5"/>
  <c r="AE420" i="5"/>
  <c r="AE494" i="5"/>
  <c r="AE326" i="5"/>
  <c r="AE380" i="5"/>
  <c r="AE257" i="5"/>
  <c r="AE779" i="5"/>
  <c r="AE637" i="5"/>
  <c r="AE643" i="5"/>
  <c r="AE460" i="5"/>
  <c r="AE822" i="5"/>
  <c r="AE695" i="5"/>
  <c r="AE898" i="5"/>
  <c r="AE721" i="5"/>
  <c r="AE530" i="5"/>
  <c r="AE468" i="5"/>
  <c r="AE722" i="5"/>
  <c r="AE531" i="5"/>
  <c r="AE469" i="5"/>
  <c r="AE331" i="5"/>
  <c r="AE210" i="5"/>
  <c r="AE232" i="5"/>
  <c r="AE332" i="5"/>
  <c r="AE211" i="5"/>
  <c r="AE233" i="5"/>
  <c r="AE752" i="5"/>
  <c r="AE566" i="5"/>
  <c r="AE503" i="5"/>
  <c r="AE753" i="5"/>
  <c r="AE567" i="5"/>
  <c r="AE504" i="5"/>
  <c r="AE786" i="5"/>
  <c r="AE787" i="5"/>
  <c r="AE880" i="5"/>
  <c r="AE750" i="5"/>
  <c r="AI489" i="5"/>
  <c r="AL407" i="5"/>
  <c r="AY880" i="5" l="1"/>
  <c r="AX880" i="5"/>
  <c r="AW880" i="5"/>
  <c r="AV880" i="5"/>
  <c r="AF880" i="5" s="1"/>
  <c r="AU880" i="5"/>
  <c r="AT880" i="5"/>
  <c r="AS880" i="5"/>
  <c r="AR880" i="5"/>
  <c r="AQ880" i="5"/>
  <c r="AJ880" i="5"/>
  <c r="AI880" i="5"/>
  <c r="AY787" i="5"/>
  <c r="AX787" i="5"/>
  <c r="AW787" i="5"/>
  <c r="AV787" i="5"/>
  <c r="AU787" i="5"/>
  <c r="AT787" i="5"/>
  <c r="AS787" i="5"/>
  <c r="AR787" i="5"/>
  <c r="AQ787" i="5"/>
  <c r="AJ787" i="5"/>
  <c r="AI787" i="5"/>
  <c r="AF787" i="5"/>
  <c r="AY786" i="5"/>
  <c r="AX786" i="5"/>
  <c r="AW786" i="5"/>
  <c r="AV786" i="5"/>
  <c r="AU786" i="5"/>
  <c r="AT786" i="5"/>
  <c r="AS786" i="5"/>
  <c r="AR786" i="5"/>
  <c r="AQ786" i="5"/>
  <c r="AJ786" i="5"/>
  <c r="AI786" i="5"/>
  <c r="AF786" i="5"/>
  <c r="AY504" i="5"/>
  <c r="AX504" i="5"/>
  <c r="AW504" i="5"/>
  <c r="AV504" i="5"/>
  <c r="AU504" i="5"/>
  <c r="AT504" i="5"/>
  <c r="AS504" i="5"/>
  <c r="AR504" i="5"/>
  <c r="AQ504" i="5"/>
  <c r="AJ504" i="5"/>
  <c r="AI504" i="5"/>
  <c r="AF504" i="5"/>
  <c r="AY567" i="5"/>
  <c r="AX567" i="5"/>
  <c r="AW567" i="5"/>
  <c r="AV567" i="5"/>
  <c r="AU567" i="5"/>
  <c r="AT567" i="5"/>
  <c r="AS567" i="5"/>
  <c r="AR567" i="5"/>
  <c r="AQ567" i="5"/>
  <c r="AJ567" i="5"/>
  <c r="AI567" i="5"/>
  <c r="AF567" i="5"/>
  <c r="AY753" i="5"/>
  <c r="AX753" i="5"/>
  <c r="AW753" i="5"/>
  <c r="AV753" i="5"/>
  <c r="AF753" i="5" s="1"/>
  <c r="AU753" i="5"/>
  <c r="AT753" i="5"/>
  <c r="AS753" i="5"/>
  <c r="AR753" i="5"/>
  <c r="AQ753" i="5"/>
  <c r="AJ753" i="5"/>
  <c r="AI753" i="5"/>
  <c r="AY503" i="5"/>
  <c r="AX503" i="5"/>
  <c r="AW503" i="5"/>
  <c r="AV503" i="5"/>
  <c r="AF503" i="5" s="1"/>
  <c r="AU503" i="5"/>
  <c r="AT503" i="5"/>
  <c r="AS503" i="5"/>
  <c r="AR503" i="5"/>
  <c r="AQ503" i="5"/>
  <c r="AJ503" i="5"/>
  <c r="AI503" i="5"/>
  <c r="AY566" i="5"/>
  <c r="AX566" i="5"/>
  <c r="AW566" i="5"/>
  <c r="AV566" i="5"/>
  <c r="AF566" i="5" s="1"/>
  <c r="AU566" i="5"/>
  <c r="AT566" i="5"/>
  <c r="AS566" i="5"/>
  <c r="AR566" i="5"/>
  <c r="AQ566" i="5"/>
  <c r="AJ566" i="5"/>
  <c r="AI566" i="5"/>
  <c r="AY752" i="5"/>
  <c r="AX752" i="5"/>
  <c r="AW752" i="5"/>
  <c r="AV752" i="5"/>
  <c r="AF752" i="5" s="1"/>
  <c r="AU752" i="5"/>
  <c r="AT752" i="5"/>
  <c r="AS752" i="5"/>
  <c r="AR752" i="5"/>
  <c r="AQ752" i="5"/>
  <c r="AJ752" i="5"/>
  <c r="AI752" i="5"/>
  <c r="AY233" i="5"/>
  <c r="AX233" i="5"/>
  <c r="AW233" i="5"/>
  <c r="AV233" i="5"/>
  <c r="AF233" i="5" s="1"/>
  <c r="AU233" i="5"/>
  <c r="AT233" i="5"/>
  <c r="AS233" i="5"/>
  <c r="AR233" i="5"/>
  <c r="AQ233" i="5"/>
  <c r="AJ233" i="5"/>
  <c r="AI233" i="5"/>
  <c r="AY211" i="5"/>
  <c r="AX211" i="5"/>
  <c r="AW211" i="5"/>
  <c r="AV211" i="5"/>
  <c r="AF211" i="5" s="1"/>
  <c r="AU211" i="5"/>
  <c r="AT211" i="5"/>
  <c r="AS211" i="5"/>
  <c r="AR211" i="5"/>
  <c r="AQ211" i="5"/>
  <c r="AJ211" i="5"/>
  <c r="AI211" i="5"/>
  <c r="AY332" i="5"/>
  <c r="AX332" i="5"/>
  <c r="AW332" i="5"/>
  <c r="AV332" i="5"/>
  <c r="AF332" i="5" s="1"/>
  <c r="AU332" i="5"/>
  <c r="AT332" i="5"/>
  <c r="AS332" i="5"/>
  <c r="AR332" i="5"/>
  <c r="AQ332" i="5"/>
  <c r="AJ332" i="5"/>
  <c r="AI332" i="5"/>
  <c r="AY232" i="5"/>
  <c r="AX232" i="5"/>
  <c r="AW232" i="5"/>
  <c r="AV232" i="5"/>
  <c r="AF232" i="5" s="1"/>
  <c r="AU232" i="5"/>
  <c r="AT232" i="5"/>
  <c r="AS232" i="5"/>
  <c r="AR232" i="5"/>
  <c r="AQ232" i="5"/>
  <c r="AJ232" i="5"/>
  <c r="AI232" i="5"/>
  <c r="AY210" i="5"/>
  <c r="AX210" i="5"/>
  <c r="AW210" i="5"/>
  <c r="AV210" i="5"/>
  <c r="AF210" i="5" s="1"/>
  <c r="AU210" i="5"/>
  <c r="AT210" i="5"/>
  <c r="AS210" i="5"/>
  <c r="AR210" i="5"/>
  <c r="AQ210" i="5"/>
  <c r="AJ210" i="5"/>
  <c r="AI210" i="5"/>
  <c r="AY331" i="5"/>
  <c r="AX331" i="5"/>
  <c r="AW331" i="5"/>
  <c r="AV331" i="5"/>
  <c r="AF331" i="5" s="1"/>
  <c r="AU331" i="5"/>
  <c r="AT331" i="5"/>
  <c r="AS331" i="5"/>
  <c r="AR331" i="5"/>
  <c r="AQ331" i="5"/>
  <c r="AJ331" i="5"/>
  <c r="AI331" i="5"/>
  <c r="AY469" i="5"/>
  <c r="AX469" i="5"/>
  <c r="AW469" i="5"/>
  <c r="AV469" i="5"/>
  <c r="AF469" i="5" s="1"/>
  <c r="AU469" i="5"/>
  <c r="AT469" i="5"/>
  <c r="AS469" i="5"/>
  <c r="AR469" i="5"/>
  <c r="AQ469" i="5"/>
  <c r="AJ469" i="5"/>
  <c r="AI469" i="5"/>
  <c r="AY531" i="5"/>
  <c r="AX531" i="5"/>
  <c r="AW531" i="5"/>
  <c r="AV531" i="5"/>
  <c r="AF531" i="5" s="1"/>
  <c r="AU531" i="5"/>
  <c r="AT531" i="5"/>
  <c r="AS531" i="5"/>
  <c r="AR531" i="5"/>
  <c r="AQ531" i="5"/>
  <c r="AJ531" i="5"/>
  <c r="AI531" i="5"/>
  <c r="AY722" i="5"/>
  <c r="AX722" i="5"/>
  <c r="AW722" i="5"/>
  <c r="AV722" i="5"/>
  <c r="AF722" i="5" s="1"/>
  <c r="AU722" i="5"/>
  <c r="AT722" i="5"/>
  <c r="AS722" i="5"/>
  <c r="AR722" i="5"/>
  <c r="AQ722" i="5"/>
  <c r="AJ722" i="5"/>
  <c r="AI722" i="5"/>
  <c r="AY468" i="5"/>
  <c r="AX468" i="5"/>
  <c r="AW468" i="5"/>
  <c r="AV468" i="5"/>
  <c r="AF468" i="5" s="1"/>
  <c r="AU468" i="5"/>
  <c r="AT468" i="5"/>
  <c r="AS468" i="5"/>
  <c r="AR468" i="5"/>
  <c r="AQ468" i="5"/>
  <c r="AJ468" i="5"/>
  <c r="AI468" i="5"/>
  <c r="AY530" i="5"/>
  <c r="AX530" i="5"/>
  <c r="AW530" i="5"/>
  <c r="AV530" i="5"/>
  <c r="AF530" i="5" s="1"/>
  <c r="AU530" i="5"/>
  <c r="AT530" i="5"/>
  <c r="AS530" i="5"/>
  <c r="AR530" i="5"/>
  <c r="AQ530" i="5"/>
  <c r="AJ530" i="5"/>
  <c r="AI530" i="5"/>
  <c r="AY721" i="5"/>
  <c r="AX721" i="5"/>
  <c r="AW721" i="5"/>
  <c r="AV721" i="5"/>
  <c r="AF721" i="5" s="1"/>
  <c r="AU721" i="5"/>
  <c r="AT721" i="5"/>
  <c r="AS721" i="5"/>
  <c r="AR721" i="5"/>
  <c r="AQ721" i="5"/>
  <c r="AJ721" i="5"/>
  <c r="AI721" i="5"/>
  <c r="AY898" i="5"/>
  <c r="H898" i="5" s="1"/>
  <c r="AX898" i="5"/>
  <c r="AW898" i="5"/>
  <c r="AV898" i="5"/>
  <c r="AU898" i="5"/>
  <c r="AT898" i="5"/>
  <c r="AS898" i="5"/>
  <c r="AR898" i="5"/>
  <c r="AQ898" i="5"/>
  <c r="AH898" i="5" s="1"/>
  <c r="AI898" i="5"/>
  <c r="AF898" i="5"/>
  <c r="AY695" i="5"/>
  <c r="H695" i="5" s="1"/>
  <c r="AX695" i="5"/>
  <c r="AW695" i="5"/>
  <c r="AV695" i="5"/>
  <c r="AU695" i="5"/>
  <c r="AT695" i="5"/>
  <c r="AS695" i="5"/>
  <c r="AR695" i="5"/>
  <c r="AQ695" i="5"/>
  <c r="AH695" i="5" s="1"/>
  <c r="AI695" i="5"/>
  <c r="AF695" i="5"/>
  <c r="AY822" i="5"/>
  <c r="H822" i="5" s="1"/>
  <c r="AX822" i="5"/>
  <c r="AW822" i="5"/>
  <c r="AV822" i="5"/>
  <c r="AU822" i="5"/>
  <c r="AT822" i="5"/>
  <c r="AS822" i="5"/>
  <c r="AR822" i="5"/>
  <c r="AQ822" i="5"/>
  <c r="AH822" i="5" s="1"/>
  <c r="AI822" i="5"/>
  <c r="AF822" i="5"/>
  <c r="AY460" i="5"/>
  <c r="H460" i="5" s="1"/>
  <c r="AX460" i="5"/>
  <c r="AW460" i="5"/>
  <c r="AV460" i="5"/>
  <c r="AU460" i="5"/>
  <c r="AT460" i="5"/>
  <c r="AS460" i="5"/>
  <c r="AR460" i="5"/>
  <c r="AQ460" i="5"/>
  <c r="AH460" i="5" s="1"/>
  <c r="AI460" i="5"/>
  <c r="AF460" i="5"/>
  <c r="AY643" i="5"/>
  <c r="H643" i="5" s="1"/>
  <c r="AX643" i="5"/>
  <c r="AW643" i="5"/>
  <c r="AV643" i="5"/>
  <c r="AU643" i="5"/>
  <c r="AT643" i="5"/>
  <c r="AS643" i="5"/>
  <c r="AR643" i="5"/>
  <c r="AQ643" i="5"/>
  <c r="AH643" i="5" s="1"/>
  <c r="AI643" i="5"/>
  <c r="AF643" i="5"/>
  <c r="AY637" i="5"/>
  <c r="H637" i="5" s="1"/>
  <c r="AX637" i="5"/>
  <c r="AW637" i="5"/>
  <c r="AV637" i="5"/>
  <c r="AU637" i="5"/>
  <c r="AT637" i="5"/>
  <c r="AS637" i="5"/>
  <c r="AR637" i="5"/>
  <c r="AQ637" i="5"/>
  <c r="AH637" i="5" s="1"/>
  <c r="AI637" i="5"/>
  <c r="AF637" i="5"/>
  <c r="AY779" i="5"/>
  <c r="H779" i="5" s="1"/>
  <c r="AX779" i="5"/>
  <c r="AW779" i="5"/>
  <c r="AV779" i="5"/>
  <c r="AU779" i="5"/>
  <c r="AT779" i="5"/>
  <c r="AS779" i="5"/>
  <c r="AR779" i="5"/>
  <c r="AQ779" i="5"/>
  <c r="AH779" i="5" s="1"/>
  <c r="AI779" i="5"/>
  <c r="AF779" i="5"/>
  <c r="AY257" i="5"/>
  <c r="AX257" i="5"/>
  <c r="AW257" i="5"/>
  <c r="AV257" i="5"/>
  <c r="AU257" i="5"/>
  <c r="AT257" i="5"/>
  <c r="AS257" i="5"/>
  <c r="AR257" i="5"/>
  <c r="AQ257" i="5"/>
  <c r="AH257" i="5" s="1"/>
  <c r="AI257" i="5"/>
  <c r="AF257" i="5"/>
  <c r="AY380" i="5"/>
  <c r="AJ380" i="5" s="1"/>
  <c r="AX380" i="5"/>
  <c r="AW380" i="5"/>
  <c r="AV380" i="5"/>
  <c r="AU380" i="5"/>
  <c r="AT380" i="5"/>
  <c r="AS380" i="5"/>
  <c r="AR380" i="5"/>
  <c r="AQ380" i="5"/>
  <c r="AH380" i="5" s="1"/>
  <c r="AI380" i="5"/>
  <c r="AF380" i="5"/>
  <c r="AY326" i="5"/>
  <c r="AX326" i="5"/>
  <c r="AW326" i="5"/>
  <c r="AV326" i="5"/>
  <c r="AU326" i="5"/>
  <c r="AT326" i="5"/>
  <c r="AS326" i="5"/>
  <c r="AR326" i="5"/>
  <c r="AQ326" i="5"/>
  <c r="AH326" i="5" s="1"/>
  <c r="AI326" i="5"/>
  <c r="AF326" i="5"/>
  <c r="AY494" i="5"/>
  <c r="AJ494" i="5" s="1"/>
  <c r="AX494" i="5"/>
  <c r="AW494" i="5"/>
  <c r="AV494" i="5"/>
  <c r="AU494" i="5"/>
  <c r="AT494" i="5"/>
  <c r="AS494" i="5"/>
  <c r="AR494" i="5"/>
  <c r="AQ494" i="5"/>
  <c r="AH494" i="5" s="1"/>
  <c r="AI494" i="5"/>
  <c r="AF494" i="5"/>
  <c r="AY420" i="5"/>
  <c r="H420" i="5" s="1"/>
  <c r="AX420" i="5"/>
  <c r="AW420" i="5"/>
  <c r="AV420" i="5"/>
  <c r="AU420" i="5"/>
  <c r="AT420" i="5"/>
  <c r="AS420" i="5"/>
  <c r="AR420" i="5"/>
  <c r="AQ420" i="5"/>
  <c r="AH420" i="5" s="1"/>
  <c r="AI420" i="5"/>
  <c r="AF420" i="5"/>
  <c r="AY609" i="5"/>
  <c r="H609" i="5" s="1"/>
  <c r="AX609" i="5"/>
  <c r="AW609" i="5"/>
  <c r="AV609" i="5"/>
  <c r="AU609" i="5"/>
  <c r="AT609" i="5"/>
  <c r="AS609" i="5"/>
  <c r="AR609" i="5"/>
  <c r="AQ609" i="5"/>
  <c r="AH609" i="5" s="1"/>
  <c r="AI609" i="5"/>
  <c r="AF609" i="5"/>
  <c r="AY607" i="5"/>
  <c r="H607" i="5" s="1"/>
  <c r="AX607" i="5"/>
  <c r="AW607" i="5"/>
  <c r="AV607" i="5"/>
  <c r="AU607" i="5"/>
  <c r="AT607" i="5"/>
  <c r="AS607" i="5"/>
  <c r="AR607" i="5"/>
  <c r="AQ607" i="5"/>
  <c r="AH607" i="5" s="1"/>
  <c r="AI607" i="5"/>
  <c r="AF607" i="5"/>
  <c r="AY755" i="5"/>
  <c r="H755" i="5" s="1"/>
  <c r="AX755" i="5"/>
  <c r="AW755" i="5"/>
  <c r="AV755" i="5"/>
  <c r="AU755" i="5"/>
  <c r="AT755" i="5"/>
  <c r="AS755" i="5"/>
  <c r="AR755" i="5"/>
  <c r="AQ755" i="5"/>
  <c r="AH755" i="5" s="1"/>
  <c r="AI755" i="5"/>
  <c r="AF755" i="5"/>
  <c r="AY957" i="5"/>
  <c r="AX957" i="5"/>
  <c r="AW957" i="5"/>
  <c r="AV957" i="5"/>
  <c r="AU957" i="5"/>
  <c r="AT957" i="5"/>
  <c r="AS957" i="5"/>
  <c r="AR957" i="5"/>
  <c r="AQ957" i="5"/>
  <c r="AH957" i="5" s="1"/>
  <c r="AI957" i="5"/>
  <c r="AF957" i="5"/>
  <c r="AY854" i="5"/>
  <c r="AX854" i="5"/>
  <c r="AW854" i="5"/>
  <c r="AV854" i="5"/>
  <c r="AU854" i="5"/>
  <c r="AT854" i="5"/>
  <c r="AS854" i="5"/>
  <c r="AR854" i="5"/>
  <c r="AQ854" i="5"/>
  <c r="AH854" i="5" s="1"/>
  <c r="AI854" i="5"/>
  <c r="AF854" i="5"/>
  <c r="AY877" i="5"/>
  <c r="AX877" i="5"/>
  <c r="AW877" i="5"/>
  <c r="AV877" i="5"/>
  <c r="AU877" i="5"/>
  <c r="AT877" i="5"/>
  <c r="AS877" i="5"/>
  <c r="AR877" i="5"/>
  <c r="AQ877" i="5"/>
  <c r="AH877" i="5" s="1"/>
  <c r="AI877" i="5"/>
  <c r="AF877" i="5"/>
  <c r="AY936" i="5"/>
  <c r="AX936" i="5"/>
  <c r="AW936" i="5"/>
  <c r="AV936" i="5"/>
  <c r="AU936" i="5"/>
  <c r="AT936" i="5"/>
  <c r="AS936" i="5"/>
  <c r="AR936" i="5"/>
  <c r="AQ936" i="5"/>
  <c r="AH936" i="5" s="1"/>
  <c r="AI936" i="5"/>
  <c r="AF936" i="5"/>
  <c r="AY439" i="5"/>
  <c r="AX439" i="5"/>
  <c r="AW439" i="5"/>
  <c r="AV439" i="5"/>
  <c r="AU439" i="5"/>
  <c r="AT439" i="5"/>
  <c r="AS439" i="5"/>
  <c r="AR439" i="5"/>
  <c r="AQ439" i="5"/>
  <c r="AH439" i="5" s="1"/>
  <c r="AI439" i="5"/>
  <c r="AF439" i="5"/>
  <c r="AY828" i="5"/>
  <c r="AX828" i="5"/>
  <c r="AW828" i="5"/>
  <c r="AV828" i="5"/>
  <c r="AU828" i="5"/>
  <c r="AT828" i="5"/>
  <c r="AS828" i="5"/>
  <c r="AR828" i="5"/>
  <c r="AQ828" i="5"/>
  <c r="AH828" i="5" s="1"/>
  <c r="AI828" i="5"/>
  <c r="AF828" i="5"/>
  <c r="AY827" i="5"/>
  <c r="AX827" i="5"/>
  <c r="AW827" i="5"/>
  <c r="AV827" i="5"/>
  <c r="AU827" i="5"/>
  <c r="AT827" i="5"/>
  <c r="AS827" i="5"/>
  <c r="AR827" i="5"/>
  <c r="AQ827" i="5"/>
  <c r="AH827" i="5" s="1"/>
  <c r="AI827" i="5"/>
  <c r="AF827" i="5"/>
  <c r="AY575" i="5"/>
  <c r="AX575" i="5"/>
  <c r="AW575" i="5"/>
  <c r="AV575" i="5"/>
  <c r="AU575" i="5"/>
  <c r="AT575" i="5"/>
  <c r="AS575" i="5"/>
  <c r="AR575" i="5"/>
  <c r="AQ575" i="5"/>
  <c r="AH575" i="5" s="1"/>
  <c r="AI575" i="5"/>
  <c r="AF575" i="5"/>
  <c r="AY844" i="5"/>
  <c r="AX844" i="5"/>
  <c r="AW844" i="5"/>
  <c r="AV844" i="5"/>
  <c r="AU844" i="5"/>
  <c r="AT844" i="5"/>
  <c r="AS844" i="5"/>
  <c r="AR844" i="5"/>
  <c r="AQ844" i="5"/>
  <c r="AH844" i="5" s="1"/>
  <c r="AI844" i="5"/>
  <c r="AF844" i="5"/>
  <c r="AY843" i="5"/>
  <c r="AX843" i="5"/>
  <c r="AW843" i="5"/>
  <c r="AV843" i="5"/>
  <c r="AU843" i="5"/>
  <c r="AT843" i="5"/>
  <c r="AS843" i="5"/>
  <c r="AR843" i="5"/>
  <c r="AQ843" i="5"/>
  <c r="AH843" i="5" s="1"/>
  <c r="AI843" i="5"/>
  <c r="AF843" i="5"/>
  <c r="AY674" i="5"/>
  <c r="AX674" i="5"/>
  <c r="AW674" i="5"/>
  <c r="AV674" i="5"/>
  <c r="AU674" i="5"/>
  <c r="AT674" i="5"/>
  <c r="AS674" i="5"/>
  <c r="AR674" i="5"/>
  <c r="AQ674" i="5"/>
  <c r="AH674" i="5" s="1"/>
  <c r="AI674" i="5"/>
  <c r="AF674" i="5"/>
  <c r="AY920" i="5"/>
  <c r="AX920" i="5"/>
  <c r="AW920" i="5"/>
  <c r="AV920" i="5"/>
  <c r="AU920" i="5"/>
  <c r="AT920" i="5"/>
  <c r="AS920" i="5"/>
  <c r="AR920" i="5"/>
  <c r="AQ920" i="5"/>
  <c r="AH920" i="5" s="1"/>
  <c r="AI920" i="5"/>
  <c r="AF920" i="5"/>
  <c r="AY919" i="5"/>
  <c r="AX919" i="5"/>
  <c r="AW919" i="5"/>
  <c r="AV919" i="5"/>
  <c r="AU919" i="5"/>
  <c r="AT919" i="5"/>
  <c r="H919" i="5" s="1"/>
  <c r="W919" i="5" s="1"/>
  <c r="AS919" i="5"/>
  <c r="AR919" i="5"/>
  <c r="AQ919" i="5"/>
  <c r="AH919" i="5" s="1"/>
  <c r="AI919" i="5"/>
  <c r="AF919" i="5"/>
  <c r="AY315" i="5"/>
  <c r="AX315" i="5"/>
  <c r="AW315" i="5"/>
  <c r="AV315" i="5"/>
  <c r="AU315" i="5"/>
  <c r="AT315" i="5"/>
  <c r="AS315" i="5"/>
  <c r="AR315" i="5"/>
  <c r="AQ315" i="5"/>
  <c r="AH315" i="5" s="1"/>
  <c r="AI315" i="5"/>
  <c r="AF315" i="5"/>
  <c r="AY682" i="5"/>
  <c r="AX682" i="5"/>
  <c r="AW682" i="5"/>
  <c r="AV682" i="5"/>
  <c r="AU682" i="5"/>
  <c r="AT682" i="5"/>
  <c r="AS682" i="5"/>
  <c r="AR682" i="5"/>
  <c r="AQ682" i="5"/>
  <c r="AH682" i="5" s="1"/>
  <c r="AI682" i="5"/>
  <c r="AF682" i="5"/>
  <c r="AY681" i="5"/>
  <c r="AX681" i="5"/>
  <c r="AW681" i="5"/>
  <c r="AV681" i="5"/>
  <c r="AU681" i="5"/>
  <c r="AT681" i="5"/>
  <c r="AS681" i="5"/>
  <c r="AR681" i="5"/>
  <c r="AQ681" i="5"/>
  <c r="AH681" i="5" s="1"/>
  <c r="AI681" i="5"/>
  <c r="AF681" i="5"/>
  <c r="AY401" i="5"/>
  <c r="AX401" i="5"/>
  <c r="AW401" i="5"/>
  <c r="AV401" i="5"/>
  <c r="AU401" i="5"/>
  <c r="AT401" i="5"/>
  <c r="AS401" i="5"/>
  <c r="AR401" i="5"/>
  <c r="AQ401" i="5"/>
  <c r="AH401" i="5" s="1"/>
  <c r="AI401" i="5"/>
  <c r="AF401" i="5"/>
  <c r="AY685" i="5"/>
  <c r="AX685" i="5"/>
  <c r="AW685" i="5"/>
  <c r="AV685" i="5"/>
  <c r="AU685" i="5"/>
  <c r="AT685" i="5"/>
  <c r="AS685" i="5"/>
  <c r="AR685" i="5"/>
  <c r="AQ685" i="5"/>
  <c r="AH685" i="5" s="1"/>
  <c r="AI685" i="5"/>
  <c r="AF685" i="5"/>
  <c r="AY684" i="5"/>
  <c r="AX684" i="5"/>
  <c r="AW684" i="5"/>
  <c r="AV684" i="5"/>
  <c r="AU684" i="5"/>
  <c r="AT684" i="5"/>
  <c r="AS684" i="5"/>
  <c r="AR684" i="5"/>
  <c r="AQ684" i="5"/>
  <c r="AH684" i="5" s="1"/>
  <c r="AI684" i="5"/>
  <c r="AF684" i="5"/>
  <c r="AY513" i="5"/>
  <c r="AX513" i="5"/>
  <c r="AW513" i="5"/>
  <c r="AV513" i="5"/>
  <c r="AU513" i="5"/>
  <c r="AT513" i="5"/>
  <c r="AS513" i="5"/>
  <c r="AR513" i="5"/>
  <c r="AQ513" i="5"/>
  <c r="AH513" i="5" s="1"/>
  <c r="AI513" i="5"/>
  <c r="AF513" i="5"/>
  <c r="AY818" i="5"/>
  <c r="AX818" i="5"/>
  <c r="AW818" i="5"/>
  <c r="AV818" i="5"/>
  <c r="AU818" i="5"/>
  <c r="AT818" i="5"/>
  <c r="AS818" i="5"/>
  <c r="AR818" i="5"/>
  <c r="AQ818" i="5"/>
  <c r="AH818" i="5" s="1"/>
  <c r="AI818" i="5"/>
  <c r="AF818" i="5"/>
  <c r="AY817" i="5"/>
  <c r="AX817" i="5"/>
  <c r="AW817" i="5"/>
  <c r="AV817" i="5"/>
  <c r="AU817" i="5"/>
  <c r="AT817" i="5"/>
  <c r="AS817" i="5"/>
  <c r="AR817" i="5"/>
  <c r="AQ817" i="5"/>
  <c r="AH817" i="5" s="1"/>
  <c r="AI817" i="5"/>
  <c r="AF817" i="5"/>
  <c r="AY243" i="5"/>
  <c r="AX243" i="5"/>
  <c r="AW243" i="5"/>
  <c r="AV243" i="5"/>
  <c r="AU243" i="5"/>
  <c r="AT243" i="5"/>
  <c r="AS243" i="5"/>
  <c r="AR243" i="5"/>
  <c r="AQ243" i="5"/>
  <c r="AH243" i="5" s="1"/>
  <c r="AI243" i="5"/>
  <c r="AF243" i="5"/>
  <c r="AY624" i="5"/>
  <c r="AX624" i="5"/>
  <c r="AW624" i="5"/>
  <c r="AV624" i="5"/>
  <c r="AU624" i="5"/>
  <c r="AT624" i="5"/>
  <c r="AS624" i="5"/>
  <c r="AR624" i="5"/>
  <c r="AQ624" i="5"/>
  <c r="AH624" i="5" s="1"/>
  <c r="AI624" i="5"/>
  <c r="AF624" i="5"/>
  <c r="AY623" i="5"/>
  <c r="AX623" i="5"/>
  <c r="AW623" i="5"/>
  <c r="AV623" i="5"/>
  <c r="AU623" i="5"/>
  <c r="AT623" i="5"/>
  <c r="AS623" i="5"/>
  <c r="AR623" i="5"/>
  <c r="AQ623" i="5"/>
  <c r="AH623" i="5" s="1"/>
  <c r="AI623" i="5"/>
  <c r="AF623" i="5"/>
  <c r="AY205" i="5"/>
  <c r="AX205" i="5"/>
  <c r="AW205" i="5"/>
  <c r="AV205" i="5"/>
  <c r="AU205" i="5"/>
  <c r="AT205" i="5"/>
  <c r="AS205" i="5"/>
  <c r="AR205" i="5"/>
  <c r="AQ205" i="5"/>
  <c r="AH205" i="5" s="1"/>
  <c r="AI205" i="5"/>
  <c r="AF205" i="5"/>
  <c r="AY442" i="5"/>
  <c r="AX442" i="5"/>
  <c r="AW442" i="5"/>
  <c r="AV442" i="5"/>
  <c r="AU442" i="5"/>
  <c r="AT442" i="5"/>
  <c r="AS442" i="5"/>
  <c r="AR442" i="5"/>
  <c r="AQ442" i="5"/>
  <c r="AH442" i="5" s="1"/>
  <c r="AI442" i="5"/>
  <c r="AF442" i="5"/>
  <c r="AY441" i="5"/>
  <c r="AX441" i="5"/>
  <c r="AW441" i="5"/>
  <c r="AV441" i="5"/>
  <c r="AU441" i="5"/>
  <c r="AT441" i="5"/>
  <c r="AS441" i="5"/>
  <c r="AR441" i="5"/>
  <c r="AQ441" i="5"/>
  <c r="AH441" i="5" s="1"/>
  <c r="AI441" i="5"/>
  <c r="AF441" i="5"/>
  <c r="AY280" i="5"/>
  <c r="AX280" i="5"/>
  <c r="AW280" i="5"/>
  <c r="AV280" i="5"/>
  <c r="AU280" i="5"/>
  <c r="AT280" i="5"/>
  <c r="AS280" i="5"/>
  <c r="AR280" i="5"/>
  <c r="AQ280" i="5"/>
  <c r="AH280" i="5" s="1"/>
  <c r="AI280" i="5"/>
  <c r="AF280" i="5"/>
  <c r="AY622" i="5"/>
  <c r="AX622" i="5"/>
  <c r="AW622" i="5"/>
  <c r="AV622" i="5"/>
  <c r="AU622" i="5"/>
  <c r="AT622" i="5"/>
  <c r="H622" i="5" s="1"/>
  <c r="AS622" i="5"/>
  <c r="AR622" i="5"/>
  <c r="AQ622" i="5"/>
  <c r="AH622" i="5" s="1"/>
  <c r="AI622" i="5"/>
  <c r="AF622" i="5"/>
  <c r="AY621" i="5"/>
  <c r="AX621" i="5"/>
  <c r="AW621" i="5"/>
  <c r="AV621" i="5"/>
  <c r="AU621" i="5"/>
  <c r="AT621" i="5"/>
  <c r="AS621" i="5"/>
  <c r="AR621" i="5"/>
  <c r="AQ621" i="5"/>
  <c r="AH621" i="5" s="1"/>
  <c r="AI621" i="5"/>
  <c r="AF621" i="5"/>
  <c r="AY933" i="5"/>
  <c r="AX933" i="5"/>
  <c r="AW933" i="5"/>
  <c r="AV933" i="5"/>
  <c r="AU933" i="5"/>
  <c r="AT933" i="5"/>
  <c r="AS933" i="5"/>
  <c r="AR933" i="5"/>
  <c r="AQ933" i="5"/>
  <c r="AH933" i="5" s="1"/>
  <c r="AJ933" i="5"/>
  <c r="AI933" i="5"/>
  <c r="AF933" i="5"/>
  <c r="AY861" i="5"/>
  <c r="AX861" i="5"/>
  <c r="AW861" i="5"/>
  <c r="AV861" i="5"/>
  <c r="AU861" i="5"/>
  <c r="AT861" i="5"/>
  <c r="AS861" i="5"/>
  <c r="AR861" i="5"/>
  <c r="AQ861" i="5"/>
  <c r="AH861" i="5" s="1"/>
  <c r="AJ861" i="5"/>
  <c r="AI861" i="5"/>
  <c r="AF861" i="5"/>
  <c r="AY652" i="5"/>
  <c r="AX652" i="5"/>
  <c r="AW652" i="5"/>
  <c r="AV652" i="5"/>
  <c r="AU652" i="5"/>
  <c r="AT652" i="5"/>
  <c r="AS652" i="5"/>
  <c r="AR652" i="5"/>
  <c r="AQ652" i="5"/>
  <c r="AH652" i="5" s="1"/>
  <c r="AJ652" i="5"/>
  <c r="AI652" i="5"/>
  <c r="AF652" i="5"/>
  <c r="AY683" i="5"/>
  <c r="AX683" i="5"/>
  <c r="AW683" i="5"/>
  <c r="AV683" i="5"/>
  <c r="AU683" i="5"/>
  <c r="AT683" i="5"/>
  <c r="AS683" i="5"/>
  <c r="AR683" i="5"/>
  <c r="AQ683" i="5"/>
  <c r="AH683" i="5" s="1"/>
  <c r="AJ683" i="5"/>
  <c r="AI683" i="5"/>
  <c r="AF683" i="5"/>
  <c r="AY699" i="5"/>
  <c r="AX699" i="5"/>
  <c r="AW699" i="5"/>
  <c r="AV699" i="5"/>
  <c r="AU699" i="5"/>
  <c r="AT699" i="5"/>
  <c r="AS699" i="5"/>
  <c r="AR699" i="5"/>
  <c r="AQ699" i="5"/>
  <c r="AH699" i="5" s="1"/>
  <c r="AJ699" i="5"/>
  <c r="AI699" i="5"/>
  <c r="AF699" i="5"/>
  <c r="AY352" i="5"/>
  <c r="AX352" i="5"/>
  <c r="AW352" i="5"/>
  <c r="AV352" i="5"/>
  <c r="AU352" i="5"/>
  <c r="AT352" i="5"/>
  <c r="AS352" i="5"/>
  <c r="AR352" i="5"/>
  <c r="AQ352" i="5"/>
  <c r="AH352" i="5" s="1"/>
  <c r="AJ352" i="5"/>
  <c r="AI352" i="5"/>
  <c r="AF352" i="5"/>
  <c r="AY373" i="5"/>
  <c r="AX373" i="5"/>
  <c r="AW373" i="5"/>
  <c r="AV373" i="5"/>
  <c r="AU373" i="5"/>
  <c r="AT373" i="5"/>
  <c r="AS373" i="5"/>
  <c r="AR373" i="5"/>
  <c r="AQ373" i="5"/>
  <c r="AH373" i="5" s="1"/>
  <c r="AJ373" i="5"/>
  <c r="AI373" i="5"/>
  <c r="AF373" i="5"/>
  <c r="AY383" i="5"/>
  <c r="AX383" i="5"/>
  <c r="AW383" i="5"/>
  <c r="AV383" i="5"/>
  <c r="AU383" i="5"/>
  <c r="AT383" i="5"/>
  <c r="AS383" i="5"/>
  <c r="AR383" i="5"/>
  <c r="AQ383" i="5"/>
  <c r="AH383" i="5" s="1"/>
  <c r="AJ383" i="5"/>
  <c r="AI383" i="5"/>
  <c r="AF383" i="5"/>
  <c r="AY312" i="5"/>
  <c r="AX312" i="5"/>
  <c r="AW312" i="5"/>
  <c r="AV312" i="5"/>
  <c r="AU312" i="5"/>
  <c r="AT312" i="5"/>
  <c r="AS312" i="5"/>
  <c r="AR312" i="5"/>
  <c r="AQ312" i="5"/>
  <c r="AH312" i="5" s="1"/>
  <c r="AJ312" i="5"/>
  <c r="AI312" i="5"/>
  <c r="AF312" i="5"/>
  <c r="AY404" i="5"/>
  <c r="AX404" i="5"/>
  <c r="AW404" i="5"/>
  <c r="AV404" i="5"/>
  <c r="AU404" i="5"/>
  <c r="AT404" i="5"/>
  <c r="AS404" i="5"/>
  <c r="AR404" i="5"/>
  <c r="AQ404" i="5"/>
  <c r="AH404" i="5" s="1"/>
  <c r="AJ404" i="5"/>
  <c r="AI404" i="5"/>
  <c r="AF404" i="5"/>
  <c r="AY370" i="5"/>
  <c r="AX370" i="5"/>
  <c r="AW370" i="5"/>
  <c r="AV370" i="5"/>
  <c r="AU370" i="5"/>
  <c r="AT370" i="5"/>
  <c r="AS370" i="5"/>
  <c r="AR370" i="5"/>
  <c r="AQ370" i="5"/>
  <c r="AH370" i="5" s="1"/>
  <c r="AJ370" i="5"/>
  <c r="AI370" i="5"/>
  <c r="AF370" i="5"/>
  <c r="AY510" i="5"/>
  <c r="AX510" i="5"/>
  <c r="AW510" i="5"/>
  <c r="AV510" i="5"/>
  <c r="AU510" i="5"/>
  <c r="AT510" i="5"/>
  <c r="AS510" i="5"/>
  <c r="AR510" i="5"/>
  <c r="AQ510" i="5"/>
  <c r="AH510" i="5" s="1"/>
  <c r="AJ510" i="5"/>
  <c r="AI510" i="5"/>
  <c r="AF510" i="5"/>
  <c r="AY568" i="5"/>
  <c r="AX568" i="5"/>
  <c r="AW568" i="5"/>
  <c r="AV568" i="5"/>
  <c r="AU568" i="5"/>
  <c r="AT568" i="5"/>
  <c r="AS568" i="5"/>
  <c r="AR568" i="5"/>
  <c r="AQ568" i="5"/>
  <c r="AH568" i="5" s="1"/>
  <c r="AJ568" i="5"/>
  <c r="AI568" i="5"/>
  <c r="AF568" i="5"/>
  <c r="AY951" i="5"/>
  <c r="AX951" i="5"/>
  <c r="AW951" i="5"/>
  <c r="AV951" i="5"/>
  <c r="AU951" i="5"/>
  <c r="AT951" i="5"/>
  <c r="AJ951" i="5" s="1"/>
  <c r="AS951" i="5"/>
  <c r="AR951" i="5"/>
  <c r="AQ951" i="5"/>
  <c r="AH951" i="5" s="1"/>
  <c r="AI951" i="5"/>
  <c r="AF951" i="5"/>
  <c r="AY926" i="5"/>
  <c r="AX926" i="5"/>
  <c r="AW926" i="5"/>
  <c r="AV926" i="5"/>
  <c r="AU926" i="5"/>
  <c r="AT926" i="5"/>
  <c r="AJ926" i="5" s="1"/>
  <c r="AS926" i="5"/>
  <c r="AR926" i="5"/>
  <c r="AQ926" i="5"/>
  <c r="AH926" i="5" s="1"/>
  <c r="AI926" i="5"/>
  <c r="AF926" i="5"/>
  <c r="AY863" i="5"/>
  <c r="AX863" i="5"/>
  <c r="AW863" i="5"/>
  <c r="AV863" i="5"/>
  <c r="AU863" i="5"/>
  <c r="AT863" i="5"/>
  <c r="AJ863" i="5" s="1"/>
  <c r="AS863" i="5"/>
  <c r="AR863" i="5"/>
  <c r="AQ863" i="5"/>
  <c r="AH863" i="5" s="1"/>
  <c r="AI863" i="5"/>
  <c r="AF863" i="5"/>
  <c r="AY925" i="5"/>
  <c r="AX925" i="5"/>
  <c r="AW925" i="5"/>
  <c r="AV925" i="5"/>
  <c r="AU925" i="5"/>
  <c r="AT925" i="5"/>
  <c r="AJ925" i="5" s="1"/>
  <c r="AS925" i="5"/>
  <c r="AR925" i="5"/>
  <c r="AQ925" i="5"/>
  <c r="AH925" i="5" s="1"/>
  <c r="AI925" i="5"/>
  <c r="AF925" i="5"/>
  <c r="AY768" i="5"/>
  <c r="AX768" i="5"/>
  <c r="AW768" i="5"/>
  <c r="AV768" i="5"/>
  <c r="AU768" i="5"/>
  <c r="AT768" i="5"/>
  <c r="AJ768" i="5" s="1"/>
  <c r="AS768" i="5"/>
  <c r="AR768" i="5"/>
  <c r="AQ768" i="5"/>
  <c r="AH768" i="5" s="1"/>
  <c r="AI768" i="5"/>
  <c r="AF768" i="5"/>
  <c r="AY773" i="5"/>
  <c r="AX773" i="5"/>
  <c r="AW773" i="5"/>
  <c r="AV773" i="5"/>
  <c r="AU773" i="5"/>
  <c r="AT773" i="5"/>
  <c r="AJ773" i="5" s="1"/>
  <c r="AS773" i="5"/>
  <c r="AR773" i="5"/>
  <c r="AQ773" i="5"/>
  <c r="AH773" i="5" s="1"/>
  <c r="AI773" i="5"/>
  <c r="AF773" i="5"/>
  <c r="AY908" i="5"/>
  <c r="AX908" i="5"/>
  <c r="AW908" i="5"/>
  <c r="AV908" i="5"/>
  <c r="AU908" i="5"/>
  <c r="AT908" i="5"/>
  <c r="AS908" i="5"/>
  <c r="AR908" i="5"/>
  <c r="AQ908" i="5"/>
  <c r="AH908" i="5" s="1"/>
  <c r="AJ908" i="5"/>
  <c r="AI908" i="5"/>
  <c r="AF908" i="5"/>
  <c r="AY686" i="5"/>
  <c r="AX686" i="5"/>
  <c r="AW686" i="5"/>
  <c r="AV686" i="5"/>
  <c r="AU686" i="5"/>
  <c r="AT686" i="5"/>
  <c r="AJ686" i="5" s="1"/>
  <c r="AS686" i="5"/>
  <c r="AR686" i="5"/>
  <c r="AQ686" i="5"/>
  <c r="AH686" i="5" s="1"/>
  <c r="AI686" i="5"/>
  <c r="AF686" i="5"/>
  <c r="AY687" i="5"/>
  <c r="AX687" i="5"/>
  <c r="AW687" i="5"/>
  <c r="AV687" i="5"/>
  <c r="AU687" i="5"/>
  <c r="AT687" i="5"/>
  <c r="AS687" i="5"/>
  <c r="AR687" i="5"/>
  <c r="AQ687" i="5"/>
  <c r="AH687" i="5" s="1"/>
  <c r="AJ687" i="5"/>
  <c r="AI687" i="5"/>
  <c r="AF687" i="5"/>
  <c r="AY839" i="5"/>
  <c r="AX839" i="5"/>
  <c r="AW839" i="5"/>
  <c r="AV839" i="5"/>
  <c r="AU839" i="5"/>
  <c r="AT839" i="5"/>
  <c r="AJ839" i="5" s="1"/>
  <c r="AS839" i="5"/>
  <c r="AR839" i="5"/>
  <c r="AQ839" i="5"/>
  <c r="AH839" i="5" s="1"/>
  <c r="AI839" i="5"/>
  <c r="AF839" i="5"/>
  <c r="AY767" i="5"/>
  <c r="AX767" i="5"/>
  <c r="AW767" i="5"/>
  <c r="AV767" i="5"/>
  <c r="AU767" i="5"/>
  <c r="AT767" i="5"/>
  <c r="AS767" i="5"/>
  <c r="AR767" i="5"/>
  <c r="AQ767" i="5"/>
  <c r="AH767" i="5" s="1"/>
  <c r="AJ767" i="5"/>
  <c r="AI767" i="5"/>
  <c r="AF767" i="5"/>
  <c r="AY772" i="5"/>
  <c r="AX772" i="5"/>
  <c r="AW772" i="5"/>
  <c r="AV772" i="5"/>
  <c r="AU772" i="5"/>
  <c r="AT772" i="5"/>
  <c r="AJ772" i="5" s="1"/>
  <c r="AS772" i="5"/>
  <c r="AR772" i="5"/>
  <c r="AQ772" i="5"/>
  <c r="AH772" i="5" s="1"/>
  <c r="AI772" i="5"/>
  <c r="AF772" i="5"/>
  <c r="AY907" i="5"/>
  <c r="AX907" i="5"/>
  <c r="AW907" i="5"/>
  <c r="AV907" i="5"/>
  <c r="AU907" i="5"/>
  <c r="AT907" i="5"/>
  <c r="AJ907" i="5" s="1"/>
  <c r="AS907" i="5"/>
  <c r="AR907" i="5"/>
  <c r="AQ907" i="5"/>
  <c r="AH907" i="5" s="1"/>
  <c r="AI907" i="5"/>
  <c r="AF907" i="5"/>
  <c r="AY585" i="5"/>
  <c r="AX585" i="5"/>
  <c r="AW585" i="5"/>
  <c r="AV585" i="5"/>
  <c r="AU585" i="5"/>
  <c r="AT585" i="5"/>
  <c r="AS585" i="5"/>
  <c r="AR585" i="5"/>
  <c r="AQ585" i="5"/>
  <c r="AH585" i="5" s="1"/>
  <c r="AJ585" i="5"/>
  <c r="AI585" i="5"/>
  <c r="AF585" i="5"/>
  <c r="AY587" i="5"/>
  <c r="AX587" i="5"/>
  <c r="AW587" i="5"/>
  <c r="AV587" i="5"/>
  <c r="AU587" i="5"/>
  <c r="AT587" i="5"/>
  <c r="AJ587" i="5" s="1"/>
  <c r="AS587" i="5"/>
  <c r="AR587" i="5"/>
  <c r="AQ587" i="5"/>
  <c r="AH587" i="5" s="1"/>
  <c r="AI587" i="5"/>
  <c r="AF587" i="5"/>
  <c r="AY814" i="5"/>
  <c r="AX814" i="5"/>
  <c r="AW814" i="5"/>
  <c r="AV814" i="5"/>
  <c r="AU814" i="5"/>
  <c r="AT814" i="5"/>
  <c r="AS814" i="5"/>
  <c r="AR814" i="5"/>
  <c r="AQ814" i="5"/>
  <c r="AH814" i="5" s="1"/>
  <c r="AJ814" i="5"/>
  <c r="AI814" i="5"/>
  <c r="AF814" i="5"/>
  <c r="AY496" i="5"/>
  <c r="AX496" i="5"/>
  <c r="AW496" i="5"/>
  <c r="AV496" i="5"/>
  <c r="AU496" i="5"/>
  <c r="AT496" i="5"/>
  <c r="AJ496" i="5" s="1"/>
  <c r="AS496" i="5"/>
  <c r="AR496" i="5"/>
  <c r="AQ496" i="5"/>
  <c r="AH496" i="5" s="1"/>
  <c r="AI496" i="5"/>
  <c r="AF496" i="5"/>
  <c r="AY501" i="5"/>
  <c r="AX501" i="5"/>
  <c r="AW501" i="5"/>
  <c r="AV501" i="5"/>
  <c r="AU501" i="5"/>
  <c r="AT501" i="5"/>
  <c r="AJ501" i="5" s="1"/>
  <c r="AS501" i="5"/>
  <c r="AR501" i="5"/>
  <c r="AQ501" i="5"/>
  <c r="AH501" i="5" s="1"/>
  <c r="AI501" i="5"/>
  <c r="AF501" i="5"/>
  <c r="AY728" i="5"/>
  <c r="AX728" i="5"/>
  <c r="AW728" i="5"/>
  <c r="AV728" i="5"/>
  <c r="AU728" i="5"/>
  <c r="AT728" i="5"/>
  <c r="AJ728" i="5" s="1"/>
  <c r="AS728" i="5"/>
  <c r="AR728" i="5"/>
  <c r="AQ728" i="5"/>
  <c r="AH728" i="5" s="1"/>
  <c r="AI728" i="5"/>
  <c r="AF728" i="5"/>
  <c r="AY584" i="5"/>
  <c r="AX584" i="5"/>
  <c r="AW584" i="5"/>
  <c r="AV584" i="5"/>
  <c r="AU584" i="5"/>
  <c r="AT584" i="5"/>
  <c r="AJ584" i="5" s="1"/>
  <c r="AS584" i="5"/>
  <c r="AR584" i="5"/>
  <c r="AQ584" i="5"/>
  <c r="AH584" i="5" s="1"/>
  <c r="AI584" i="5"/>
  <c r="AF584" i="5"/>
  <c r="AY586" i="5"/>
  <c r="AX586" i="5"/>
  <c r="AW586" i="5"/>
  <c r="AV586" i="5"/>
  <c r="AU586" i="5"/>
  <c r="AT586" i="5"/>
  <c r="AJ586" i="5" s="1"/>
  <c r="AS586" i="5"/>
  <c r="AR586" i="5"/>
  <c r="AQ586" i="5"/>
  <c r="AH586" i="5" s="1"/>
  <c r="AI586" i="5"/>
  <c r="AF586" i="5"/>
  <c r="AY813" i="5"/>
  <c r="AX813" i="5"/>
  <c r="AW813" i="5"/>
  <c r="AV813" i="5"/>
  <c r="AU813" i="5"/>
  <c r="AT813" i="5"/>
  <c r="AJ813" i="5" s="1"/>
  <c r="AS813" i="5"/>
  <c r="AR813" i="5"/>
  <c r="AQ813" i="5"/>
  <c r="AH813" i="5" s="1"/>
  <c r="AI813" i="5"/>
  <c r="AF813" i="5"/>
  <c r="AY572" i="5"/>
  <c r="AX572" i="5"/>
  <c r="AW572" i="5"/>
  <c r="AV572" i="5"/>
  <c r="AU572" i="5"/>
  <c r="AT572" i="5"/>
  <c r="AJ572" i="5" s="1"/>
  <c r="AS572" i="5"/>
  <c r="AR572" i="5"/>
  <c r="AQ572" i="5"/>
  <c r="AH572" i="5" s="1"/>
  <c r="AI572" i="5"/>
  <c r="AF572" i="5"/>
  <c r="AY574" i="5"/>
  <c r="AX574" i="5"/>
  <c r="AW574" i="5"/>
  <c r="AV574" i="5"/>
  <c r="AU574" i="5"/>
  <c r="AT574" i="5"/>
  <c r="AJ574" i="5" s="1"/>
  <c r="AS574" i="5"/>
  <c r="AR574" i="5"/>
  <c r="AQ574" i="5"/>
  <c r="AH574" i="5" s="1"/>
  <c r="AI574" i="5"/>
  <c r="AF574" i="5"/>
  <c r="AY751" i="5"/>
  <c r="AX751" i="5"/>
  <c r="AW751" i="5"/>
  <c r="AV751" i="5"/>
  <c r="AU751" i="5"/>
  <c r="AT751" i="5"/>
  <c r="AJ751" i="5" s="1"/>
  <c r="AS751" i="5"/>
  <c r="AR751" i="5"/>
  <c r="AQ751" i="5"/>
  <c r="AH751" i="5" s="1"/>
  <c r="AI751" i="5"/>
  <c r="AF751" i="5"/>
  <c r="AY480" i="5"/>
  <c r="AX480" i="5"/>
  <c r="AW480" i="5"/>
  <c r="AV480" i="5"/>
  <c r="AU480" i="5"/>
  <c r="AT480" i="5"/>
  <c r="AJ480" i="5" s="1"/>
  <c r="AS480" i="5"/>
  <c r="AR480" i="5"/>
  <c r="AQ480" i="5"/>
  <c r="AH480" i="5" s="1"/>
  <c r="AI480" i="5"/>
  <c r="AF480" i="5"/>
  <c r="AY482" i="5"/>
  <c r="AX482" i="5"/>
  <c r="AW482" i="5"/>
  <c r="AV482" i="5"/>
  <c r="AU482" i="5"/>
  <c r="AT482" i="5"/>
  <c r="AJ482" i="5" s="1"/>
  <c r="AS482" i="5"/>
  <c r="AR482" i="5"/>
  <c r="AQ482" i="5"/>
  <c r="AH482" i="5" s="1"/>
  <c r="AI482" i="5"/>
  <c r="AF482" i="5"/>
  <c r="AY662" i="5"/>
  <c r="AX662" i="5"/>
  <c r="AW662" i="5"/>
  <c r="AV662" i="5"/>
  <c r="AU662" i="5"/>
  <c r="AT662" i="5"/>
  <c r="AS662" i="5"/>
  <c r="AR662" i="5"/>
  <c r="AQ662" i="5"/>
  <c r="AH662" i="5" s="1"/>
  <c r="AJ662" i="5"/>
  <c r="AI662" i="5"/>
  <c r="AF662" i="5"/>
  <c r="AY571" i="5"/>
  <c r="AX571" i="5"/>
  <c r="AW571" i="5"/>
  <c r="AV571" i="5"/>
  <c r="AU571" i="5"/>
  <c r="AT571" i="5"/>
  <c r="AJ571" i="5" s="1"/>
  <c r="AS571" i="5"/>
  <c r="AR571" i="5"/>
  <c r="AQ571" i="5"/>
  <c r="AH571" i="5" s="1"/>
  <c r="AI571" i="5"/>
  <c r="AF571" i="5"/>
  <c r="AY573" i="5"/>
  <c r="AX573" i="5"/>
  <c r="AW573" i="5"/>
  <c r="AV573" i="5"/>
  <c r="AU573" i="5"/>
  <c r="AT573" i="5"/>
  <c r="AJ573" i="5" s="1"/>
  <c r="AS573" i="5"/>
  <c r="AR573" i="5"/>
  <c r="AQ573" i="5"/>
  <c r="AH573" i="5" s="1"/>
  <c r="AI573" i="5"/>
  <c r="AF573" i="5"/>
  <c r="AY750" i="5"/>
  <c r="AX750" i="5"/>
  <c r="AW750" i="5"/>
  <c r="AV750" i="5"/>
  <c r="AU750" i="5"/>
  <c r="AT750" i="5"/>
  <c r="AJ750" i="5" s="1"/>
  <c r="AS750" i="5"/>
  <c r="AR750" i="5"/>
  <c r="AQ750" i="5"/>
  <c r="AH750" i="5" s="1"/>
  <c r="AI750" i="5"/>
  <c r="AF750" i="5"/>
  <c r="AY819" i="5"/>
  <c r="AX819" i="5"/>
  <c r="AW819" i="5"/>
  <c r="AV819" i="5"/>
  <c r="AU819" i="5"/>
  <c r="AT819" i="5"/>
  <c r="AS819" i="5"/>
  <c r="AR819" i="5"/>
  <c r="AQ819" i="5"/>
  <c r="AH819" i="5" s="1"/>
  <c r="AJ819" i="5"/>
  <c r="AI819" i="5"/>
  <c r="AF819" i="5"/>
  <c r="AY583" i="5"/>
  <c r="AX583" i="5"/>
  <c r="AW583" i="5"/>
  <c r="AV583" i="5"/>
  <c r="AU583" i="5"/>
  <c r="AT583" i="5"/>
  <c r="AS583" i="5"/>
  <c r="AR583" i="5"/>
  <c r="AQ583" i="5"/>
  <c r="AH583" i="5" s="1"/>
  <c r="AJ583" i="5"/>
  <c r="AI583" i="5"/>
  <c r="AF583" i="5"/>
  <c r="AY502" i="5"/>
  <c r="AX502" i="5"/>
  <c r="AW502" i="5"/>
  <c r="AV502" i="5"/>
  <c r="AU502" i="5"/>
  <c r="AT502" i="5"/>
  <c r="AS502" i="5"/>
  <c r="AR502" i="5"/>
  <c r="AQ502" i="5"/>
  <c r="AH502" i="5" s="1"/>
  <c r="AJ502" i="5"/>
  <c r="AI502" i="5"/>
  <c r="AF502" i="5"/>
  <c r="AY692" i="5"/>
  <c r="AX692" i="5"/>
  <c r="AW692" i="5"/>
  <c r="AV692" i="5"/>
  <c r="AU692" i="5"/>
  <c r="AT692" i="5"/>
  <c r="AS692" i="5"/>
  <c r="AR692" i="5"/>
  <c r="AQ692" i="5"/>
  <c r="AH692" i="5" s="1"/>
  <c r="AJ692" i="5"/>
  <c r="AI692" i="5"/>
  <c r="AF692" i="5"/>
  <c r="AY287" i="5"/>
  <c r="AX287" i="5"/>
  <c r="AW287" i="5"/>
  <c r="AV287" i="5"/>
  <c r="AU287" i="5"/>
  <c r="AT287" i="5"/>
  <c r="AS287" i="5"/>
  <c r="AR287" i="5"/>
  <c r="AQ287" i="5"/>
  <c r="AH287" i="5" s="1"/>
  <c r="AJ287" i="5"/>
  <c r="AI287" i="5"/>
  <c r="AF287" i="5"/>
  <c r="AY382" i="5"/>
  <c r="AX382" i="5"/>
  <c r="AW382" i="5"/>
  <c r="AV382" i="5"/>
  <c r="AU382" i="5"/>
  <c r="AT382" i="5"/>
  <c r="AS382" i="5"/>
  <c r="AR382" i="5"/>
  <c r="AQ382" i="5"/>
  <c r="AH382" i="5" s="1"/>
  <c r="AJ382" i="5"/>
  <c r="AI382" i="5"/>
  <c r="AF382" i="5"/>
  <c r="AY518" i="5"/>
  <c r="AX518" i="5"/>
  <c r="AW518" i="5"/>
  <c r="AV518" i="5"/>
  <c r="AU518" i="5"/>
  <c r="AT518" i="5"/>
  <c r="AS518" i="5"/>
  <c r="AR518" i="5"/>
  <c r="AQ518" i="5"/>
  <c r="AH518" i="5" s="1"/>
  <c r="AJ518" i="5"/>
  <c r="AI518" i="5"/>
  <c r="AF518" i="5"/>
  <c r="AY215" i="5"/>
  <c r="AX215" i="5"/>
  <c r="AW215" i="5"/>
  <c r="AV215" i="5"/>
  <c r="AU215" i="5"/>
  <c r="AT215" i="5"/>
  <c r="AS215" i="5"/>
  <c r="AR215" i="5"/>
  <c r="AQ215" i="5"/>
  <c r="AH215" i="5" s="1"/>
  <c r="AJ215" i="5"/>
  <c r="AI215" i="5"/>
  <c r="AF215" i="5"/>
  <c r="AY301" i="5"/>
  <c r="AX301" i="5"/>
  <c r="AW301" i="5"/>
  <c r="AV301" i="5"/>
  <c r="AU301" i="5"/>
  <c r="AT301" i="5"/>
  <c r="AS301" i="5"/>
  <c r="AR301" i="5"/>
  <c r="AQ301" i="5"/>
  <c r="AH301" i="5" s="1"/>
  <c r="AJ301" i="5"/>
  <c r="AI301" i="5"/>
  <c r="AF301" i="5"/>
  <c r="AY440" i="5"/>
  <c r="AX440" i="5"/>
  <c r="AW440" i="5"/>
  <c r="AV440" i="5"/>
  <c r="AU440" i="5"/>
  <c r="AT440" i="5"/>
  <c r="AS440" i="5"/>
  <c r="AR440" i="5"/>
  <c r="AQ440" i="5"/>
  <c r="AH440" i="5" s="1"/>
  <c r="AJ440" i="5"/>
  <c r="AI440" i="5"/>
  <c r="AF440" i="5"/>
  <c r="AY321" i="5"/>
  <c r="AX321" i="5"/>
  <c r="AW321" i="5"/>
  <c r="AV321" i="5"/>
  <c r="AU321" i="5"/>
  <c r="AT321" i="5"/>
  <c r="AS321" i="5"/>
  <c r="AR321" i="5"/>
  <c r="AQ321" i="5"/>
  <c r="AH321" i="5" s="1"/>
  <c r="AJ321" i="5"/>
  <c r="AI321" i="5"/>
  <c r="AF321" i="5"/>
  <c r="AY467" i="5"/>
  <c r="AX467" i="5"/>
  <c r="AW467" i="5"/>
  <c r="AV467" i="5"/>
  <c r="AU467" i="5"/>
  <c r="AT467" i="5"/>
  <c r="AS467" i="5"/>
  <c r="AR467" i="5"/>
  <c r="AQ467" i="5"/>
  <c r="AH467" i="5" s="1"/>
  <c r="AJ467" i="5"/>
  <c r="AI467" i="5"/>
  <c r="AF467" i="5"/>
  <c r="AY636" i="5"/>
  <c r="AX636" i="5"/>
  <c r="AW636" i="5"/>
  <c r="AV636" i="5"/>
  <c r="AU636" i="5"/>
  <c r="AT636" i="5"/>
  <c r="AS636" i="5"/>
  <c r="AR636" i="5"/>
  <c r="AQ636" i="5"/>
  <c r="AH636" i="5" s="1"/>
  <c r="AJ636" i="5"/>
  <c r="AI636" i="5"/>
  <c r="AF636" i="5"/>
  <c r="AY119" i="5"/>
  <c r="AX119" i="5"/>
  <c r="AW119" i="5"/>
  <c r="AV119" i="5"/>
  <c r="AU119" i="5"/>
  <c r="AT119" i="5"/>
  <c r="AS119" i="5"/>
  <c r="AR119" i="5"/>
  <c r="AQ119" i="5"/>
  <c r="AH119" i="5" s="1"/>
  <c r="AJ119" i="5"/>
  <c r="AI119" i="5"/>
  <c r="AF119" i="5"/>
  <c r="AY186" i="5"/>
  <c r="AX186" i="5"/>
  <c r="AW186" i="5"/>
  <c r="AV186" i="5"/>
  <c r="AU186" i="5"/>
  <c r="AT186" i="5"/>
  <c r="AS186" i="5"/>
  <c r="AR186" i="5"/>
  <c r="AQ186" i="5"/>
  <c r="AH186" i="5" s="1"/>
  <c r="AJ186" i="5"/>
  <c r="AI186" i="5"/>
  <c r="AF186" i="5"/>
  <c r="AY231" i="5"/>
  <c r="AX231" i="5"/>
  <c r="AW231" i="5"/>
  <c r="AV231" i="5"/>
  <c r="AU231" i="5"/>
  <c r="AT231" i="5"/>
  <c r="AS231" i="5"/>
  <c r="AR231" i="5"/>
  <c r="AQ231" i="5"/>
  <c r="AH231" i="5" s="1"/>
  <c r="AJ231" i="5"/>
  <c r="AI231" i="5"/>
  <c r="AF231" i="5"/>
  <c r="AY101" i="5"/>
  <c r="AX101" i="5"/>
  <c r="AW101" i="5"/>
  <c r="AV101" i="5"/>
  <c r="AU101" i="5"/>
  <c r="AT101" i="5"/>
  <c r="AS101" i="5"/>
  <c r="AR101" i="5"/>
  <c r="AQ101" i="5"/>
  <c r="AH101" i="5" s="1"/>
  <c r="AJ101" i="5"/>
  <c r="AI101" i="5"/>
  <c r="AF101" i="5"/>
  <c r="AY137" i="5"/>
  <c r="AX137" i="5"/>
  <c r="AW137" i="5"/>
  <c r="AV137" i="5"/>
  <c r="AU137" i="5"/>
  <c r="AT137" i="5"/>
  <c r="AS137" i="5"/>
  <c r="AR137" i="5"/>
  <c r="AQ137" i="5"/>
  <c r="AH137" i="5" s="1"/>
  <c r="AJ137" i="5"/>
  <c r="AI137" i="5"/>
  <c r="AF137" i="5"/>
  <c r="AY177" i="5"/>
  <c r="AX177" i="5"/>
  <c r="AW177" i="5"/>
  <c r="AV177" i="5"/>
  <c r="AU177" i="5"/>
  <c r="AT177" i="5"/>
  <c r="AS177" i="5"/>
  <c r="AR177" i="5"/>
  <c r="AQ177" i="5"/>
  <c r="AH177" i="5" s="1"/>
  <c r="AJ177" i="5"/>
  <c r="AI177" i="5"/>
  <c r="AF177" i="5"/>
  <c r="AY132" i="5"/>
  <c r="AX132" i="5"/>
  <c r="AW132" i="5"/>
  <c r="AV132" i="5"/>
  <c r="AU132" i="5"/>
  <c r="AT132" i="5"/>
  <c r="AS132" i="5"/>
  <c r="AR132" i="5"/>
  <c r="AQ132" i="5"/>
  <c r="AH132" i="5" s="1"/>
  <c r="AJ132" i="5"/>
  <c r="AI132" i="5"/>
  <c r="AF132" i="5"/>
  <c r="AY214" i="5"/>
  <c r="AX214" i="5"/>
  <c r="AW214" i="5"/>
  <c r="AV214" i="5"/>
  <c r="AU214" i="5"/>
  <c r="AT214" i="5"/>
  <c r="AS214" i="5"/>
  <c r="AR214" i="5"/>
  <c r="AQ214" i="5"/>
  <c r="AH214" i="5" s="1"/>
  <c r="AJ214" i="5"/>
  <c r="AI214" i="5"/>
  <c r="AF214" i="5"/>
  <c r="AY281" i="5"/>
  <c r="AX281" i="5"/>
  <c r="AW281" i="5"/>
  <c r="AV281" i="5"/>
  <c r="AU281" i="5"/>
  <c r="AT281" i="5"/>
  <c r="AS281" i="5"/>
  <c r="AR281" i="5"/>
  <c r="AQ281" i="5"/>
  <c r="AH281" i="5" s="1"/>
  <c r="AJ281" i="5"/>
  <c r="AI281" i="5"/>
  <c r="AF281" i="5"/>
  <c r="AY144" i="5"/>
  <c r="AX144" i="5"/>
  <c r="AW144" i="5"/>
  <c r="AV144" i="5"/>
  <c r="AU144" i="5"/>
  <c r="AT144" i="5"/>
  <c r="AS144" i="5"/>
  <c r="AR144" i="5"/>
  <c r="AQ144" i="5"/>
  <c r="AH144" i="5" s="1"/>
  <c r="AJ144" i="5"/>
  <c r="AI144" i="5"/>
  <c r="AF144" i="5"/>
  <c r="AY183" i="5"/>
  <c r="AX183" i="5"/>
  <c r="AW183" i="5"/>
  <c r="AV183" i="5"/>
  <c r="AU183" i="5"/>
  <c r="AT183" i="5"/>
  <c r="AS183" i="5"/>
  <c r="AR183" i="5"/>
  <c r="AQ183" i="5"/>
  <c r="AH183" i="5" s="1"/>
  <c r="AJ183" i="5"/>
  <c r="AI183" i="5"/>
  <c r="AF183" i="5"/>
  <c r="AY291" i="5"/>
  <c r="AX291" i="5"/>
  <c r="AW291" i="5"/>
  <c r="AV291" i="5"/>
  <c r="AU291" i="5"/>
  <c r="AT291" i="5"/>
  <c r="AS291" i="5"/>
  <c r="AR291" i="5"/>
  <c r="AQ291" i="5"/>
  <c r="AH291" i="5" s="1"/>
  <c r="AJ291" i="5"/>
  <c r="AI291" i="5"/>
  <c r="AF291" i="5"/>
  <c r="AY110" i="5"/>
  <c r="AX110" i="5"/>
  <c r="AW110" i="5"/>
  <c r="AV110" i="5"/>
  <c r="AU110" i="5"/>
  <c r="AT110" i="5"/>
  <c r="AS110" i="5"/>
  <c r="AR110" i="5"/>
  <c r="AQ110" i="5"/>
  <c r="AH110" i="5" s="1"/>
  <c r="AJ110" i="5"/>
  <c r="AI110" i="5"/>
  <c r="AF110" i="5"/>
  <c r="AY135" i="5"/>
  <c r="AX135" i="5"/>
  <c r="AW135" i="5"/>
  <c r="AV135" i="5"/>
  <c r="AU135" i="5"/>
  <c r="AT135" i="5"/>
  <c r="AS135" i="5"/>
  <c r="AR135" i="5"/>
  <c r="AQ135" i="5"/>
  <c r="AH135" i="5" s="1"/>
  <c r="AJ135" i="5"/>
  <c r="AI135" i="5"/>
  <c r="AF135" i="5"/>
  <c r="AY225" i="5"/>
  <c r="AX225" i="5"/>
  <c r="AW225" i="5"/>
  <c r="AV225" i="5"/>
  <c r="AU225" i="5"/>
  <c r="AT225" i="5"/>
  <c r="AS225" i="5"/>
  <c r="AR225" i="5"/>
  <c r="AQ225" i="5"/>
  <c r="AH225" i="5" s="1"/>
  <c r="AJ225" i="5"/>
  <c r="AI225" i="5"/>
  <c r="AF225" i="5"/>
  <c r="AY160" i="5"/>
  <c r="AX160" i="5"/>
  <c r="AW160" i="5"/>
  <c r="AV160" i="5"/>
  <c r="AU160" i="5"/>
  <c r="AT160" i="5"/>
  <c r="AS160" i="5"/>
  <c r="AR160" i="5"/>
  <c r="AQ160" i="5"/>
  <c r="AH160" i="5" s="1"/>
  <c r="AJ160" i="5"/>
  <c r="AI160" i="5"/>
  <c r="AF160" i="5"/>
  <c r="AY203" i="5"/>
  <c r="AX203" i="5"/>
  <c r="AW203" i="5"/>
  <c r="AV203" i="5"/>
  <c r="AU203" i="5"/>
  <c r="AT203" i="5"/>
  <c r="AS203" i="5"/>
  <c r="AR203" i="5"/>
  <c r="AQ203" i="5"/>
  <c r="AH203" i="5" s="1"/>
  <c r="AJ203" i="5"/>
  <c r="AI203" i="5"/>
  <c r="AF203" i="5"/>
  <c r="AY349" i="5"/>
  <c r="AX349" i="5"/>
  <c r="AW349" i="5"/>
  <c r="AV349" i="5"/>
  <c r="AU349" i="5"/>
  <c r="AT349" i="5"/>
  <c r="AS349" i="5"/>
  <c r="AR349" i="5"/>
  <c r="AQ349" i="5"/>
  <c r="AH349" i="5" s="1"/>
  <c r="AJ349" i="5"/>
  <c r="AI349" i="5"/>
  <c r="AF349" i="5"/>
  <c r="AY906" i="5"/>
  <c r="AX906" i="5"/>
  <c r="AW906" i="5"/>
  <c r="AV906" i="5"/>
  <c r="AU906" i="5"/>
  <c r="AT906" i="5"/>
  <c r="AS906" i="5"/>
  <c r="AR906" i="5"/>
  <c r="AQ906" i="5"/>
  <c r="AH906" i="5" s="1"/>
  <c r="AJ906" i="5"/>
  <c r="AI906" i="5"/>
  <c r="AF906" i="5"/>
  <c r="AY730" i="5"/>
  <c r="AX730" i="5"/>
  <c r="AW730" i="5"/>
  <c r="AV730" i="5"/>
  <c r="AU730" i="5"/>
  <c r="AT730" i="5"/>
  <c r="AS730" i="5"/>
  <c r="AR730" i="5"/>
  <c r="AQ730" i="5"/>
  <c r="AH730" i="5" s="1"/>
  <c r="AJ730" i="5"/>
  <c r="AI730" i="5"/>
  <c r="AF730" i="5"/>
  <c r="AY694" i="5"/>
  <c r="AX694" i="5"/>
  <c r="AW694" i="5"/>
  <c r="AV694" i="5"/>
  <c r="AU694" i="5"/>
  <c r="AT694" i="5"/>
  <c r="AS694" i="5"/>
  <c r="AR694" i="5"/>
  <c r="AQ694" i="5"/>
  <c r="AH694" i="5" s="1"/>
  <c r="AJ694" i="5"/>
  <c r="AI694" i="5"/>
  <c r="AF694" i="5"/>
  <c r="AY829" i="5"/>
  <c r="AX829" i="5"/>
  <c r="AW829" i="5"/>
  <c r="AV829" i="5"/>
  <c r="AU829" i="5"/>
  <c r="AT829" i="5"/>
  <c r="AS829" i="5"/>
  <c r="AR829" i="5"/>
  <c r="AQ829" i="5"/>
  <c r="AH829" i="5" s="1"/>
  <c r="AJ829" i="5"/>
  <c r="AI829" i="5"/>
  <c r="AF829" i="5"/>
  <c r="AY410" i="5"/>
  <c r="AX410" i="5"/>
  <c r="AW410" i="5"/>
  <c r="AV410" i="5"/>
  <c r="AU410" i="5"/>
  <c r="AT410" i="5"/>
  <c r="AS410" i="5"/>
  <c r="AR410" i="5"/>
  <c r="AQ410" i="5"/>
  <c r="AH410" i="5" s="1"/>
  <c r="AJ410" i="5"/>
  <c r="AI410" i="5"/>
  <c r="AF410" i="5"/>
  <c r="AY509" i="5"/>
  <c r="AX509" i="5"/>
  <c r="AW509" i="5"/>
  <c r="AV509" i="5"/>
  <c r="AU509" i="5"/>
  <c r="AT509" i="5"/>
  <c r="AS509" i="5"/>
  <c r="AR509" i="5"/>
  <c r="AQ509" i="5"/>
  <c r="AH509" i="5" s="1"/>
  <c r="AJ509" i="5"/>
  <c r="AI509" i="5"/>
  <c r="AF509" i="5"/>
  <c r="AY677" i="5"/>
  <c r="AX677" i="5"/>
  <c r="AW677" i="5"/>
  <c r="AV677" i="5"/>
  <c r="AU677" i="5"/>
  <c r="AT677" i="5"/>
  <c r="AS677" i="5"/>
  <c r="AR677" i="5"/>
  <c r="AQ677" i="5"/>
  <c r="AH677" i="5" s="1"/>
  <c r="AJ677" i="5"/>
  <c r="AI677" i="5"/>
  <c r="AF677" i="5"/>
  <c r="AY325" i="5"/>
  <c r="AX325" i="5"/>
  <c r="AW325" i="5"/>
  <c r="AV325" i="5"/>
  <c r="AU325" i="5"/>
  <c r="AT325" i="5"/>
  <c r="AS325" i="5"/>
  <c r="AR325" i="5"/>
  <c r="AQ325" i="5"/>
  <c r="AH325" i="5" s="1"/>
  <c r="AJ325" i="5"/>
  <c r="AI325" i="5"/>
  <c r="AF325" i="5"/>
  <c r="AY424" i="5"/>
  <c r="AX424" i="5"/>
  <c r="AW424" i="5"/>
  <c r="AV424" i="5"/>
  <c r="AU424" i="5"/>
  <c r="AT424" i="5"/>
  <c r="AS424" i="5"/>
  <c r="AR424" i="5"/>
  <c r="AQ424" i="5"/>
  <c r="AH424" i="5" s="1"/>
  <c r="AJ424" i="5"/>
  <c r="AI424" i="5"/>
  <c r="AF424" i="5"/>
  <c r="AY642" i="5"/>
  <c r="AX642" i="5"/>
  <c r="AW642" i="5"/>
  <c r="AV642" i="5"/>
  <c r="AU642" i="5"/>
  <c r="AT642" i="5"/>
  <c r="AS642" i="5"/>
  <c r="AR642" i="5"/>
  <c r="AQ642" i="5"/>
  <c r="AH642" i="5" s="1"/>
  <c r="AJ642" i="5"/>
  <c r="AI642" i="5"/>
  <c r="AF642" i="5"/>
  <c r="AY508" i="5"/>
  <c r="AX508" i="5"/>
  <c r="AW508" i="5"/>
  <c r="AV508" i="5"/>
  <c r="AU508" i="5"/>
  <c r="AT508" i="5"/>
  <c r="AS508" i="5"/>
  <c r="AR508" i="5"/>
  <c r="AQ508" i="5"/>
  <c r="AH508" i="5" s="1"/>
  <c r="AJ508" i="5"/>
  <c r="AI508" i="5"/>
  <c r="AF508" i="5"/>
  <c r="AY629" i="5"/>
  <c r="AX629" i="5"/>
  <c r="AW629" i="5"/>
  <c r="AV629" i="5"/>
  <c r="AU629" i="5"/>
  <c r="AT629" i="5"/>
  <c r="AS629" i="5"/>
  <c r="AR629" i="5"/>
  <c r="AQ629" i="5"/>
  <c r="AH629" i="5" s="1"/>
  <c r="AJ629" i="5"/>
  <c r="AI629" i="5"/>
  <c r="AF629" i="5"/>
  <c r="AY785" i="5"/>
  <c r="AX785" i="5"/>
  <c r="AW785" i="5"/>
  <c r="AV785" i="5"/>
  <c r="AU785" i="5"/>
  <c r="AT785" i="5"/>
  <c r="AS785" i="5"/>
  <c r="AR785" i="5"/>
  <c r="AQ785" i="5"/>
  <c r="AH785" i="5" s="1"/>
  <c r="AJ785" i="5"/>
  <c r="AI785" i="5"/>
  <c r="AF785" i="5"/>
  <c r="AY182" i="5"/>
  <c r="AX182" i="5"/>
  <c r="AW182" i="5"/>
  <c r="AV182" i="5"/>
  <c r="AU182" i="5"/>
  <c r="AT182" i="5"/>
  <c r="AS182" i="5"/>
  <c r="AR182" i="5"/>
  <c r="AQ182" i="5"/>
  <c r="AH182" i="5" s="1"/>
  <c r="AJ182" i="5"/>
  <c r="AI182" i="5"/>
  <c r="AF182" i="5"/>
  <c r="AY265" i="5"/>
  <c r="AX265" i="5"/>
  <c r="AW265" i="5"/>
  <c r="AV265" i="5"/>
  <c r="AU265" i="5"/>
  <c r="AT265" i="5"/>
  <c r="AS265" i="5"/>
  <c r="AR265" i="5"/>
  <c r="AQ265" i="5"/>
  <c r="AH265" i="5" s="1"/>
  <c r="AJ265" i="5"/>
  <c r="AI265" i="5"/>
  <c r="AF265" i="5"/>
  <c r="AY344" i="5"/>
  <c r="AX344" i="5"/>
  <c r="AW344" i="5"/>
  <c r="AV344" i="5"/>
  <c r="AU344" i="5"/>
  <c r="AT344" i="5"/>
  <c r="AS344" i="5"/>
  <c r="AR344" i="5"/>
  <c r="AQ344" i="5"/>
  <c r="AH344" i="5" s="1"/>
  <c r="AJ344" i="5"/>
  <c r="AI344" i="5"/>
  <c r="AF344" i="5"/>
  <c r="AY134" i="5"/>
  <c r="AX134" i="5"/>
  <c r="AW134" i="5"/>
  <c r="AV134" i="5"/>
  <c r="AU134" i="5"/>
  <c r="AT134" i="5"/>
  <c r="AS134" i="5"/>
  <c r="AR134" i="5"/>
  <c r="AQ134" i="5"/>
  <c r="AH134" i="5" s="1"/>
  <c r="AJ134" i="5"/>
  <c r="AI134" i="5"/>
  <c r="AF134" i="5"/>
  <c r="AY200" i="5"/>
  <c r="AX200" i="5"/>
  <c r="AW200" i="5"/>
  <c r="AV200" i="5"/>
  <c r="AU200" i="5"/>
  <c r="AT200" i="5"/>
  <c r="AS200" i="5"/>
  <c r="AR200" i="5"/>
  <c r="AQ200" i="5"/>
  <c r="AH200" i="5" s="1"/>
  <c r="AJ200" i="5"/>
  <c r="AI200" i="5"/>
  <c r="AF200" i="5"/>
  <c r="AY284" i="5"/>
  <c r="AX284" i="5"/>
  <c r="AW284" i="5"/>
  <c r="AV284" i="5"/>
  <c r="AU284" i="5"/>
  <c r="AT284" i="5"/>
  <c r="AS284" i="5"/>
  <c r="AR284" i="5"/>
  <c r="AQ284" i="5"/>
  <c r="AH284" i="5" s="1"/>
  <c r="AJ284" i="5"/>
  <c r="AI284" i="5"/>
  <c r="AF284" i="5"/>
  <c r="AY201" i="5"/>
  <c r="AX201" i="5"/>
  <c r="AW201" i="5"/>
  <c r="AV201" i="5"/>
  <c r="AU201" i="5"/>
  <c r="AT201" i="5"/>
  <c r="AS201" i="5"/>
  <c r="AR201" i="5"/>
  <c r="AQ201" i="5"/>
  <c r="AH201" i="5" s="1"/>
  <c r="AJ201" i="5"/>
  <c r="AI201" i="5"/>
  <c r="AF201" i="5"/>
  <c r="AY309" i="5"/>
  <c r="AX309" i="5"/>
  <c r="AW309" i="5"/>
  <c r="AV309" i="5"/>
  <c r="AU309" i="5"/>
  <c r="AT309" i="5"/>
  <c r="AS309" i="5"/>
  <c r="AR309" i="5"/>
  <c r="AQ309" i="5"/>
  <c r="AH309" i="5" s="1"/>
  <c r="AJ309" i="5"/>
  <c r="AI309" i="5"/>
  <c r="AF309" i="5"/>
  <c r="AY418" i="5"/>
  <c r="AX418" i="5"/>
  <c r="AW418" i="5"/>
  <c r="AV418" i="5"/>
  <c r="AU418" i="5"/>
  <c r="AT418" i="5"/>
  <c r="AS418" i="5"/>
  <c r="AR418" i="5"/>
  <c r="AQ418" i="5"/>
  <c r="AH418" i="5" s="1"/>
  <c r="AJ418" i="5"/>
  <c r="AI418" i="5"/>
  <c r="AF418" i="5"/>
  <c r="AY223" i="5"/>
  <c r="AX223" i="5"/>
  <c r="AW223" i="5"/>
  <c r="AV223" i="5"/>
  <c r="AU223" i="5"/>
  <c r="AT223" i="5"/>
  <c r="AS223" i="5"/>
  <c r="AR223" i="5"/>
  <c r="AQ223" i="5"/>
  <c r="AH223" i="5" s="1"/>
  <c r="AJ223" i="5"/>
  <c r="AI223" i="5"/>
  <c r="AF223" i="5"/>
  <c r="AY242" i="5"/>
  <c r="AX242" i="5"/>
  <c r="AW242" i="5"/>
  <c r="AV242" i="5"/>
  <c r="AU242" i="5"/>
  <c r="AT242" i="5"/>
  <c r="AS242" i="5"/>
  <c r="AR242" i="5"/>
  <c r="AQ242" i="5"/>
  <c r="AH242" i="5" s="1"/>
  <c r="AJ242" i="5"/>
  <c r="AI242" i="5"/>
  <c r="AF242" i="5"/>
  <c r="AY419" i="5"/>
  <c r="AX419" i="5"/>
  <c r="AW419" i="5"/>
  <c r="AV419" i="5"/>
  <c r="AU419" i="5"/>
  <c r="AT419" i="5"/>
  <c r="AS419" i="5"/>
  <c r="AR419" i="5"/>
  <c r="AQ419" i="5"/>
  <c r="AH419" i="5" s="1"/>
  <c r="AJ419" i="5"/>
  <c r="AI419" i="5"/>
  <c r="AF419" i="5"/>
  <c r="AY166" i="5"/>
  <c r="AX166" i="5"/>
  <c r="AW166" i="5"/>
  <c r="AV166" i="5"/>
  <c r="AU166" i="5"/>
  <c r="AT166" i="5"/>
  <c r="AS166" i="5"/>
  <c r="AR166" i="5"/>
  <c r="AQ166" i="5"/>
  <c r="AH166" i="5" s="1"/>
  <c r="AJ166" i="5"/>
  <c r="AI166" i="5"/>
  <c r="AF166" i="5"/>
  <c r="AY185" i="5"/>
  <c r="AX185" i="5"/>
  <c r="AW185" i="5"/>
  <c r="AV185" i="5"/>
  <c r="AU185" i="5"/>
  <c r="AT185" i="5"/>
  <c r="AS185" i="5"/>
  <c r="AR185" i="5"/>
  <c r="AQ185" i="5"/>
  <c r="AH185" i="5" s="1"/>
  <c r="AJ185" i="5"/>
  <c r="AI185" i="5"/>
  <c r="AF185" i="5"/>
  <c r="AY354" i="5"/>
  <c r="AX354" i="5"/>
  <c r="AW354" i="5"/>
  <c r="AV354" i="5"/>
  <c r="AU354" i="5"/>
  <c r="AT354" i="5"/>
  <c r="AS354" i="5"/>
  <c r="AR354" i="5"/>
  <c r="AQ354" i="5"/>
  <c r="AH354" i="5" s="1"/>
  <c r="AJ354" i="5"/>
  <c r="AI354" i="5"/>
  <c r="AF354" i="5"/>
  <c r="AY266" i="5"/>
  <c r="AX266" i="5"/>
  <c r="AW266" i="5"/>
  <c r="AV266" i="5"/>
  <c r="AU266" i="5"/>
  <c r="AT266" i="5"/>
  <c r="AS266" i="5"/>
  <c r="AR266" i="5"/>
  <c r="AQ266" i="5"/>
  <c r="AH266" i="5" s="1"/>
  <c r="AJ266" i="5"/>
  <c r="AI266" i="5"/>
  <c r="AF266" i="5"/>
  <c r="AY289" i="5"/>
  <c r="AX289" i="5"/>
  <c r="AW289" i="5"/>
  <c r="AV289" i="5"/>
  <c r="AU289" i="5"/>
  <c r="AT289" i="5"/>
  <c r="AS289" i="5"/>
  <c r="AR289" i="5"/>
  <c r="AQ289" i="5"/>
  <c r="AH289" i="5" s="1"/>
  <c r="AJ289" i="5"/>
  <c r="AI289" i="5"/>
  <c r="AF289" i="5"/>
  <c r="AY535" i="5"/>
  <c r="AX535" i="5"/>
  <c r="AW535" i="5"/>
  <c r="AV535" i="5"/>
  <c r="AU535" i="5"/>
  <c r="AT535" i="5"/>
  <c r="AS535" i="5"/>
  <c r="AR535" i="5"/>
  <c r="AQ535" i="5"/>
  <c r="AH535" i="5" s="1"/>
  <c r="AJ535" i="5"/>
  <c r="AI535" i="5"/>
  <c r="AF535" i="5"/>
  <c r="AY888" i="5"/>
  <c r="AX888" i="5"/>
  <c r="AW888" i="5"/>
  <c r="AV888" i="5"/>
  <c r="AU888" i="5"/>
  <c r="AT888" i="5"/>
  <c r="AS888" i="5"/>
  <c r="AR888" i="5"/>
  <c r="AQ888" i="5"/>
  <c r="AH888" i="5" s="1"/>
  <c r="AI888" i="5"/>
  <c r="AF888" i="5"/>
  <c r="AY802" i="5"/>
  <c r="AX802" i="5"/>
  <c r="AW802" i="5"/>
  <c r="AV802" i="5"/>
  <c r="AU802" i="5"/>
  <c r="AT802" i="5"/>
  <c r="AS802" i="5"/>
  <c r="AR802" i="5"/>
  <c r="AQ802" i="5"/>
  <c r="AH802" i="5" s="1"/>
  <c r="AI802" i="5"/>
  <c r="AF802" i="5"/>
  <c r="AY801" i="5"/>
  <c r="AX801" i="5"/>
  <c r="AW801" i="5"/>
  <c r="AV801" i="5"/>
  <c r="AU801" i="5"/>
  <c r="AT801" i="5"/>
  <c r="AS801" i="5"/>
  <c r="AR801" i="5"/>
  <c r="AQ801" i="5"/>
  <c r="AH801" i="5" s="1"/>
  <c r="AI801" i="5"/>
  <c r="AF801" i="5"/>
  <c r="AY655" i="5"/>
  <c r="AX655" i="5"/>
  <c r="AW655" i="5"/>
  <c r="AV655" i="5"/>
  <c r="AU655" i="5"/>
  <c r="AT655" i="5"/>
  <c r="AS655" i="5"/>
  <c r="AR655" i="5"/>
  <c r="AQ655" i="5"/>
  <c r="AH655" i="5" s="1"/>
  <c r="AI655" i="5"/>
  <c r="AF655" i="5"/>
  <c r="AY227" i="5"/>
  <c r="AX227" i="5"/>
  <c r="AW227" i="5"/>
  <c r="AV227" i="5"/>
  <c r="AU227" i="5"/>
  <c r="AT227" i="5"/>
  <c r="AS227" i="5"/>
  <c r="AR227" i="5"/>
  <c r="AQ227" i="5"/>
  <c r="AH227" i="5" s="1"/>
  <c r="AI227" i="5"/>
  <c r="AF227" i="5"/>
  <c r="AY328" i="5"/>
  <c r="AX328" i="5"/>
  <c r="AW328" i="5"/>
  <c r="AV328" i="5"/>
  <c r="AU328" i="5"/>
  <c r="AT328" i="5"/>
  <c r="AS328" i="5"/>
  <c r="AR328" i="5"/>
  <c r="AQ328" i="5"/>
  <c r="AH328" i="5" s="1"/>
  <c r="AI328" i="5"/>
  <c r="AF328" i="5"/>
  <c r="AY651" i="5"/>
  <c r="AX651" i="5"/>
  <c r="AW651" i="5"/>
  <c r="AV651" i="5"/>
  <c r="AU651" i="5"/>
  <c r="AT651" i="5"/>
  <c r="AS651" i="5"/>
  <c r="AR651" i="5"/>
  <c r="AQ651" i="5"/>
  <c r="AH651" i="5" s="1"/>
  <c r="AI651" i="5"/>
  <c r="AF651" i="5"/>
  <c r="AY226" i="5"/>
  <c r="AX226" i="5"/>
  <c r="AW226" i="5"/>
  <c r="AV226" i="5"/>
  <c r="AU226" i="5"/>
  <c r="AT226" i="5"/>
  <c r="AS226" i="5"/>
  <c r="AR226" i="5"/>
  <c r="AQ226" i="5"/>
  <c r="AH226" i="5" s="1"/>
  <c r="AI226" i="5"/>
  <c r="AF226" i="5"/>
  <c r="AY463" i="5"/>
  <c r="AX463" i="5"/>
  <c r="AW463" i="5"/>
  <c r="AV463" i="5"/>
  <c r="AU463" i="5"/>
  <c r="AT463" i="5"/>
  <c r="AS463" i="5"/>
  <c r="AR463" i="5"/>
  <c r="AQ463" i="5"/>
  <c r="AH463" i="5" s="1"/>
  <c r="AI463" i="5"/>
  <c r="AF463" i="5"/>
  <c r="AY650" i="5"/>
  <c r="AX650" i="5"/>
  <c r="AW650" i="5"/>
  <c r="AV650" i="5"/>
  <c r="AU650" i="5"/>
  <c r="AT650" i="5"/>
  <c r="AS650" i="5"/>
  <c r="AR650" i="5"/>
  <c r="AQ650" i="5"/>
  <c r="AH650" i="5" s="1"/>
  <c r="AI650" i="5"/>
  <c r="AF650" i="5"/>
  <c r="AY143" i="5"/>
  <c r="AX143" i="5"/>
  <c r="AW143" i="5"/>
  <c r="AV143" i="5"/>
  <c r="AU143" i="5"/>
  <c r="AT143" i="5"/>
  <c r="AS143" i="5"/>
  <c r="AR143" i="5"/>
  <c r="AQ143" i="5"/>
  <c r="AH143" i="5" s="1"/>
  <c r="AI143" i="5"/>
  <c r="AF143" i="5"/>
  <c r="AY300" i="5"/>
  <c r="AX300" i="5"/>
  <c r="AW300" i="5"/>
  <c r="AV300" i="5"/>
  <c r="AU300" i="5"/>
  <c r="AT300" i="5"/>
  <c r="AS300" i="5"/>
  <c r="AR300" i="5"/>
  <c r="AQ300" i="5"/>
  <c r="AH300" i="5" s="1"/>
  <c r="AI300" i="5"/>
  <c r="AF300" i="5"/>
  <c r="AY445" i="5"/>
  <c r="AX445" i="5"/>
  <c r="AW445" i="5"/>
  <c r="AV445" i="5"/>
  <c r="AU445" i="5"/>
  <c r="AT445" i="5"/>
  <c r="AS445" i="5"/>
  <c r="AR445" i="5"/>
  <c r="AQ445" i="5"/>
  <c r="AH445" i="5" s="1"/>
  <c r="AI445" i="5"/>
  <c r="AF445" i="5"/>
  <c r="AY93" i="5"/>
  <c r="AX93" i="5"/>
  <c r="AW93" i="5"/>
  <c r="AV93" i="5"/>
  <c r="AU93" i="5"/>
  <c r="AT93" i="5"/>
  <c r="AS93" i="5"/>
  <c r="AR93" i="5"/>
  <c r="AQ93" i="5"/>
  <c r="AH93" i="5" s="1"/>
  <c r="AI93" i="5"/>
  <c r="AF93" i="5"/>
  <c r="AY109" i="5"/>
  <c r="AX109" i="5"/>
  <c r="AW109" i="5"/>
  <c r="AV109" i="5"/>
  <c r="AU109" i="5"/>
  <c r="AT109" i="5"/>
  <c r="AS109" i="5"/>
  <c r="AR109" i="5"/>
  <c r="AQ109" i="5"/>
  <c r="AH109" i="5" s="1"/>
  <c r="AI109" i="5"/>
  <c r="AF109" i="5"/>
  <c r="AY262" i="5"/>
  <c r="AX262" i="5"/>
  <c r="AW262" i="5"/>
  <c r="AV262" i="5"/>
  <c r="AU262" i="5"/>
  <c r="AT262" i="5"/>
  <c r="AS262" i="5"/>
  <c r="AR262" i="5"/>
  <c r="AQ262" i="5"/>
  <c r="AH262" i="5" s="1"/>
  <c r="AI262" i="5"/>
  <c r="AF262" i="5"/>
  <c r="AY92" i="5"/>
  <c r="AX92" i="5"/>
  <c r="AW92" i="5"/>
  <c r="AV92" i="5"/>
  <c r="AU92" i="5"/>
  <c r="AT92" i="5"/>
  <c r="AS92" i="5"/>
  <c r="AR92" i="5"/>
  <c r="AQ92" i="5"/>
  <c r="AH92" i="5" s="1"/>
  <c r="AI92" i="5"/>
  <c r="AF92" i="5"/>
  <c r="AY146" i="5"/>
  <c r="AX146" i="5"/>
  <c r="AW146" i="5"/>
  <c r="AV146" i="5"/>
  <c r="AU146" i="5"/>
  <c r="AT146" i="5"/>
  <c r="AS146" i="5"/>
  <c r="AR146" i="5"/>
  <c r="AQ146" i="5"/>
  <c r="AH146" i="5" s="1"/>
  <c r="AI146" i="5"/>
  <c r="AF146" i="5"/>
  <c r="AY261" i="5"/>
  <c r="AX261" i="5"/>
  <c r="AW261" i="5"/>
  <c r="AV261" i="5"/>
  <c r="AU261" i="5"/>
  <c r="AT261" i="5"/>
  <c r="AS261" i="5"/>
  <c r="AR261" i="5"/>
  <c r="AQ261" i="5"/>
  <c r="AH261" i="5" s="1"/>
  <c r="AI261" i="5"/>
  <c r="AF261" i="5"/>
  <c r="AY86" i="5"/>
  <c r="AX86" i="5"/>
  <c r="AW86" i="5"/>
  <c r="AV86" i="5"/>
  <c r="AU86" i="5"/>
  <c r="AT86" i="5"/>
  <c r="AS86" i="5"/>
  <c r="AR86" i="5"/>
  <c r="AQ86" i="5"/>
  <c r="AH86" i="5" s="1"/>
  <c r="AI86" i="5"/>
  <c r="AF86" i="5"/>
  <c r="AY105" i="5"/>
  <c r="AX105" i="5"/>
  <c r="AW105" i="5"/>
  <c r="AV105" i="5"/>
  <c r="AU105" i="5"/>
  <c r="AT105" i="5"/>
  <c r="AS105" i="5"/>
  <c r="AR105" i="5"/>
  <c r="AQ105" i="5"/>
  <c r="AH105" i="5" s="1"/>
  <c r="AI105" i="5"/>
  <c r="AF105" i="5"/>
  <c r="AY157" i="5"/>
  <c r="AX157" i="5"/>
  <c r="AW157" i="5"/>
  <c r="AV157" i="5"/>
  <c r="AU157" i="5"/>
  <c r="AT157" i="5"/>
  <c r="AS157" i="5"/>
  <c r="AR157" i="5"/>
  <c r="AQ157" i="5"/>
  <c r="AH157" i="5" s="1"/>
  <c r="AI157" i="5"/>
  <c r="AF157" i="5"/>
  <c r="AY99" i="5"/>
  <c r="AX99" i="5"/>
  <c r="AW99" i="5"/>
  <c r="AV99" i="5"/>
  <c r="AU99" i="5"/>
  <c r="AT99" i="5"/>
  <c r="AS99" i="5"/>
  <c r="AR99" i="5"/>
  <c r="AQ99" i="5"/>
  <c r="AH99" i="5" s="1"/>
  <c r="AI99" i="5"/>
  <c r="AF99" i="5"/>
  <c r="AY125" i="5"/>
  <c r="AX125" i="5"/>
  <c r="AW125" i="5"/>
  <c r="AV125" i="5"/>
  <c r="AU125" i="5"/>
  <c r="AT125" i="5"/>
  <c r="AS125" i="5"/>
  <c r="AR125" i="5"/>
  <c r="AQ125" i="5"/>
  <c r="AH125" i="5" s="1"/>
  <c r="AI125" i="5"/>
  <c r="AF125" i="5"/>
  <c r="AY217" i="5"/>
  <c r="AX217" i="5"/>
  <c r="AW217" i="5"/>
  <c r="AV217" i="5"/>
  <c r="AU217" i="5"/>
  <c r="AT217" i="5"/>
  <c r="AS217" i="5"/>
  <c r="AR217" i="5"/>
  <c r="AQ217" i="5"/>
  <c r="AH217" i="5" s="1"/>
  <c r="AI217" i="5"/>
  <c r="AF217" i="5"/>
  <c r="AY98" i="5"/>
  <c r="AX98" i="5"/>
  <c r="AW98" i="5"/>
  <c r="AV98" i="5"/>
  <c r="AU98" i="5"/>
  <c r="AT98" i="5"/>
  <c r="AS98" i="5"/>
  <c r="AR98" i="5"/>
  <c r="AQ98" i="5"/>
  <c r="AH98" i="5" s="1"/>
  <c r="AI98" i="5"/>
  <c r="AF98" i="5"/>
  <c r="AY169" i="5"/>
  <c r="AX169" i="5"/>
  <c r="AW169" i="5"/>
  <c r="AV169" i="5"/>
  <c r="AU169" i="5"/>
  <c r="AT169" i="5"/>
  <c r="AS169" i="5"/>
  <c r="AR169" i="5"/>
  <c r="AQ169" i="5"/>
  <c r="AH169" i="5" s="1"/>
  <c r="AI169" i="5"/>
  <c r="AF169" i="5"/>
  <c r="AY216" i="5"/>
  <c r="AX216" i="5"/>
  <c r="AW216" i="5"/>
  <c r="AV216" i="5"/>
  <c r="AU216" i="5"/>
  <c r="AT216" i="5"/>
  <c r="AS216" i="5"/>
  <c r="AR216" i="5"/>
  <c r="AQ216" i="5"/>
  <c r="AH216" i="5" s="1"/>
  <c r="AI216" i="5"/>
  <c r="AF216" i="5"/>
  <c r="AY87" i="5"/>
  <c r="AX87" i="5"/>
  <c r="AW87" i="5"/>
  <c r="AV87" i="5"/>
  <c r="AU87" i="5"/>
  <c r="AT87" i="5"/>
  <c r="AS87" i="5"/>
  <c r="AR87" i="5"/>
  <c r="AQ87" i="5"/>
  <c r="AH87" i="5" s="1"/>
  <c r="AI87" i="5"/>
  <c r="AF87" i="5"/>
  <c r="AY114" i="5"/>
  <c r="AX114" i="5"/>
  <c r="AW114" i="5"/>
  <c r="AV114" i="5"/>
  <c r="AU114" i="5"/>
  <c r="AT114" i="5"/>
  <c r="AS114" i="5"/>
  <c r="AR114" i="5"/>
  <c r="AQ114" i="5"/>
  <c r="AH114" i="5" s="1"/>
  <c r="AI114" i="5"/>
  <c r="AF114" i="5"/>
  <c r="AY141" i="5"/>
  <c r="AX141" i="5"/>
  <c r="AW141" i="5"/>
  <c r="AV141" i="5"/>
  <c r="AU141" i="5"/>
  <c r="AT141" i="5"/>
  <c r="AS141" i="5"/>
  <c r="AR141" i="5"/>
  <c r="AQ141" i="5"/>
  <c r="AH141" i="5" s="1"/>
  <c r="AI141" i="5"/>
  <c r="AF141" i="5"/>
  <c r="AY696" i="5"/>
  <c r="AX696" i="5"/>
  <c r="AW696" i="5"/>
  <c r="AV696" i="5"/>
  <c r="AU696" i="5"/>
  <c r="AT696" i="5"/>
  <c r="AS696" i="5"/>
  <c r="AR696" i="5"/>
  <c r="AQ696" i="5"/>
  <c r="AH696" i="5" s="1"/>
  <c r="AI696" i="5"/>
  <c r="AF696" i="5"/>
  <c r="AY389" i="5"/>
  <c r="AX389" i="5"/>
  <c r="AW389" i="5"/>
  <c r="AV389" i="5"/>
  <c r="AU389" i="5"/>
  <c r="AT389" i="5"/>
  <c r="AS389" i="5"/>
  <c r="AR389" i="5"/>
  <c r="AQ389" i="5"/>
  <c r="AH389" i="5" s="1"/>
  <c r="AI389" i="5"/>
  <c r="AF389" i="5"/>
  <c r="AY528" i="5"/>
  <c r="AX528" i="5"/>
  <c r="AW528" i="5"/>
  <c r="AV528" i="5"/>
  <c r="AU528" i="5"/>
  <c r="AT528" i="5"/>
  <c r="AS528" i="5"/>
  <c r="AR528" i="5"/>
  <c r="AQ528" i="5"/>
  <c r="AH528" i="5" s="1"/>
  <c r="AI528" i="5"/>
  <c r="AF528" i="5"/>
  <c r="AY345" i="5"/>
  <c r="AX345" i="5"/>
  <c r="AW345" i="5"/>
  <c r="AV345" i="5"/>
  <c r="AU345" i="5"/>
  <c r="AT345" i="5"/>
  <c r="AS345" i="5"/>
  <c r="AR345" i="5"/>
  <c r="AQ345" i="5"/>
  <c r="AH345" i="5" s="1"/>
  <c r="AI345" i="5"/>
  <c r="AF345" i="5"/>
  <c r="AY96" i="5"/>
  <c r="AX96" i="5"/>
  <c r="AW96" i="5"/>
  <c r="AV96" i="5"/>
  <c r="AU96" i="5"/>
  <c r="AT96" i="5"/>
  <c r="AS96" i="5"/>
  <c r="AR96" i="5"/>
  <c r="AQ96" i="5"/>
  <c r="AH96" i="5" s="1"/>
  <c r="AI96" i="5"/>
  <c r="AF96" i="5"/>
  <c r="AY327" i="5"/>
  <c r="AX327" i="5"/>
  <c r="AW327" i="5"/>
  <c r="AV327" i="5"/>
  <c r="AU327" i="5"/>
  <c r="AT327" i="5"/>
  <c r="AS327" i="5"/>
  <c r="AR327" i="5"/>
  <c r="AQ327" i="5"/>
  <c r="AH327" i="5" s="1"/>
  <c r="AI327" i="5"/>
  <c r="AF327" i="5"/>
  <c r="AY252" i="5"/>
  <c r="AX252" i="5"/>
  <c r="AW252" i="5"/>
  <c r="AV252" i="5"/>
  <c r="AU252" i="5"/>
  <c r="AT252" i="5"/>
  <c r="AS252" i="5"/>
  <c r="AR252" i="5"/>
  <c r="AQ252" i="5"/>
  <c r="AH252" i="5" s="1"/>
  <c r="AI252" i="5"/>
  <c r="AF252" i="5"/>
  <c r="AY111" i="5"/>
  <c r="AX111" i="5"/>
  <c r="AW111" i="5"/>
  <c r="AV111" i="5"/>
  <c r="AU111" i="5"/>
  <c r="AT111" i="5"/>
  <c r="AS111" i="5"/>
  <c r="AR111" i="5"/>
  <c r="AQ111" i="5"/>
  <c r="AH111" i="5" s="1"/>
  <c r="AI111" i="5"/>
  <c r="AF111" i="5"/>
  <c r="AY462" i="5"/>
  <c r="AX462" i="5"/>
  <c r="AW462" i="5"/>
  <c r="AV462" i="5"/>
  <c r="AU462" i="5"/>
  <c r="AT462" i="5"/>
  <c r="AS462" i="5"/>
  <c r="AR462" i="5"/>
  <c r="AQ462" i="5"/>
  <c r="AH462" i="5" s="1"/>
  <c r="AI462" i="5"/>
  <c r="AF462" i="5"/>
  <c r="AY338" i="5"/>
  <c r="AX338" i="5"/>
  <c r="AW338" i="5"/>
  <c r="AV338" i="5"/>
  <c r="AU338" i="5"/>
  <c r="AT338" i="5"/>
  <c r="AS338" i="5"/>
  <c r="AR338" i="5"/>
  <c r="AQ338" i="5"/>
  <c r="AH338" i="5" s="1"/>
  <c r="AI338" i="5"/>
  <c r="AF338" i="5"/>
  <c r="AY91" i="5"/>
  <c r="AX91" i="5"/>
  <c r="AW91" i="5"/>
  <c r="AV91" i="5"/>
  <c r="AU91" i="5"/>
  <c r="AT91" i="5"/>
  <c r="AS91" i="5"/>
  <c r="AR91" i="5"/>
  <c r="AQ91" i="5"/>
  <c r="AH91" i="5" s="1"/>
  <c r="AI91" i="5"/>
  <c r="AF91" i="5"/>
  <c r="AY299" i="5"/>
  <c r="AX299" i="5"/>
  <c r="AW299" i="5"/>
  <c r="AV299" i="5"/>
  <c r="AU299" i="5"/>
  <c r="AT299" i="5"/>
  <c r="AS299" i="5"/>
  <c r="AR299" i="5"/>
  <c r="AQ299" i="5"/>
  <c r="AH299" i="5" s="1"/>
  <c r="AI299" i="5"/>
  <c r="AF299" i="5"/>
  <c r="AY220" i="5"/>
  <c r="AX220" i="5"/>
  <c r="AW220" i="5"/>
  <c r="AV220" i="5"/>
  <c r="AU220" i="5"/>
  <c r="AT220" i="5"/>
  <c r="AS220" i="5"/>
  <c r="AR220" i="5"/>
  <c r="AQ220" i="5"/>
  <c r="AH220" i="5" s="1"/>
  <c r="AI220" i="5"/>
  <c r="AF220" i="5"/>
  <c r="AY77" i="5"/>
  <c r="AX77" i="5"/>
  <c r="AW77" i="5"/>
  <c r="AV77" i="5"/>
  <c r="AU77" i="5"/>
  <c r="AT77" i="5"/>
  <c r="AS77" i="5"/>
  <c r="AR77" i="5"/>
  <c r="AQ77" i="5"/>
  <c r="AH77" i="5" s="1"/>
  <c r="AI77" i="5"/>
  <c r="AF77" i="5"/>
  <c r="AY108" i="5"/>
  <c r="AX108" i="5"/>
  <c r="AW108" i="5"/>
  <c r="AV108" i="5"/>
  <c r="AU108" i="5"/>
  <c r="AT108" i="5"/>
  <c r="AS108" i="5"/>
  <c r="AR108" i="5"/>
  <c r="AQ108" i="5"/>
  <c r="AH108" i="5" s="1"/>
  <c r="AI108" i="5"/>
  <c r="AF108" i="5"/>
  <c r="AY102" i="5"/>
  <c r="AX102" i="5"/>
  <c r="AW102" i="5"/>
  <c r="AV102" i="5"/>
  <c r="AU102" i="5"/>
  <c r="AT102" i="5"/>
  <c r="AS102" i="5"/>
  <c r="AR102" i="5"/>
  <c r="AQ102" i="5"/>
  <c r="AH102" i="5" s="1"/>
  <c r="AI102" i="5"/>
  <c r="AF102" i="5"/>
  <c r="AY80" i="5"/>
  <c r="AX80" i="5"/>
  <c r="AW80" i="5"/>
  <c r="AV80" i="5"/>
  <c r="AU80" i="5"/>
  <c r="AT80" i="5"/>
  <c r="AS80" i="5"/>
  <c r="AR80" i="5"/>
  <c r="AQ80" i="5"/>
  <c r="AH80" i="5" s="1"/>
  <c r="AI80" i="5"/>
  <c r="AF80" i="5"/>
  <c r="AY145" i="5"/>
  <c r="AX145" i="5"/>
  <c r="AW145" i="5"/>
  <c r="AV145" i="5"/>
  <c r="AU145" i="5"/>
  <c r="AT145" i="5"/>
  <c r="AS145" i="5"/>
  <c r="AR145" i="5"/>
  <c r="AQ145" i="5"/>
  <c r="AH145" i="5" s="1"/>
  <c r="AI145" i="5"/>
  <c r="AF145" i="5"/>
  <c r="AY129" i="5"/>
  <c r="AX129" i="5"/>
  <c r="AW129" i="5"/>
  <c r="AV129" i="5"/>
  <c r="AU129" i="5"/>
  <c r="AT129" i="5"/>
  <c r="AS129" i="5"/>
  <c r="AR129" i="5"/>
  <c r="AQ129" i="5"/>
  <c r="AH129" i="5" s="1"/>
  <c r="AI129" i="5"/>
  <c r="AF129" i="5"/>
  <c r="AY76" i="5"/>
  <c r="AX76" i="5"/>
  <c r="AW76" i="5"/>
  <c r="AV76" i="5"/>
  <c r="AU76" i="5"/>
  <c r="AT76" i="5"/>
  <c r="AS76" i="5"/>
  <c r="AR76" i="5"/>
  <c r="AQ76" i="5"/>
  <c r="AH76" i="5" s="1"/>
  <c r="AI76" i="5"/>
  <c r="AF76" i="5"/>
  <c r="AY104" i="5"/>
  <c r="AX104" i="5"/>
  <c r="AW104" i="5"/>
  <c r="AV104" i="5"/>
  <c r="AU104" i="5"/>
  <c r="AT104" i="5"/>
  <c r="AS104" i="5"/>
  <c r="AR104" i="5"/>
  <c r="AQ104" i="5"/>
  <c r="AH104" i="5" s="1"/>
  <c r="AI104" i="5"/>
  <c r="AF104" i="5"/>
  <c r="AY97" i="5"/>
  <c r="AX97" i="5"/>
  <c r="AW97" i="5"/>
  <c r="AV97" i="5"/>
  <c r="AU97" i="5"/>
  <c r="AT97" i="5"/>
  <c r="AS97" i="5"/>
  <c r="AR97" i="5"/>
  <c r="AQ97" i="5"/>
  <c r="AH97" i="5" s="1"/>
  <c r="AI97" i="5"/>
  <c r="AF97" i="5"/>
  <c r="AY79" i="5"/>
  <c r="AX79" i="5"/>
  <c r="AW79" i="5"/>
  <c r="AV79" i="5"/>
  <c r="AU79" i="5"/>
  <c r="AT79" i="5"/>
  <c r="AS79" i="5"/>
  <c r="AR79" i="5"/>
  <c r="AQ79" i="5"/>
  <c r="AH79" i="5" s="1"/>
  <c r="AI79" i="5"/>
  <c r="AF79" i="5"/>
  <c r="AY124" i="5"/>
  <c r="AX124" i="5"/>
  <c r="AW124" i="5"/>
  <c r="AV124" i="5"/>
  <c r="AU124" i="5"/>
  <c r="AT124" i="5"/>
  <c r="AS124" i="5"/>
  <c r="AR124" i="5"/>
  <c r="AQ124" i="5"/>
  <c r="AH124" i="5" s="1"/>
  <c r="AI124" i="5"/>
  <c r="AF124" i="5"/>
  <c r="AY95" i="5"/>
  <c r="AX95" i="5"/>
  <c r="AW95" i="5"/>
  <c r="AV95" i="5"/>
  <c r="AU95" i="5"/>
  <c r="AT95" i="5"/>
  <c r="AS95" i="5"/>
  <c r="AR95" i="5"/>
  <c r="AQ95" i="5"/>
  <c r="AH95" i="5" s="1"/>
  <c r="AI95" i="5"/>
  <c r="AF95" i="5"/>
  <c r="AY83" i="5"/>
  <c r="AX83" i="5"/>
  <c r="AW83" i="5"/>
  <c r="AV83" i="5"/>
  <c r="AU83" i="5"/>
  <c r="AT83" i="5"/>
  <c r="AS83" i="5"/>
  <c r="AR83" i="5"/>
  <c r="AQ83" i="5"/>
  <c r="AH83" i="5" s="1"/>
  <c r="AI83" i="5"/>
  <c r="AF83" i="5"/>
  <c r="AY168" i="5"/>
  <c r="AX168" i="5"/>
  <c r="AW168" i="5"/>
  <c r="AV168" i="5"/>
  <c r="AU168" i="5"/>
  <c r="AT168" i="5"/>
  <c r="AS168" i="5"/>
  <c r="AR168" i="5"/>
  <c r="AQ168" i="5"/>
  <c r="AH168" i="5" s="1"/>
  <c r="AI168" i="5"/>
  <c r="AF168" i="5"/>
  <c r="AY107" i="5"/>
  <c r="AX107" i="5"/>
  <c r="AW107" i="5"/>
  <c r="AV107" i="5"/>
  <c r="AU107" i="5"/>
  <c r="AT107" i="5"/>
  <c r="AS107" i="5"/>
  <c r="AR107" i="5"/>
  <c r="AQ107" i="5"/>
  <c r="AH107" i="5" s="1"/>
  <c r="AI107" i="5"/>
  <c r="AF107" i="5"/>
  <c r="AY78" i="5"/>
  <c r="AX78" i="5"/>
  <c r="AW78" i="5"/>
  <c r="AV78" i="5"/>
  <c r="AU78" i="5"/>
  <c r="AT78" i="5"/>
  <c r="AS78" i="5"/>
  <c r="AR78" i="5"/>
  <c r="AQ78" i="5"/>
  <c r="AH78" i="5" s="1"/>
  <c r="AI78" i="5"/>
  <c r="AF78" i="5"/>
  <c r="AY113" i="5"/>
  <c r="AX113" i="5"/>
  <c r="AW113" i="5"/>
  <c r="AV113" i="5"/>
  <c r="AU113" i="5"/>
  <c r="AT113" i="5"/>
  <c r="AS113" i="5"/>
  <c r="AR113" i="5"/>
  <c r="AQ113" i="5"/>
  <c r="AH113" i="5" s="1"/>
  <c r="AI113" i="5"/>
  <c r="AF113" i="5"/>
  <c r="AY90" i="5"/>
  <c r="AX90" i="5"/>
  <c r="AW90" i="5"/>
  <c r="AV90" i="5"/>
  <c r="AU90" i="5"/>
  <c r="AT90" i="5"/>
  <c r="AS90" i="5"/>
  <c r="AR90" i="5"/>
  <c r="AQ90" i="5"/>
  <c r="AH90" i="5" s="1"/>
  <c r="AI90" i="5"/>
  <c r="AF90" i="5"/>
  <c r="AY941" i="5"/>
  <c r="AX941" i="5"/>
  <c r="AW941" i="5"/>
  <c r="AV941" i="5"/>
  <c r="AU941" i="5"/>
  <c r="AT941" i="5"/>
  <c r="AS941" i="5"/>
  <c r="AR941" i="5"/>
  <c r="AQ941" i="5"/>
  <c r="AH941" i="5" s="1"/>
  <c r="AI941" i="5"/>
  <c r="AF941" i="5"/>
  <c r="AY897" i="5"/>
  <c r="AX897" i="5"/>
  <c r="AW897" i="5"/>
  <c r="AV897" i="5"/>
  <c r="AU897" i="5"/>
  <c r="AT897" i="5"/>
  <c r="AS897" i="5"/>
  <c r="AR897" i="5"/>
  <c r="AQ897" i="5"/>
  <c r="AH897" i="5" s="1"/>
  <c r="AI897" i="5"/>
  <c r="AF897" i="5"/>
  <c r="AY896" i="5"/>
  <c r="AX896" i="5"/>
  <c r="AW896" i="5"/>
  <c r="AV896" i="5"/>
  <c r="AU896" i="5"/>
  <c r="AT896" i="5"/>
  <c r="AS896" i="5"/>
  <c r="AR896" i="5"/>
  <c r="AQ896" i="5"/>
  <c r="AH896" i="5" s="1"/>
  <c r="AI896" i="5"/>
  <c r="AF896" i="5"/>
  <c r="AY803" i="5"/>
  <c r="AX803" i="5"/>
  <c r="AW803" i="5"/>
  <c r="AV803" i="5"/>
  <c r="AU803" i="5"/>
  <c r="AT803" i="5"/>
  <c r="AS803" i="5"/>
  <c r="AR803" i="5"/>
  <c r="AQ803" i="5"/>
  <c r="AH803" i="5" s="1"/>
  <c r="AI803" i="5"/>
  <c r="AF803" i="5"/>
  <c r="AY356" i="5"/>
  <c r="AX356" i="5"/>
  <c r="AW356" i="5"/>
  <c r="AV356" i="5"/>
  <c r="AU356" i="5"/>
  <c r="AT356" i="5"/>
  <c r="AS356" i="5"/>
  <c r="AR356" i="5"/>
  <c r="AQ356" i="5"/>
  <c r="AH356" i="5" s="1"/>
  <c r="AI356" i="5"/>
  <c r="AF356" i="5"/>
  <c r="AY516" i="5"/>
  <c r="AX516" i="5"/>
  <c r="AW516" i="5"/>
  <c r="AV516" i="5"/>
  <c r="AU516" i="5"/>
  <c r="AT516" i="5"/>
  <c r="AS516" i="5"/>
  <c r="AR516" i="5"/>
  <c r="AQ516" i="5"/>
  <c r="AH516" i="5" s="1"/>
  <c r="AI516" i="5"/>
  <c r="AF516" i="5"/>
  <c r="AY793" i="5"/>
  <c r="AX793" i="5"/>
  <c r="AW793" i="5"/>
  <c r="AV793" i="5"/>
  <c r="AU793" i="5"/>
  <c r="AT793" i="5"/>
  <c r="AS793" i="5"/>
  <c r="AR793" i="5"/>
  <c r="AQ793" i="5"/>
  <c r="AH793" i="5" s="1"/>
  <c r="AI793" i="5"/>
  <c r="AF793" i="5"/>
  <c r="AY355" i="5"/>
  <c r="AX355" i="5"/>
  <c r="AW355" i="5"/>
  <c r="AV355" i="5"/>
  <c r="AU355" i="5"/>
  <c r="AT355" i="5"/>
  <c r="AS355" i="5"/>
  <c r="AR355" i="5"/>
  <c r="AQ355" i="5"/>
  <c r="AH355" i="5" s="1"/>
  <c r="AI355" i="5"/>
  <c r="AF355" i="5"/>
  <c r="AY664" i="5"/>
  <c r="AX664" i="5"/>
  <c r="AW664" i="5"/>
  <c r="AV664" i="5"/>
  <c r="AU664" i="5"/>
  <c r="AT664" i="5"/>
  <c r="AS664" i="5"/>
  <c r="AR664" i="5"/>
  <c r="AQ664" i="5"/>
  <c r="AH664" i="5" s="1"/>
  <c r="AI664" i="5"/>
  <c r="AF664" i="5"/>
  <c r="AY792" i="5"/>
  <c r="AX792" i="5"/>
  <c r="AW792" i="5"/>
  <c r="AV792" i="5"/>
  <c r="AU792" i="5"/>
  <c r="AT792" i="5"/>
  <c r="AS792" i="5"/>
  <c r="AR792" i="5"/>
  <c r="AQ792" i="5"/>
  <c r="AH792" i="5" s="1"/>
  <c r="AI792" i="5"/>
  <c r="AF792" i="5"/>
  <c r="AY229" i="5"/>
  <c r="AX229" i="5"/>
  <c r="AW229" i="5"/>
  <c r="AV229" i="5"/>
  <c r="AU229" i="5"/>
  <c r="AT229" i="5"/>
  <c r="AS229" i="5"/>
  <c r="AR229" i="5"/>
  <c r="AQ229" i="5"/>
  <c r="AH229" i="5" s="1"/>
  <c r="AI229" i="5"/>
  <c r="AF229" i="5"/>
  <c r="AY466" i="5"/>
  <c r="AX466" i="5"/>
  <c r="AW466" i="5"/>
  <c r="AV466" i="5"/>
  <c r="AU466" i="5"/>
  <c r="AT466" i="5"/>
  <c r="AS466" i="5"/>
  <c r="AR466" i="5"/>
  <c r="AQ466" i="5"/>
  <c r="AH466" i="5" s="1"/>
  <c r="AI466" i="5"/>
  <c r="AF466" i="5"/>
  <c r="AY646" i="5"/>
  <c r="AX646" i="5"/>
  <c r="AW646" i="5"/>
  <c r="AV646" i="5"/>
  <c r="AU646" i="5"/>
  <c r="AT646" i="5"/>
  <c r="AS646" i="5"/>
  <c r="AR646" i="5"/>
  <c r="AQ646" i="5"/>
  <c r="AH646" i="5" s="1"/>
  <c r="AI646" i="5"/>
  <c r="AF646" i="5"/>
  <c r="AY116" i="5"/>
  <c r="AX116" i="5"/>
  <c r="AW116" i="5"/>
  <c r="AV116" i="5"/>
  <c r="AU116" i="5"/>
  <c r="AT116" i="5"/>
  <c r="AS116" i="5"/>
  <c r="AR116" i="5"/>
  <c r="AQ116" i="5"/>
  <c r="AH116" i="5" s="1"/>
  <c r="AI116" i="5"/>
  <c r="AF116" i="5"/>
  <c r="AY163" i="5"/>
  <c r="AX163" i="5"/>
  <c r="AW163" i="5"/>
  <c r="AV163" i="5"/>
  <c r="AU163" i="5"/>
  <c r="AT163" i="5"/>
  <c r="AS163" i="5"/>
  <c r="AR163" i="5"/>
  <c r="AQ163" i="5"/>
  <c r="AH163" i="5" s="1"/>
  <c r="AI163" i="5"/>
  <c r="AF163" i="5"/>
  <c r="AY399" i="5"/>
  <c r="AX399" i="5"/>
  <c r="AW399" i="5"/>
  <c r="AV399" i="5"/>
  <c r="AU399" i="5"/>
  <c r="AT399" i="5"/>
  <c r="AS399" i="5"/>
  <c r="AR399" i="5"/>
  <c r="AQ399" i="5"/>
  <c r="AH399" i="5" s="1"/>
  <c r="AI399" i="5"/>
  <c r="AF399" i="5"/>
  <c r="AY115" i="5"/>
  <c r="AX115" i="5"/>
  <c r="AW115" i="5"/>
  <c r="AV115" i="5"/>
  <c r="AU115" i="5"/>
  <c r="AT115" i="5"/>
  <c r="AS115" i="5"/>
  <c r="AR115" i="5"/>
  <c r="AQ115" i="5"/>
  <c r="AH115" i="5" s="1"/>
  <c r="AI115" i="5"/>
  <c r="AF115" i="5"/>
  <c r="AY235" i="5"/>
  <c r="AX235" i="5"/>
  <c r="AW235" i="5"/>
  <c r="AV235" i="5"/>
  <c r="AU235" i="5"/>
  <c r="AT235" i="5"/>
  <c r="AS235" i="5"/>
  <c r="AR235" i="5"/>
  <c r="AQ235" i="5"/>
  <c r="AH235" i="5" s="1"/>
  <c r="AI235" i="5"/>
  <c r="AF235" i="5"/>
  <c r="AY398" i="5"/>
  <c r="AX398" i="5"/>
  <c r="AW398" i="5"/>
  <c r="AV398" i="5"/>
  <c r="AU398" i="5"/>
  <c r="AT398" i="5"/>
  <c r="AS398" i="5"/>
  <c r="AR398" i="5"/>
  <c r="AQ398" i="5"/>
  <c r="AH398" i="5" s="1"/>
  <c r="AI398" i="5"/>
  <c r="AF398" i="5"/>
  <c r="AY94" i="5"/>
  <c r="AX94" i="5"/>
  <c r="AW94" i="5"/>
  <c r="AV94" i="5"/>
  <c r="AU94" i="5"/>
  <c r="AT94" i="5"/>
  <c r="AS94" i="5"/>
  <c r="AR94" i="5"/>
  <c r="AQ94" i="5"/>
  <c r="AH94" i="5" s="1"/>
  <c r="AI94" i="5"/>
  <c r="AF94" i="5"/>
  <c r="AY150" i="5"/>
  <c r="AX150" i="5"/>
  <c r="AW150" i="5"/>
  <c r="AV150" i="5"/>
  <c r="AU150" i="5"/>
  <c r="AT150" i="5"/>
  <c r="AS150" i="5"/>
  <c r="AR150" i="5"/>
  <c r="AQ150" i="5"/>
  <c r="AH150" i="5" s="1"/>
  <c r="AI150" i="5"/>
  <c r="AF150" i="5"/>
  <c r="AY258" i="5"/>
  <c r="AX258" i="5"/>
  <c r="AW258" i="5"/>
  <c r="AV258" i="5"/>
  <c r="AU258" i="5"/>
  <c r="AT258" i="5"/>
  <c r="AS258" i="5"/>
  <c r="AR258" i="5"/>
  <c r="AQ258" i="5"/>
  <c r="AH258" i="5" s="1"/>
  <c r="AI258" i="5"/>
  <c r="AF258" i="5"/>
  <c r="AY131" i="5"/>
  <c r="AX131" i="5"/>
  <c r="AW131" i="5"/>
  <c r="AV131" i="5"/>
  <c r="AU131" i="5"/>
  <c r="AT131" i="5"/>
  <c r="AS131" i="5"/>
  <c r="AR131" i="5"/>
  <c r="AQ131" i="5"/>
  <c r="AH131" i="5" s="1"/>
  <c r="AI131" i="5"/>
  <c r="AF131" i="5"/>
  <c r="AY196" i="5"/>
  <c r="AX196" i="5"/>
  <c r="AW196" i="5"/>
  <c r="AV196" i="5"/>
  <c r="AU196" i="5"/>
  <c r="AT196" i="5"/>
  <c r="AS196" i="5"/>
  <c r="AR196" i="5"/>
  <c r="AQ196" i="5"/>
  <c r="AH196" i="5" s="1"/>
  <c r="AI196" i="5"/>
  <c r="AF196" i="5"/>
  <c r="AY320" i="5"/>
  <c r="AX320" i="5"/>
  <c r="AW320" i="5"/>
  <c r="AV320" i="5"/>
  <c r="AU320" i="5"/>
  <c r="AT320" i="5"/>
  <c r="AS320" i="5"/>
  <c r="AR320" i="5"/>
  <c r="AQ320" i="5"/>
  <c r="AH320" i="5" s="1"/>
  <c r="AI320" i="5"/>
  <c r="AF320" i="5"/>
  <c r="AY130" i="5"/>
  <c r="AX130" i="5"/>
  <c r="AW130" i="5"/>
  <c r="AV130" i="5"/>
  <c r="AU130" i="5"/>
  <c r="AT130" i="5"/>
  <c r="AS130" i="5"/>
  <c r="AR130" i="5"/>
  <c r="AQ130" i="5"/>
  <c r="AH130" i="5" s="1"/>
  <c r="AI130" i="5"/>
  <c r="AF130" i="5"/>
  <c r="AY278" i="5"/>
  <c r="AX278" i="5"/>
  <c r="AW278" i="5"/>
  <c r="AV278" i="5"/>
  <c r="AU278" i="5"/>
  <c r="AT278" i="5"/>
  <c r="AS278" i="5"/>
  <c r="AR278" i="5"/>
  <c r="AQ278" i="5"/>
  <c r="AH278" i="5" s="1"/>
  <c r="AI278" i="5"/>
  <c r="AF278" i="5"/>
  <c r="AY319" i="5"/>
  <c r="AX319" i="5"/>
  <c r="AW319" i="5"/>
  <c r="AV319" i="5"/>
  <c r="AU319" i="5"/>
  <c r="AT319" i="5"/>
  <c r="AS319" i="5"/>
  <c r="AR319" i="5"/>
  <c r="AQ319" i="5"/>
  <c r="AH319" i="5" s="1"/>
  <c r="AI319" i="5"/>
  <c r="AF319" i="5"/>
  <c r="AY100" i="5"/>
  <c r="AX100" i="5"/>
  <c r="AW100" i="5"/>
  <c r="AV100" i="5"/>
  <c r="AU100" i="5"/>
  <c r="AT100" i="5"/>
  <c r="AS100" i="5"/>
  <c r="AR100" i="5"/>
  <c r="AQ100" i="5"/>
  <c r="AH100" i="5" s="1"/>
  <c r="AI100" i="5"/>
  <c r="AF100" i="5"/>
  <c r="AY172" i="5"/>
  <c r="AX172" i="5"/>
  <c r="AW172" i="5"/>
  <c r="AV172" i="5"/>
  <c r="AU172" i="5"/>
  <c r="AT172" i="5"/>
  <c r="AS172" i="5"/>
  <c r="AR172" i="5"/>
  <c r="AQ172" i="5"/>
  <c r="AH172" i="5" s="1"/>
  <c r="AI172" i="5"/>
  <c r="AF172" i="5"/>
  <c r="AY212" i="5"/>
  <c r="AX212" i="5"/>
  <c r="AW212" i="5"/>
  <c r="AV212" i="5"/>
  <c r="AU212" i="5"/>
  <c r="AT212" i="5"/>
  <c r="AS212" i="5"/>
  <c r="AR212" i="5"/>
  <c r="AQ212" i="5"/>
  <c r="AH212" i="5" s="1"/>
  <c r="AI212" i="5"/>
  <c r="AF212" i="5"/>
  <c r="AY830" i="5"/>
  <c r="AX830" i="5"/>
  <c r="AW830" i="5"/>
  <c r="AV830" i="5"/>
  <c r="AU830" i="5"/>
  <c r="AT830" i="5"/>
  <c r="AS830" i="5"/>
  <c r="AR830" i="5"/>
  <c r="AQ830" i="5"/>
  <c r="AH830" i="5" s="1"/>
  <c r="AI830" i="5"/>
  <c r="AF830" i="5"/>
  <c r="AY580" i="5"/>
  <c r="AX580" i="5"/>
  <c r="AW580" i="5"/>
  <c r="AV580" i="5"/>
  <c r="AU580" i="5"/>
  <c r="AT580" i="5"/>
  <c r="AS580" i="5"/>
  <c r="AR580" i="5"/>
  <c r="AQ580" i="5"/>
  <c r="AH580" i="5" s="1"/>
  <c r="AI580" i="5"/>
  <c r="AF580" i="5"/>
  <c r="AY710" i="5"/>
  <c r="AX710" i="5"/>
  <c r="AW710" i="5"/>
  <c r="AV710" i="5"/>
  <c r="AU710" i="5"/>
  <c r="AT710" i="5"/>
  <c r="AS710" i="5"/>
  <c r="AR710" i="5"/>
  <c r="AQ710" i="5"/>
  <c r="AH710" i="5" s="1"/>
  <c r="AI710" i="5"/>
  <c r="AF710" i="5"/>
  <c r="AY534" i="5"/>
  <c r="AX534" i="5"/>
  <c r="AW534" i="5"/>
  <c r="AV534" i="5"/>
  <c r="AU534" i="5"/>
  <c r="AT534" i="5"/>
  <c r="AS534" i="5"/>
  <c r="AR534" i="5"/>
  <c r="AQ534" i="5"/>
  <c r="AH534" i="5" s="1"/>
  <c r="AI534" i="5"/>
  <c r="AF534" i="5"/>
  <c r="AY122" i="5"/>
  <c r="AX122" i="5"/>
  <c r="AW122" i="5"/>
  <c r="AV122" i="5"/>
  <c r="AU122" i="5"/>
  <c r="AT122" i="5"/>
  <c r="AS122" i="5"/>
  <c r="AR122" i="5"/>
  <c r="AQ122" i="5"/>
  <c r="AH122" i="5" s="1"/>
  <c r="AI122" i="5"/>
  <c r="AF122" i="5"/>
  <c r="AY515" i="5"/>
  <c r="AX515" i="5"/>
  <c r="AW515" i="5"/>
  <c r="AV515" i="5"/>
  <c r="AU515" i="5"/>
  <c r="AT515" i="5"/>
  <c r="AS515" i="5"/>
  <c r="AR515" i="5"/>
  <c r="AQ515" i="5"/>
  <c r="AH515" i="5" s="1"/>
  <c r="AI515" i="5"/>
  <c r="AF515" i="5"/>
  <c r="AY381" i="5"/>
  <c r="AX381" i="5"/>
  <c r="AW381" i="5"/>
  <c r="AV381" i="5"/>
  <c r="AU381" i="5"/>
  <c r="AT381" i="5"/>
  <c r="AS381" i="5"/>
  <c r="AR381" i="5"/>
  <c r="AQ381" i="5"/>
  <c r="AH381" i="5" s="1"/>
  <c r="AI381" i="5"/>
  <c r="AF381" i="5"/>
  <c r="AY167" i="5"/>
  <c r="AX167" i="5"/>
  <c r="AW167" i="5"/>
  <c r="AV167" i="5"/>
  <c r="AU167" i="5"/>
  <c r="AT167" i="5"/>
  <c r="AS167" i="5"/>
  <c r="AR167" i="5"/>
  <c r="AQ167" i="5"/>
  <c r="AH167" i="5" s="1"/>
  <c r="AI167" i="5"/>
  <c r="AF167" i="5"/>
  <c r="AY663" i="5"/>
  <c r="AX663" i="5"/>
  <c r="AW663" i="5"/>
  <c r="AV663" i="5"/>
  <c r="AU663" i="5"/>
  <c r="AT663" i="5"/>
  <c r="AS663" i="5"/>
  <c r="AR663" i="5"/>
  <c r="AQ663" i="5"/>
  <c r="AH663" i="5" s="1"/>
  <c r="AI663" i="5"/>
  <c r="AF663" i="5"/>
  <c r="AY514" i="5"/>
  <c r="AX514" i="5"/>
  <c r="AW514" i="5"/>
  <c r="AV514" i="5"/>
  <c r="AU514" i="5"/>
  <c r="AT514" i="5"/>
  <c r="AS514" i="5"/>
  <c r="AR514" i="5"/>
  <c r="AQ514" i="5"/>
  <c r="AH514" i="5" s="1"/>
  <c r="AI514" i="5"/>
  <c r="AF514" i="5"/>
  <c r="AY112" i="5"/>
  <c r="AX112" i="5"/>
  <c r="AW112" i="5"/>
  <c r="AV112" i="5"/>
  <c r="AU112" i="5"/>
  <c r="AT112" i="5"/>
  <c r="AS112" i="5"/>
  <c r="AR112" i="5"/>
  <c r="AQ112" i="5"/>
  <c r="AH112" i="5" s="1"/>
  <c r="AI112" i="5"/>
  <c r="AF112" i="5"/>
  <c r="AY465" i="5"/>
  <c r="AX465" i="5"/>
  <c r="AW465" i="5"/>
  <c r="AV465" i="5"/>
  <c r="AU465" i="5"/>
  <c r="AT465" i="5"/>
  <c r="AS465" i="5"/>
  <c r="AR465" i="5"/>
  <c r="AQ465" i="5"/>
  <c r="AH465" i="5" s="1"/>
  <c r="AI465" i="5"/>
  <c r="AF465" i="5"/>
  <c r="AY329" i="5"/>
  <c r="AX329" i="5"/>
  <c r="AW329" i="5"/>
  <c r="AV329" i="5"/>
  <c r="AU329" i="5"/>
  <c r="AT329" i="5"/>
  <c r="AS329" i="5"/>
  <c r="AR329" i="5"/>
  <c r="AQ329" i="5"/>
  <c r="AH329" i="5" s="1"/>
  <c r="AI329" i="5"/>
  <c r="AF329" i="5"/>
  <c r="AY82" i="5"/>
  <c r="AX82" i="5"/>
  <c r="AW82" i="5"/>
  <c r="AV82" i="5"/>
  <c r="AU82" i="5"/>
  <c r="AT82" i="5"/>
  <c r="AS82" i="5"/>
  <c r="AR82" i="5"/>
  <c r="AQ82" i="5"/>
  <c r="AH82" i="5" s="1"/>
  <c r="AI82" i="5"/>
  <c r="AF82" i="5"/>
  <c r="AY162" i="5"/>
  <c r="AX162" i="5"/>
  <c r="AW162" i="5"/>
  <c r="AV162" i="5"/>
  <c r="AU162" i="5"/>
  <c r="AT162" i="5"/>
  <c r="AS162" i="5"/>
  <c r="AR162" i="5"/>
  <c r="AQ162" i="5"/>
  <c r="AH162" i="5" s="1"/>
  <c r="AI162" i="5"/>
  <c r="AF162" i="5"/>
  <c r="AY139" i="5"/>
  <c r="AX139" i="5"/>
  <c r="AW139" i="5"/>
  <c r="AV139" i="5"/>
  <c r="AU139" i="5"/>
  <c r="AT139" i="5"/>
  <c r="AS139" i="5"/>
  <c r="AR139" i="5"/>
  <c r="AQ139" i="5"/>
  <c r="AH139" i="5" s="1"/>
  <c r="AI139" i="5"/>
  <c r="AF139" i="5"/>
  <c r="AY88" i="5"/>
  <c r="AX88" i="5"/>
  <c r="AW88" i="5"/>
  <c r="AV88" i="5"/>
  <c r="AU88" i="5"/>
  <c r="AT88" i="5"/>
  <c r="AS88" i="5"/>
  <c r="AR88" i="5"/>
  <c r="AQ88" i="5"/>
  <c r="AH88" i="5" s="1"/>
  <c r="AI88" i="5"/>
  <c r="AF88" i="5"/>
  <c r="AY234" i="5"/>
  <c r="AX234" i="5"/>
  <c r="AW234" i="5"/>
  <c r="AV234" i="5"/>
  <c r="AU234" i="5"/>
  <c r="AT234" i="5"/>
  <c r="AS234" i="5"/>
  <c r="AR234" i="5"/>
  <c r="AQ234" i="5"/>
  <c r="AH234" i="5" s="1"/>
  <c r="AI234" i="5"/>
  <c r="AF234" i="5"/>
  <c r="AY194" i="5"/>
  <c r="AX194" i="5"/>
  <c r="AW194" i="5"/>
  <c r="AV194" i="5"/>
  <c r="AU194" i="5"/>
  <c r="AT194" i="5"/>
  <c r="AS194" i="5"/>
  <c r="AR194" i="5"/>
  <c r="AQ194" i="5"/>
  <c r="AH194" i="5" s="1"/>
  <c r="AI194" i="5"/>
  <c r="AF194" i="5"/>
  <c r="AY81" i="5"/>
  <c r="AX81" i="5"/>
  <c r="AW81" i="5"/>
  <c r="AV81" i="5"/>
  <c r="AU81" i="5"/>
  <c r="AT81" i="5"/>
  <c r="AS81" i="5"/>
  <c r="AR81" i="5"/>
  <c r="AQ81" i="5"/>
  <c r="AH81" i="5" s="1"/>
  <c r="AI81" i="5"/>
  <c r="AF81" i="5"/>
  <c r="AY149" i="5"/>
  <c r="AX149" i="5"/>
  <c r="AW149" i="5"/>
  <c r="AV149" i="5"/>
  <c r="AU149" i="5"/>
  <c r="AT149" i="5"/>
  <c r="AS149" i="5"/>
  <c r="AR149" i="5"/>
  <c r="AQ149" i="5"/>
  <c r="AH149" i="5" s="1"/>
  <c r="AI149" i="5"/>
  <c r="AF149" i="5"/>
  <c r="AY126" i="5"/>
  <c r="AX126" i="5"/>
  <c r="AW126" i="5"/>
  <c r="AV126" i="5"/>
  <c r="AU126" i="5"/>
  <c r="AT126" i="5"/>
  <c r="AS126" i="5"/>
  <c r="AR126" i="5"/>
  <c r="AQ126" i="5"/>
  <c r="AH126" i="5" s="1"/>
  <c r="AI126" i="5"/>
  <c r="AF126" i="5"/>
  <c r="AY85" i="5"/>
  <c r="AX85" i="5"/>
  <c r="AW85" i="5"/>
  <c r="AV85" i="5"/>
  <c r="AU85" i="5"/>
  <c r="AT85" i="5"/>
  <c r="AS85" i="5"/>
  <c r="AR85" i="5"/>
  <c r="AQ85" i="5"/>
  <c r="AH85" i="5" s="1"/>
  <c r="AI85" i="5"/>
  <c r="AF85" i="5"/>
  <c r="AY195" i="5"/>
  <c r="AX195" i="5"/>
  <c r="AW195" i="5"/>
  <c r="AV195" i="5"/>
  <c r="AU195" i="5"/>
  <c r="AT195" i="5"/>
  <c r="AS195" i="5"/>
  <c r="AR195" i="5"/>
  <c r="AQ195" i="5"/>
  <c r="AH195" i="5" s="1"/>
  <c r="AI195" i="5"/>
  <c r="AF195" i="5"/>
  <c r="AY117" i="5"/>
  <c r="AX117" i="5"/>
  <c r="AW117" i="5"/>
  <c r="AV117" i="5"/>
  <c r="AU117" i="5"/>
  <c r="AT117" i="5"/>
  <c r="AS117" i="5"/>
  <c r="AR117" i="5"/>
  <c r="AQ117" i="5"/>
  <c r="AH117" i="5" s="1"/>
  <c r="AI117" i="5"/>
  <c r="AF117" i="5"/>
  <c r="AY89" i="5"/>
  <c r="AX89" i="5"/>
  <c r="AW89" i="5"/>
  <c r="AV89" i="5"/>
  <c r="AU89" i="5"/>
  <c r="AT89" i="5"/>
  <c r="AS89" i="5"/>
  <c r="AR89" i="5"/>
  <c r="AQ89" i="5"/>
  <c r="AH89" i="5" s="1"/>
  <c r="AI89" i="5"/>
  <c r="AF89" i="5"/>
  <c r="AY277" i="5"/>
  <c r="AX277" i="5"/>
  <c r="AW277" i="5"/>
  <c r="AV277" i="5"/>
  <c r="AU277" i="5"/>
  <c r="AT277" i="5"/>
  <c r="AS277" i="5"/>
  <c r="AR277" i="5"/>
  <c r="AQ277" i="5"/>
  <c r="AH277" i="5" s="1"/>
  <c r="AI277" i="5"/>
  <c r="AF277" i="5"/>
  <c r="AY155" i="5"/>
  <c r="AX155" i="5"/>
  <c r="AW155" i="5"/>
  <c r="AV155" i="5"/>
  <c r="AU155" i="5"/>
  <c r="AT155" i="5"/>
  <c r="AS155" i="5"/>
  <c r="AR155" i="5"/>
  <c r="AQ155" i="5"/>
  <c r="AH155" i="5" s="1"/>
  <c r="AI155" i="5"/>
  <c r="AF155" i="5"/>
  <c r="AY84" i="5"/>
  <c r="AX84" i="5"/>
  <c r="AW84" i="5"/>
  <c r="AV84" i="5"/>
  <c r="AU84" i="5"/>
  <c r="AT84" i="5"/>
  <c r="AS84" i="5"/>
  <c r="AR84" i="5"/>
  <c r="AQ84" i="5"/>
  <c r="AH84" i="5" s="1"/>
  <c r="AI84" i="5"/>
  <c r="AF84" i="5"/>
  <c r="AY171" i="5"/>
  <c r="AX171" i="5"/>
  <c r="AW171" i="5"/>
  <c r="AV171" i="5"/>
  <c r="AU171" i="5"/>
  <c r="AT171" i="5"/>
  <c r="AS171" i="5"/>
  <c r="AR171" i="5"/>
  <c r="AQ171" i="5"/>
  <c r="AH171" i="5" s="1"/>
  <c r="AI171" i="5"/>
  <c r="AF171" i="5"/>
  <c r="AY106" i="5"/>
  <c r="AX106" i="5"/>
  <c r="AW106" i="5"/>
  <c r="AV106" i="5"/>
  <c r="AU106" i="5"/>
  <c r="AT106" i="5"/>
  <c r="AS106" i="5"/>
  <c r="AR106" i="5"/>
  <c r="AQ106" i="5"/>
  <c r="AH106" i="5" s="1"/>
  <c r="AI106" i="5"/>
  <c r="AF106" i="5"/>
  <c r="AY905" i="5"/>
  <c r="AI905" i="5" s="1"/>
  <c r="AX905" i="5"/>
  <c r="AW905" i="5"/>
  <c r="AV905" i="5"/>
  <c r="AU905" i="5"/>
  <c r="AT905" i="5"/>
  <c r="AS905" i="5"/>
  <c r="AR905" i="5"/>
  <c r="AQ905" i="5"/>
  <c r="AJ905" i="5"/>
  <c r="AF905" i="5"/>
  <c r="AY812" i="5"/>
  <c r="AI812" i="5" s="1"/>
  <c r="AX812" i="5"/>
  <c r="AW812" i="5"/>
  <c r="AV812" i="5"/>
  <c r="AU812" i="5"/>
  <c r="AT812" i="5"/>
  <c r="AS812" i="5"/>
  <c r="AR812" i="5"/>
  <c r="AQ812" i="5"/>
  <c r="AJ812" i="5"/>
  <c r="AF812" i="5"/>
  <c r="AY811" i="5"/>
  <c r="AI811" i="5" s="1"/>
  <c r="AX811" i="5"/>
  <c r="AW811" i="5"/>
  <c r="AV811" i="5"/>
  <c r="AU811" i="5"/>
  <c r="AT811" i="5"/>
  <c r="AS811" i="5"/>
  <c r="AR811" i="5"/>
  <c r="AQ811" i="5"/>
  <c r="AJ811" i="5"/>
  <c r="AF811" i="5"/>
  <c r="AY810" i="5"/>
  <c r="AI810" i="5" s="1"/>
  <c r="AX810" i="5"/>
  <c r="AW810" i="5"/>
  <c r="AV810" i="5"/>
  <c r="AU810" i="5"/>
  <c r="AT810" i="5"/>
  <c r="AS810" i="5"/>
  <c r="AR810" i="5"/>
  <c r="AQ810" i="5"/>
  <c r="AJ810" i="5"/>
  <c r="AF810" i="5"/>
  <c r="AY734" i="5"/>
  <c r="AI734" i="5" s="1"/>
  <c r="AX734" i="5"/>
  <c r="AW734" i="5"/>
  <c r="AV734" i="5"/>
  <c r="AU734" i="5"/>
  <c r="AT734" i="5"/>
  <c r="AS734" i="5"/>
  <c r="AR734" i="5"/>
  <c r="AQ734" i="5"/>
  <c r="AJ734" i="5"/>
  <c r="AF734" i="5"/>
  <c r="AY659" i="5"/>
  <c r="AI659" i="5" s="1"/>
  <c r="AX659" i="5"/>
  <c r="AW659" i="5"/>
  <c r="AV659" i="5"/>
  <c r="AU659" i="5"/>
  <c r="AT659" i="5"/>
  <c r="AS659" i="5"/>
  <c r="AR659" i="5"/>
  <c r="AQ659" i="5"/>
  <c r="AJ659" i="5"/>
  <c r="AF659" i="5"/>
  <c r="AY771" i="5"/>
  <c r="AI771" i="5" s="1"/>
  <c r="AX771" i="5"/>
  <c r="AW771" i="5"/>
  <c r="AV771" i="5"/>
  <c r="AU771" i="5"/>
  <c r="AT771" i="5"/>
  <c r="AS771" i="5"/>
  <c r="AR771" i="5"/>
  <c r="AQ771" i="5"/>
  <c r="AJ771" i="5"/>
  <c r="AF771" i="5"/>
  <c r="AY733" i="5"/>
  <c r="AI733" i="5" s="1"/>
  <c r="AX733" i="5"/>
  <c r="AW733" i="5"/>
  <c r="AV733" i="5"/>
  <c r="AU733" i="5"/>
  <c r="AT733" i="5"/>
  <c r="AS733" i="5"/>
  <c r="AR733" i="5"/>
  <c r="AQ733" i="5"/>
  <c r="AJ733" i="5"/>
  <c r="AF733" i="5"/>
  <c r="AY658" i="5"/>
  <c r="AI658" i="5" s="1"/>
  <c r="AX658" i="5"/>
  <c r="AW658" i="5"/>
  <c r="AV658" i="5"/>
  <c r="AU658" i="5"/>
  <c r="AT658" i="5"/>
  <c r="AS658" i="5"/>
  <c r="AR658" i="5"/>
  <c r="AQ658" i="5"/>
  <c r="AJ658" i="5"/>
  <c r="AF658" i="5"/>
  <c r="AY770" i="5"/>
  <c r="AI770" i="5" s="1"/>
  <c r="AX770" i="5"/>
  <c r="AW770" i="5"/>
  <c r="AV770" i="5"/>
  <c r="AU770" i="5"/>
  <c r="AT770" i="5"/>
  <c r="AS770" i="5"/>
  <c r="AR770" i="5"/>
  <c r="AQ770" i="5"/>
  <c r="AJ770" i="5"/>
  <c r="AF770" i="5"/>
  <c r="AY732" i="5"/>
  <c r="AI732" i="5" s="1"/>
  <c r="AX732" i="5"/>
  <c r="AW732" i="5"/>
  <c r="AV732" i="5"/>
  <c r="AU732" i="5"/>
  <c r="AT732" i="5"/>
  <c r="AS732" i="5"/>
  <c r="AR732" i="5"/>
  <c r="AQ732" i="5"/>
  <c r="AJ732" i="5"/>
  <c r="AF732" i="5"/>
  <c r="AY657" i="5"/>
  <c r="AI657" i="5" s="1"/>
  <c r="AX657" i="5"/>
  <c r="AW657" i="5"/>
  <c r="AV657" i="5"/>
  <c r="AU657" i="5"/>
  <c r="AT657" i="5"/>
  <c r="AS657" i="5"/>
  <c r="AR657" i="5"/>
  <c r="AQ657" i="5"/>
  <c r="AJ657" i="5"/>
  <c r="AF657" i="5"/>
  <c r="AY769" i="5"/>
  <c r="AI769" i="5" s="1"/>
  <c r="AX769" i="5"/>
  <c r="AW769" i="5"/>
  <c r="AV769" i="5"/>
  <c r="AU769" i="5"/>
  <c r="AT769" i="5"/>
  <c r="AS769" i="5"/>
  <c r="AR769" i="5"/>
  <c r="AQ769" i="5"/>
  <c r="AJ769" i="5"/>
  <c r="AF769" i="5"/>
  <c r="AY487" i="5"/>
  <c r="AI487" i="5" s="1"/>
  <c r="AX487" i="5"/>
  <c r="AW487" i="5"/>
  <c r="AV487" i="5"/>
  <c r="AU487" i="5"/>
  <c r="AT487" i="5"/>
  <c r="AS487" i="5"/>
  <c r="AR487" i="5"/>
  <c r="AQ487" i="5"/>
  <c r="AJ487" i="5"/>
  <c r="AF487" i="5"/>
  <c r="AY367" i="5"/>
  <c r="AI367" i="5" s="1"/>
  <c r="AX367" i="5"/>
  <c r="AW367" i="5"/>
  <c r="AV367" i="5"/>
  <c r="AU367" i="5"/>
  <c r="AT367" i="5"/>
  <c r="AS367" i="5"/>
  <c r="AR367" i="5"/>
  <c r="AQ367" i="5"/>
  <c r="AJ367" i="5"/>
  <c r="AF367" i="5"/>
  <c r="AY548" i="5"/>
  <c r="AI548" i="5" s="1"/>
  <c r="AX548" i="5"/>
  <c r="AW548" i="5"/>
  <c r="AV548" i="5"/>
  <c r="AU548" i="5"/>
  <c r="AT548" i="5"/>
  <c r="AS548" i="5"/>
  <c r="AR548" i="5"/>
  <c r="AQ548" i="5"/>
  <c r="AJ548" i="5"/>
  <c r="AF548" i="5"/>
  <c r="AY486" i="5"/>
  <c r="AI486" i="5" s="1"/>
  <c r="AX486" i="5"/>
  <c r="AW486" i="5"/>
  <c r="AV486" i="5"/>
  <c r="AU486" i="5"/>
  <c r="AT486" i="5"/>
  <c r="AS486" i="5"/>
  <c r="AR486" i="5"/>
  <c r="AQ486" i="5"/>
  <c r="AJ486" i="5"/>
  <c r="AF486" i="5"/>
  <c r="AY366" i="5"/>
  <c r="AI366" i="5" s="1"/>
  <c r="AX366" i="5"/>
  <c r="AW366" i="5"/>
  <c r="AV366" i="5"/>
  <c r="AU366" i="5"/>
  <c r="AT366" i="5"/>
  <c r="AS366" i="5"/>
  <c r="AR366" i="5"/>
  <c r="AQ366" i="5"/>
  <c r="AJ366" i="5"/>
  <c r="AF366" i="5"/>
  <c r="AY547" i="5"/>
  <c r="AI547" i="5" s="1"/>
  <c r="AX547" i="5"/>
  <c r="AW547" i="5"/>
  <c r="AV547" i="5"/>
  <c r="AU547" i="5"/>
  <c r="AT547" i="5"/>
  <c r="AS547" i="5"/>
  <c r="AR547" i="5"/>
  <c r="AQ547" i="5"/>
  <c r="AJ547" i="5"/>
  <c r="AF547" i="5"/>
  <c r="AY485" i="5"/>
  <c r="AI485" i="5" s="1"/>
  <c r="AX485" i="5"/>
  <c r="AW485" i="5"/>
  <c r="AV485" i="5"/>
  <c r="AU485" i="5"/>
  <c r="AT485" i="5"/>
  <c r="AS485" i="5"/>
  <c r="AR485" i="5"/>
  <c r="AQ485" i="5"/>
  <c r="AJ485" i="5"/>
  <c r="AF485" i="5"/>
  <c r="AY365" i="5"/>
  <c r="AI365" i="5" s="1"/>
  <c r="AX365" i="5"/>
  <c r="AW365" i="5"/>
  <c r="AV365" i="5"/>
  <c r="AU365" i="5"/>
  <c r="AT365" i="5"/>
  <c r="AS365" i="5"/>
  <c r="AR365" i="5"/>
  <c r="AQ365" i="5"/>
  <c r="AJ365" i="5"/>
  <c r="AF365" i="5"/>
  <c r="AY546" i="5"/>
  <c r="AI546" i="5" s="1"/>
  <c r="AX546" i="5"/>
  <c r="AW546" i="5"/>
  <c r="AV546" i="5"/>
  <c r="AU546" i="5"/>
  <c r="AT546" i="5"/>
  <c r="AS546" i="5"/>
  <c r="AR546" i="5"/>
  <c r="AQ546" i="5"/>
  <c r="AJ546" i="5"/>
  <c r="AF546" i="5"/>
  <c r="AY308" i="5"/>
  <c r="AI308" i="5" s="1"/>
  <c r="AX308" i="5"/>
  <c r="AW308" i="5"/>
  <c r="AV308" i="5"/>
  <c r="AU308" i="5"/>
  <c r="AT308" i="5"/>
  <c r="AS308" i="5"/>
  <c r="AR308" i="5"/>
  <c r="AQ308" i="5"/>
  <c r="AJ308" i="5"/>
  <c r="AF308" i="5"/>
  <c r="AY256" i="5"/>
  <c r="AI256" i="5" s="1"/>
  <c r="AX256" i="5"/>
  <c r="AW256" i="5"/>
  <c r="AV256" i="5"/>
  <c r="AU256" i="5"/>
  <c r="AT256" i="5"/>
  <c r="AS256" i="5"/>
  <c r="AR256" i="5"/>
  <c r="AQ256" i="5"/>
  <c r="AJ256" i="5"/>
  <c r="AF256" i="5"/>
  <c r="AY348" i="5"/>
  <c r="AI348" i="5" s="1"/>
  <c r="AX348" i="5"/>
  <c r="AW348" i="5"/>
  <c r="AV348" i="5"/>
  <c r="AU348" i="5"/>
  <c r="AT348" i="5"/>
  <c r="AS348" i="5"/>
  <c r="AR348" i="5"/>
  <c r="AQ348" i="5"/>
  <c r="AJ348" i="5"/>
  <c r="AF348" i="5"/>
  <c r="AY307" i="5"/>
  <c r="AI307" i="5" s="1"/>
  <c r="AX307" i="5"/>
  <c r="AW307" i="5"/>
  <c r="AV307" i="5"/>
  <c r="AU307" i="5"/>
  <c r="AT307" i="5"/>
  <c r="AS307" i="5"/>
  <c r="AR307" i="5"/>
  <c r="AQ307" i="5"/>
  <c r="AJ307" i="5"/>
  <c r="AF307" i="5"/>
  <c r="AY255" i="5"/>
  <c r="AI255" i="5" s="1"/>
  <c r="AX255" i="5"/>
  <c r="AW255" i="5"/>
  <c r="AV255" i="5"/>
  <c r="AU255" i="5"/>
  <c r="AT255" i="5"/>
  <c r="AS255" i="5"/>
  <c r="AR255" i="5"/>
  <c r="AQ255" i="5"/>
  <c r="AJ255" i="5"/>
  <c r="AF255" i="5"/>
  <c r="AY347" i="5"/>
  <c r="AI347" i="5" s="1"/>
  <c r="AX347" i="5"/>
  <c r="AW347" i="5"/>
  <c r="AV347" i="5"/>
  <c r="AU347" i="5"/>
  <c r="AT347" i="5"/>
  <c r="AS347" i="5"/>
  <c r="AR347" i="5"/>
  <c r="AQ347" i="5"/>
  <c r="AJ347" i="5"/>
  <c r="AF347" i="5"/>
  <c r="AY306" i="5"/>
  <c r="AI306" i="5" s="1"/>
  <c r="AX306" i="5"/>
  <c r="AW306" i="5"/>
  <c r="AV306" i="5"/>
  <c r="AU306" i="5"/>
  <c r="AT306" i="5"/>
  <c r="AS306" i="5"/>
  <c r="AR306" i="5"/>
  <c r="AQ306" i="5"/>
  <c r="AJ306" i="5"/>
  <c r="AF306" i="5"/>
  <c r="AY254" i="5"/>
  <c r="AI254" i="5" s="1"/>
  <c r="AX254" i="5"/>
  <c r="AW254" i="5"/>
  <c r="AV254" i="5"/>
  <c r="AU254" i="5"/>
  <c r="AT254" i="5"/>
  <c r="AS254" i="5"/>
  <c r="AR254" i="5"/>
  <c r="AQ254" i="5"/>
  <c r="AJ254" i="5"/>
  <c r="AF254" i="5"/>
  <c r="AY346" i="5"/>
  <c r="AI346" i="5" s="1"/>
  <c r="AX346" i="5"/>
  <c r="AW346" i="5"/>
  <c r="AV346" i="5"/>
  <c r="AU346" i="5"/>
  <c r="AT346" i="5"/>
  <c r="AS346" i="5"/>
  <c r="AR346" i="5"/>
  <c r="AQ346" i="5"/>
  <c r="AJ346" i="5"/>
  <c r="AF346" i="5"/>
  <c r="AY725" i="5"/>
  <c r="AX725" i="5"/>
  <c r="AW725" i="5"/>
  <c r="AV725" i="5"/>
  <c r="AU725" i="5"/>
  <c r="AT725" i="5"/>
  <c r="AS725" i="5"/>
  <c r="AR725" i="5"/>
  <c r="AQ725" i="5"/>
  <c r="AJ725" i="5"/>
  <c r="AF725" i="5"/>
  <c r="AY545" i="5"/>
  <c r="AX545" i="5"/>
  <c r="AW545" i="5"/>
  <c r="AV545" i="5"/>
  <c r="AU545" i="5"/>
  <c r="AT545" i="5"/>
  <c r="AS545" i="5"/>
  <c r="AR545" i="5"/>
  <c r="AQ545" i="5"/>
  <c r="AJ545" i="5"/>
  <c r="AF545" i="5"/>
  <c r="AY446" i="5"/>
  <c r="AX446" i="5"/>
  <c r="AW446" i="5"/>
  <c r="AV446" i="5"/>
  <c r="AU446" i="5"/>
  <c r="AT446" i="5"/>
  <c r="AS446" i="5"/>
  <c r="AR446" i="5"/>
  <c r="AQ446" i="5"/>
  <c r="AJ446" i="5"/>
  <c r="AF446" i="5"/>
  <c r="AY544" i="5"/>
  <c r="AX544" i="5"/>
  <c r="AW544" i="5"/>
  <c r="AV544" i="5"/>
  <c r="AU544" i="5"/>
  <c r="AT544" i="5"/>
  <c r="AS544" i="5"/>
  <c r="AR544" i="5"/>
  <c r="AQ544" i="5"/>
  <c r="AJ544" i="5"/>
  <c r="AF544" i="5"/>
  <c r="AY422" i="5"/>
  <c r="AX422" i="5"/>
  <c r="AW422" i="5"/>
  <c r="AV422" i="5"/>
  <c r="AU422" i="5"/>
  <c r="AT422" i="5"/>
  <c r="AS422" i="5"/>
  <c r="AR422" i="5"/>
  <c r="AQ422" i="5"/>
  <c r="AJ422" i="5"/>
  <c r="AF422" i="5"/>
  <c r="AY351" i="5"/>
  <c r="AX351" i="5"/>
  <c r="AW351" i="5"/>
  <c r="AV351" i="5"/>
  <c r="AU351" i="5"/>
  <c r="AT351" i="5"/>
  <c r="AS351" i="5"/>
  <c r="AR351" i="5"/>
  <c r="AQ351" i="5"/>
  <c r="AJ351" i="5"/>
  <c r="AF351" i="5"/>
  <c r="AY479" i="5"/>
  <c r="AX479" i="5"/>
  <c r="AW479" i="5"/>
  <c r="AV479" i="5"/>
  <c r="AU479" i="5"/>
  <c r="AT479" i="5"/>
  <c r="AS479" i="5"/>
  <c r="AR479" i="5"/>
  <c r="AQ479" i="5"/>
  <c r="AJ479" i="5"/>
  <c r="AF479" i="5"/>
  <c r="AY358" i="5"/>
  <c r="AX358" i="5"/>
  <c r="AW358" i="5"/>
  <c r="AV358" i="5"/>
  <c r="AU358" i="5"/>
  <c r="AT358" i="5"/>
  <c r="AS358" i="5"/>
  <c r="AR358" i="5"/>
  <c r="AQ358" i="5"/>
  <c r="AJ358" i="5"/>
  <c r="AF358" i="5"/>
  <c r="AY267" i="5"/>
  <c r="AX267" i="5"/>
  <c r="AW267" i="5"/>
  <c r="AV267" i="5"/>
  <c r="AU267" i="5"/>
  <c r="AT267" i="5"/>
  <c r="AS267" i="5"/>
  <c r="AR267" i="5"/>
  <c r="AQ267" i="5"/>
  <c r="AJ267" i="5"/>
  <c r="AF267" i="5"/>
  <c r="AY400" i="5"/>
  <c r="AX400" i="5"/>
  <c r="AW400" i="5"/>
  <c r="AV400" i="5"/>
  <c r="AU400" i="5"/>
  <c r="AT400" i="5"/>
  <c r="AS400" i="5"/>
  <c r="AR400" i="5"/>
  <c r="AQ400" i="5"/>
  <c r="AJ400" i="5"/>
  <c r="AF400" i="5"/>
  <c r="AY421" i="5"/>
  <c r="AX421" i="5"/>
  <c r="AW421" i="5"/>
  <c r="AV421" i="5"/>
  <c r="AU421" i="5"/>
  <c r="AT421" i="5"/>
  <c r="AS421" i="5"/>
  <c r="AR421" i="5"/>
  <c r="AQ421" i="5"/>
  <c r="AJ421" i="5"/>
  <c r="AF421" i="5"/>
  <c r="AY350" i="5"/>
  <c r="AX350" i="5"/>
  <c r="AW350" i="5"/>
  <c r="AV350" i="5"/>
  <c r="AU350" i="5"/>
  <c r="AT350" i="5"/>
  <c r="AS350" i="5"/>
  <c r="AR350" i="5"/>
  <c r="AQ350" i="5"/>
  <c r="AJ350" i="5"/>
  <c r="AF350" i="5"/>
  <c r="AY478" i="5"/>
  <c r="AX478" i="5"/>
  <c r="AW478" i="5"/>
  <c r="AV478" i="5"/>
  <c r="AU478" i="5"/>
  <c r="AT478" i="5"/>
  <c r="AS478" i="5"/>
  <c r="AR478" i="5"/>
  <c r="AQ478" i="5"/>
  <c r="AJ478" i="5"/>
  <c r="AF478" i="5"/>
  <c r="AY238" i="5"/>
  <c r="AX238" i="5"/>
  <c r="AW238" i="5"/>
  <c r="AV238" i="5"/>
  <c r="AU238" i="5"/>
  <c r="AT238" i="5"/>
  <c r="AS238" i="5"/>
  <c r="AR238" i="5"/>
  <c r="AQ238" i="5"/>
  <c r="AJ238" i="5"/>
  <c r="AF238" i="5"/>
  <c r="AY175" i="5"/>
  <c r="AX175" i="5"/>
  <c r="AW175" i="5"/>
  <c r="AV175" i="5"/>
  <c r="AU175" i="5"/>
  <c r="AT175" i="5"/>
  <c r="AS175" i="5"/>
  <c r="AR175" i="5"/>
  <c r="AQ175" i="5"/>
  <c r="AJ175" i="5"/>
  <c r="AF175" i="5"/>
  <c r="AY276" i="5"/>
  <c r="AX276" i="5"/>
  <c r="AW276" i="5"/>
  <c r="AV276" i="5"/>
  <c r="AU276" i="5"/>
  <c r="AT276" i="5"/>
  <c r="AS276" i="5"/>
  <c r="AR276" i="5"/>
  <c r="AQ276" i="5"/>
  <c r="AJ276" i="5"/>
  <c r="AF276" i="5"/>
  <c r="AY199" i="5"/>
  <c r="AX199" i="5"/>
  <c r="AW199" i="5"/>
  <c r="AV199" i="5"/>
  <c r="AU199" i="5"/>
  <c r="AT199" i="5"/>
  <c r="AS199" i="5"/>
  <c r="AR199" i="5"/>
  <c r="AQ199" i="5"/>
  <c r="AJ199" i="5"/>
  <c r="AF199" i="5"/>
  <c r="AY136" i="5"/>
  <c r="AX136" i="5"/>
  <c r="AW136" i="5"/>
  <c r="AV136" i="5"/>
  <c r="AU136" i="5"/>
  <c r="AT136" i="5"/>
  <c r="AS136" i="5"/>
  <c r="AR136" i="5"/>
  <c r="AQ136" i="5"/>
  <c r="AJ136" i="5"/>
  <c r="AF136" i="5"/>
  <c r="AY228" i="5"/>
  <c r="AX228" i="5"/>
  <c r="AW228" i="5"/>
  <c r="AV228" i="5"/>
  <c r="AU228" i="5"/>
  <c r="AT228" i="5"/>
  <c r="AS228" i="5"/>
  <c r="AR228" i="5"/>
  <c r="AQ228" i="5"/>
  <c r="AJ228" i="5"/>
  <c r="AF228" i="5"/>
  <c r="AY237" i="5"/>
  <c r="AX237" i="5"/>
  <c r="AW237" i="5"/>
  <c r="AV237" i="5"/>
  <c r="AU237" i="5"/>
  <c r="AT237" i="5"/>
  <c r="AS237" i="5"/>
  <c r="AR237" i="5"/>
  <c r="AQ237" i="5"/>
  <c r="AJ237" i="5"/>
  <c r="AF237" i="5"/>
  <c r="AY174" i="5"/>
  <c r="AX174" i="5"/>
  <c r="AW174" i="5"/>
  <c r="AV174" i="5"/>
  <c r="AU174" i="5"/>
  <c r="AT174" i="5"/>
  <c r="AS174" i="5"/>
  <c r="AR174" i="5"/>
  <c r="AQ174" i="5"/>
  <c r="AJ174" i="5"/>
  <c r="AF174" i="5"/>
  <c r="AY275" i="5"/>
  <c r="AX275" i="5"/>
  <c r="AW275" i="5"/>
  <c r="AV275" i="5"/>
  <c r="AU275" i="5"/>
  <c r="AT275" i="5"/>
  <c r="AS275" i="5"/>
  <c r="AR275" i="5"/>
  <c r="AQ275" i="5"/>
  <c r="AJ275" i="5"/>
  <c r="AF275" i="5"/>
  <c r="AY148" i="5"/>
  <c r="AX148" i="5"/>
  <c r="AW148" i="5"/>
  <c r="AV148" i="5"/>
  <c r="AU148" i="5"/>
  <c r="AT148" i="5"/>
  <c r="AS148" i="5"/>
  <c r="AR148" i="5"/>
  <c r="AQ148" i="5"/>
  <c r="AJ148" i="5"/>
  <c r="AF148" i="5"/>
  <c r="AY121" i="5"/>
  <c r="AX121" i="5"/>
  <c r="AW121" i="5"/>
  <c r="AV121" i="5"/>
  <c r="AU121" i="5"/>
  <c r="AT121" i="5"/>
  <c r="AS121" i="5"/>
  <c r="AR121" i="5"/>
  <c r="AQ121" i="5"/>
  <c r="AJ121" i="5"/>
  <c r="AF121" i="5"/>
  <c r="AY159" i="5"/>
  <c r="AX159" i="5"/>
  <c r="AW159" i="5"/>
  <c r="AV159" i="5"/>
  <c r="AU159" i="5"/>
  <c r="AT159" i="5"/>
  <c r="AS159" i="5"/>
  <c r="AR159" i="5"/>
  <c r="AQ159" i="5"/>
  <c r="AJ159" i="5"/>
  <c r="AF159" i="5"/>
  <c r="AY123" i="5"/>
  <c r="AX123" i="5"/>
  <c r="AW123" i="5"/>
  <c r="AV123" i="5"/>
  <c r="AU123" i="5"/>
  <c r="AT123" i="5"/>
  <c r="AS123" i="5"/>
  <c r="AR123" i="5"/>
  <c r="AQ123" i="5"/>
  <c r="AJ123" i="5"/>
  <c r="AF123" i="5"/>
  <c r="AY103" i="5"/>
  <c r="AX103" i="5"/>
  <c r="AW103" i="5"/>
  <c r="AV103" i="5"/>
  <c r="AU103" i="5"/>
  <c r="AT103" i="5"/>
  <c r="AS103" i="5"/>
  <c r="AR103" i="5"/>
  <c r="AQ103" i="5"/>
  <c r="AJ103" i="5"/>
  <c r="AF103" i="5"/>
  <c r="AY140" i="5"/>
  <c r="AX140" i="5"/>
  <c r="AW140" i="5"/>
  <c r="AV140" i="5"/>
  <c r="AU140" i="5"/>
  <c r="AT140" i="5"/>
  <c r="AS140" i="5"/>
  <c r="AR140" i="5"/>
  <c r="AQ140" i="5"/>
  <c r="AJ140" i="5"/>
  <c r="AF140" i="5"/>
  <c r="AY147" i="5"/>
  <c r="AX147" i="5"/>
  <c r="AW147" i="5"/>
  <c r="AV147" i="5"/>
  <c r="AU147" i="5"/>
  <c r="AT147" i="5"/>
  <c r="AS147" i="5"/>
  <c r="AR147" i="5"/>
  <c r="AQ147" i="5"/>
  <c r="AJ147" i="5"/>
  <c r="AF147" i="5"/>
  <c r="AY120" i="5"/>
  <c r="AX120" i="5"/>
  <c r="AW120" i="5"/>
  <c r="AV120" i="5"/>
  <c r="AU120" i="5"/>
  <c r="AT120" i="5"/>
  <c r="AS120" i="5"/>
  <c r="AR120" i="5"/>
  <c r="AQ120" i="5"/>
  <c r="AJ120" i="5"/>
  <c r="AF120" i="5"/>
  <c r="AY158" i="5"/>
  <c r="AX158" i="5"/>
  <c r="AW158" i="5"/>
  <c r="AV158" i="5"/>
  <c r="AU158" i="5"/>
  <c r="AT158" i="5"/>
  <c r="AS158" i="5"/>
  <c r="AR158" i="5"/>
  <c r="AQ158" i="5"/>
  <c r="AJ158" i="5"/>
  <c r="AF158" i="5"/>
  <c r="AY947" i="5"/>
  <c r="AI947" i="5" s="1"/>
  <c r="AX947" i="5"/>
  <c r="AW947" i="5"/>
  <c r="AV947" i="5"/>
  <c r="AU947" i="5"/>
  <c r="AT947" i="5"/>
  <c r="AS947" i="5"/>
  <c r="AR947" i="5"/>
  <c r="AQ947" i="5"/>
  <c r="AJ947" i="5"/>
  <c r="AF947" i="5"/>
  <c r="AY904" i="5"/>
  <c r="AI904" i="5" s="1"/>
  <c r="AX904" i="5"/>
  <c r="AW904" i="5"/>
  <c r="AV904" i="5"/>
  <c r="AU904" i="5"/>
  <c r="AT904" i="5"/>
  <c r="AS904" i="5"/>
  <c r="AR904" i="5"/>
  <c r="AQ904" i="5"/>
  <c r="AJ904" i="5"/>
  <c r="AF904" i="5"/>
  <c r="AY903" i="5"/>
  <c r="AI903" i="5" s="1"/>
  <c r="AX903" i="5"/>
  <c r="AW903" i="5"/>
  <c r="AV903" i="5"/>
  <c r="AU903" i="5"/>
  <c r="AT903" i="5"/>
  <c r="AS903" i="5"/>
  <c r="AR903" i="5"/>
  <c r="AQ903" i="5"/>
  <c r="AJ903" i="5"/>
  <c r="AF903" i="5"/>
  <c r="AY902" i="5"/>
  <c r="AI902" i="5" s="1"/>
  <c r="AX902" i="5"/>
  <c r="AW902" i="5"/>
  <c r="AV902" i="5"/>
  <c r="AU902" i="5"/>
  <c r="AT902" i="5"/>
  <c r="AS902" i="5"/>
  <c r="AR902" i="5"/>
  <c r="AQ902" i="5"/>
  <c r="AJ902" i="5"/>
  <c r="AF902" i="5"/>
  <c r="AY859" i="5"/>
  <c r="AI859" i="5" s="1"/>
  <c r="AX859" i="5"/>
  <c r="AW859" i="5"/>
  <c r="AV859" i="5"/>
  <c r="AU859" i="5"/>
  <c r="AT859" i="5"/>
  <c r="AS859" i="5"/>
  <c r="AR859" i="5"/>
  <c r="AQ859" i="5"/>
  <c r="AJ859" i="5"/>
  <c r="AF859" i="5"/>
  <c r="AY797" i="5"/>
  <c r="AI797" i="5" s="1"/>
  <c r="AX797" i="5"/>
  <c r="AW797" i="5"/>
  <c r="AV797" i="5"/>
  <c r="AU797" i="5"/>
  <c r="AT797" i="5"/>
  <c r="AS797" i="5"/>
  <c r="AR797" i="5"/>
  <c r="AQ797" i="5"/>
  <c r="AJ797" i="5"/>
  <c r="AF797" i="5"/>
  <c r="AY876" i="5"/>
  <c r="AI876" i="5" s="1"/>
  <c r="AX876" i="5"/>
  <c r="AW876" i="5"/>
  <c r="AV876" i="5"/>
  <c r="AU876" i="5"/>
  <c r="AT876" i="5"/>
  <c r="AS876" i="5"/>
  <c r="AR876" i="5"/>
  <c r="AQ876" i="5"/>
  <c r="AJ876" i="5"/>
  <c r="AF876" i="5"/>
  <c r="AY858" i="5"/>
  <c r="AI858" i="5" s="1"/>
  <c r="AX858" i="5"/>
  <c r="AW858" i="5"/>
  <c r="AV858" i="5"/>
  <c r="AU858" i="5"/>
  <c r="AT858" i="5"/>
  <c r="AS858" i="5"/>
  <c r="AR858" i="5"/>
  <c r="AQ858" i="5"/>
  <c r="AJ858" i="5"/>
  <c r="AF858" i="5"/>
  <c r="AY796" i="5"/>
  <c r="AI796" i="5" s="1"/>
  <c r="AX796" i="5"/>
  <c r="AW796" i="5"/>
  <c r="AV796" i="5"/>
  <c r="AU796" i="5"/>
  <c r="AT796" i="5"/>
  <c r="AS796" i="5"/>
  <c r="AR796" i="5"/>
  <c r="AQ796" i="5"/>
  <c r="AJ796" i="5"/>
  <c r="AF796" i="5"/>
  <c r="AY875" i="5"/>
  <c r="AI875" i="5" s="1"/>
  <c r="AX875" i="5"/>
  <c r="AW875" i="5"/>
  <c r="AV875" i="5"/>
  <c r="AU875" i="5"/>
  <c r="AT875" i="5"/>
  <c r="AS875" i="5"/>
  <c r="AR875" i="5"/>
  <c r="AQ875" i="5"/>
  <c r="AJ875" i="5"/>
  <c r="AF875" i="5"/>
  <c r="AY857" i="5"/>
  <c r="AI857" i="5" s="1"/>
  <c r="AX857" i="5"/>
  <c r="AW857" i="5"/>
  <c r="AV857" i="5"/>
  <c r="AU857" i="5"/>
  <c r="AT857" i="5"/>
  <c r="AS857" i="5"/>
  <c r="AR857" i="5"/>
  <c r="AQ857" i="5"/>
  <c r="AJ857" i="5"/>
  <c r="AF857" i="5"/>
  <c r="AY795" i="5"/>
  <c r="AI795" i="5" s="1"/>
  <c r="AX795" i="5"/>
  <c r="AW795" i="5"/>
  <c r="AV795" i="5"/>
  <c r="AU795" i="5"/>
  <c r="AT795" i="5"/>
  <c r="AS795" i="5"/>
  <c r="AR795" i="5"/>
  <c r="AQ795" i="5"/>
  <c r="AJ795" i="5"/>
  <c r="AF795" i="5"/>
  <c r="AY874" i="5"/>
  <c r="AI874" i="5" s="1"/>
  <c r="AX874" i="5"/>
  <c r="AW874" i="5"/>
  <c r="AV874" i="5"/>
  <c r="AU874" i="5"/>
  <c r="AT874" i="5"/>
  <c r="AS874" i="5"/>
  <c r="AR874" i="5"/>
  <c r="AQ874" i="5"/>
  <c r="AJ874" i="5"/>
  <c r="AF874" i="5"/>
  <c r="AY702" i="5"/>
  <c r="AI702" i="5" s="1"/>
  <c r="AX702" i="5"/>
  <c r="AW702" i="5"/>
  <c r="AV702" i="5"/>
  <c r="AU702" i="5"/>
  <c r="AT702" i="5"/>
  <c r="AS702" i="5"/>
  <c r="AR702" i="5"/>
  <c r="AQ702" i="5"/>
  <c r="AJ702" i="5"/>
  <c r="AF702" i="5"/>
  <c r="AY554" i="5"/>
  <c r="AI554" i="5" s="1"/>
  <c r="AX554" i="5"/>
  <c r="AW554" i="5"/>
  <c r="AV554" i="5"/>
  <c r="AU554" i="5"/>
  <c r="AT554" i="5"/>
  <c r="AS554" i="5"/>
  <c r="AR554" i="5"/>
  <c r="AQ554" i="5"/>
  <c r="AJ554" i="5"/>
  <c r="AF554" i="5"/>
  <c r="AY739" i="5"/>
  <c r="AI739" i="5" s="1"/>
  <c r="AX739" i="5"/>
  <c r="AW739" i="5"/>
  <c r="AV739" i="5"/>
  <c r="AU739" i="5"/>
  <c r="AT739" i="5"/>
  <c r="AS739" i="5"/>
  <c r="AR739" i="5"/>
  <c r="AQ739" i="5"/>
  <c r="AJ739" i="5"/>
  <c r="AF739" i="5"/>
  <c r="AY701" i="5"/>
  <c r="AI701" i="5" s="1"/>
  <c r="AX701" i="5"/>
  <c r="AW701" i="5"/>
  <c r="AV701" i="5"/>
  <c r="AU701" i="5"/>
  <c r="AT701" i="5"/>
  <c r="AS701" i="5"/>
  <c r="AR701" i="5"/>
  <c r="AQ701" i="5"/>
  <c r="AJ701" i="5"/>
  <c r="AF701" i="5"/>
  <c r="AY553" i="5"/>
  <c r="AI553" i="5" s="1"/>
  <c r="AX553" i="5"/>
  <c r="AW553" i="5"/>
  <c r="AV553" i="5"/>
  <c r="AU553" i="5"/>
  <c r="AT553" i="5"/>
  <c r="AS553" i="5"/>
  <c r="AR553" i="5"/>
  <c r="AQ553" i="5"/>
  <c r="AJ553" i="5"/>
  <c r="AF553" i="5"/>
  <c r="AY738" i="5"/>
  <c r="AI738" i="5" s="1"/>
  <c r="AX738" i="5"/>
  <c r="AW738" i="5"/>
  <c r="AV738" i="5"/>
  <c r="AU738" i="5"/>
  <c r="AT738" i="5"/>
  <c r="AS738" i="5"/>
  <c r="AR738" i="5"/>
  <c r="AQ738" i="5"/>
  <c r="AJ738" i="5"/>
  <c r="AF738" i="5"/>
  <c r="AY700" i="5"/>
  <c r="AI700" i="5" s="1"/>
  <c r="AX700" i="5"/>
  <c r="AW700" i="5"/>
  <c r="AV700" i="5"/>
  <c r="AU700" i="5"/>
  <c r="AT700" i="5"/>
  <c r="AS700" i="5"/>
  <c r="AR700" i="5"/>
  <c r="AQ700" i="5"/>
  <c r="AJ700" i="5"/>
  <c r="AF700" i="5"/>
  <c r="AY552" i="5"/>
  <c r="AI552" i="5" s="1"/>
  <c r="AX552" i="5"/>
  <c r="AW552" i="5"/>
  <c r="AV552" i="5"/>
  <c r="AU552" i="5"/>
  <c r="AT552" i="5"/>
  <c r="AS552" i="5"/>
  <c r="AR552" i="5"/>
  <c r="AQ552" i="5"/>
  <c r="AJ552" i="5"/>
  <c r="AF552" i="5"/>
  <c r="AY737" i="5"/>
  <c r="AI737" i="5" s="1"/>
  <c r="AX737" i="5"/>
  <c r="AW737" i="5"/>
  <c r="AV737" i="5"/>
  <c r="AU737" i="5"/>
  <c r="AT737" i="5"/>
  <c r="AS737" i="5"/>
  <c r="AR737" i="5"/>
  <c r="AQ737" i="5"/>
  <c r="AJ737" i="5"/>
  <c r="AF737" i="5"/>
  <c r="AY557" i="5"/>
  <c r="AI557" i="5" s="1"/>
  <c r="AX557" i="5"/>
  <c r="AW557" i="5"/>
  <c r="AV557" i="5"/>
  <c r="AU557" i="5"/>
  <c r="AT557" i="5"/>
  <c r="AS557" i="5"/>
  <c r="AR557" i="5"/>
  <c r="AQ557" i="5"/>
  <c r="AJ557" i="5"/>
  <c r="AF557" i="5"/>
  <c r="AY436" i="5"/>
  <c r="AI436" i="5" s="1"/>
  <c r="AX436" i="5"/>
  <c r="AW436" i="5"/>
  <c r="AV436" i="5"/>
  <c r="AU436" i="5"/>
  <c r="AT436" i="5"/>
  <c r="AS436" i="5"/>
  <c r="AR436" i="5"/>
  <c r="AQ436" i="5"/>
  <c r="AJ436" i="5"/>
  <c r="AF436" i="5"/>
  <c r="AY592" i="5"/>
  <c r="AI592" i="5" s="1"/>
  <c r="AX592" i="5"/>
  <c r="AW592" i="5"/>
  <c r="AV592" i="5"/>
  <c r="AU592" i="5"/>
  <c r="AT592" i="5"/>
  <c r="AS592" i="5"/>
  <c r="AR592" i="5"/>
  <c r="AQ592" i="5"/>
  <c r="AJ592" i="5"/>
  <c r="AF592" i="5"/>
  <c r="AY556" i="5"/>
  <c r="AI556" i="5" s="1"/>
  <c r="AX556" i="5"/>
  <c r="AW556" i="5"/>
  <c r="AV556" i="5"/>
  <c r="AU556" i="5"/>
  <c r="AT556" i="5"/>
  <c r="AS556" i="5"/>
  <c r="AR556" i="5"/>
  <c r="AQ556" i="5"/>
  <c r="AJ556" i="5"/>
  <c r="AF556" i="5"/>
  <c r="AY435" i="5"/>
  <c r="AI435" i="5" s="1"/>
  <c r="AX435" i="5"/>
  <c r="AW435" i="5"/>
  <c r="AV435" i="5"/>
  <c r="AU435" i="5"/>
  <c r="AT435" i="5"/>
  <c r="AS435" i="5"/>
  <c r="AR435" i="5"/>
  <c r="AQ435" i="5"/>
  <c r="AJ435" i="5"/>
  <c r="AF435" i="5"/>
  <c r="AY591" i="5"/>
  <c r="AI591" i="5" s="1"/>
  <c r="AX591" i="5"/>
  <c r="AW591" i="5"/>
  <c r="AV591" i="5"/>
  <c r="AU591" i="5"/>
  <c r="AT591" i="5"/>
  <c r="AS591" i="5"/>
  <c r="AR591" i="5"/>
  <c r="AQ591" i="5"/>
  <c r="AJ591" i="5"/>
  <c r="AF591" i="5"/>
  <c r="AY555" i="5"/>
  <c r="AI555" i="5" s="1"/>
  <c r="AX555" i="5"/>
  <c r="AW555" i="5"/>
  <c r="AV555" i="5"/>
  <c r="AU555" i="5"/>
  <c r="AT555" i="5"/>
  <c r="AS555" i="5"/>
  <c r="AR555" i="5"/>
  <c r="AQ555" i="5"/>
  <c r="AJ555" i="5"/>
  <c r="AF555" i="5"/>
  <c r="AY434" i="5"/>
  <c r="AI434" i="5" s="1"/>
  <c r="AX434" i="5"/>
  <c r="AW434" i="5"/>
  <c r="AV434" i="5"/>
  <c r="AU434" i="5"/>
  <c r="AT434" i="5"/>
  <c r="AS434" i="5"/>
  <c r="AR434" i="5"/>
  <c r="AQ434" i="5"/>
  <c r="AJ434" i="5"/>
  <c r="AF434" i="5"/>
  <c r="AY590" i="5"/>
  <c r="AI590" i="5" s="1"/>
  <c r="AX590" i="5"/>
  <c r="AW590" i="5"/>
  <c r="AV590" i="5"/>
  <c r="AU590" i="5"/>
  <c r="AT590" i="5"/>
  <c r="AS590" i="5"/>
  <c r="AR590" i="5"/>
  <c r="AQ590" i="5"/>
  <c r="AJ590" i="5"/>
  <c r="AF590" i="5"/>
  <c r="AY845" i="5"/>
  <c r="AX845" i="5"/>
  <c r="AW845" i="5"/>
  <c r="AV845" i="5"/>
  <c r="AU845" i="5"/>
  <c r="AT845" i="5"/>
  <c r="AS845" i="5"/>
  <c r="AR845" i="5"/>
  <c r="AQ845" i="5"/>
  <c r="AJ845" i="5"/>
  <c r="AF845" i="5"/>
  <c r="AY720" i="5"/>
  <c r="AX720" i="5"/>
  <c r="AW720" i="5"/>
  <c r="AV720" i="5"/>
  <c r="AU720" i="5"/>
  <c r="AT720" i="5"/>
  <c r="AS720" i="5"/>
  <c r="AR720" i="5"/>
  <c r="AQ720" i="5"/>
  <c r="AJ720" i="5"/>
  <c r="AF720" i="5"/>
  <c r="AY671" i="5"/>
  <c r="AX671" i="5"/>
  <c r="AW671" i="5"/>
  <c r="AV671" i="5"/>
  <c r="AU671" i="5"/>
  <c r="AT671" i="5"/>
  <c r="AS671" i="5"/>
  <c r="AR671" i="5"/>
  <c r="AQ671" i="5"/>
  <c r="AJ671" i="5"/>
  <c r="AF671" i="5"/>
  <c r="AY719" i="5"/>
  <c r="AX719" i="5"/>
  <c r="AW719" i="5"/>
  <c r="AV719" i="5"/>
  <c r="AU719" i="5"/>
  <c r="AT719" i="5"/>
  <c r="AS719" i="5"/>
  <c r="AR719" i="5"/>
  <c r="AQ719" i="5"/>
  <c r="AJ719" i="5"/>
  <c r="AF719" i="5"/>
  <c r="AY639" i="5"/>
  <c r="AX639" i="5"/>
  <c r="AW639" i="5"/>
  <c r="AV639" i="5"/>
  <c r="AU639" i="5"/>
  <c r="AT639" i="5"/>
  <c r="AS639" i="5"/>
  <c r="AR639" i="5"/>
  <c r="AQ639" i="5"/>
  <c r="AJ639" i="5"/>
  <c r="AF639" i="5"/>
  <c r="AY523" i="5"/>
  <c r="AX523" i="5"/>
  <c r="AW523" i="5"/>
  <c r="AV523" i="5"/>
  <c r="AU523" i="5"/>
  <c r="AT523" i="5"/>
  <c r="AS523" i="5"/>
  <c r="AR523" i="5"/>
  <c r="AQ523" i="5"/>
  <c r="AJ523" i="5"/>
  <c r="AF523" i="5"/>
  <c r="AY673" i="5"/>
  <c r="AX673" i="5"/>
  <c r="AW673" i="5"/>
  <c r="AV673" i="5"/>
  <c r="AU673" i="5"/>
  <c r="AT673" i="5"/>
  <c r="AS673" i="5"/>
  <c r="AR673" i="5"/>
  <c r="AQ673" i="5"/>
  <c r="AJ673" i="5"/>
  <c r="AF673" i="5"/>
  <c r="AY578" i="5"/>
  <c r="AX578" i="5"/>
  <c r="AW578" i="5"/>
  <c r="AV578" i="5"/>
  <c r="AU578" i="5"/>
  <c r="AT578" i="5"/>
  <c r="AS578" i="5"/>
  <c r="AR578" i="5"/>
  <c r="AQ578" i="5"/>
  <c r="AJ578" i="5"/>
  <c r="AF578" i="5"/>
  <c r="AY409" i="5"/>
  <c r="AX409" i="5"/>
  <c r="AW409" i="5"/>
  <c r="AV409" i="5"/>
  <c r="AU409" i="5"/>
  <c r="AT409" i="5"/>
  <c r="AS409" i="5"/>
  <c r="AR409" i="5"/>
  <c r="AQ409" i="5"/>
  <c r="AJ409" i="5"/>
  <c r="AF409" i="5"/>
  <c r="AY617" i="5"/>
  <c r="AX617" i="5"/>
  <c r="AW617" i="5"/>
  <c r="AV617" i="5"/>
  <c r="AU617" i="5"/>
  <c r="AT617" i="5"/>
  <c r="AS617" i="5"/>
  <c r="AR617" i="5"/>
  <c r="AQ617" i="5"/>
  <c r="AJ617" i="5"/>
  <c r="AF617" i="5"/>
  <c r="AY638" i="5"/>
  <c r="AX638" i="5"/>
  <c r="AW638" i="5"/>
  <c r="AV638" i="5"/>
  <c r="AU638" i="5"/>
  <c r="AT638" i="5"/>
  <c r="AS638" i="5"/>
  <c r="AR638" i="5"/>
  <c r="AQ638" i="5"/>
  <c r="AJ638" i="5"/>
  <c r="AF638" i="5"/>
  <c r="AY522" i="5"/>
  <c r="AX522" i="5"/>
  <c r="AW522" i="5"/>
  <c r="AV522" i="5"/>
  <c r="AU522" i="5"/>
  <c r="AT522" i="5"/>
  <c r="AS522" i="5"/>
  <c r="AR522" i="5"/>
  <c r="AQ522" i="5"/>
  <c r="AJ522" i="5"/>
  <c r="AF522" i="5"/>
  <c r="AY672" i="5"/>
  <c r="AX672" i="5"/>
  <c r="AW672" i="5"/>
  <c r="AV672" i="5"/>
  <c r="AU672" i="5"/>
  <c r="AT672" i="5"/>
  <c r="AS672" i="5"/>
  <c r="AR672" i="5"/>
  <c r="AQ672" i="5"/>
  <c r="AJ672" i="5"/>
  <c r="AF672" i="5"/>
  <c r="AY396" i="5"/>
  <c r="AX396" i="5"/>
  <c r="AW396" i="5"/>
  <c r="AV396" i="5"/>
  <c r="AU396" i="5"/>
  <c r="AT396" i="5"/>
  <c r="AS396" i="5"/>
  <c r="AR396" i="5"/>
  <c r="AQ396" i="5"/>
  <c r="AJ396" i="5"/>
  <c r="AF396" i="5"/>
  <c r="AY283" i="5"/>
  <c r="AX283" i="5"/>
  <c r="AW283" i="5"/>
  <c r="AV283" i="5"/>
  <c r="AU283" i="5"/>
  <c r="AT283" i="5"/>
  <c r="AS283" i="5"/>
  <c r="AR283" i="5"/>
  <c r="AQ283" i="5"/>
  <c r="AJ283" i="5"/>
  <c r="AF283" i="5"/>
  <c r="AY430" i="5"/>
  <c r="AX430" i="5"/>
  <c r="AW430" i="5"/>
  <c r="AV430" i="5"/>
  <c r="AU430" i="5"/>
  <c r="AT430" i="5"/>
  <c r="AS430" i="5"/>
  <c r="AR430" i="5"/>
  <c r="AQ430" i="5"/>
  <c r="AJ430" i="5"/>
  <c r="AF430" i="5"/>
  <c r="AY342" i="5"/>
  <c r="AX342" i="5"/>
  <c r="AW342" i="5"/>
  <c r="AV342" i="5"/>
  <c r="AU342" i="5"/>
  <c r="AT342" i="5"/>
  <c r="AS342" i="5"/>
  <c r="AR342" i="5"/>
  <c r="AQ342" i="5"/>
  <c r="AJ342" i="5"/>
  <c r="AF342" i="5"/>
  <c r="AY219" i="5"/>
  <c r="AX219" i="5"/>
  <c r="AW219" i="5"/>
  <c r="AV219" i="5"/>
  <c r="AU219" i="5"/>
  <c r="AT219" i="5"/>
  <c r="AS219" i="5"/>
  <c r="AR219" i="5"/>
  <c r="AQ219" i="5"/>
  <c r="AJ219" i="5"/>
  <c r="AF219" i="5"/>
  <c r="AY384" i="5"/>
  <c r="AX384" i="5"/>
  <c r="AW384" i="5"/>
  <c r="AV384" i="5"/>
  <c r="AU384" i="5"/>
  <c r="AT384" i="5"/>
  <c r="AS384" i="5"/>
  <c r="AR384" i="5"/>
  <c r="AQ384" i="5"/>
  <c r="AJ384" i="5"/>
  <c r="AF384" i="5"/>
  <c r="AY395" i="5"/>
  <c r="AX395" i="5"/>
  <c r="AW395" i="5"/>
  <c r="AV395" i="5"/>
  <c r="AU395" i="5"/>
  <c r="AT395" i="5"/>
  <c r="AS395" i="5"/>
  <c r="AR395" i="5"/>
  <c r="AQ395" i="5"/>
  <c r="AJ395" i="5"/>
  <c r="AF395" i="5"/>
  <c r="AY282" i="5"/>
  <c r="AX282" i="5"/>
  <c r="AW282" i="5"/>
  <c r="AV282" i="5"/>
  <c r="AU282" i="5"/>
  <c r="AT282" i="5"/>
  <c r="AS282" i="5"/>
  <c r="AR282" i="5"/>
  <c r="AQ282" i="5"/>
  <c r="AJ282" i="5"/>
  <c r="AF282" i="5"/>
  <c r="AY429" i="5"/>
  <c r="AX429" i="5"/>
  <c r="AW429" i="5"/>
  <c r="AV429" i="5"/>
  <c r="AU429" i="5"/>
  <c r="AT429" i="5"/>
  <c r="AS429" i="5"/>
  <c r="AR429" i="5"/>
  <c r="AQ429" i="5"/>
  <c r="AJ429" i="5"/>
  <c r="AF429" i="5"/>
  <c r="AY286" i="5"/>
  <c r="AX286" i="5"/>
  <c r="AW286" i="5"/>
  <c r="AV286" i="5"/>
  <c r="AU286" i="5"/>
  <c r="AT286" i="5"/>
  <c r="AS286" i="5"/>
  <c r="AR286" i="5"/>
  <c r="AQ286" i="5"/>
  <c r="AJ286" i="5"/>
  <c r="AF286" i="5"/>
  <c r="AY209" i="5"/>
  <c r="AX209" i="5"/>
  <c r="AW209" i="5"/>
  <c r="AV209" i="5"/>
  <c r="AU209" i="5"/>
  <c r="AT209" i="5"/>
  <c r="AS209" i="5"/>
  <c r="AR209" i="5"/>
  <c r="AQ209" i="5"/>
  <c r="AJ209" i="5"/>
  <c r="AF209" i="5"/>
  <c r="AY297" i="5"/>
  <c r="AX297" i="5"/>
  <c r="AW297" i="5"/>
  <c r="AV297" i="5"/>
  <c r="AU297" i="5"/>
  <c r="AT297" i="5"/>
  <c r="AS297" i="5"/>
  <c r="AR297" i="5"/>
  <c r="AQ297" i="5"/>
  <c r="AJ297" i="5"/>
  <c r="AF297" i="5"/>
  <c r="AY239" i="5"/>
  <c r="AX239" i="5"/>
  <c r="AW239" i="5"/>
  <c r="AV239" i="5"/>
  <c r="AU239" i="5"/>
  <c r="AT239" i="5"/>
  <c r="AS239" i="5"/>
  <c r="AR239" i="5"/>
  <c r="AQ239" i="5"/>
  <c r="AJ239" i="5"/>
  <c r="AF239" i="5"/>
  <c r="AY156" i="5"/>
  <c r="AX156" i="5"/>
  <c r="AW156" i="5"/>
  <c r="AV156" i="5"/>
  <c r="AU156" i="5"/>
  <c r="AT156" i="5"/>
  <c r="AS156" i="5"/>
  <c r="AR156" i="5"/>
  <c r="AQ156" i="5"/>
  <c r="AJ156" i="5"/>
  <c r="AF156" i="5"/>
  <c r="AY260" i="5"/>
  <c r="AX260" i="5"/>
  <c r="AW260" i="5"/>
  <c r="AV260" i="5"/>
  <c r="AU260" i="5"/>
  <c r="AT260" i="5"/>
  <c r="AS260" i="5"/>
  <c r="AR260" i="5"/>
  <c r="AQ260" i="5"/>
  <c r="AJ260" i="5"/>
  <c r="AF260" i="5"/>
  <c r="AY285" i="5"/>
  <c r="AX285" i="5"/>
  <c r="AW285" i="5"/>
  <c r="AV285" i="5"/>
  <c r="AU285" i="5"/>
  <c r="AT285" i="5"/>
  <c r="AS285" i="5"/>
  <c r="AR285" i="5"/>
  <c r="AQ285" i="5"/>
  <c r="AJ285" i="5"/>
  <c r="AF285" i="5"/>
  <c r="AY208" i="5"/>
  <c r="AX208" i="5"/>
  <c r="AW208" i="5"/>
  <c r="AV208" i="5"/>
  <c r="AU208" i="5"/>
  <c r="AT208" i="5"/>
  <c r="AS208" i="5"/>
  <c r="AR208" i="5"/>
  <c r="AQ208" i="5"/>
  <c r="AJ208" i="5"/>
  <c r="AF208" i="5"/>
  <c r="AY296" i="5"/>
  <c r="AX296" i="5"/>
  <c r="AW296" i="5"/>
  <c r="AV296" i="5"/>
  <c r="AU296" i="5"/>
  <c r="AT296" i="5"/>
  <c r="AS296" i="5"/>
  <c r="AR296" i="5"/>
  <c r="AQ296" i="5"/>
  <c r="AJ296" i="5"/>
  <c r="AF296" i="5"/>
  <c r="AY883" i="5"/>
  <c r="AX883" i="5"/>
  <c r="H883" i="5" s="1"/>
  <c r="AW883" i="5"/>
  <c r="AV883" i="5"/>
  <c r="AU883" i="5"/>
  <c r="AT883" i="5"/>
  <c r="AS883" i="5"/>
  <c r="AR883" i="5"/>
  <c r="AQ883" i="5"/>
  <c r="AH883" i="5" s="1"/>
  <c r="AJ883" i="5"/>
  <c r="AI883" i="5"/>
  <c r="AF883" i="5"/>
  <c r="AY731" i="5"/>
  <c r="AX731" i="5"/>
  <c r="H731" i="5" s="1"/>
  <c r="AW731" i="5"/>
  <c r="AV731" i="5"/>
  <c r="AU731" i="5"/>
  <c r="AT731" i="5"/>
  <c r="AS731" i="5"/>
  <c r="AR731" i="5"/>
  <c r="AQ731" i="5"/>
  <c r="AH731" i="5" s="1"/>
  <c r="AI731" i="5"/>
  <c r="AF731" i="5"/>
  <c r="AY649" i="5"/>
  <c r="AX649" i="5"/>
  <c r="H649" i="5" s="1"/>
  <c r="AW649" i="5"/>
  <c r="AV649" i="5"/>
  <c r="AU649" i="5"/>
  <c r="AT649" i="5"/>
  <c r="AS649" i="5"/>
  <c r="AR649" i="5"/>
  <c r="AQ649" i="5"/>
  <c r="AH649" i="5" s="1"/>
  <c r="AJ649" i="5"/>
  <c r="AI649" i="5"/>
  <c r="AF649" i="5"/>
  <c r="AY794" i="5"/>
  <c r="AX794" i="5"/>
  <c r="H794" i="5" s="1"/>
  <c r="AW794" i="5"/>
  <c r="AV794" i="5"/>
  <c r="AU794" i="5"/>
  <c r="AT794" i="5"/>
  <c r="AS794" i="5"/>
  <c r="AR794" i="5"/>
  <c r="AQ794" i="5"/>
  <c r="AH794" i="5" s="1"/>
  <c r="AI794" i="5"/>
  <c r="AF794" i="5"/>
  <c r="AY660" i="5"/>
  <c r="AX660" i="5"/>
  <c r="H660" i="5" s="1"/>
  <c r="AW660" i="5"/>
  <c r="AV660" i="5"/>
  <c r="AU660" i="5"/>
  <c r="AT660" i="5"/>
  <c r="AS660" i="5"/>
  <c r="AR660" i="5"/>
  <c r="AQ660" i="5"/>
  <c r="AH660" i="5" s="1"/>
  <c r="AI660" i="5"/>
  <c r="AF660" i="5"/>
  <c r="AY678" i="5"/>
  <c r="AX678" i="5"/>
  <c r="H678" i="5" s="1"/>
  <c r="AW678" i="5"/>
  <c r="AV678" i="5"/>
  <c r="AU678" i="5"/>
  <c r="AT678" i="5"/>
  <c r="AS678" i="5"/>
  <c r="AR678" i="5"/>
  <c r="AQ678" i="5"/>
  <c r="AH678" i="5" s="1"/>
  <c r="AJ678" i="5"/>
  <c r="AI678" i="5"/>
  <c r="AF678" i="5"/>
  <c r="AY563" i="5"/>
  <c r="AX563" i="5"/>
  <c r="H563" i="5" s="1"/>
  <c r="AW563" i="5"/>
  <c r="AV563" i="5"/>
  <c r="AU563" i="5"/>
  <c r="AT563" i="5"/>
  <c r="AS563" i="5"/>
  <c r="AR563" i="5"/>
  <c r="AQ563" i="5"/>
  <c r="AH563" i="5" s="1"/>
  <c r="AJ563" i="5"/>
  <c r="AI563" i="5"/>
  <c r="AF563" i="5"/>
  <c r="AY593" i="5"/>
  <c r="AX593" i="5"/>
  <c r="H593" i="5" s="1"/>
  <c r="AW593" i="5"/>
  <c r="AV593" i="5"/>
  <c r="AU593" i="5"/>
  <c r="AT593" i="5"/>
  <c r="AS593" i="5"/>
  <c r="AR593" i="5"/>
  <c r="AQ593" i="5"/>
  <c r="AH593" i="5" s="1"/>
  <c r="AI593" i="5"/>
  <c r="AF593" i="5"/>
  <c r="AY735" i="5"/>
  <c r="AX735" i="5"/>
  <c r="H735" i="5" s="1"/>
  <c r="AW735" i="5"/>
  <c r="AV735" i="5"/>
  <c r="AU735" i="5"/>
  <c r="AT735" i="5"/>
  <c r="AS735" i="5"/>
  <c r="AR735" i="5"/>
  <c r="AQ735" i="5"/>
  <c r="AH735" i="5" s="1"/>
  <c r="AI735" i="5"/>
  <c r="AF735" i="5"/>
  <c r="AY756" i="5"/>
  <c r="AX756" i="5"/>
  <c r="H756" i="5" s="1"/>
  <c r="AW756" i="5"/>
  <c r="AV756" i="5"/>
  <c r="AU756" i="5"/>
  <c r="AT756" i="5"/>
  <c r="AS756" i="5"/>
  <c r="AR756" i="5"/>
  <c r="AQ756" i="5"/>
  <c r="AH756" i="5" s="1"/>
  <c r="AJ756" i="5"/>
  <c r="AI756" i="5"/>
  <c r="AF756" i="5"/>
  <c r="AY493" i="5"/>
  <c r="AX493" i="5"/>
  <c r="H493" i="5" s="1"/>
  <c r="AW493" i="5"/>
  <c r="AV493" i="5"/>
  <c r="AU493" i="5"/>
  <c r="AT493" i="5"/>
  <c r="AS493" i="5"/>
  <c r="AR493" i="5"/>
  <c r="AQ493" i="5"/>
  <c r="AH493" i="5" s="1"/>
  <c r="AI493" i="5"/>
  <c r="AF493" i="5"/>
  <c r="AY517" i="5"/>
  <c r="AX517" i="5"/>
  <c r="H517" i="5" s="1"/>
  <c r="AW517" i="5"/>
  <c r="AV517" i="5"/>
  <c r="AU517" i="5"/>
  <c r="AT517" i="5"/>
  <c r="AS517" i="5"/>
  <c r="AR517" i="5"/>
  <c r="AQ517" i="5"/>
  <c r="AH517" i="5" s="1"/>
  <c r="AJ517" i="5"/>
  <c r="AI517" i="5"/>
  <c r="AF517" i="5"/>
  <c r="AY397" i="5"/>
  <c r="AX397" i="5"/>
  <c r="H397" i="5" s="1"/>
  <c r="AW397" i="5"/>
  <c r="AV397" i="5"/>
  <c r="AU397" i="5"/>
  <c r="AT397" i="5"/>
  <c r="AS397" i="5"/>
  <c r="AR397" i="5"/>
  <c r="AQ397" i="5"/>
  <c r="AH397" i="5" s="1"/>
  <c r="AI397" i="5"/>
  <c r="AF397" i="5"/>
  <c r="AY415" i="5"/>
  <c r="AX415" i="5"/>
  <c r="H415" i="5" s="1"/>
  <c r="AW415" i="5"/>
  <c r="AV415" i="5"/>
  <c r="AU415" i="5"/>
  <c r="AT415" i="5"/>
  <c r="AS415" i="5"/>
  <c r="AR415" i="5"/>
  <c r="AQ415" i="5"/>
  <c r="AH415" i="5" s="1"/>
  <c r="AJ415" i="5"/>
  <c r="AI415" i="5"/>
  <c r="AF415" i="5"/>
  <c r="AY596" i="5"/>
  <c r="AX596" i="5"/>
  <c r="H596" i="5" s="1"/>
  <c r="AW596" i="5"/>
  <c r="AV596" i="5"/>
  <c r="AU596" i="5"/>
  <c r="AT596" i="5"/>
  <c r="AS596" i="5"/>
  <c r="AR596" i="5"/>
  <c r="AQ596" i="5"/>
  <c r="AH596" i="5" s="1"/>
  <c r="AI596" i="5"/>
  <c r="AF596" i="5"/>
  <c r="AY618" i="5"/>
  <c r="AX618" i="5"/>
  <c r="H618" i="5" s="1"/>
  <c r="AW618" i="5"/>
  <c r="AV618" i="5"/>
  <c r="AU618" i="5"/>
  <c r="AT618" i="5"/>
  <c r="AS618" i="5"/>
  <c r="AR618" i="5"/>
  <c r="AQ618" i="5"/>
  <c r="AH618" i="5" s="1"/>
  <c r="AJ618" i="5"/>
  <c r="AI618" i="5"/>
  <c r="AF618" i="5"/>
  <c r="AY630" i="5"/>
  <c r="AX630" i="5"/>
  <c r="H630" i="5" s="1"/>
  <c r="AW630" i="5"/>
  <c r="AV630" i="5"/>
  <c r="AU630" i="5"/>
  <c r="AT630" i="5"/>
  <c r="AS630" i="5"/>
  <c r="AR630" i="5"/>
  <c r="AQ630" i="5"/>
  <c r="AH630" i="5" s="1"/>
  <c r="AI630" i="5"/>
  <c r="AF630" i="5"/>
  <c r="AY654" i="5"/>
  <c r="AX654" i="5"/>
  <c r="H654" i="5" s="1"/>
  <c r="AW654" i="5"/>
  <c r="AV654" i="5"/>
  <c r="AU654" i="5"/>
  <c r="AT654" i="5"/>
  <c r="AS654" i="5"/>
  <c r="AR654" i="5"/>
  <c r="AQ654" i="5"/>
  <c r="AH654" i="5" s="1"/>
  <c r="AJ654" i="5"/>
  <c r="AI654" i="5"/>
  <c r="AF654" i="5"/>
  <c r="AY527" i="5"/>
  <c r="AX527" i="5"/>
  <c r="H527" i="5" s="1"/>
  <c r="AW527" i="5"/>
  <c r="AV527" i="5"/>
  <c r="AU527" i="5"/>
  <c r="AT527" i="5"/>
  <c r="AS527" i="5"/>
  <c r="AR527" i="5"/>
  <c r="AQ527" i="5"/>
  <c r="AH527" i="5" s="1"/>
  <c r="AI527" i="5"/>
  <c r="AF527" i="5"/>
  <c r="AY558" i="5"/>
  <c r="AX558" i="5"/>
  <c r="H558" i="5" s="1"/>
  <c r="AW558" i="5"/>
  <c r="AV558" i="5"/>
  <c r="AU558" i="5"/>
  <c r="AT558" i="5"/>
  <c r="AS558" i="5"/>
  <c r="AR558" i="5"/>
  <c r="AQ558" i="5"/>
  <c r="AH558" i="5" s="1"/>
  <c r="AI558" i="5"/>
  <c r="AF558" i="5"/>
  <c r="AY704" i="5"/>
  <c r="AX704" i="5"/>
  <c r="H704" i="5" s="1"/>
  <c r="AW704" i="5"/>
  <c r="AV704" i="5"/>
  <c r="AU704" i="5"/>
  <c r="AT704" i="5"/>
  <c r="AS704" i="5"/>
  <c r="AR704" i="5"/>
  <c r="AQ704" i="5"/>
  <c r="AH704" i="5" s="1"/>
  <c r="AI704" i="5"/>
  <c r="AF704" i="5"/>
  <c r="AY729" i="5"/>
  <c r="AX729" i="5"/>
  <c r="H729" i="5" s="1"/>
  <c r="AW729" i="5"/>
  <c r="AV729" i="5"/>
  <c r="AU729" i="5"/>
  <c r="AT729" i="5"/>
  <c r="AS729" i="5"/>
  <c r="AR729" i="5"/>
  <c r="AQ729" i="5"/>
  <c r="AH729" i="5" s="1"/>
  <c r="AJ729" i="5"/>
  <c r="AI729" i="5"/>
  <c r="AF729" i="5"/>
  <c r="AY922" i="5"/>
  <c r="AX922" i="5"/>
  <c r="AJ922" i="5" s="1"/>
  <c r="AW922" i="5"/>
  <c r="AV922" i="5"/>
  <c r="AU922" i="5"/>
  <c r="AT922" i="5"/>
  <c r="AS922" i="5"/>
  <c r="AR922" i="5"/>
  <c r="AQ922" i="5"/>
  <c r="AF922" i="5"/>
  <c r="AY851" i="5"/>
  <c r="AX851" i="5"/>
  <c r="AJ851" i="5" s="1"/>
  <c r="AW851" i="5"/>
  <c r="AV851" i="5"/>
  <c r="AU851" i="5"/>
  <c r="AT851" i="5"/>
  <c r="AS851" i="5"/>
  <c r="AR851" i="5"/>
  <c r="AQ851" i="5"/>
  <c r="AF851" i="5"/>
  <c r="AY850" i="5"/>
  <c r="AX850" i="5"/>
  <c r="AJ850" i="5" s="1"/>
  <c r="AW850" i="5"/>
  <c r="AV850" i="5"/>
  <c r="AU850" i="5"/>
  <c r="AT850" i="5"/>
  <c r="AS850" i="5"/>
  <c r="AR850" i="5"/>
  <c r="AQ850" i="5"/>
  <c r="AF850" i="5"/>
  <c r="AY789" i="5"/>
  <c r="AX789" i="5"/>
  <c r="AW789" i="5"/>
  <c r="AV789" i="5"/>
  <c r="AU789" i="5"/>
  <c r="AT789" i="5"/>
  <c r="AS789" i="5"/>
  <c r="AR789" i="5"/>
  <c r="AQ789" i="5"/>
  <c r="AF789" i="5"/>
  <c r="AY724" i="5"/>
  <c r="AX724" i="5"/>
  <c r="AW724" i="5"/>
  <c r="AV724" i="5"/>
  <c r="AU724" i="5"/>
  <c r="AT724" i="5"/>
  <c r="AS724" i="5"/>
  <c r="AR724" i="5"/>
  <c r="AQ724" i="5"/>
  <c r="AJ724" i="5"/>
  <c r="AF724" i="5"/>
  <c r="AY825" i="5"/>
  <c r="AX825" i="5"/>
  <c r="AW825" i="5"/>
  <c r="AV825" i="5"/>
  <c r="AU825" i="5"/>
  <c r="AT825" i="5"/>
  <c r="AS825" i="5"/>
  <c r="AR825" i="5"/>
  <c r="AQ825" i="5"/>
  <c r="AF825" i="5"/>
  <c r="AY788" i="5"/>
  <c r="AX788" i="5"/>
  <c r="AW788" i="5"/>
  <c r="AV788" i="5"/>
  <c r="AU788" i="5"/>
  <c r="AT788" i="5"/>
  <c r="AS788" i="5"/>
  <c r="AR788" i="5"/>
  <c r="AQ788" i="5"/>
  <c r="AJ788" i="5"/>
  <c r="AF788" i="5"/>
  <c r="AY723" i="5"/>
  <c r="AX723" i="5"/>
  <c r="AW723" i="5"/>
  <c r="AV723" i="5"/>
  <c r="AU723" i="5"/>
  <c r="AT723" i="5"/>
  <c r="AS723" i="5"/>
  <c r="AR723" i="5"/>
  <c r="AQ723" i="5"/>
  <c r="AF723" i="5"/>
  <c r="AY824" i="5"/>
  <c r="AX824" i="5"/>
  <c r="AJ824" i="5" s="1"/>
  <c r="AW824" i="5"/>
  <c r="AV824" i="5"/>
  <c r="AU824" i="5"/>
  <c r="AT824" i="5"/>
  <c r="AS824" i="5"/>
  <c r="AR824" i="5"/>
  <c r="AQ824" i="5"/>
  <c r="AF824" i="5"/>
  <c r="AY577" i="5"/>
  <c r="AX577" i="5"/>
  <c r="AW577" i="5"/>
  <c r="AV577" i="5"/>
  <c r="AU577" i="5"/>
  <c r="AT577" i="5"/>
  <c r="AS577" i="5"/>
  <c r="AR577" i="5"/>
  <c r="AQ577" i="5"/>
  <c r="AF577" i="5"/>
  <c r="AY428" i="5"/>
  <c r="AX428" i="5"/>
  <c r="AJ428" i="5" s="1"/>
  <c r="AW428" i="5"/>
  <c r="AV428" i="5"/>
  <c r="AU428" i="5"/>
  <c r="AT428" i="5"/>
  <c r="AS428" i="5"/>
  <c r="AR428" i="5"/>
  <c r="AQ428" i="5"/>
  <c r="AF428" i="5"/>
  <c r="AY626" i="5"/>
  <c r="AX626" i="5"/>
  <c r="AW626" i="5"/>
  <c r="AV626" i="5"/>
  <c r="AU626" i="5"/>
  <c r="AT626" i="5"/>
  <c r="AS626" i="5"/>
  <c r="AR626" i="5"/>
  <c r="AQ626" i="5"/>
  <c r="AF626" i="5"/>
  <c r="AY576" i="5"/>
  <c r="AX576" i="5"/>
  <c r="AW576" i="5"/>
  <c r="AV576" i="5"/>
  <c r="AU576" i="5"/>
  <c r="AT576" i="5"/>
  <c r="AS576" i="5"/>
  <c r="AR576" i="5"/>
  <c r="AQ576" i="5"/>
  <c r="AJ576" i="5"/>
  <c r="AF576" i="5"/>
  <c r="AY427" i="5"/>
  <c r="AX427" i="5"/>
  <c r="AW427" i="5"/>
  <c r="AV427" i="5"/>
  <c r="AU427" i="5"/>
  <c r="AT427" i="5"/>
  <c r="AS427" i="5"/>
  <c r="AR427" i="5"/>
  <c r="AQ427" i="5"/>
  <c r="AF427" i="5"/>
  <c r="AY625" i="5"/>
  <c r="AX625" i="5"/>
  <c r="AJ625" i="5" s="1"/>
  <c r="AW625" i="5"/>
  <c r="AV625" i="5"/>
  <c r="AU625" i="5"/>
  <c r="AT625" i="5"/>
  <c r="AS625" i="5"/>
  <c r="AR625" i="5"/>
  <c r="AQ625" i="5"/>
  <c r="AF625" i="5"/>
  <c r="AY433" i="5"/>
  <c r="AX433" i="5"/>
  <c r="AJ433" i="5" s="1"/>
  <c r="AW433" i="5"/>
  <c r="AV433" i="5"/>
  <c r="AU433" i="5"/>
  <c r="AT433" i="5"/>
  <c r="AS433" i="5"/>
  <c r="AR433" i="5"/>
  <c r="AQ433" i="5"/>
  <c r="AF433" i="5"/>
  <c r="AY363" i="5"/>
  <c r="AX363" i="5"/>
  <c r="AJ363" i="5" s="1"/>
  <c r="AW363" i="5"/>
  <c r="AV363" i="5"/>
  <c r="AU363" i="5"/>
  <c r="AT363" i="5"/>
  <c r="AS363" i="5"/>
  <c r="AR363" i="5"/>
  <c r="AQ363" i="5"/>
  <c r="AF363" i="5"/>
  <c r="AY491" i="5"/>
  <c r="AX491" i="5"/>
  <c r="AJ491" i="5" s="1"/>
  <c r="AW491" i="5"/>
  <c r="AV491" i="5"/>
  <c r="AU491" i="5"/>
  <c r="AT491" i="5"/>
  <c r="AS491" i="5"/>
  <c r="AR491" i="5"/>
  <c r="AQ491" i="5"/>
  <c r="AF491" i="5"/>
  <c r="AY432" i="5"/>
  <c r="AX432" i="5"/>
  <c r="AJ432" i="5" s="1"/>
  <c r="AW432" i="5"/>
  <c r="AV432" i="5"/>
  <c r="AU432" i="5"/>
  <c r="AT432" i="5"/>
  <c r="AS432" i="5"/>
  <c r="AR432" i="5"/>
  <c r="AQ432" i="5"/>
  <c r="AF432" i="5"/>
  <c r="AY362" i="5"/>
  <c r="AX362" i="5"/>
  <c r="AJ362" i="5" s="1"/>
  <c r="AW362" i="5"/>
  <c r="AV362" i="5"/>
  <c r="AU362" i="5"/>
  <c r="AT362" i="5"/>
  <c r="AS362" i="5"/>
  <c r="AR362" i="5"/>
  <c r="AQ362" i="5"/>
  <c r="AF362" i="5"/>
  <c r="AY490" i="5"/>
  <c r="AX490" i="5"/>
  <c r="AW490" i="5"/>
  <c r="AV490" i="5"/>
  <c r="AU490" i="5"/>
  <c r="AT490" i="5"/>
  <c r="AS490" i="5"/>
  <c r="AR490" i="5"/>
  <c r="AQ490" i="5"/>
  <c r="AJ490" i="5"/>
  <c r="AF490" i="5"/>
  <c r="AY762" i="5"/>
  <c r="AX762" i="5"/>
  <c r="AJ762" i="5" s="1"/>
  <c r="AW762" i="5"/>
  <c r="AV762" i="5"/>
  <c r="AU762" i="5"/>
  <c r="AT762" i="5"/>
  <c r="AS762" i="5"/>
  <c r="AR762" i="5"/>
  <c r="AQ762" i="5"/>
  <c r="AF762" i="5"/>
  <c r="AY472" i="5"/>
  <c r="AX472" i="5"/>
  <c r="AJ472" i="5" s="1"/>
  <c r="AW472" i="5"/>
  <c r="AV472" i="5"/>
  <c r="AU472" i="5"/>
  <c r="AT472" i="5"/>
  <c r="AS472" i="5"/>
  <c r="AR472" i="5"/>
  <c r="AQ472" i="5"/>
  <c r="AF472" i="5"/>
  <c r="AY620" i="5"/>
  <c r="AX620" i="5"/>
  <c r="AJ620" i="5" s="1"/>
  <c r="AW620" i="5"/>
  <c r="AV620" i="5"/>
  <c r="AU620" i="5"/>
  <c r="AT620" i="5"/>
  <c r="AS620" i="5"/>
  <c r="AR620" i="5"/>
  <c r="AQ620" i="5"/>
  <c r="AF620" i="5"/>
  <c r="AY376" i="5"/>
  <c r="AX376" i="5"/>
  <c r="AJ376" i="5" s="1"/>
  <c r="AW376" i="5"/>
  <c r="AV376" i="5"/>
  <c r="AU376" i="5"/>
  <c r="AT376" i="5"/>
  <c r="AS376" i="5"/>
  <c r="AR376" i="5"/>
  <c r="AQ376" i="5"/>
  <c r="AF376" i="5"/>
  <c r="AY298" i="5"/>
  <c r="AX298" i="5"/>
  <c r="AJ298" i="5" s="1"/>
  <c r="AW298" i="5"/>
  <c r="AV298" i="5"/>
  <c r="AU298" i="5"/>
  <c r="AT298" i="5"/>
  <c r="AS298" i="5"/>
  <c r="AR298" i="5"/>
  <c r="AQ298" i="5"/>
  <c r="AF298" i="5"/>
  <c r="AY411" i="5"/>
  <c r="AX411" i="5"/>
  <c r="AW411" i="5"/>
  <c r="AV411" i="5"/>
  <c r="AU411" i="5"/>
  <c r="AT411" i="5"/>
  <c r="AS411" i="5"/>
  <c r="AR411" i="5"/>
  <c r="AQ411" i="5"/>
  <c r="AF411" i="5"/>
  <c r="AY511" i="5"/>
  <c r="AX511" i="5"/>
  <c r="AJ511" i="5" s="1"/>
  <c r="AW511" i="5"/>
  <c r="AV511" i="5"/>
  <c r="AU511" i="5"/>
  <c r="AT511" i="5"/>
  <c r="AS511" i="5"/>
  <c r="AR511" i="5"/>
  <c r="AQ511" i="5"/>
  <c r="AF511" i="5"/>
  <c r="AY413" i="5"/>
  <c r="AX413" i="5"/>
  <c r="AW413" i="5"/>
  <c r="AV413" i="5"/>
  <c r="AU413" i="5"/>
  <c r="AT413" i="5"/>
  <c r="AS413" i="5"/>
  <c r="AR413" i="5"/>
  <c r="AQ413" i="5"/>
  <c r="AF413" i="5"/>
  <c r="AY562" i="5"/>
  <c r="AX562" i="5"/>
  <c r="AJ562" i="5" s="1"/>
  <c r="AW562" i="5"/>
  <c r="AV562" i="5"/>
  <c r="AU562" i="5"/>
  <c r="AT562" i="5"/>
  <c r="AS562" i="5"/>
  <c r="AR562" i="5"/>
  <c r="AQ562" i="5"/>
  <c r="AF562" i="5"/>
  <c r="AY202" i="5"/>
  <c r="AX202" i="5"/>
  <c r="AW202" i="5"/>
  <c r="AV202" i="5"/>
  <c r="AU202" i="5"/>
  <c r="AT202" i="5"/>
  <c r="AS202" i="5"/>
  <c r="AR202" i="5"/>
  <c r="AQ202" i="5"/>
  <c r="AF202" i="5"/>
  <c r="AY151" i="5"/>
  <c r="AX151" i="5"/>
  <c r="AJ151" i="5" s="1"/>
  <c r="AW151" i="5"/>
  <c r="AV151" i="5"/>
  <c r="AU151" i="5"/>
  <c r="AT151" i="5"/>
  <c r="AS151" i="5"/>
  <c r="AR151" i="5"/>
  <c r="AQ151" i="5"/>
  <c r="AF151" i="5"/>
  <c r="AY230" i="5"/>
  <c r="AX230" i="5"/>
  <c r="AW230" i="5"/>
  <c r="AV230" i="5"/>
  <c r="AU230" i="5"/>
  <c r="AT230" i="5"/>
  <c r="AS230" i="5"/>
  <c r="AR230" i="5"/>
  <c r="AQ230" i="5"/>
  <c r="AF230" i="5"/>
  <c r="AY290" i="5"/>
  <c r="AX290" i="5"/>
  <c r="AJ290" i="5" s="1"/>
  <c r="AW290" i="5"/>
  <c r="AV290" i="5"/>
  <c r="AU290" i="5"/>
  <c r="AT290" i="5"/>
  <c r="AS290" i="5"/>
  <c r="AR290" i="5"/>
  <c r="AQ290" i="5"/>
  <c r="AF290" i="5"/>
  <c r="AY206" i="5"/>
  <c r="AX206" i="5"/>
  <c r="AW206" i="5"/>
  <c r="AV206" i="5"/>
  <c r="AU206" i="5"/>
  <c r="AT206" i="5"/>
  <c r="AS206" i="5"/>
  <c r="AR206" i="5"/>
  <c r="AQ206" i="5"/>
  <c r="AF206" i="5"/>
  <c r="AY313" i="5"/>
  <c r="AX313" i="5"/>
  <c r="AJ313" i="5" s="1"/>
  <c r="AW313" i="5"/>
  <c r="AV313" i="5"/>
  <c r="AU313" i="5"/>
  <c r="AT313" i="5"/>
  <c r="AS313" i="5"/>
  <c r="AR313" i="5"/>
  <c r="AQ313" i="5"/>
  <c r="AF313" i="5"/>
  <c r="AY152" i="5"/>
  <c r="AX152" i="5"/>
  <c r="AW152" i="5"/>
  <c r="AV152" i="5"/>
  <c r="AU152" i="5"/>
  <c r="AT152" i="5"/>
  <c r="AS152" i="5"/>
  <c r="AR152" i="5"/>
  <c r="AQ152" i="5"/>
  <c r="AF152" i="5"/>
  <c r="AY128" i="5"/>
  <c r="AX128" i="5"/>
  <c r="AJ128" i="5" s="1"/>
  <c r="AW128" i="5"/>
  <c r="AV128" i="5"/>
  <c r="AU128" i="5"/>
  <c r="AT128" i="5"/>
  <c r="AS128" i="5"/>
  <c r="AR128" i="5"/>
  <c r="AQ128" i="5"/>
  <c r="AF128" i="5"/>
  <c r="AY170" i="5"/>
  <c r="AX170" i="5"/>
  <c r="AW170" i="5"/>
  <c r="AV170" i="5"/>
  <c r="AU170" i="5"/>
  <c r="AT170" i="5"/>
  <c r="AS170" i="5"/>
  <c r="AR170" i="5"/>
  <c r="AQ170" i="5"/>
  <c r="AF170" i="5"/>
  <c r="AY207" i="5"/>
  <c r="AX207" i="5"/>
  <c r="AJ207" i="5" s="1"/>
  <c r="AW207" i="5"/>
  <c r="AV207" i="5"/>
  <c r="AU207" i="5"/>
  <c r="AT207" i="5"/>
  <c r="AS207" i="5"/>
  <c r="AR207" i="5"/>
  <c r="AQ207" i="5"/>
  <c r="AF207" i="5"/>
  <c r="AY173" i="5"/>
  <c r="AX173" i="5"/>
  <c r="AW173" i="5"/>
  <c r="AV173" i="5"/>
  <c r="AU173" i="5"/>
  <c r="AT173" i="5"/>
  <c r="AS173" i="5"/>
  <c r="AR173" i="5"/>
  <c r="AQ173" i="5"/>
  <c r="AF173" i="5"/>
  <c r="AY241" i="5"/>
  <c r="AX241" i="5"/>
  <c r="AJ241" i="5" s="1"/>
  <c r="AW241" i="5"/>
  <c r="AV241" i="5"/>
  <c r="AU241" i="5"/>
  <c r="AT241" i="5"/>
  <c r="AS241" i="5"/>
  <c r="AR241" i="5"/>
  <c r="AQ241" i="5"/>
  <c r="AF241" i="5"/>
  <c r="AY952" i="5"/>
  <c r="AX952" i="5"/>
  <c r="AW952" i="5"/>
  <c r="AV952" i="5"/>
  <c r="AU952" i="5"/>
  <c r="AT952" i="5"/>
  <c r="AS952" i="5"/>
  <c r="AR952" i="5"/>
  <c r="AQ952" i="5"/>
  <c r="AF952" i="5"/>
  <c r="AY929" i="5"/>
  <c r="AX929" i="5"/>
  <c r="AJ929" i="5" s="1"/>
  <c r="AW929" i="5"/>
  <c r="AV929" i="5"/>
  <c r="AU929" i="5"/>
  <c r="AT929" i="5"/>
  <c r="AS929" i="5"/>
  <c r="AR929" i="5"/>
  <c r="AQ929" i="5"/>
  <c r="AF929" i="5"/>
  <c r="AY928" i="5"/>
  <c r="AX928" i="5"/>
  <c r="AW928" i="5"/>
  <c r="AV928" i="5"/>
  <c r="AU928" i="5"/>
  <c r="AT928" i="5"/>
  <c r="AS928" i="5"/>
  <c r="AR928" i="5"/>
  <c r="AQ928" i="5"/>
  <c r="AF928" i="5"/>
  <c r="AY895" i="5"/>
  <c r="AX895" i="5"/>
  <c r="AJ895" i="5" s="1"/>
  <c r="AW895" i="5"/>
  <c r="AV895" i="5"/>
  <c r="AU895" i="5"/>
  <c r="AT895" i="5"/>
  <c r="AS895" i="5"/>
  <c r="AR895" i="5"/>
  <c r="AQ895" i="5"/>
  <c r="AF895" i="5"/>
  <c r="AY842" i="5"/>
  <c r="AX842" i="5"/>
  <c r="AW842" i="5"/>
  <c r="AV842" i="5"/>
  <c r="AU842" i="5"/>
  <c r="AT842" i="5"/>
  <c r="AS842" i="5"/>
  <c r="AR842" i="5"/>
  <c r="AQ842" i="5"/>
  <c r="AF842" i="5"/>
  <c r="AY914" i="5"/>
  <c r="AX914" i="5"/>
  <c r="AJ914" i="5" s="1"/>
  <c r="AW914" i="5"/>
  <c r="AV914" i="5"/>
  <c r="AU914" i="5"/>
  <c r="AT914" i="5"/>
  <c r="AS914" i="5"/>
  <c r="AR914" i="5"/>
  <c r="AQ914" i="5"/>
  <c r="AF914" i="5"/>
  <c r="AY894" i="5"/>
  <c r="AX894" i="5"/>
  <c r="AW894" i="5"/>
  <c r="AV894" i="5"/>
  <c r="AU894" i="5"/>
  <c r="AT894" i="5"/>
  <c r="AS894" i="5"/>
  <c r="AR894" i="5"/>
  <c r="AQ894" i="5"/>
  <c r="AF894" i="5"/>
  <c r="AY841" i="5"/>
  <c r="AX841" i="5"/>
  <c r="AJ841" i="5" s="1"/>
  <c r="AW841" i="5"/>
  <c r="AV841" i="5"/>
  <c r="AU841" i="5"/>
  <c r="AT841" i="5"/>
  <c r="AS841" i="5"/>
  <c r="AR841" i="5"/>
  <c r="AQ841" i="5"/>
  <c r="AF841" i="5"/>
  <c r="AY913" i="5"/>
  <c r="AX913" i="5"/>
  <c r="AW913" i="5"/>
  <c r="AV913" i="5"/>
  <c r="AU913" i="5"/>
  <c r="AT913" i="5"/>
  <c r="AS913" i="5"/>
  <c r="AR913" i="5"/>
  <c r="AQ913" i="5"/>
  <c r="AF913" i="5"/>
  <c r="AY764" i="5"/>
  <c r="AX764" i="5"/>
  <c r="AJ764" i="5" s="1"/>
  <c r="AW764" i="5"/>
  <c r="AV764" i="5"/>
  <c r="AU764" i="5"/>
  <c r="AT764" i="5"/>
  <c r="AS764" i="5"/>
  <c r="AR764" i="5"/>
  <c r="AQ764" i="5"/>
  <c r="AF764" i="5"/>
  <c r="AY634" i="5"/>
  <c r="AX634" i="5"/>
  <c r="AW634" i="5"/>
  <c r="AV634" i="5"/>
  <c r="AU634" i="5"/>
  <c r="AT634" i="5"/>
  <c r="AS634" i="5"/>
  <c r="AR634" i="5"/>
  <c r="AQ634" i="5"/>
  <c r="AF634" i="5"/>
  <c r="AY791" i="5"/>
  <c r="AX791" i="5"/>
  <c r="AJ791" i="5" s="1"/>
  <c r="AW791" i="5"/>
  <c r="AV791" i="5"/>
  <c r="AU791" i="5"/>
  <c r="AT791" i="5"/>
  <c r="AS791" i="5"/>
  <c r="AR791" i="5"/>
  <c r="AQ791" i="5"/>
  <c r="AF791" i="5"/>
  <c r="AY763" i="5"/>
  <c r="AX763" i="5"/>
  <c r="AW763" i="5"/>
  <c r="AV763" i="5"/>
  <c r="AU763" i="5"/>
  <c r="AT763" i="5"/>
  <c r="AS763" i="5"/>
  <c r="AR763" i="5"/>
  <c r="AQ763" i="5"/>
  <c r="AF763" i="5"/>
  <c r="AY633" i="5"/>
  <c r="AX633" i="5"/>
  <c r="AJ633" i="5" s="1"/>
  <c r="AW633" i="5"/>
  <c r="AV633" i="5"/>
  <c r="AU633" i="5"/>
  <c r="AT633" i="5"/>
  <c r="AS633" i="5"/>
  <c r="AR633" i="5"/>
  <c r="AQ633" i="5"/>
  <c r="AF633" i="5"/>
  <c r="AY790" i="5"/>
  <c r="AX790" i="5"/>
  <c r="AW790" i="5"/>
  <c r="AV790" i="5"/>
  <c r="AU790" i="5"/>
  <c r="AT790" i="5"/>
  <c r="AS790" i="5"/>
  <c r="AR790" i="5"/>
  <c r="AQ790" i="5"/>
  <c r="AF790" i="5"/>
  <c r="AY648" i="5"/>
  <c r="AX648" i="5"/>
  <c r="AJ648" i="5" s="1"/>
  <c r="AW648" i="5"/>
  <c r="AV648" i="5"/>
  <c r="AU648" i="5"/>
  <c r="AT648" i="5"/>
  <c r="AS648" i="5"/>
  <c r="AR648" i="5"/>
  <c r="AQ648" i="5"/>
  <c r="AF648" i="5"/>
  <c r="AY543" i="5"/>
  <c r="AX543" i="5"/>
  <c r="AW543" i="5"/>
  <c r="AV543" i="5"/>
  <c r="AU543" i="5"/>
  <c r="AT543" i="5"/>
  <c r="AS543" i="5"/>
  <c r="AR543" i="5"/>
  <c r="AQ543" i="5"/>
  <c r="AF543" i="5"/>
  <c r="AY680" i="5"/>
  <c r="AX680" i="5"/>
  <c r="AJ680" i="5" s="1"/>
  <c r="AW680" i="5"/>
  <c r="AV680" i="5"/>
  <c r="AU680" i="5"/>
  <c r="AT680" i="5"/>
  <c r="AS680" i="5"/>
  <c r="AR680" i="5"/>
  <c r="AQ680" i="5"/>
  <c r="AF680" i="5"/>
  <c r="AY647" i="5"/>
  <c r="AX647" i="5"/>
  <c r="AW647" i="5"/>
  <c r="AV647" i="5"/>
  <c r="AU647" i="5"/>
  <c r="AT647" i="5"/>
  <c r="AS647" i="5"/>
  <c r="AR647" i="5"/>
  <c r="AQ647" i="5"/>
  <c r="AF647" i="5"/>
  <c r="AY542" i="5"/>
  <c r="AX542" i="5"/>
  <c r="AJ542" i="5" s="1"/>
  <c r="AW542" i="5"/>
  <c r="AV542" i="5"/>
  <c r="AU542" i="5"/>
  <c r="AT542" i="5"/>
  <c r="AS542" i="5"/>
  <c r="AR542" i="5"/>
  <c r="AQ542" i="5"/>
  <c r="AF542" i="5"/>
  <c r="AY679" i="5"/>
  <c r="AX679" i="5"/>
  <c r="AW679" i="5"/>
  <c r="AV679" i="5"/>
  <c r="AU679" i="5"/>
  <c r="AT679" i="5"/>
  <c r="AS679" i="5"/>
  <c r="AR679" i="5"/>
  <c r="AQ679" i="5"/>
  <c r="AF679" i="5"/>
  <c r="AY870" i="5"/>
  <c r="AX870" i="5"/>
  <c r="AJ870" i="5" s="1"/>
  <c r="AW870" i="5"/>
  <c r="AV870" i="5"/>
  <c r="AU870" i="5"/>
  <c r="AT870" i="5"/>
  <c r="AS870" i="5"/>
  <c r="AR870" i="5"/>
  <c r="AQ870" i="5"/>
  <c r="AF870" i="5"/>
  <c r="AY670" i="5"/>
  <c r="AX670" i="5"/>
  <c r="AW670" i="5"/>
  <c r="AV670" i="5"/>
  <c r="AU670" i="5"/>
  <c r="AT670" i="5"/>
  <c r="AS670" i="5"/>
  <c r="AR670" i="5"/>
  <c r="AQ670" i="5"/>
  <c r="AF670" i="5"/>
  <c r="AY780" i="5"/>
  <c r="AX780" i="5"/>
  <c r="AJ780" i="5" s="1"/>
  <c r="AW780" i="5"/>
  <c r="AV780" i="5"/>
  <c r="AU780" i="5"/>
  <c r="AT780" i="5"/>
  <c r="AS780" i="5"/>
  <c r="AR780" i="5"/>
  <c r="AQ780" i="5"/>
  <c r="AF780" i="5"/>
  <c r="AY579" i="5"/>
  <c r="AX579" i="5"/>
  <c r="AW579" i="5"/>
  <c r="AV579" i="5"/>
  <c r="AU579" i="5"/>
  <c r="AT579" i="5"/>
  <c r="AS579" i="5"/>
  <c r="AR579" i="5"/>
  <c r="AQ579" i="5"/>
  <c r="AF579" i="5"/>
  <c r="AY448" i="5"/>
  <c r="AX448" i="5"/>
  <c r="AJ448" i="5" s="1"/>
  <c r="AW448" i="5"/>
  <c r="AV448" i="5"/>
  <c r="AU448" i="5"/>
  <c r="AT448" i="5"/>
  <c r="AS448" i="5"/>
  <c r="AR448" i="5"/>
  <c r="AQ448" i="5"/>
  <c r="AF448" i="5"/>
  <c r="AY614" i="5"/>
  <c r="AX614" i="5"/>
  <c r="AW614" i="5"/>
  <c r="AV614" i="5"/>
  <c r="AU614" i="5"/>
  <c r="AT614" i="5"/>
  <c r="AS614" i="5"/>
  <c r="AR614" i="5"/>
  <c r="AQ614" i="5"/>
  <c r="AF614" i="5"/>
  <c r="AY709" i="5"/>
  <c r="AX709" i="5"/>
  <c r="AJ709" i="5" s="1"/>
  <c r="AW709" i="5"/>
  <c r="AV709" i="5"/>
  <c r="AU709" i="5"/>
  <c r="AT709" i="5"/>
  <c r="AS709" i="5"/>
  <c r="AR709" i="5"/>
  <c r="AQ709" i="5"/>
  <c r="AF709" i="5"/>
  <c r="AY608" i="5"/>
  <c r="AX608" i="5"/>
  <c r="AW608" i="5"/>
  <c r="AV608" i="5"/>
  <c r="AU608" i="5"/>
  <c r="AT608" i="5"/>
  <c r="AS608" i="5"/>
  <c r="AR608" i="5"/>
  <c r="AQ608" i="5"/>
  <c r="AF608" i="5"/>
  <c r="AY736" i="5"/>
  <c r="AX736" i="5"/>
  <c r="AJ736" i="5" s="1"/>
  <c r="AW736" i="5"/>
  <c r="AV736" i="5"/>
  <c r="AU736" i="5"/>
  <c r="AT736" i="5"/>
  <c r="AS736" i="5"/>
  <c r="AR736" i="5"/>
  <c r="AQ736" i="5"/>
  <c r="AF736" i="5"/>
  <c r="AY343" i="5"/>
  <c r="AX343" i="5"/>
  <c r="AW343" i="5"/>
  <c r="AV343" i="5"/>
  <c r="AU343" i="5"/>
  <c r="AT343" i="5"/>
  <c r="AS343" i="5"/>
  <c r="AR343" i="5"/>
  <c r="AQ343" i="5"/>
  <c r="AF343" i="5"/>
  <c r="AY240" i="5"/>
  <c r="AX240" i="5"/>
  <c r="AJ240" i="5" s="1"/>
  <c r="AW240" i="5"/>
  <c r="AV240" i="5"/>
  <c r="AU240" i="5"/>
  <c r="AT240" i="5"/>
  <c r="AS240" i="5"/>
  <c r="AR240" i="5"/>
  <c r="AQ240" i="5"/>
  <c r="AF240" i="5"/>
  <c r="AY377" i="5"/>
  <c r="AX377" i="5"/>
  <c r="AW377" i="5"/>
  <c r="AV377" i="5"/>
  <c r="AU377" i="5"/>
  <c r="AT377" i="5"/>
  <c r="AS377" i="5"/>
  <c r="AR377" i="5"/>
  <c r="AQ377" i="5"/>
  <c r="AF377" i="5"/>
  <c r="AY477" i="5"/>
  <c r="AX477" i="5"/>
  <c r="AJ477" i="5" s="1"/>
  <c r="AW477" i="5"/>
  <c r="AV477" i="5"/>
  <c r="AU477" i="5"/>
  <c r="AT477" i="5"/>
  <c r="AS477" i="5"/>
  <c r="AR477" i="5"/>
  <c r="AQ477" i="5"/>
  <c r="AF477" i="5"/>
  <c r="AY318" i="5"/>
  <c r="AX318" i="5"/>
  <c r="AW318" i="5"/>
  <c r="AV318" i="5"/>
  <c r="AU318" i="5"/>
  <c r="AT318" i="5"/>
  <c r="AS318" i="5"/>
  <c r="AR318" i="5"/>
  <c r="AQ318" i="5"/>
  <c r="AF318" i="5"/>
  <c r="AY512" i="5"/>
  <c r="AX512" i="5"/>
  <c r="AJ512" i="5" s="1"/>
  <c r="AW512" i="5"/>
  <c r="AV512" i="5"/>
  <c r="AU512" i="5"/>
  <c r="AT512" i="5"/>
  <c r="AS512" i="5"/>
  <c r="AR512" i="5"/>
  <c r="AQ512" i="5"/>
  <c r="AF512" i="5"/>
  <c r="AY246" i="5"/>
  <c r="AX246" i="5"/>
  <c r="AW246" i="5"/>
  <c r="AV246" i="5"/>
  <c r="AU246" i="5"/>
  <c r="AT246" i="5"/>
  <c r="AS246" i="5"/>
  <c r="AR246" i="5"/>
  <c r="AQ246" i="5"/>
  <c r="AF246" i="5"/>
  <c r="AY189" i="5"/>
  <c r="AX189" i="5"/>
  <c r="AJ189" i="5" s="1"/>
  <c r="AW189" i="5"/>
  <c r="AV189" i="5"/>
  <c r="AU189" i="5"/>
  <c r="AT189" i="5"/>
  <c r="AS189" i="5"/>
  <c r="AR189" i="5"/>
  <c r="AQ189" i="5"/>
  <c r="AF189" i="5"/>
  <c r="AY279" i="5"/>
  <c r="AX279" i="5"/>
  <c r="AW279" i="5"/>
  <c r="AV279" i="5"/>
  <c r="AU279" i="5"/>
  <c r="AT279" i="5"/>
  <c r="AS279" i="5"/>
  <c r="AR279" i="5"/>
  <c r="AQ279" i="5"/>
  <c r="AF279" i="5"/>
  <c r="AY330" i="5"/>
  <c r="AX330" i="5"/>
  <c r="AJ330" i="5" s="1"/>
  <c r="AW330" i="5"/>
  <c r="AV330" i="5"/>
  <c r="AU330" i="5"/>
  <c r="AT330" i="5"/>
  <c r="AS330" i="5"/>
  <c r="AR330" i="5"/>
  <c r="AQ330" i="5"/>
  <c r="AF330" i="5"/>
  <c r="AY272" i="5"/>
  <c r="AX272" i="5"/>
  <c r="AW272" i="5"/>
  <c r="AV272" i="5"/>
  <c r="AU272" i="5"/>
  <c r="AT272" i="5"/>
  <c r="AS272" i="5"/>
  <c r="AR272" i="5"/>
  <c r="AQ272" i="5"/>
  <c r="AF272" i="5"/>
  <c r="AY375" i="5"/>
  <c r="AX375" i="5"/>
  <c r="AJ375" i="5" s="1"/>
  <c r="AW375" i="5"/>
  <c r="AV375" i="5"/>
  <c r="AU375" i="5"/>
  <c r="AT375" i="5"/>
  <c r="AS375" i="5"/>
  <c r="AR375" i="5"/>
  <c r="AQ375" i="5"/>
  <c r="AF375" i="5"/>
  <c r="AY942" i="5"/>
  <c r="AX942" i="5"/>
  <c r="AW942" i="5"/>
  <c r="AV942" i="5"/>
  <c r="AU942" i="5"/>
  <c r="AT942" i="5"/>
  <c r="AS942" i="5"/>
  <c r="AR942" i="5"/>
  <c r="AE942" i="5" s="1"/>
  <c r="AQ942" i="5"/>
  <c r="AF942" i="5"/>
  <c r="AY910" i="5"/>
  <c r="AX910" i="5"/>
  <c r="AW910" i="5"/>
  <c r="AV910" i="5"/>
  <c r="AU910" i="5"/>
  <c r="AT910" i="5"/>
  <c r="AS910" i="5"/>
  <c r="AR910" i="5"/>
  <c r="AE910" i="5" s="1"/>
  <c r="AQ910" i="5"/>
  <c r="AF910" i="5"/>
  <c r="AY840" i="5"/>
  <c r="AX840" i="5"/>
  <c r="AW840" i="5"/>
  <c r="AV840" i="5"/>
  <c r="AU840" i="5"/>
  <c r="AT840" i="5"/>
  <c r="AS840" i="5"/>
  <c r="AR840" i="5"/>
  <c r="AE840" i="5" s="1"/>
  <c r="AQ840" i="5"/>
  <c r="AF840" i="5"/>
  <c r="AY909" i="5"/>
  <c r="AX909" i="5"/>
  <c r="AW909" i="5"/>
  <c r="AV909" i="5"/>
  <c r="AU909" i="5"/>
  <c r="AT909" i="5"/>
  <c r="AS909" i="5"/>
  <c r="AR909" i="5"/>
  <c r="AE909" i="5" s="1"/>
  <c r="AQ909" i="5"/>
  <c r="AF909" i="5"/>
  <c r="AY783" i="5"/>
  <c r="AX783" i="5"/>
  <c r="AW783" i="5"/>
  <c r="AV783" i="5"/>
  <c r="AU783" i="5"/>
  <c r="AT783" i="5"/>
  <c r="AS783" i="5"/>
  <c r="AR783" i="5"/>
  <c r="AE783" i="5" s="1"/>
  <c r="AQ783" i="5"/>
  <c r="AF783" i="5"/>
  <c r="AY727" i="5"/>
  <c r="AX727" i="5"/>
  <c r="AW727" i="5"/>
  <c r="AV727" i="5"/>
  <c r="AU727" i="5"/>
  <c r="AT727" i="5"/>
  <c r="AS727" i="5"/>
  <c r="AR727" i="5"/>
  <c r="AE727" i="5" s="1"/>
  <c r="AQ727" i="5"/>
  <c r="AF727" i="5"/>
  <c r="AY882" i="5"/>
  <c r="AX882" i="5"/>
  <c r="AW882" i="5"/>
  <c r="AV882" i="5"/>
  <c r="AU882" i="5"/>
  <c r="AT882" i="5"/>
  <c r="AS882" i="5"/>
  <c r="AR882" i="5"/>
  <c r="AE882" i="5" s="1"/>
  <c r="AQ882" i="5"/>
  <c r="AF882" i="5"/>
  <c r="AY675" i="5"/>
  <c r="AX675" i="5"/>
  <c r="AW675" i="5"/>
  <c r="AV675" i="5"/>
  <c r="AU675" i="5"/>
  <c r="AT675" i="5"/>
  <c r="AS675" i="5"/>
  <c r="AR675" i="5"/>
  <c r="AE675" i="5" s="1"/>
  <c r="AQ675" i="5"/>
  <c r="AF675" i="5"/>
  <c r="AY600" i="5"/>
  <c r="AX600" i="5"/>
  <c r="AW600" i="5"/>
  <c r="AV600" i="5"/>
  <c r="AU600" i="5"/>
  <c r="AT600" i="5"/>
  <c r="AS600" i="5"/>
  <c r="AR600" i="5"/>
  <c r="AE600" i="5" s="1"/>
  <c r="AQ600" i="5"/>
  <c r="AF600" i="5"/>
  <c r="AY815" i="5"/>
  <c r="AX815" i="5"/>
  <c r="AW815" i="5"/>
  <c r="AV815" i="5"/>
  <c r="AU815" i="5"/>
  <c r="AT815" i="5"/>
  <c r="AS815" i="5"/>
  <c r="AR815" i="5"/>
  <c r="AE815" i="5" s="1"/>
  <c r="AQ815" i="5"/>
  <c r="AF815" i="5"/>
  <c r="AY782" i="5"/>
  <c r="AX782" i="5"/>
  <c r="AW782" i="5"/>
  <c r="AV782" i="5"/>
  <c r="AU782" i="5"/>
  <c r="AT782" i="5"/>
  <c r="AS782" i="5"/>
  <c r="AR782" i="5"/>
  <c r="AE782" i="5" s="1"/>
  <c r="AQ782" i="5"/>
  <c r="AF782" i="5"/>
  <c r="AY726" i="5"/>
  <c r="AX726" i="5"/>
  <c r="AW726" i="5"/>
  <c r="AV726" i="5"/>
  <c r="AU726" i="5"/>
  <c r="AT726" i="5"/>
  <c r="AS726" i="5"/>
  <c r="AR726" i="5"/>
  <c r="AE726" i="5" s="1"/>
  <c r="AQ726" i="5"/>
  <c r="AF726" i="5"/>
  <c r="AY881" i="5"/>
  <c r="AX881" i="5"/>
  <c r="AW881" i="5"/>
  <c r="AV881" i="5"/>
  <c r="AU881" i="5"/>
  <c r="AT881" i="5"/>
  <c r="AS881" i="5"/>
  <c r="AR881" i="5"/>
  <c r="AE881" i="5" s="1"/>
  <c r="AQ881" i="5"/>
  <c r="AF881" i="5"/>
  <c r="AY541" i="5"/>
  <c r="AX541" i="5"/>
  <c r="AW541" i="5"/>
  <c r="AV541" i="5"/>
  <c r="AU541" i="5"/>
  <c r="AT541" i="5"/>
  <c r="AS541" i="5"/>
  <c r="AR541" i="5"/>
  <c r="AE541" i="5" s="1"/>
  <c r="AQ541" i="5"/>
  <c r="AF541" i="5"/>
  <c r="AY476" i="5"/>
  <c r="AX476" i="5"/>
  <c r="AW476" i="5"/>
  <c r="AV476" i="5"/>
  <c r="AU476" i="5"/>
  <c r="AT476" i="5"/>
  <c r="AS476" i="5"/>
  <c r="AR476" i="5"/>
  <c r="AE476" i="5" s="1"/>
  <c r="AQ476" i="5"/>
  <c r="AF476" i="5"/>
  <c r="AY669" i="5"/>
  <c r="AX669" i="5"/>
  <c r="AW669" i="5"/>
  <c r="AV669" i="5"/>
  <c r="AU669" i="5"/>
  <c r="AT669" i="5"/>
  <c r="AS669" i="5"/>
  <c r="AR669" i="5"/>
  <c r="AE669" i="5" s="1"/>
  <c r="AQ669" i="5"/>
  <c r="AF669" i="5"/>
  <c r="AY394" i="5"/>
  <c r="AX394" i="5"/>
  <c r="AW394" i="5"/>
  <c r="AV394" i="5"/>
  <c r="AU394" i="5"/>
  <c r="AT394" i="5"/>
  <c r="AS394" i="5"/>
  <c r="AR394" i="5"/>
  <c r="AE394" i="5" s="1"/>
  <c r="AQ394" i="5"/>
  <c r="AF394" i="5"/>
  <c r="AY340" i="5"/>
  <c r="AX340" i="5"/>
  <c r="AW340" i="5"/>
  <c r="AV340" i="5"/>
  <c r="AU340" i="5"/>
  <c r="AT340" i="5"/>
  <c r="AS340" i="5"/>
  <c r="AR340" i="5"/>
  <c r="AE340" i="5" s="1"/>
  <c r="AQ340" i="5"/>
  <c r="AF340" i="5"/>
  <c r="AY520" i="5"/>
  <c r="AX520" i="5"/>
  <c r="AW520" i="5"/>
  <c r="AV520" i="5"/>
  <c r="AU520" i="5"/>
  <c r="AT520" i="5"/>
  <c r="AS520" i="5"/>
  <c r="AR520" i="5"/>
  <c r="AE520" i="5" s="1"/>
  <c r="AQ520" i="5"/>
  <c r="AF520" i="5"/>
  <c r="AY540" i="5"/>
  <c r="AX540" i="5"/>
  <c r="AW540" i="5"/>
  <c r="AV540" i="5"/>
  <c r="AU540" i="5"/>
  <c r="AT540" i="5"/>
  <c r="AS540" i="5"/>
  <c r="AR540" i="5"/>
  <c r="AE540" i="5" s="1"/>
  <c r="AQ540" i="5"/>
  <c r="AF540" i="5"/>
  <c r="AY475" i="5"/>
  <c r="AX475" i="5"/>
  <c r="AW475" i="5"/>
  <c r="AV475" i="5"/>
  <c r="AU475" i="5"/>
  <c r="AT475" i="5"/>
  <c r="AS475" i="5"/>
  <c r="AR475" i="5"/>
  <c r="AE475" i="5" s="1"/>
  <c r="AQ475" i="5"/>
  <c r="AF475" i="5"/>
  <c r="AY668" i="5"/>
  <c r="AX668" i="5"/>
  <c r="AW668" i="5"/>
  <c r="AV668" i="5"/>
  <c r="AU668" i="5"/>
  <c r="AT668" i="5"/>
  <c r="AS668" i="5"/>
  <c r="AR668" i="5"/>
  <c r="AE668" i="5" s="1"/>
  <c r="AQ668" i="5"/>
  <c r="AF668" i="5"/>
  <c r="AY539" i="5"/>
  <c r="AX539" i="5"/>
  <c r="AW539" i="5"/>
  <c r="AV539" i="5"/>
  <c r="AU539" i="5"/>
  <c r="AT539" i="5"/>
  <c r="AS539" i="5"/>
  <c r="AR539" i="5"/>
  <c r="AE539" i="5" s="1"/>
  <c r="AQ539" i="5"/>
  <c r="AF539" i="5"/>
  <c r="AY474" i="5"/>
  <c r="AX474" i="5"/>
  <c r="AW474" i="5"/>
  <c r="AV474" i="5"/>
  <c r="AU474" i="5"/>
  <c r="AT474" i="5"/>
  <c r="AS474" i="5"/>
  <c r="AR474" i="5"/>
  <c r="AE474" i="5" s="1"/>
  <c r="AQ474" i="5"/>
  <c r="AF474" i="5"/>
  <c r="AY667" i="5"/>
  <c r="AX667" i="5"/>
  <c r="AW667" i="5"/>
  <c r="AV667" i="5"/>
  <c r="AU667" i="5"/>
  <c r="AT667" i="5"/>
  <c r="AS667" i="5"/>
  <c r="AR667" i="5"/>
  <c r="AE667" i="5" s="1"/>
  <c r="AQ667" i="5"/>
  <c r="AF667" i="5"/>
  <c r="AY393" i="5"/>
  <c r="AX393" i="5"/>
  <c r="AW393" i="5"/>
  <c r="AV393" i="5"/>
  <c r="AU393" i="5"/>
  <c r="AT393" i="5"/>
  <c r="AS393" i="5"/>
  <c r="AR393" i="5"/>
  <c r="AE393" i="5" s="1"/>
  <c r="AQ393" i="5"/>
  <c r="AF393" i="5"/>
  <c r="AY339" i="5"/>
  <c r="AX339" i="5"/>
  <c r="AW339" i="5"/>
  <c r="AV339" i="5"/>
  <c r="AU339" i="5"/>
  <c r="AT339" i="5"/>
  <c r="AS339" i="5"/>
  <c r="AR339" i="5"/>
  <c r="AE339" i="5" s="1"/>
  <c r="AQ339" i="5"/>
  <c r="AF339" i="5"/>
  <c r="AY519" i="5"/>
  <c r="AX519" i="5"/>
  <c r="AW519" i="5"/>
  <c r="AV519" i="5"/>
  <c r="AU519" i="5"/>
  <c r="AT519" i="5"/>
  <c r="AS519" i="5"/>
  <c r="AR519" i="5"/>
  <c r="AE519" i="5" s="1"/>
  <c r="AQ519" i="5"/>
  <c r="AF519" i="5"/>
  <c r="AY538" i="5"/>
  <c r="AX538" i="5"/>
  <c r="AW538" i="5"/>
  <c r="AV538" i="5"/>
  <c r="AU538" i="5"/>
  <c r="AT538" i="5"/>
  <c r="AS538" i="5"/>
  <c r="AR538" i="5"/>
  <c r="AE538" i="5" s="1"/>
  <c r="AQ538" i="5"/>
  <c r="AF538" i="5"/>
  <c r="AY473" i="5"/>
  <c r="AX473" i="5"/>
  <c r="AW473" i="5"/>
  <c r="AV473" i="5"/>
  <c r="AU473" i="5"/>
  <c r="AT473" i="5"/>
  <c r="AS473" i="5"/>
  <c r="AR473" i="5"/>
  <c r="AE473" i="5" s="1"/>
  <c r="AQ473" i="5"/>
  <c r="AF473" i="5"/>
  <c r="AY666" i="5"/>
  <c r="AX666" i="5"/>
  <c r="AW666" i="5"/>
  <c r="AV666" i="5"/>
  <c r="AU666" i="5"/>
  <c r="AT666" i="5"/>
  <c r="AS666" i="5"/>
  <c r="AR666" i="5"/>
  <c r="AE666" i="5" s="1"/>
  <c r="AQ666" i="5"/>
  <c r="AF666" i="5"/>
  <c r="AY893" i="5"/>
  <c r="AX893" i="5"/>
  <c r="AW893" i="5"/>
  <c r="AV893" i="5"/>
  <c r="AU893" i="5"/>
  <c r="AT893" i="5"/>
  <c r="AS893" i="5"/>
  <c r="AR893" i="5"/>
  <c r="AE893" i="5" s="1"/>
  <c r="AQ893" i="5"/>
  <c r="AF893" i="5"/>
  <c r="AY809" i="5"/>
  <c r="AX809" i="5"/>
  <c r="AW809" i="5"/>
  <c r="AV809" i="5"/>
  <c r="AU809" i="5"/>
  <c r="AT809" i="5"/>
  <c r="AS809" i="5"/>
  <c r="AR809" i="5"/>
  <c r="AE809" i="5" s="1"/>
  <c r="AQ809" i="5"/>
  <c r="AF809" i="5"/>
  <c r="AY703" i="5"/>
  <c r="AX703" i="5"/>
  <c r="AW703" i="5"/>
  <c r="AV703" i="5"/>
  <c r="AU703" i="5"/>
  <c r="AT703" i="5"/>
  <c r="AS703" i="5"/>
  <c r="AR703" i="5"/>
  <c r="AE703" i="5" s="1"/>
  <c r="AQ703" i="5"/>
  <c r="AF703" i="5"/>
  <c r="AY808" i="5"/>
  <c r="AX808" i="5"/>
  <c r="AW808" i="5"/>
  <c r="AV808" i="5"/>
  <c r="AU808" i="5"/>
  <c r="AT808" i="5"/>
  <c r="AS808" i="5"/>
  <c r="AR808" i="5"/>
  <c r="AE808" i="5" s="1"/>
  <c r="AQ808" i="5"/>
  <c r="AF808" i="5"/>
  <c r="AY616" i="5"/>
  <c r="AX616" i="5"/>
  <c r="AW616" i="5"/>
  <c r="AV616" i="5"/>
  <c r="AU616" i="5"/>
  <c r="AT616" i="5"/>
  <c r="AS616" i="5"/>
  <c r="AR616" i="5"/>
  <c r="AE616" i="5" s="1"/>
  <c r="AQ616" i="5"/>
  <c r="AF616" i="5"/>
  <c r="AY551" i="5"/>
  <c r="AX551" i="5"/>
  <c r="AW551" i="5"/>
  <c r="AV551" i="5"/>
  <c r="AU551" i="5"/>
  <c r="AT551" i="5"/>
  <c r="AS551" i="5"/>
  <c r="AR551" i="5"/>
  <c r="AE551" i="5" s="1"/>
  <c r="AQ551" i="5"/>
  <c r="AF551" i="5"/>
  <c r="AY766" i="5"/>
  <c r="AX766" i="5"/>
  <c r="AW766" i="5"/>
  <c r="AV766" i="5"/>
  <c r="AU766" i="5"/>
  <c r="AT766" i="5"/>
  <c r="AS766" i="5"/>
  <c r="AR766" i="5"/>
  <c r="AE766" i="5" s="1"/>
  <c r="AQ766" i="5"/>
  <c r="AF766" i="5"/>
  <c r="AY461" i="5"/>
  <c r="AX461" i="5"/>
  <c r="AW461" i="5"/>
  <c r="AV461" i="5"/>
  <c r="AU461" i="5"/>
  <c r="AT461" i="5"/>
  <c r="AS461" i="5"/>
  <c r="AR461" i="5"/>
  <c r="AE461" i="5" s="1"/>
  <c r="AQ461" i="5"/>
  <c r="AF461" i="5"/>
  <c r="AY405" i="5"/>
  <c r="AX405" i="5"/>
  <c r="AW405" i="5"/>
  <c r="AV405" i="5"/>
  <c r="AU405" i="5"/>
  <c r="AT405" i="5"/>
  <c r="AS405" i="5"/>
  <c r="AR405" i="5"/>
  <c r="AE405" i="5" s="1"/>
  <c r="AQ405" i="5"/>
  <c r="AF405" i="5"/>
  <c r="AY653" i="5"/>
  <c r="AX653" i="5"/>
  <c r="AW653" i="5"/>
  <c r="AV653" i="5"/>
  <c r="AU653" i="5"/>
  <c r="AT653" i="5"/>
  <c r="AS653" i="5"/>
  <c r="AR653" i="5"/>
  <c r="AE653" i="5" s="1"/>
  <c r="AQ653" i="5"/>
  <c r="AF653" i="5"/>
  <c r="AY615" i="5"/>
  <c r="AX615" i="5"/>
  <c r="AW615" i="5"/>
  <c r="AV615" i="5"/>
  <c r="AU615" i="5"/>
  <c r="AT615" i="5"/>
  <c r="AS615" i="5"/>
  <c r="AR615" i="5"/>
  <c r="AE615" i="5" s="1"/>
  <c r="AQ615" i="5"/>
  <c r="AF615" i="5"/>
  <c r="AY550" i="5"/>
  <c r="AX550" i="5"/>
  <c r="AW550" i="5"/>
  <c r="AV550" i="5"/>
  <c r="AU550" i="5"/>
  <c r="AT550" i="5"/>
  <c r="AS550" i="5"/>
  <c r="AR550" i="5"/>
  <c r="AE550" i="5" s="1"/>
  <c r="AQ550" i="5"/>
  <c r="AF550" i="5"/>
  <c r="AY765" i="5"/>
  <c r="AX765" i="5"/>
  <c r="AW765" i="5"/>
  <c r="AV765" i="5"/>
  <c r="AU765" i="5"/>
  <c r="AT765" i="5"/>
  <c r="AS765" i="5"/>
  <c r="AR765" i="5"/>
  <c r="AE765" i="5" s="1"/>
  <c r="AQ765" i="5"/>
  <c r="AF765" i="5"/>
  <c r="AY337" i="5"/>
  <c r="AX337" i="5"/>
  <c r="AW337" i="5"/>
  <c r="AV337" i="5"/>
  <c r="AU337" i="5"/>
  <c r="AT337" i="5"/>
  <c r="AS337" i="5"/>
  <c r="AR337" i="5"/>
  <c r="AE337" i="5" s="1"/>
  <c r="AQ337" i="5"/>
  <c r="AF337" i="5"/>
  <c r="AY305" i="5"/>
  <c r="AX305" i="5"/>
  <c r="AW305" i="5"/>
  <c r="AV305" i="5"/>
  <c r="AU305" i="5"/>
  <c r="AT305" i="5"/>
  <c r="AS305" i="5"/>
  <c r="AR305" i="5"/>
  <c r="AE305" i="5" s="1"/>
  <c r="AQ305" i="5"/>
  <c r="AF305" i="5"/>
  <c r="AY455" i="5"/>
  <c r="AX455" i="5"/>
  <c r="AW455" i="5"/>
  <c r="AV455" i="5"/>
  <c r="AU455" i="5"/>
  <c r="AT455" i="5"/>
  <c r="AS455" i="5"/>
  <c r="AR455" i="5"/>
  <c r="AE455" i="5" s="1"/>
  <c r="AQ455" i="5"/>
  <c r="AF455" i="5"/>
  <c r="AY251" i="5"/>
  <c r="AX251" i="5"/>
  <c r="AW251" i="5"/>
  <c r="AV251" i="5"/>
  <c r="AU251" i="5"/>
  <c r="AT251" i="5"/>
  <c r="AS251" i="5"/>
  <c r="AR251" i="5"/>
  <c r="AE251" i="5" s="1"/>
  <c r="AQ251" i="5"/>
  <c r="AF251" i="5"/>
  <c r="AY222" i="5"/>
  <c r="AX222" i="5"/>
  <c r="AW222" i="5"/>
  <c r="AV222" i="5"/>
  <c r="AU222" i="5"/>
  <c r="AT222" i="5"/>
  <c r="AS222" i="5"/>
  <c r="AR222" i="5"/>
  <c r="AE222" i="5" s="1"/>
  <c r="AQ222" i="5"/>
  <c r="AF222" i="5"/>
  <c r="AY324" i="5"/>
  <c r="AX324" i="5"/>
  <c r="AW324" i="5"/>
  <c r="AV324" i="5"/>
  <c r="AU324" i="5"/>
  <c r="AT324" i="5"/>
  <c r="AS324" i="5"/>
  <c r="AR324" i="5"/>
  <c r="AE324" i="5" s="1"/>
  <c r="AQ324" i="5"/>
  <c r="AF324" i="5"/>
  <c r="AY336" i="5"/>
  <c r="AX336" i="5"/>
  <c r="AW336" i="5"/>
  <c r="AV336" i="5"/>
  <c r="AU336" i="5"/>
  <c r="AT336" i="5"/>
  <c r="AS336" i="5"/>
  <c r="AR336" i="5"/>
  <c r="AE336" i="5" s="1"/>
  <c r="AQ336" i="5"/>
  <c r="AF336" i="5"/>
  <c r="AY304" i="5"/>
  <c r="AX304" i="5"/>
  <c r="AW304" i="5"/>
  <c r="AV304" i="5"/>
  <c r="AU304" i="5"/>
  <c r="AT304" i="5"/>
  <c r="AS304" i="5"/>
  <c r="AR304" i="5"/>
  <c r="AE304" i="5" s="1"/>
  <c r="AQ304" i="5"/>
  <c r="AF304" i="5"/>
  <c r="AY454" i="5"/>
  <c r="AX454" i="5"/>
  <c r="AW454" i="5"/>
  <c r="AV454" i="5"/>
  <c r="AU454" i="5"/>
  <c r="AT454" i="5"/>
  <c r="AS454" i="5"/>
  <c r="AR454" i="5"/>
  <c r="AE454" i="5" s="1"/>
  <c r="AQ454" i="5"/>
  <c r="AF454" i="5"/>
  <c r="AY335" i="5"/>
  <c r="AX335" i="5"/>
  <c r="AW335" i="5"/>
  <c r="AV335" i="5"/>
  <c r="AU335" i="5"/>
  <c r="AT335" i="5"/>
  <c r="AS335" i="5"/>
  <c r="AR335" i="5"/>
  <c r="AE335" i="5" s="1"/>
  <c r="AQ335" i="5"/>
  <c r="AF335" i="5"/>
  <c r="AY303" i="5"/>
  <c r="AX303" i="5"/>
  <c r="AW303" i="5"/>
  <c r="AV303" i="5"/>
  <c r="AU303" i="5"/>
  <c r="AT303" i="5"/>
  <c r="AS303" i="5"/>
  <c r="AR303" i="5"/>
  <c r="AE303" i="5" s="1"/>
  <c r="AQ303" i="5"/>
  <c r="AF303" i="5"/>
  <c r="AY453" i="5"/>
  <c r="AX453" i="5"/>
  <c r="AW453" i="5"/>
  <c r="AV453" i="5"/>
  <c r="AU453" i="5"/>
  <c r="AT453" i="5"/>
  <c r="AS453" i="5"/>
  <c r="AR453" i="5"/>
  <c r="AE453" i="5" s="1"/>
  <c r="AQ453" i="5"/>
  <c r="AF453" i="5"/>
  <c r="AY250" i="5"/>
  <c r="AX250" i="5"/>
  <c r="AW250" i="5"/>
  <c r="AV250" i="5"/>
  <c r="AU250" i="5"/>
  <c r="AT250" i="5"/>
  <c r="AS250" i="5"/>
  <c r="AR250" i="5"/>
  <c r="AE250" i="5" s="1"/>
  <c r="AQ250" i="5"/>
  <c r="AF250" i="5"/>
  <c r="AY221" i="5"/>
  <c r="AX221" i="5"/>
  <c r="AW221" i="5"/>
  <c r="AV221" i="5"/>
  <c r="AU221" i="5"/>
  <c r="AT221" i="5"/>
  <c r="AS221" i="5"/>
  <c r="AR221" i="5"/>
  <c r="AE221" i="5" s="1"/>
  <c r="AQ221" i="5"/>
  <c r="AF221" i="5"/>
  <c r="AY323" i="5"/>
  <c r="AX323" i="5"/>
  <c r="AW323" i="5"/>
  <c r="AV323" i="5"/>
  <c r="AU323" i="5"/>
  <c r="AT323" i="5"/>
  <c r="AS323" i="5"/>
  <c r="AR323" i="5"/>
  <c r="AE323" i="5" s="1"/>
  <c r="AQ323" i="5"/>
  <c r="AF323" i="5"/>
  <c r="AY334" i="5"/>
  <c r="AX334" i="5"/>
  <c r="AW334" i="5"/>
  <c r="AV334" i="5"/>
  <c r="AU334" i="5"/>
  <c r="AT334" i="5"/>
  <c r="AS334" i="5"/>
  <c r="AR334" i="5"/>
  <c r="AE334" i="5" s="1"/>
  <c r="AQ334" i="5"/>
  <c r="AF334" i="5"/>
  <c r="AY302" i="5"/>
  <c r="AX302" i="5"/>
  <c r="AW302" i="5"/>
  <c r="AV302" i="5"/>
  <c r="AU302" i="5"/>
  <c r="AT302" i="5"/>
  <c r="AS302" i="5"/>
  <c r="AR302" i="5"/>
  <c r="AE302" i="5" s="1"/>
  <c r="AQ302" i="5"/>
  <c r="AF302" i="5"/>
  <c r="AY452" i="5"/>
  <c r="AX452" i="5"/>
  <c r="AW452" i="5"/>
  <c r="AV452" i="5"/>
  <c r="AU452" i="5"/>
  <c r="AT452" i="5"/>
  <c r="AS452" i="5"/>
  <c r="AR452" i="5"/>
  <c r="AE452" i="5" s="1"/>
  <c r="AQ452" i="5"/>
  <c r="AF452" i="5"/>
  <c r="AY953" i="5"/>
  <c r="AX953" i="5"/>
  <c r="AW953" i="5"/>
  <c r="AV953" i="5"/>
  <c r="AU953" i="5"/>
  <c r="AT953" i="5"/>
  <c r="AS953" i="5"/>
  <c r="AR953" i="5"/>
  <c r="AQ953" i="5"/>
  <c r="AH953" i="5" s="1"/>
  <c r="AF953" i="5"/>
  <c r="AY784" i="5"/>
  <c r="AX784" i="5"/>
  <c r="AW784" i="5"/>
  <c r="AV784" i="5"/>
  <c r="AU784" i="5"/>
  <c r="AT784" i="5"/>
  <c r="H784" i="5" s="1"/>
  <c r="AS784" i="5"/>
  <c r="AR784" i="5"/>
  <c r="AQ784" i="5"/>
  <c r="AH784" i="5" s="1"/>
  <c r="AF784" i="5"/>
  <c r="AY931" i="5"/>
  <c r="AX931" i="5"/>
  <c r="AW931" i="5"/>
  <c r="AV931" i="5"/>
  <c r="AU931" i="5"/>
  <c r="AT931" i="5"/>
  <c r="AS931" i="5"/>
  <c r="AR931" i="5"/>
  <c r="AQ931" i="5"/>
  <c r="AH931" i="5" s="1"/>
  <c r="AF931" i="5"/>
  <c r="AY930" i="5"/>
  <c r="AX930" i="5"/>
  <c r="AW930" i="5"/>
  <c r="AV930" i="5"/>
  <c r="AU930" i="5"/>
  <c r="AT930" i="5"/>
  <c r="AS930" i="5"/>
  <c r="AR930" i="5"/>
  <c r="AQ930" i="5"/>
  <c r="AH930" i="5" s="1"/>
  <c r="AF930" i="5"/>
  <c r="AY495" i="5"/>
  <c r="AX495" i="5"/>
  <c r="AW495" i="5"/>
  <c r="AV495" i="5"/>
  <c r="AU495" i="5"/>
  <c r="AT495" i="5"/>
  <c r="AS495" i="5"/>
  <c r="AR495" i="5"/>
  <c r="AQ495" i="5"/>
  <c r="AH495" i="5" s="1"/>
  <c r="AF495" i="5"/>
  <c r="AY645" i="5"/>
  <c r="AX645" i="5"/>
  <c r="AW645" i="5"/>
  <c r="AV645" i="5"/>
  <c r="AU645" i="5"/>
  <c r="AT645" i="5"/>
  <c r="H645" i="5" s="1"/>
  <c r="AS645" i="5"/>
  <c r="AR645" i="5"/>
  <c r="AQ645" i="5"/>
  <c r="AH645" i="5" s="1"/>
  <c r="AF645" i="5"/>
  <c r="AY743" i="5"/>
  <c r="AX743" i="5"/>
  <c r="AW743" i="5"/>
  <c r="AV743" i="5"/>
  <c r="AU743" i="5"/>
  <c r="AT743" i="5"/>
  <c r="H743" i="5" s="1"/>
  <c r="AS743" i="5"/>
  <c r="AR743" i="5"/>
  <c r="AQ743" i="5"/>
  <c r="AH743" i="5" s="1"/>
  <c r="AF743" i="5"/>
  <c r="AY853" i="5"/>
  <c r="AX853" i="5"/>
  <c r="AW853" i="5"/>
  <c r="AV853" i="5"/>
  <c r="AU853" i="5"/>
  <c r="AT853" i="5"/>
  <c r="AS853" i="5"/>
  <c r="AR853" i="5"/>
  <c r="AQ853" i="5"/>
  <c r="AH853" i="5" s="1"/>
  <c r="AF853" i="5"/>
  <c r="AY836" i="5"/>
  <c r="AX836" i="5"/>
  <c r="AW836" i="5"/>
  <c r="AV836" i="5"/>
  <c r="AU836" i="5"/>
  <c r="AT836" i="5"/>
  <c r="AS836" i="5"/>
  <c r="AR836" i="5"/>
  <c r="AQ836" i="5"/>
  <c r="AH836" i="5" s="1"/>
  <c r="AF836" i="5"/>
  <c r="AY917" i="5"/>
  <c r="AX917" i="5"/>
  <c r="AW917" i="5"/>
  <c r="AV917" i="5"/>
  <c r="AU917" i="5"/>
  <c r="AT917" i="5"/>
  <c r="AS917" i="5"/>
  <c r="AR917" i="5"/>
  <c r="AQ917" i="5"/>
  <c r="AH917" i="5" s="1"/>
  <c r="AF917" i="5"/>
  <c r="AY852" i="5"/>
  <c r="AX852" i="5"/>
  <c r="AW852" i="5"/>
  <c r="AV852" i="5"/>
  <c r="AU852" i="5"/>
  <c r="AT852" i="5"/>
  <c r="AS852" i="5"/>
  <c r="AR852" i="5"/>
  <c r="AQ852" i="5"/>
  <c r="AH852" i="5" s="1"/>
  <c r="AF852" i="5"/>
  <c r="AY835" i="5"/>
  <c r="AX835" i="5"/>
  <c r="AW835" i="5"/>
  <c r="AV835" i="5"/>
  <c r="AU835" i="5"/>
  <c r="AT835" i="5"/>
  <c r="AS835" i="5"/>
  <c r="AR835" i="5"/>
  <c r="AQ835" i="5"/>
  <c r="AH835" i="5" s="1"/>
  <c r="AF835" i="5"/>
  <c r="AY916" i="5"/>
  <c r="AX916" i="5"/>
  <c r="AW916" i="5"/>
  <c r="AV916" i="5"/>
  <c r="AU916" i="5"/>
  <c r="AT916" i="5"/>
  <c r="AS916" i="5"/>
  <c r="AR916" i="5"/>
  <c r="AQ916" i="5"/>
  <c r="AH916" i="5" s="1"/>
  <c r="AF916" i="5"/>
  <c r="AY459" i="5"/>
  <c r="AX459" i="5"/>
  <c r="AW459" i="5"/>
  <c r="AV459" i="5"/>
  <c r="AU459" i="5"/>
  <c r="AT459" i="5"/>
  <c r="AS459" i="5"/>
  <c r="AR459" i="5"/>
  <c r="AQ459" i="5"/>
  <c r="AH459" i="5" s="1"/>
  <c r="AF459" i="5"/>
  <c r="AY613" i="5"/>
  <c r="AX613" i="5"/>
  <c r="AW613" i="5"/>
  <c r="AV613" i="5"/>
  <c r="AU613" i="5"/>
  <c r="AT613" i="5"/>
  <c r="H613" i="5" s="1"/>
  <c r="AS613" i="5"/>
  <c r="AR613" i="5"/>
  <c r="AQ613" i="5"/>
  <c r="AH613" i="5" s="1"/>
  <c r="AF613" i="5"/>
  <c r="AY716" i="5"/>
  <c r="AX716" i="5"/>
  <c r="AW716" i="5"/>
  <c r="AV716" i="5"/>
  <c r="AU716" i="5"/>
  <c r="AT716" i="5"/>
  <c r="H716" i="5" s="1"/>
  <c r="AS716" i="5"/>
  <c r="AR716" i="5"/>
  <c r="AQ716" i="5"/>
  <c r="AH716" i="5" s="1"/>
  <c r="AF716" i="5"/>
  <c r="AY458" i="5"/>
  <c r="AX458" i="5"/>
  <c r="AW458" i="5"/>
  <c r="AV458" i="5"/>
  <c r="AU458" i="5"/>
  <c r="AT458" i="5"/>
  <c r="AS458" i="5"/>
  <c r="AR458" i="5"/>
  <c r="AQ458" i="5"/>
  <c r="AH458" i="5" s="1"/>
  <c r="AF458" i="5"/>
  <c r="AY612" i="5"/>
  <c r="AX612" i="5"/>
  <c r="AW612" i="5"/>
  <c r="AV612" i="5"/>
  <c r="AU612" i="5"/>
  <c r="AT612" i="5"/>
  <c r="AS612" i="5"/>
  <c r="AR612" i="5"/>
  <c r="AQ612" i="5"/>
  <c r="AH612" i="5" s="1"/>
  <c r="AF612" i="5"/>
  <c r="AY715" i="5"/>
  <c r="AX715" i="5"/>
  <c r="AW715" i="5"/>
  <c r="AV715" i="5"/>
  <c r="AU715" i="5"/>
  <c r="AT715" i="5"/>
  <c r="AS715" i="5"/>
  <c r="AR715" i="5"/>
  <c r="AQ715" i="5"/>
  <c r="AH715" i="5" s="1"/>
  <c r="AF715" i="5"/>
  <c r="AY457" i="5"/>
  <c r="AX457" i="5"/>
  <c r="AW457" i="5"/>
  <c r="AV457" i="5"/>
  <c r="AU457" i="5"/>
  <c r="AT457" i="5"/>
  <c r="AS457" i="5"/>
  <c r="AR457" i="5"/>
  <c r="AQ457" i="5"/>
  <c r="AH457" i="5" s="1"/>
  <c r="AF457" i="5"/>
  <c r="AY611" i="5"/>
  <c r="AX611" i="5"/>
  <c r="AW611" i="5"/>
  <c r="AV611" i="5"/>
  <c r="AU611" i="5"/>
  <c r="AT611" i="5"/>
  <c r="AS611" i="5"/>
  <c r="AR611" i="5"/>
  <c r="AQ611" i="5"/>
  <c r="AH611" i="5" s="1"/>
  <c r="AF611" i="5"/>
  <c r="AY714" i="5"/>
  <c r="AX714" i="5"/>
  <c r="AW714" i="5"/>
  <c r="AV714" i="5"/>
  <c r="AU714" i="5"/>
  <c r="AT714" i="5"/>
  <c r="AS714" i="5"/>
  <c r="AR714" i="5"/>
  <c r="AQ714" i="5"/>
  <c r="AH714" i="5" s="1"/>
  <c r="AF714" i="5"/>
  <c r="AY456" i="5"/>
  <c r="AX456" i="5"/>
  <c r="AW456" i="5"/>
  <c r="AV456" i="5"/>
  <c r="AU456" i="5"/>
  <c r="AT456" i="5"/>
  <c r="H456" i="5" s="1"/>
  <c r="AS456" i="5"/>
  <c r="AR456" i="5"/>
  <c r="AQ456" i="5"/>
  <c r="AH456" i="5" s="1"/>
  <c r="AF456" i="5"/>
  <c r="AY610" i="5"/>
  <c r="AX610" i="5"/>
  <c r="AW610" i="5"/>
  <c r="AV610" i="5"/>
  <c r="AU610" i="5"/>
  <c r="AT610" i="5"/>
  <c r="H610" i="5" s="1"/>
  <c r="AS610" i="5"/>
  <c r="AR610" i="5"/>
  <c r="AQ610" i="5"/>
  <c r="AH610" i="5" s="1"/>
  <c r="AF610" i="5"/>
  <c r="AY713" i="5"/>
  <c r="AX713" i="5"/>
  <c r="AW713" i="5"/>
  <c r="AV713" i="5"/>
  <c r="AU713" i="5"/>
  <c r="AT713" i="5"/>
  <c r="H713" i="5" s="1"/>
  <c r="AS713" i="5"/>
  <c r="AR713" i="5"/>
  <c r="AQ713" i="5"/>
  <c r="AH713" i="5" s="1"/>
  <c r="AF713" i="5"/>
  <c r="AY834" i="5"/>
  <c r="AX834" i="5"/>
  <c r="AW834" i="5"/>
  <c r="AV834" i="5"/>
  <c r="AU834" i="5"/>
  <c r="AT834" i="5"/>
  <c r="AS834" i="5"/>
  <c r="AR834" i="5"/>
  <c r="AQ834" i="5"/>
  <c r="AH834" i="5" s="1"/>
  <c r="AF834" i="5"/>
  <c r="AY821" i="5"/>
  <c r="AX821" i="5"/>
  <c r="AW821" i="5"/>
  <c r="AV821" i="5"/>
  <c r="AU821" i="5"/>
  <c r="AT821" i="5"/>
  <c r="AS821" i="5"/>
  <c r="AR821" i="5"/>
  <c r="AQ821" i="5"/>
  <c r="AH821" i="5" s="1"/>
  <c r="AF821" i="5"/>
  <c r="AY900" i="5"/>
  <c r="AX900" i="5"/>
  <c r="AW900" i="5"/>
  <c r="AV900" i="5"/>
  <c r="AU900" i="5"/>
  <c r="AT900" i="5"/>
  <c r="AS900" i="5"/>
  <c r="AR900" i="5"/>
  <c r="AQ900" i="5"/>
  <c r="AH900" i="5" s="1"/>
  <c r="AF900" i="5"/>
  <c r="AY833" i="5"/>
  <c r="AX833" i="5"/>
  <c r="AW833" i="5"/>
  <c r="AV833" i="5"/>
  <c r="AU833" i="5"/>
  <c r="AT833" i="5"/>
  <c r="AS833" i="5"/>
  <c r="AR833" i="5"/>
  <c r="AQ833" i="5"/>
  <c r="AH833" i="5" s="1"/>
  <c r="AF833" i="5"/>
  <c r="AY820" i="5"/>
  <c r="AX820" i="5"/>
  <c r="AW820" i="5"/>
  <c r="AV820" i="5"/>
  <c r="AU820" i="5"/>
  <c r="AT820" i="5"/>
  <c r="AS820" i="5"/>
  <c r="AR820" i="5"/>
  <c r="AQ820" i="5"/>
  <c r="AH820" i="5" s="1"/>
  <c r="AF820" i="5"/>
  <c r="AY899" i="5"/>
  <c r="AX899" i="5"/>
  <c r="AW899" i="5"/>
  <c r="AV899" i="5"/>
  <c r="AU899" i="5"/>
  <c r="AT899" i="5"/>
  <c r="AS899" i="5"/>
  <c r="AR899" i="5"/>
  <c r="AQ899" i="5"/>
  <c r="AH899" i="5" s="1"/>
  <c r="AF899" i="5"/>
  <c r="AY965" i="5"/>
  <c r="AX965" i="5"/>
  <c r="H965" i="5" s="1"/>
  <c r="AW965" i="5"/>
  <c r="AV965" i="5"/>
  <c r="AU965" i="5"/>
  <c r="AT965" i="5"/>
  <c r="AS965" i="5"/>
  <c r="AR965" i="5"/>
  <c r="AQ965" i="5"/>
  <c r="AF965" i="5"/>
  <c r="AY948" i="5"/>
  <c r="AX948" i="5"/>
  <c r="H948" i="5" s="1"/>
  <c r="AW948" i="5"/>
  <c r="AV948" i="5"/>
  <c r="AU948" i="5"/>
  <c r="AT948" i="5"/>
  <c r="AS948" i="5"/>
  <c r="AR948" i="5"/>
  <c r="AQ948" i="5"/>
  <c r="AF948" i="5"/>
  <c r="AY962" i="5"/>
  <c r="AX962" i="5"/>
  <c r="H962" i="5" s="1"/>
  <c r="AW962" i="5"/>
  <c r="AV962" i="5"/>
  <c r="AU962" i="5"/>
  <c r="AT962" i="5"/>
  <c r="AS962" i="5"/>
  <c r="AR962" i="5"/>
  <c r="AQ962" i="5"/>
  <c r="AF962" i="5"/>
  <c r="AY961" i="5"/>
  <c r="AX961" i="5"/>
  <c r="H961" i="5" s="1"/>
  <c r="AW961" i="5"/>
  <c r="AV961" i="5"/>
  <c r="AU961" i="5"/>
  <c r="AT961" i="5"/>
  <c r="AS961" i="5"/>
  <c r="AR961" i="5"/>
  <c r="AQ961" i="5"/>
  <c r="AF961" i="5"/>
  <c r="AY846" i="5"/>
  <c r="AX846" i="5"/>
  <c r="H846" i="5" s="1"/>
  <c r="AW846" i="5"/>
  <c r="AV846" i="5"/>
  <c r="AU846" i="5"/>
  <c r="AT846" i="5"/>
  <c r="AS846" i="5"/>
  <c r="AR846" i="5"/>
  <c r="AQ846" i="5"/>
  <c r="AF846" i="5"/>
  <c r="AY940" i="5"/>
  <c r="AX940" i="5"/>
  <c r="H940" i="5" s="1"/>
  <c r="AW940" i="5"/>
  <c r="AV940" i="5"/>
  <c r="AU940" i="5"/>
  <c r="AT940" i="5"/>
  <c r="AS940" i="5"/>
  <c r="AR940" i="5"/>
  <c r="AQ940" i="5"/>
  <c r="AF940" i="5"/>
  <c r="AY912" i="5"/>
  <c r="AX912" i="5"/>
  <c r="H912" i="5" s="1"/>
  <c r="AW912" i="5"/>
  <c r="AV912" i="5"/>
  <c r="AU912" i="5"/>
  <c r="AT912" i="5"/>
  <c r="AS912" i="5"/>
  <c r="AR912" i="5"/>
  <c r="AQ912" i="5"/>
  <c r="AF912" i="5"/>
  <c r="AY956" i="5"/>
  <c r="AX956" i="5"/>
  <c r="H956" i="5" s="1"/>
  <c r="AW956" i="5"/>
  <c r="AV956" i="5"/>
  <c r="AU956" i="5"/>
  <c r="AT956" i="5"/>
  <c r="AS956" i="5"/>
  <c r="AR956" i="5"/>
  <c r="AQ956" i="5"/>
  <c r="AF956" i="5"/>
  <c r="AY911" i="5"/>
  <c r="AX911" i="5"/>
  <c r="H911" i="5" s="1"/>
  <c r="AW911" i="5"/>
  <c r="AV911" i="5"/>
  <c r="AU911" i="5"/>
  <c r="AT911" i="5"/>
  <c r="AS911" i="5"/>
  <c r="AR911" i="5"/>
  <c r="AQ911" i="5"/>
  <c r="AF911" i="5"/>
  <c r="AY955" i="5"/>
  <c r="AX955" i="5"/>
  <c r="H955" i="5" s="1"/>
  <c r="AW955" i="5"/>
  <c r="AV955" i="5"/>
  <c r="AU955" i="5"/>
  <c r="AT955" i="5"/>
  <c r="AS955" i="5"/>
  <c r="AR955" i="5"/>
  <c r="AQ955" i="5"/>
  <c r="AF955" i="5"/>
  <c r="AY582" i="5"/>
  <c r="AX582" i="5"/>
  <c r="H582" i="5" s="1"/>
  <c r="AW582" i="5"/>
  <c r="AV582" i="5"/>
  <c r="AU582" i="5"/>
  <c r="AT582" i="5"/>
  <c r="AS582" i="5"/>
  <c r="AR582" i="5"/>
  <c r="AQ582" i="5"/>
  <c r="AF582" i="5"/>
  <c r="AY800" i="5"/>
  <c r="AX800" i="5"/>
  <c r="H800" i="5" s="1"/>
  <c r="AW800" i="5"/>
  <c r="AV800" i="5"/>
  <c r="AU800" i="5"/>
  <c r="AT800" i="5"/>
  <c r="AS800" i="5"/>
  <c r="AR800" i="5"/>
  <c r="AQ800" i="5"/>
  <c r="AF800" i="5"/>
  <c r="AY708" i="5"/>
  <c r="AX708" i="5"/>
  <c r="H708" i="5" s="1"/>
  <c r="AW708" i="5"/>
  <c r="AV708" i="5"/>
  <c r="AU708" i="5"/>
  <c r="AT708" i="5"/>
  <c r="AS708" i="5"/>
  <c r="AR708" i="5"/>
  <c r="AQ708" i="5"/>
  <c r="AF708" i="5"/>
  <c r="AY867" i="5"/>
  <c r="AX867" i="5"/>
  <c r="H867" i="5" s="1"/>
  <c r="AW867" i="5"/>
  <c r="AV867" i="5"/>
  <c r="AU867" i="5"/>
  <c r="AT867" i="5"/>
  <c r="AS867" i="5"/>
  <c r="AR867" i="5"/>
  <c r="AQ867" i="5"/>
  <c r="AF867" i="5"/>
  <c r="AY707" i="5"/>
  <c r="AX707" i="5"/>
  <c r="H707" i="5" s="1"/>
  <c r="AW707" i="5"/>
  <c r="AV707" i="5"/>
  <c r="AU707" i="5"/>
  <c r="AT707" i="5"/>
  <c r="AS707" i="5"/>
  <c r="AR707" i="5"/>
  <c r="AQ707" i="5"/>
  <c r="AF707" i="5"/>
  <c r="AY866" i="5"/>
  <c r="AX866" i="5"/>
  <c r="H866" i="5" s="1"/>
  <c r="AW866" i="5"/>
  <c r="AV866" i="5"/>
  <c r="AU866" i="5"/>
  <c r="AT866" i="5"/>
  <c r="AS866" i="5"/>
  <c r="AR866" i="5"/>
  <c r="AQ866" i="5"/>
  <c r="AF866" i="5"/>
  <c r="AY581" i="5"/>
  <c r="AX581" i="5"/>
  <c r="H581" i="5" s="1"/>
  <c r="AW581" i="5"/>
  <c r="AV581" i="5"/>
  <c r="AU581" i="5"/>
  <c r="AT581" i="5"/>
  <c r="AS581" i="5"/>
  <c r="AR581" i="5"/>
  <c r="AQ581" i="5"/>
  <c r="AF581" i="5"/>
  <c r="AY799" i="5"/>
  <c r="AX799" i="5"/>
  <c r="H799" i="5" s="1"/>
  <c r="AW799" i="5"/>
  <c r="AV799" i="5"/>
  <c r="AU799" i="5"/>
  <c r="AT799" i="5"/>
  <c r="AS799" i="5"/>
  <c r="AR799" i="5"/>
  <c r="AQ799" i="5"/>
  <c r="AF799" i="5"/>
  <c r="AY706" i="5"/>
  <c r="AX706" i="5"/>
  <c r="H706" i="5" s="1"/>
  <c r="AW706" i="5"/>
  <c r="AV706" i="5"/>
  <c r="AU706" i="5"/>
  <c r="AT706" i="5"/>
  <c r="AS706" i="5"/>
  <c r="AR706" i="5"/>
  <c r="AQ706" i="5"/>
  <c r="AF706" i="5"/>
  <c r="AY865" i="5"/>
  <c r="AX865" i="5"/>
  <c r="H865" i="5" s="1"/>
  <c r="AW865" i="5"/>
  <c r="AV865" i="5"/>
  <c r="AU865" i="5"/>
  <c r="AT865" i="5"/>
  <c r="AS865" i="5"/>
  <c r="AR865" i="5"/>
  <c r="AQ865" i="5"/>
  <c r="AF865" i="5"/>
  <c r="AY705" i="5"/>
  <c r="AX705" i="5"/>
  <c r="H705" i="5" s="1"/>
  <c r="AW705" i="5"/>
  <c r="AV705" i="5"/>
  <c r="AU705" i="5"/>
  <c r="AT705" i="5"/>
  <c r="AS705" i="5"/>
  <c r="AR705" i="5"/>
  <c r="AQ705" i="5"/>
  <c r="AF705" i="5"/>
  <c r="AY864" i="5"/>
  <c r="AX864" i="5"/>
  <c r="H864" i="5" s="1"/>
  <c r="AW864" i="5"/>
  <c r="AV864" i="5"/>
  <c r="AU864" i="5"/>
  <c r="AT864" i="5"/>
  <c r="AS864" i="5"/>
  <c r="AR864" i="5"/>
  <c r="AQ864" i="5"/>
  <c r="AF864" i="5"/>
  <c r="AY958" i="5"/>
  <c r="AX958" i="5"/>
  <c r="H958" i="5" s="1"/>
  <c r="AW958" i="5"/>
  <c r="AV958" i="5"/>
  <c r="AU958" i="5"/>
  <c r="AT958" i="5"/>
  <c r="AS958" i="5"/>
  <c r="AR958" i="5"/>
  <c r="AQ958" i="5"/>
  <c r="AF958" i="5"/>
  <c r="AY901" i="5"/>
  <c r="AX901" i="5"/>
  <c r="H901" i="5" s="1"/>
  <c r="AW901" i="5"/>
  <c r="AV901" i="5"/>
  <c r="AU901" i="5"/>
  <c r="AT901" i="5"/>
  <c r="AS901" i="5"/>
  <c r="AR901" i="5"/>
  <c r="AQ901" i="5"/>
  <c r="AF901" i="5"/>
  <c r="AY939" i="5"/>
  <c r="AX939" i="5"/>
  <c r="H939" i="5" s="1"/>
  <c r="AW939" i="5"/>
  <c r="AV939" i="5"/>
  <c r="AU939" i="5"/>
  <c r="AT939" i="5"/>
  <c r="AS939" i="5"/>
  <c r="AR939" i="5"/>
  <c r="AQ939" i="5"/>
  <c r="AF939" i="5"/>
  <c r="AY938" i="5"/>
  <c r="AX938" i="5"/>
  <c r="H938" i="5" s="1"/>
  <c r="AW938" i="5"/>
  <c r="AV938" i="5"/>
  <c r="AU938" i="5"/>
  <c r="AT938" i="5"/>
  <c r="AS938" i="5"/>
  <c r="AR938" i="5"/>
  <c r="AQ938" i="5"/>
  <c r="AF938" i="5"/>
  <c r="AY711" i="5"/>
  <c r="AX711" i="5"/>
  <c r="H711" i="5" s="1"/>
  <c r="AW711" i="5"/>
  <c r="AV711" i="5"/>
  <c r="AU711" i="5"/>
  <c r="AT711" i="5"/>
  <c r="AS711" i="5"/>
  <c r="AR711" i="5"/>
  <c r="AQ711" i="5"/>
  <c r="AF711" i="5"/>
  <c r="AY873" i="5"/>
  <c r="AX873" i="5"/>
  <c r="H873" i="5" s="1"/>
  <c r="AW873" i="5"/>
  <c r="AV873" i="5"/>
  <c r="AU873" i="5"/>
  <c r="AT873" i="5"/>
  <c r="AS873" i="5"/>
  <c r="AR873" i="5"/>
  <c r="AQ873" i="5"/>
  <c r="AF873" i="5"/>
  <c r="AY806" i="5"/>
  <c r="AX806" i="5"/>
  <c r="H806" i="5" s="1"/>
  <c r="AW806" i="5"/>
  <c r="AV806" i="5"/>
  <c r="AU806" i="5"/>
  <c r="AT806" i="5"/>
  <c r="AS806" i="5"/>
  <c r="AR806" i="5"/>
  <c r="AQ806" i="5"/>
  <c r="AF806" i="5"/>
  <c r="AY924" i="5"/>
  <c r="AX924" i="5"/>
  <c r="H924" i="5" s="1"/>
  <c r="AW924" i="5"/>
  <c r="AV924" i="5"/>
  <c r="AU924" i="5"/>
  <c r="AT924" i="5"/>
  <c r="AS924" i="5"/>
  <c r="AR924" i="5"/>
  <c r="AQ924" i="5"/>
  <c r="AF924" i="5"/>
  <c r="AY805" i="5"/>
  <c r="AX805" i="5"/>
  <c r="H805" i="5" s="1"/>
  <c r="AW805" i="5"/>
  <c r="AV805" i="5"/>
  <c r="AU805" i="5"/>
  <c r="AT805" i="5"/>
  <c r="AS805" i="5"/>
  <c r="AR805" i="5"/>
  <c r="AQ805" i="5"/>
  <c r="AF805" i="5"/>
  <c r="AY923" i="5"/>
  <c r="AX923" i="5"/>
  <c r="H923" i="5" s="1"/>
  <c r="AW923" i="5"/>
  <c r="AV923" i="5"/>
  <c r="AU923" i="5"/>
  <c r="AT923" i="5"/>
  <c r="AS923" i="5"/>
  <c r="AR923" i="5"/>
  <c r="AQ923" i="5"/>
  <c r="AF923" i="5"/>
  <c r="AY379" i="5"/>
  <c r="AX379" i="5"/>
  <c r="H379" i="5" s="1"/>
  <c r="AW379" i="5"/>
  <c r="AV379" i="5"/>
  <c r="AU379" i="5"/>
  <c r="AT379" i="5"/>
  <c r="AS379" i="5"/>
  <c r="AR379" i="5"/>
  <c r="AQ379" i="5"/>
  <c r="AF379" i="5"/>
  <c r="AY641" i="5"/>
  <c r="AX641" i="5"/>
  <c r="H641" i="5" s="1"/>
  <c r="AW641" i="5"/>
  <c r="AV641" i="5"/>
  <c r="AU641" i="5"/>
  <c r="AT641" i="5"/>
  <c r="AS641" i="5"/>
  <c r="AR641" i="5"/>
  <c r="AQ641" i="5"/>
  <c r="AF641" i="5"/>
  <c r="AY500" i="5"/>
  <c r="AX500" i="5"/>
  <c r="H500" i="5" s="1"/>
  <c r="AW500" i="5"/>
  <c r="AV500" i="5"/>
  <c r="AU500" i="5"/>
  <c r="AT500" i="5"/>
  <c r="AS500" i="5"/>
  <c r="AR500" i="5"/>
  <c r="AQ500" i="5"/>
  <c r="AF500" i="5"/>
  <c r="AY747" i="5"/>
  <c r="AX747" i="5"/>
  <c r="H747" i="5" s="1"/>
  <c r="AW747" i="5"/>
  <c r="AV747" i="5"/>
  <c r="AU747" i="5"/>
  <c r="AT747" i="5"/>
  <c r="AS747" i="5"/>
  <c r="AR747" i="5"/>
  <c r="AQ747" i="5"/>
  <c r="AF747" i="5"/>
  <c r="AY499" i="5"/>
  <c r="AX499" i="5"/>
  <c r="H499" i="5" s="1"/>
  <c r="AW499" i="5"/>
  <c r="AV499" i="5"/>
  <c r="AU499" i="5"/>
  <c r="AT499" i="5"/>
  <c r="AS499" i="5"/>
  <c r="AR499" i="5"/>
  <c r="AQ499" i="5"/>
  <c r="AF499" i="5"/>
  <c r="AY746" i="5"/>
  <c r="AX746" i="5"/>
  <c r="H746" i="5" s="1"/>
  <c r="AW746" i="5"/>
  <c r="AV746" i="5"/>
  <c r="AU746" i="5"/>
  <c r="AT746" i="5"/>
  <c r="AS746" i="5"/>
  <c r="AR746" i="5"/>
  <c r="AQ746" i="5"/>
  <c r="AF746" i="5"/>
  <c r="AY378" i="5"/>
  <c r="AX378" i="5"/>
  <c r="H378" i="5" s="1"/>
  <c r="AW378" i="5"/>
  <c r="AV378" i="5"/>
  <c r="AU378" i="5"/>
  <c r="AT378" i="5"/>
  <c r="AS378" i="5"/>
  <c r="AR378" i="5"/>
  <c r="AQ378" i="5"/>
  <c r="AF378" i="5"/>
  <c r="AY640" i="5"/>
  <c r="AX640" i="5"/>
  <c r="H640" i="5" s="1"/>
  <c r="AW640" i="5"/>
  <c r="AV640" i="5"/>
  <c r="AU640" i="5"/>
  <c r="AT640" i="5"/>
  <c r="AS640" i="5"/>
  <c r="AR640" i="5"/>
  <c r="AQ640" i="5"/>
  <c r="AF640" i="5"/>
  <c r="AY498" i="5"/>
  <c r="AX498" i="5"/>
  <c r="H498" i="5" s="1"/>
  <c r="AW498" i="5"/>
  <c r="AV498" i="5"/>
  <c r="AU498" i="5"/>
  <c r="AT498" i="5"/>
  <c r="AS498" i="5"/>
  <c r="AR498" i="5"/>
  <c r="AQ498" i="5"/>
  <c r="AF498" i="5"/>
  <c r="AY745" i="5"/>
  <c r="AX745" i="5"/>
  <c r="H745" i="5" s="1"/>
  <c r="AW745" i="5"/>
  <c r="AV745" i="5"/>
  <c r="AU745" i="5"/>
  <c r="AT745" i="5"/>
  <c r="AS745" i="5"/>
  <c r="AR745" i="5"/>
  <c r="AQ745" i="5"/>
  <c r="AF745" i="5"/>
  <c r="AY497" i="5"/>
  <c r="AX497" i="5"/>
  <c r="H497" i="5" s="1"/>
  <c r="AW497" i="5"/>
  <c r="AV497" i="5"/>
  <c r="AU497" i="5"/>
  <c r="AT497" i="5"/>
  <c r="AS497" i="5"/>
  <c r="AR497" i="5"/>
  <c r="AQ497" i="5"/>
  <c r="AF497" i="5"/>
  <c r="AY744" i="5"/>
  <c r="AX744" i="5"/>
  <c r="H744" i="5" s="1"/>
  <c r="AW744" i="5"/>
  <c r="AV744" i="5"/>
  <c r="AU744" i="5"/>
  <c r="AT744" i="5"/>
  <c r="AS744" i="5"/>
  <c r="AR744" i="5"/>
  <c r="AQ744" i="5"/>
  <c r="AF744" i="5"/>
  <c r="AY890" i="5"/>
  <c r="AJ890" i="5" s="1"/>
  <c r="AX890" i="5"/>
  <c r="AW890" i="5"/>
  <c r="AV890" i="5"/>
  <c r="AU890" i="5"/>
  <c r="X890" i="5" s="1"/>
  <c r="AT890" i="5"/>
  <c r="AS890" i="5"/>
  <c r="AR890" i="5"/>
  <c r="AQ890" i="5"/>
  <c r="AH890" i="5" s="1"/>
  <c r="AF890" i="5"/>
  <c r="AY627" i="5"/>
  <c r="AJ627" i="5" s="1"/>
  <c r="AX627" i="5"/>
  <c r="AW627" i="5"/>
  <c r="AV627" i="5"/>
  <c r="AU627" i="5"/>
  <c r="X627" i="5" s="1"/>
  <c r="AD627" i="5" s="1"/>
  <c r="AT627" i="5"/>
  <c r="AS627" i="5"/>
  <c r="AR627" i="5"/>
  <c r="AQ627" i="5"/>
  <c r="AH627" i="5" s="1"/>
  <c r="AF627" i="5"/>
  <c r="AY804" i="5"/>
  <c r="AJ804" i="5" s="1"/>
  <c r="AX804" i="5"/>
  <c r="AW804" i="5"/>
  <c r="AV804" i="5"/>
  <c r="AU804" i="5"/>
  <c r="X804" i="5" s="1"/>
  <c r="AT804" i="5"/>
  <c r="AS804" i="5"/>
  <c r="AR804" i="5"/>
  <c r="AQ804" i="5"/>
  <c r="AH804" i="5" s="1"/>
  <c r="AF804" i="5"/>
  <c r="AY391" i="5"/>
  <c r="AJ391" i="5" s="1"/>
  <c r="AX391" i="5"/>
  <c r="AW391" i="5"/>
  <c r="AV391" i="5"/>
  <c r="AU391" i="5"/>
  <c r="X391" i="5" s="1"/>
  <c r="AD391" i="5" s="1"/>
  <c r="AT391" i="5"/>
  <c r="AS391" i="5"/>
  <c r="AR391" i="5"/>
  <c r="AQ391" i="5"/>
  <c r="AH391" i="5" s="1"/>
  <c r="AF391" i="5"/>
  <c r="AY374" i="5"/>
  <c r="AJ374" i="5" s="1"/>
  <c r="AX374" i="5"/>
  <c r="AW374" i="5"/>
  <c r="AV374" i="5"/>
  <c r="AU374" i="5"/>
  <c r="AT374" i="5"/>
  <c r="AS374" i="5"/>
  <c r="AR374" i="5"/>
  <c r="AQ374" i="5"/>
  <c r="AH374" i="5" s="1"/>
  <c r="AF374" i="5"/>
  <c r="AY564" i="5"/>
  <c r="AJ564" i="5" s="1"/>
  <c r="AX564" i="5"/>
  <c r="AW564" i="5"/>
  <c r="AV564" i="5"/>
  <c r="AU564" i="5"/>
  <c r="X564" i="5" s="1"/>
  <c r="AD564" i="5" s="1"/>
  <c r="AT564" i="5"/>
  <c r="AS564" i="5"/>
  <c r="AR564" i="5"/>
  <c r="AQ564" i="5"/>
  <c r="AH564" i="5" s="1"/>
  <c r="AF564" i="5"/>
  <c r="AY565" i="5"/>
  <c r="AJ565" i="5" s="1"/>
  <c r="AX565" i="5"/>
  <c r="AW565" i="5"/>
  <c r="AV565" i="5"/>
  <c r="AU565" i="5"/>
  <c r="X565" i="5" s="1"/>
  <c r="AT565" i="5"/>
  <c r="AS565" i="5"/>
  <c r="AR565" i="5"/>
  <c r="AQ565" i="5"/>
  <c r="AH565" i="5" s="1"/>
  <c r="AF565" i="5"/>
  <c r="AY549" i="5"/>
  <c r="AJ549" i="5" s="1"/>
  <c r="AX549" i="5"/>
  <c r="AW549" i="5"/>
  <c r="AV549" i="5"/>
  <c r="AU549" i="5"/>
  <c r="AT549" i="5"/>
  <c r="AS549" i="5"/>
  <c r="AR549" i="5"/>
  <c r="AQ549" i="5"/>
  <c r="AH549" i="5" s="1"/>
  <c r="AF549" i="5"/>
  <c r="AY761" i="5"/>
  <c r="AJ761" i="5" s="1"/>
  <c r="AX761" i="5"/>
  <c r="AW761" i="5"/>
  <c r="AV761" i="5"/>
  <c r="AU761" i="5"/>
  <c r="X761" i="5" s="1"/>
  <c r="AT761" i="5"/>
  <c r="AS761" i="5"/>
  <c r="AR761" i="5"/>
  <c r="AQ761" i="5"/>
  <c r="AH761" i="5" s="1"/>
  <c r="AF761" i="5"/>
  <c r="AY259" i="5"/>
  <c r="AJ259" i="5" s="1"/>
  <c r="AX259" i="5"/>
  <c r="AW259" i="5"/>
  <c r="AV259" i="5"/>
  <c r="AU259" i="5"/>
  <c r="X259" i="5" s="1"/>
  <c r="AD259" i="5" s="1"/>
  <c r="AT259" i="5"/>
  <c r="AS259" i="5"/>
  <c r="AR259" i="5"/>
  <c r="AQ259" i="5"/>
  <c r="AH259" i="5" s="1"/>
  <c r="AF259" i="5"/>
  <c r="AY253" i="5"/>
  <c r="AJ253" i="5" s="1"/>
  <c r="AX253" i="5"/>
  <c r="AW253" i="5"/>
  <c r="AV253" i="5"/>
  <c r="AU253" i="5"/>
  <c r="AT253" i="5"/>
  <c r="AS253" i="5"/>
  <c r="AR253" i="5"/>
  <c r="AQ253" i="5"/>
  <c r="AH253" i="5" s="1"/>
  <c r="AF253" i="5"/>
  <c r="AY364" i="5"/>
  <c r="AJ364" i="5" s="1"/>
  <c r="AX364" i="5"/>
  <c r="AW364" i="5"/>
  <c r="AV364" i="5"/>
  <c r="AU364" i="5"/>
  <c r="X364" i="5" s="1"/>
  <c r="AD364" i="5" s="1"/>
  <c r="AT364" i="5"/>
  <c r="AS364" i="5"/>
  <c r="AR364" i="5"/>
  <c r="AQ364" i="5"/>
  <c r="AH364" i="5" s="1"/>
  <c r="AF364" i="5"/>
  <c r="AY406" i="5"/>
  <c r="AJ406" i="5" s="1"/>
  <c r="AX406" i="5"/>
  <c r="AW406" i="5"/>
  <c r="AV406" i="5"/>
  <c r="AU406" i="5"/>
  <c r="X406" i="5" s="1"/>
  <c r="AD406" i="5" s="1"/>
  <c r="AT406" i="5"/>
  <c r="AS406" i="5"/>
  <c r="AR406" i="5"/>
  <c r="AQ406" i="5"/>
  <c r="AH406" i="5" s="1"/>
  <c r="AF406" i="5"/>
  <c r="AY392" i="5"/>
  <c r="AJ392" i="5" s="1"/>
  <c r="AX392" i="5"/>
  <c r="AW392" i="5"/>
  <c r="AV392" i="5"/>
  <c r="AU392" i="5"/>
  <c r="AT392" i="5"/>
  <c r="AS392" i="5"/>
  <c r="AR392" i="5"/>
  <c r="AQ392" i="5"/>
  <c r="AH392" i="5" s="1"/>
  <c r="AF392" i="5"/>
  <c r="AY604" i="5"/>
  <c r="AJ604" i="5" s="1"/>
  <c r="AX604" i="5"/>
  <c r="AW604" i="5"/>
  <c r="AV604" i="5"/>
  <c r="AU604" i="5"/>
  <c r="X604" i="5" s="1"/>
  <c r="AD604" i="5" s="1"/>
  <c r="AT604" i="5"/>
  <c r="AS604" i="5"/>
  <c r="AR604" i="5"/>
  <c r="AQ604" i="5"/>
  <c r="AH604" i="5" s="1"/>
  <c r="AF604" i="5"/>
  <c r="AY361" i="5"/>
  <c r="AJ361" i="5" s="1"/>
  <c r="AX361" i="5"/>
  <c r="AW361" i="5"/>
  <c r="AV361" i="5"/>
  <c r="AU361" i="5"/>
  <c r="X361" i="5" s="1"/>
  <c r="AD361" i="5" s="1"/>
  <c r="AT361" i="5"/>
  <c r="AS361" i="5"/>
  <c r="AR361" i="5"/>
  <c r="AQ361" i="5"/>
  <c r="AH361" i="5" s="1"/>
  <c r="AF361" i="5"/>
  <c r="AY341" i="5"/>
  <c r="AJ341" i="5" s="1"/>
  <c r="AX341" i="5"/>
  <c r="AW341" i="5"/>
  <c r="AV341" i="5"/>
  <c r="AU341" i="5"/>
  <c r="AT341" i="5"/>
  <c r="AS341" i="5"/>
  <c r="AR341" i="5"/>
  <c r="AQ341" i="5"/>
  <c r="AH341" i="5" s="1"/>
  <c r="AF341" i="5"/>
  <c r="AY526" i="5"/>
  <c r="AJ526" i="5" s="1"/>
  <c r="AX526" i="5"/>
  <c r="AW526" i="5"/>
  <c r="AV526" i="5"/>
  <c r="AU526" i="5"/>
  <c r="X526" i="5" s="1"/>
  <c r="AT526" i="5"/>
  <c r="AS526" i="5"/>
  <c r="AR526" i="5"/>
  <c r="AQ526" i="5"/>
  <c r="AH526" i="5" s="1"/>
  <c r="AF526" i="5"/>
  <c r="AY529" i="5"/>
  <c r="AJ529" i="5" s="1"/>
  <c r="AX529" i="5"/>
  <c r="AW529" i="5"/>
  <c r="AV529" i="5"/>
  <c r="AU529" i="5"/>
  <c r="X529" i="5" s="1"/>
  <c r="AD529" i="5" s="1"/>
  <c r="AT529" i="5"/>
  <c r="AS529" i="5"/>
  <c r="AR529" i="5"/>
  <c r="AQ529" i="5"/>
  <c r="AH529" i="5" s="1"/>
  <c r="AF529" i="5"/>
  <c r="AY507" i="5"/>
  <c r="AJ507" i="5" s="1"/>
  <c r="AX507" i="5"/>
  <c r="AW507" i="5"/>
  <c r="AV507" i="5"/>
  <c r="AU507" i="5"/>
  <c r="AT507" i="5"/>
  <c r="AS507" i="5"/>
  <c r="AR507" i="5"/>
  <c r="AQ507" i="5"/>
  <c r="AH507" i="5" s="1"/>
  <c r="AF507" i="5"/>
  <c r="AY740" i="5"/>
  <c r="AJ740" i="5" s="1"/>
  <c r="AX740" i="5"/>
  <c r="AW740" i="5"/>
  <c r="AV740" i="5"/>
  <c r="AU740" i="5"/>
  <c r="X740" i="5" s="1"/>
  <c r="AD740" i="5" s="1"/>
  <c r="AT740" i="5"/>
  <c r="AS740" i="5"/>
  <c r="AR740" i="5"/>
  <c r="AQ740" i="5"/>
  <c r="AH740" i="5" s="1"/>
  <c r="AF740" i="5"/>
  <c r="AY698" i="5"/>
  <c r="AX698" i="5"/>
  <c r="AW698" i="5"/>
  <c r="AV698" i="5"/>
  <c r="AU698" i="5"/>
  <c r="AT698" i="5"/>
  <c r="AS698" i="5"/>
  <c r="AR698" i="5"/>
  <c r="AQ698" i="5"/>
  <c r="AH698" i="5" s="1"/>
  <c r="AF698" i="5"/>
  <c r="AY403" i="5"/>
  <c r="AX403" i="5"/>
  <c r="AW403" i="5"/>
  <c r="AV403" i="5"/>
  <c r="AU403" i="5"/>
  <c r="AT403" i="5"/>
  <c r="AS403" i="5"/>
  <c r="AR403" i="5"/>
  <c r="AQ403" i="5"/>
  <c r="AH403" i="5" s="1"/>
  <c r="AF403" i="5"/>
  <c r="AY537" i="5"/>
  <c r="AX537" i="5"/>
  <c r="AW537" i="5"/>
  <c r="AV537" i="5"/>
  <c r="AU537" i="5"/>
  <c r="AT537" i="5"/>
  <c r="AS537" i="5"/>
  <c r="AR537" i="5"/>
  <c r="AQ537" i="5"/>
  <c r="AH537" i="5" s="1"/>
  <c r="AF537" i="5"/>
  <c r="AY536" i="5"/>
  <c r="AX536" i="5"/>
  <c r="AW536" i="5"/>
  <c r="AV536" i="5"/>
  <c r="AU536" i="5"/>
  <c r="AT536" i="5"/>
  <c r="AS536" i="5"/>
  <c r="AR536" i="5"/>
  <c r="AQ536" i="5"/>
  <c r="AH536" i="5" s="1"/>
  <c r="AF536" i="5"/>
  <c r="AY197" i="5"/>
  <c r="AX197" i="5"/>
  <c r="AW197" i="5"/>
  <c r="AV197" i="5"/>
  <c r="AU197" i="5"/>
  <c r="AT197" i="5"/>
  <c r="AS197" i="5"/>
  <c r="AR197" i="5"/>
  <c r="AQ197" i="5"/>
  <c r="AH197" i="5" s="1"/>
  <c r="AF197" i="5"/>
  <c r="AY236" i="5"/>
  <c r="AX236" i="5"/>
  <c r="AW236" i="5"/>
  <c r="AV236" i="5"/>
  <c r="AU236" i="5"/>
  <c r="AT236" i="5"/>
  <c r="AS236" i="5"/>
  <c r="AR236" i="5"/>
  <c r="AQ236" i="5"/>
  <c r="AH236" i="5" s="1"/>
  <c r="AF236" i="5"/>
  <c r="AY357" i="5"/>
  <c r="AX357" i="5"/>
  <c r="AW357" i="5"/>
  <c r="AV357" i="5"/>
  <c r="AU357" i="5"/>
  <c r="AT357" i="5"/>
  <c r="AS357" i="5"/>
  <c r="AR357" i="5"/>
  <c r="AQ357" i="5"/>
  <c r="AH357" i="5" s="1"/>
  <c r="AF357" i="5"/>
  <c r="AY271" i="5"/>
  <c r="AX271" i="5"/>
  <c r="AW271" i="5"/>
  <c r="AV271" i="5"/>
  <c r="AU271" i="5"/>
  <c r="AT271" i="5"/>
  <c r="AS271" i="5"/>
  <c r="AR271" i="5"/>
  <c r="AQ271" i="5"/>
  <c r="AH271" i="5" s="1"/>
  <c r="AF271" i="5"/>
  <c r="AY311" i="5"/>
  <c r="AX311" i="5"/>
  <c r="AW311" i="5"/>
  <c r="AV311" i="5"/>
  <c r="AU311" i="5"/>
  <c r="AT311" i="5"/>
  <c r="AS311" i="5"/>
  <c r="AR311" i="5"/>
  <c r="AQ311" i="5"/>
  <c r="AH311" i="5" s="1"/>
  <c r="AF311" i="5"/>
  <c r="AY471" i="5"/>
  <c r="AX471" i="5"/>
  <c r="AW471" i="5"/>
  <c r="AV471" i="5"/>
  <c r="AU471" i="5"/>
  <c r="AT471" i="5"/>
  <c r="AS471" i="5"/>
  <c r="AR471" i="5"/>
  <c r="AQ471" i="5"/>
  <c r="AH471" i="5" s="1"/>
  <c r="AF471" i="5"/>
  <c r="AY270" i="5"/>
  <c r="AX270" i="5"/>
  <c r="AW270" i="5"/>
  <c r="AV270" i="5"/>
  <c r="AU270" i="5"/>
  <c r="AT270" i="5"/>
  <c r="AS270" i="5"/>
  <c r="AR270" i="5"/>
  <c r="AQ270" i="5"/>
  <c r="AH270" i="5" s="1"/>
  <c r="AF270" i="5"/>
  <c r="AY310" i="5"/>
  <c r="AX310" i="5"/>
  <c r="AW310" i="5"/>
  <c r="AV310" i="5"/>
  <c r="AU310" i="5"/>
  <c r="AT310" i="5"/>
  <c r="AS310" i="5"/>
  <c r="AR310" i="5"/>
  <c r="AQ310" i="5"/>
  <c r="AH310" i="5" s="1"/>
  <c r="AF310" i="5"/>
  <c r="AY470" i="5"/>
  <c r="AX470" i="5"/>
  <c r="AW470" i="5"/>
  <c r="AV470" i="5"/>
  <c r="AU470" i="5"/>
  <c r="AT470" i="5"/>
  <c r="AS470" i="5"/>
  <c r="AR470" i="5"/>
  <c r="AQ470" i="5"/>
  <c r="AH470" i="5" s="1"/>
  <c r="AF470" i="5"/>
  <c r="AY603" i="5"/>
  <c r="AX603" i="5"/>
  <c r="AW603" i="5"/>
  <c r="AV603" i="5"/>
  <c r="AU603" i="5"/>
  <c r="AT603" i="5"/>
  <c r="AS603" i="5"/>
  <c r="AR603" i="5"/>
  <c r="AQ603" i="5"/>
  <c r="AH603" i="5" s="1"/>
  <c r="AF603" i="5"/>
  <c r="AY676" i="5"/>
  <c r="AX676" i="5"/>
  <c r="AW676" i="5"/>
  <c r="AV676" i="5"/>
  <c r="AU676" i="5"/>
  <c r="AT676" i="5"/>
  <c r="AS676" i="5"/>
  <c r="AR676" i="5"/>
  <c r="AQ676" i="5"/>
  <c r="AH676" i="5" s="1"/>
  <c r="AF676" i="5"/>
  <c r="AY807" i="5"/>
  <c r="AX807" i="5"/>
  <c r="AW807" i="5"/>
  <c r="AV807" i="5"/>
  <c r="AU807" i="5"/>
  <c r="AT807" i="5"/>
  <c r="AS807" i="5"/>
  <c r="AR807" i="5"/>
  <c r="AQ807" i="5"/>
  <c r="AH807" i="5" s="1"/>
  <c r="AF807" i="5"/>
  <c r="AY718" i="5"/>
  <c r="AX718" i="5"/>
  <c r="AW718" i="5"/>
  <c r="AV718" i="5"/>
  <c r="AU718" i="5"/>
  <c r="AT718" i="5"/>
  <c r="AS718" i="5"/>
  <c r="AR718" i="5"/>
  <c r="AQ718" i="5"/>
  <c r="AH718" i="5" s="1"/>
  <c r="AF718" i="5"/>
  <c r="AY777" i="5"/>
  <c r="AX777" i="5"/>
  <c r="AW777" i="5"/>
  <c r="AV777" i="5"/>
  <c r="AU777" i="5"/>
  <c r="AT777" i="5"/>
  <c r="AS777" i="5"/>
  <c r="AR777" i="5"/>
  <c r="AQ777" i="5"/>
  <c r="AH777" i="5" s="1"/>
  <c r="AF777" i="5"/>
  <c r="AY869" i="5"/>
  <c r="AX869" i="5"/>
  <c r="AW869" i="5"/>
  <c r="AV869" i="5"/>
  <c r="AU869" i="5"/>
  <c r="AT869" i="5"/>
  <c r="AS869" i="5"/>
  <c r="AR869" i="5"/>
  <c r="AQ869" i="5"/>
  <c r="AH869" i="5" s="1"/>
  <c r="AF869" i="5"/>
  <c r="AY717" i="5"/>
  <c r="AX717" i="5"/>
  <c r="AW717" i="5"/>
  <c r="AV717" i="5"/>
  <c r="AU717" i="5"/>
  <c r="AT717" i="5"/>
  <c r="AS717" i="5"/>
  <c r="AR717" i="5"/>
  <c r="AQ717" i="5"/>
  <c r="AH717" i="5" s="1"/>
  <c r="AF717" i="5"/>
  <c r="AY776" i="5"/>
  <c r="AX776" i="5"/>
  <c r="AW776" i="5"/>
  <c r="AV776" i="5"/>
  <c r="AU776" i="5"/>
  <c r="AT776" i="5"/>
  <c r="AS776" i="5"/>
  <c r="AR776" i="5"/>
  <c r="AQ776" i="5"/>
  <c r="AH776" i="5" s="1"/>
  <c r="AF776" i="5"/>
  <c r="AY868" i="5"/>
  <c r="AX868" i="5"/>
  <c r="AW868" i="5"/>
  <c r="AV868" i="5"/>
  <c r="AU868" i="5"/>
  <c r="AT868" i="5"/>
  <c r="AS868" i="5"/>
  <c r="AR868" i="5"/>
  <c r="AQ868" i="5"/>
  <c r="AH868" i="5" s="1"/>
  <c r="AF868" i="5"/>
  <c r="AY184" i="5"/>
  <c r="AX184" i="5"/>
  <c r="AW184" i="5"/>
  <c r="AV184" i="5"/>
  <c r="AU184" i="5"/>
  <c r="AT184" i="5"/>
  <c r="AS184" i="5"/>
  <c r="AR184" i="5"/>
  <c r="AQ184" i="5"/>
  <c r="AH184" i="5" s="1"/>
  <c r="AF184" i="5"/>
  <c r="AY218" i="5"/>
  <c r="AX218" i="5"/>
  <c r="AW218" i="5"/>
  <c r="AV218" i="5"/>
  <c r="AU218" i="5"/>
  <c r="AT218" i="5"/>
  <c r="AS218" i="5"/>
  <c r="AR218" i="5"/>
  <c r="AQ218" i="5"/>
  <c r="AH218" i="5" s="1"/>
  <c r="AF218" i="5"/>
  <c r="AY314" i="5"/>
  <c r="AX314" i="5"/>
  <c r="AW314" i="5"/>
  <c r="AV314" i="5"/>
  <c r="AU314" i="5"/>
  <c r="AT314" i="5"/>
  <c r="AS314" i="5"/>
  <c r="AR314" i="5"/>
  <c r="AQ314" i="5"/>
  <c r="AH314" i="5" s="1"/>
  <c r="AF314" i="5"/>
  <c r="AY249" i="5"/>
  <c r="AX249" i="5"/>
  <c r="AW249" i="5"/>
  <c r="AV249" i="5"/>
  <c r="AU249" i="5"/>
  <c r="AT249" i="5"/>
  <c r="AS249" i="5"/>
  <c r="AR249" i="5"/>
  <c r="AQ249" i="5"/>
  <c r="AH249" i="5" s="1"/>
  <c r="AF249" i="5"/>
  <c r="AY295" i="5"/>
  <c r="AX295" i="5"/>
  <c r="AW295" i="5"/>
  <c r="AV295" i="5"/>
  <c r="AU295" i="5"/>
  <c r="AT295" i="5"/>
  <c r="AS295" i="5"/>
  <c r="AR295" i="5"/>
  <c r="AQ295" i="5"/>
  <c r="AH295" i="5" s="1"/>
  <c r="AF295" i="5"/>
  <c r="AY438" i="5"/>
  <c r="AX438" i="5"/>
  <c r="AW438" i="5"/>
  <c r="AV438" i="5"/>
  <c r="AU438" i="5"/>
  <c r="AT438" i="5"/>
  <c r="AS438" i="5"/>
  <c r="AR438" i="5"/>
  <c r="AQ438" i="5"/>
  <c r="AH438" i="5" s="1"/>
  <c r="AF438" i="5"/>
  <c r="AY248" i="5"/>
  <c r="AX248" i="5"/>
  <c r="AW248" i="5"/>
  <c r="AV248" i="5"/>
  <c r="AU248" i="5"/>
  <c r="AT248" i="5"/>
  <c r="AS248" i="5"/>
  <c r="AR248" i="5"/>
  <c r="AQ248" i="5"/>
  <c r="AH248" i="5" s="1"/>
  <c r="AF248" i="5"/>
  <c r="AY294" i="5"/>
  <c r="AX294" i="5"/>
  <c r="AW294" i="5"/>
  <c r="AV294" i="5"/>
  <c r="AU294" i="5"/>
  <c r="AT294" i="5"/>
  <c r="AS294" i="5"/>
  <c r="AR294" i="5"/>
  <c r="AQ294" i="5"/>
  <c r="AH294" i="5" s="1"/>
  <c r="AF294" i="5"/>
  <c r="AY437" i="5"/>
  <c r="AX437" i="5"/>
  <c r="AW437" i="5"/>
  <c r="AV437" i="5"/>
  <c r="AU437" i="5"/>
  <c r="AT437" i="5"/>
  <c r="AS437" i="5"/>
  <c r="AR437" i="5"/>
  <c r="AQ437" i="5"/>
  <c r="AH437" i="5" s="1"/>
  <c r="AF437" i="5"/>
  <c r="AY483" i="5"/>
  <c r="AX483" i="5"/>
  <c r="AW483" i="5"/>
  <c r="AV483" i="5"/>
  <c r="AU483" i="5"/>
  <c r="AT483" i="5"/>
  <c r="AS483" i="5"/>
  <c r="AR483" i="5"/>
  <c r="AQ483" i="5"/>
  <c r="AH483" i="5" s="1"/>
  <c r="AF483" i="5"/>
  <c r="AY247" i="5"/>
  <c r="AX247" i="5"/>
  <c r="AW247" i="5"/>
  <c r="AV247" i="5"/>
  <c r="AU247" i="5"/>
  <c r="AT247" i="5"/>
  <c r="AS247" i="5"/>
  <c r="AR247" i="5"/>
  <c r="AQ247" i="5"/>
  <c r="AH247" i="5" s="1"/>
  <c r="AF247" i="5"/>
  <c r="AY317" i="5"/>
  <c r="AX317" i="5"/>
  <c r="AW317" i="5"/>
  <c r="AV317" i="5"/>
  <c r="AU317" i="5"/>
  <c r="AT317" i="5"/>
  <c r="AS317" i="5"/>
  <c r="AR317" i="5"/>
  <c r="AQ317" i="5"/>
  <c r="AH317" i="5" s="1"/>
  <c r="AF317" i="5"/>
  <c r="AY316" i="5"/>
  <c r="AX316" i="5"/>
  <c r="AW316" i="5"/>
  <c r="AV316" i="5"/>
  <c r="AU316" i="5"/>
  <c r="AT316" i="5"/>
  <c r="AS316" i="5"/>
  <c r="AR316" i="5"/>
  <c r="AQ316" i="5"/>
  <c r="AH316" i="5" s="1"/>
  <c r="AF316" i="5"/>
  <c r="AY127" i="5"/>
  <c r="AX127" i="5"/>
  <c r="AW127" i="5"/>
  <c r="AV127" i="5"/>
  <c r="AU127" i="5"/>
  <c r="AT127" i="5"/>
  <c r="AS127" i="5"/>
  <c r="AR127" i="5"/>
  <c r="AQ127" i="5"/>
  <c r="AH127" i="5" s="1"/>
  <c r="AF127" i="5"/>
  <c r="AY142" i="5"/>
  <c r="AX142" i="5"/>
  <c r="AW142" i="5"/>
  <c r="AV142" i="5"/>
  <c r="AU142" i="5"/>
  <c r="AT142" i="5"/>
  <c r="AS142" i="5"/>
  <c r="AR142" i="5"/>
  <c r="AQ142" i="5"/>
  <c r="AH142" i="5" s="1"/>
  <c r="AF142" i="5"/>
  <c r="AY213" i="5"/>
  <c r="AX213" i="5"/>
  <c r="AW213" i="5"/>
  <c r="AV213" i="5"/>
  <c r="AU213" i="5"/>
  <c r="AT213" i="5"/>
  <c r="AS213" i="5"/>
  <c r="AR213" i="5"/>
  <c r="AQ213" i="5"/>
  <c r="AH213" i="5" s="1"/>
  <c r="AF213" i="5"/>
  <c r="AY165" i="5"/>
  <c r="AX165" i="5"/>
  <c r="AW165" i="5"/>
  <c r="AV165" i="5"/>
  <c r="AU165" i="5"/>
  <c r="AT165" i="5"/>
  <c r="AS165" i="5"/>
  <c r="AR165" i="5"/>
  <c r="AQ165" i="5"/>
  <c r="AH165" i="5" s="1"/>
  <c r="AF165" i="5"/>
  <c r="AY193" i="5"/>
  <c r="AX193" i="5"/>
  <c r="AW193" i="5"/>
  <c r="AV193" i="5"/>
  <c r="AU193" i="5"/>
  <c r="AT193" i="5"/>
  <c r="AS193" i="5"/>
  <c r="AR193" i="5"/>
  <c r="AQ193" i="5"/>
  <c r="AH193" i="5" s="1"/>
  <c r="AF193" i="5"/>
  <c r="AY293" i="5"/>
  <c r="AX293" i="5"/>
  <c r="AW293" i="5"/>
  <c r="AV293" i="5"/>
  <c r="AU293" i="5"/>
  <c r="AT293" i="5"/>
  <c r="AS293" i="5"/>
  <c r="AR293" i="5"/>
  <c r="AQ293" i="5"/>
  <c r="AH293" i="5" s="1"/>
  <c r="AF293" i="5"/>
  <c r="AY164" i="5"/>
  <c r="AX164" i="5"/>
  <c r="AW164" i="5"/>
  <c r="AV164" i="5"/>
  <c r="AU164" i="5"/>
  <c r="AT164" i="5"/>
  <c r="AS164" i="5"/>
  <c r="AR164" i="5"/>
  <c r="AQ164" i="5"/>
  <c r="AH164" i="5" s="1"/>
  <c r="AF164" i="5"/>
  <c r="AY192" i="5"/>
  <c r="AX192" i="5"/>
  <c r="AW192" i="5"/>
  <c r="AV192" i="5"/>
  <c r="AU192" i="5"/>
  <c r="AT192" i="5"/>
  <c r="AS192" i="5"/>
  <c r="AR192" i="5"/>
  <c r="AQ192" i="5"/>
  <c r="AH192" i="5" s="1"/>
  <c r="AF192" i="5"/>
  <c r="AY292" i="5"/>
  <c r="AX292" i="5"/>
  <c r="AW292" i="5"/>
  <c r="AV292" i="5"/>
  <c r="AU292" i="5"/>
  <c r="AT292" i="5"/>
  <c r="AS292" i="5"/>
  <c r="AR292" i="5"/>
  <c r="AQ292" i="5"/>
  <c r="AH292" i="5" s="1"/>
  <c r="AF292" i="5"/>
  <c r="AY402" i="5"/>
  <c r="AX402" i="5"/>
  <c r="AW402" i="5"/>
  <c r="AV402" i="5"/>
  <c r="AU402" i="5"/>
  <c r="AT402" i="5"/>
  <c r="AS402" i="5"/>
  <c r="AR402" i="5"/>
  <c r="AQ402" i="5"/>
  <c r="AH402" i="5" s="1"/>
  <c r="AF402" i="5"/>
  <c r="AY447" i="5"/>
  <c r="AX447" i="5"/>
  <c r="AW447" i="5"/>
  <c r="AV447" i="5"/>
  <c r="AU447" i="5"/>
  <c r="AT447" i="5"/>
  <c r="AS447" i="5"/>
  <c r="AR447" i="5"/>
  <c r="AQ447" i="5"/>
  <c r="AH447" i="5" s="1"/>
  <c r="AF447" i="5"/>
  <c r="AY635" i="5"/>
  <c r="AX635" i="5"/>
  <c r="AW635" i="5"/>
  <c r="AV635" i="5"/>
  <c r="AU635" i="5"/>
  <c r="AT635" i="5"/>
  <c r="AS635" i="5"/>
  <c r="AR635" i="5"/>
  <c r="AQ635" i="5"/>
  <c r="AH635" i="5" s="1"/>
  <c r="AF635" i="5"/>
  <c r="AY533" i="5"/>
  <c r="AX533" i="5"/>
  <c r="AW533" i="5"/>
  <c r="AV533" i="5"/>
  <c r="AU533" i="5"/>
  <c r="AT533" i="5"/>
  <c r="AS533" i="5"/>
  <c r="AR533" i="5"/>
  <c r="AQ533" i="5"/>
  <c r="AH533" i="5" s="1"/>
  <c r="AF533" i="5"/>
  <c r="AY598" i="5"/>
  <c r="AX598" i="5"/>
  <c r="AW598" i="5"/>
  <c r="AV598" i="5"/>
  <c r="AU598" i="5"/>
  <c r="AT598" i="5"/>
  <c r="AS598" i="5"/>
  <c r="AR598" i="5"/>
  <c r="AQ598" i="5"/>
  <c r="AH598" i="5" s="1"/>
  <c r="AF598" i="5"/>
  <c r="AY749" i="5"/>
  <c r="AX749" i="5"/>
  <c r="AW749" i="5"/>
  <c r="AV749" i="5"/>
  <c r="AU749" i="5"/>
  <c r="AT749" i="5"/>
  <c r="AS749" i="5"/>
  <c r="AR749" i="5"/>
  <c r="AQ749" i="5"/>
  <c r="AH749" i="5" s="1"/>
  <c r="AF749" i="5"/>
  <c r="AY532" i="5"/>
  <c r="AX532" i="5"/>
  <c r="AW532" i="5"/>
  <c r="AV532" i="5"/>
  <c r="AU532" i="5"/>
  <c r="AT532" i="5"/>
  <c r="AS532" i="5"/>
  <c r="AR532" i="5"/>
  <c r="AQ532" i="5"/>
  <c r="AH532" i="5" s="1"/>
  <c r="AF532" i="5"/>
  <c r="AY597" i="5"/>
  <c r="AX597" i="5"/>
  <c r="AW597" i="5"/>
  <c r="AV597" i="5"/>
  <c r="AU597" i="5"/>
  <c r="AT597" i="5"/>
  <c r="AS597" i="5"/>
  <c r="AR597" i="5"/>
  <c r="AQ597" i="5"/>
  <c r="AH597" i="5" s="1"/>
  <c r="AF597" i="5"/>
  <c r="AY748" i="5"/>
  <c r="AX748" i="5"/>
  <c r="AW748" i="5"/>
  <c r="AV748" i="5"/>
  <c r="AU748" i="5"/>
  <c r="AT748" i="5"/>
  <c r="AS748" i="5"/>
  <c r="AR748" i="5"/>
  <c r="AQ748" i="5"/>
  <c r="AH748" i="5" s="1"/>
  <c r="AF748" i="5"/>
  <c r="AY118" i="5"/>
  <c r="AX118" i="5"/>
  <c r="AW118" i="5"/>
  <c r="AV118" i="5"/>
  <c r="AU118" i="5"/>
  <c r="AT118" i="5"/>
  <c r="AS118" i="5"/>
  <c r="AR118" i="5"/>
  <c r="AQ118" i="5"/>
  <c r="AH118" i="5" s="1"/>
  <c r="AF118" i="5"/>
  <c r="AY133" i="5"/>
  <c r="AX133" i="5"/>
  <c r="AW133" i="5"/>
  <c r="AV133" i="5"/>
  <c r="AU133" i="5"/>
  <c r="AT133" i="5"/>
  <c r="AS133" i="5"/>
  <c r="AR133" i="5"/>
  <c r="AQ133" i="5"/>
  <c r="AH133" i="5" s="1"/>
  <c r="AF133" i="5"/>
  <c r="AY198" i="5"/>
  <c r="AX198" i="5"/>
  <c r="AW198" i="5"/>
  <c r="AV198" i="5"/>
  <c r="AU198" i="5"/>
  <c r="AT198" i="5"/>
  <c r="AS198" i="5"/>
  <c r="AR198" i="5"/>
  <c r="AQ198" i="5"/>
  <c r="AH198" i="5" s="1"/>
  <c r="AF198" i="5"/>
  <c r="AY154" i="5"/>
  <c r="AX154" i="5"/>
  <c r="AW154" i="5"/>
  <c r="AV154" i="5"/>
  <c r="AU154" i="5"/>
  <c r="AT154" i="5"/>
  <c r="AS154" i="5"/>
  <c r="AR154" i="5"/>
  <c r="AQ154" i="5"/>
  <c r="AH154" i="5" s="1"/>
  <c r="AF154" i="5"/>
  <c r="AY181" i="5"/>
  <c r="AX181" i="5"/>
  <c r="AW181" i="5"/>
  <c r="AV181" i="5"/>
  <c r="AU181" i="5"/>
  <c r="AT181" i="5"/>
  <c r="AS181" i="5"/>
  <c r="AR181" i="5"/>
  <c r="AQ181" i="5"/>
  <c r="AH181" i="5" s="1"/>
  <c r="AF181" i="5"/>
  <c r="AY274" i="5"/>
  <c r="AX274" i="5"/>
  <c r="AW274" i="5"/>
  <c r="AV274" i="5"/>
  <c r="AU274" i="5"/>
  <c r="AT274" i="5"/>
  <c r="AS274" i="5"/>
  <c r="AR274" i="5"/>
  <c r="AQ274" i="5"/>
  <c r="AH274" i="5" s="1"/>
  <c r="AF274" i="5"/>
  <c r="AY153" i="5"/>
  <c r="AX153" i="5"/>
  <c r="AW153" i="5"/>
  <c r="AV153" i="5"/>
  <c r="AU153" i="5"/>
  <c r="AT153" i="5"/>
  <c r="AS153" i="5"/>
  <c r="AR153" i="5"/>
  <c r="AQ153" i="5"/>
  <c r="AH153" i="5" s="1"/>
  <c r="AF153" i="5"/>
  <c r="AY180" i="5"/>
  <c r="AX180" i="5"/>
  <c r="AW180" i="5"/>
  <c r="AV180" i="5"/>
  <c r="AU180" i="5"/>
  <c r="AT180" i="5"/>
  <c r="AS180" i="5"/>
  <c r="AR180" i="5"/>
  <c r="AQ180" i="5"/>
  <c r="AH180" i="5" s="1"/>
  <c r="AF180" i="5"/>
  <c r="AY273" i="5"/>
  <c r="AX273" i="5"/>
  <c r="AW273" i="5"/>
  <c r="AV273" i="5"/>
  <c r="AU273" i="5"/>
  <c r="AT273" i="5"/>
  <c r="AS273" i="5"/>
  <c r="AR273" i="5"/>
  <c r="AQ273" i="5"/>
  <c r="AH273" i="5" s="1"/>
  <c r="AF273" i="5"/>
  <c r="AY973" i="5"/>
  <c r="AE973" i="5" s="1"/>
  <c r="AX973" i="5"/>
  <c r="AW973" i="5"/>
  <c r="AV973" i="5"/>
  <c r="AU973" i="5"/>
  <c r="AT973" i="5"/>
  <c r="AS973" i="5"/>
  <c r="AR973" i="5"/>
  <c r="AQ973" i="5"/>
  <c r="AF973" i="5"/>
  <c r="AY964" i="5"/>
  <c r="AE964" i="5" s="1"/>
  <c r="AX964" i="5"/>
  <c r="AW964" i="5"/>
  <c r="AV964" i="5"/>
  <c r="AU964" i="5"/>
  <c r="AT964" i="5"/>
  <c r="AS964" i="5"/>
  <c r="AR964" i="5"/>
  <c r="AQ964" i="5"/>
  <c r="AF964" i="5"/>
  <c r="AY971" i="5"/>
  <c r="AE971" i="5" s="1"/>
  <c r="AX971" i="5"/>
  <c r="AW971" i="5"/>
  <c r="AV971" i="5"/>
  <c r="AU971" i="5"/>
  <c r="AT971" i="5"/>
  <c r="AS971" i="5"/>
  <c r="AR971" i="5"/>
  <c r="AQ971" i="5"/>
  <c r="AF971" i="5"/>
  <c r="AY970" i="5"/>
  <c r="AE970" i="5" s="1"/>
  <c r="AX970" i="5"/>
  <c r="AW970" i="5"/>
  <c r="AV970" i="5"/>
  <c r="AU970" i="5"/>
  <c r="AT970" i="5"/>
  <c r="AS970" i="5"/>
  <c r="AR970" i="5"/>
  <c r="AQ970" i="5"/>
  <c r="AF970" i="5"/>
  <c r="AY927" i="5"/>
  <c r="AE927" i="5" s="1"/>
  <c r="AX927" i="5"/>
  <c r="AW927" i="5"/>
  <c r="AV927" i="5"/>
  <c r="AU927" i="5"/>
  <c r="AT927" i="5"/>
  <c r="AS927" i="5"/>
  <c r="AR927" i="5"/>
  <c r="AQ927" i="5"/>
  <c r="AF927" i="5"/>
  <c r="AY960" i="5"/>
  <c r="AE960" i="5" s="1"/>
  <c r="AX960" i="5"/>
  <c r="AW960" i="5"/>
  <c r="AV960" i="5"/>
  <c r="AU960" i="5"/>
  <c r="AT960" i="5"/>
  <c r="AS960" i="5"/>
  <c r="AR960" i="5"/>
  <c r="AQ960" i="5"/>
  <c r="AF960" i="5"/>
  <c r="AY959" i="5"/>
  <c r="AE959" i="5" s="1"/>
  <c r="AX959" i="5"/>
  <c r="AW959" i="5"/>
  <c r="AV959" i="5"/>
  <c r="AU959" i="5"/>
  <c r="AT959" i="5"/>
  <c r="AS959" i="5"/>
  <c r="AR959" i="5"/>
  <c r="AQ959" i="5"/>
  <c r="AF959" i="5"/>
  <c r="AY950" i="5"/>
  <c r="AE950" i="5" s="1"/>
  <c r="AX950" i="5"/>
  <c r="AW950" i="5"/>
  <c r="AV950" i="5"/>
  <c r="AU950" i="5"/>
  <c r="AT950" i="5"/>
  <c r="AS950" i="5"/>
  <c r="AR950" i="5"/>
  <c r="AQ950" i="5"/>
  <c r="AF950" i="5"/>
  <c r="AY969" i="5"/>
  <c r="AE969" i="5" s="1"/>
  <c r="AX969" i="5"/>
  <c r="AW969" i="5"/>
  <c r="AV969" i="5"/>
  <c r="AU969" i="5"/>
  <c r="AT969" i="5"/>
  <c r="AS969" i="5"/>
  <c r="AR969" i="5"/>
  <c r="AQ969" i="5"/>
  <c r="AF969" i="5"/>
  <c r="AY968" i="5"/>
  <c r="AE968" i="5" s="1"/>
  <c r="AX968" i="5"/>
  <c r="AW968" i="5"/>
  <c r="AV968" i="5"/>
  <c r="AU968" i="5"/>
  <c r="AT968" i="5"/>
  <c r="AS968" i="5"/>
  <c r="AR968" i="5"/>
  <c r="AQ968" i="5"/>
  <c r="AF968" i="5"/>
  <c r="AY949" i="5"/>
  <c r="AE949" i="5" s="1"/>
  <c r="AX949" i="5"/>
  <c r="AW949" i="5"/>
  <c r="AV949" i="5"/>
  <c r="AU949" i="5"/>
  <c r="AT949" i="5"/>
  <c r="AS949" i="5"/>
  <c r="AR949" i="5"/>
  <c r="AQ949" i="5"/>
  <c r="AF949" i="5"/>
  <c r="AY967" i="5"/>
  <c r="AE967" i="5" s="1"/>
  <c r="AX967" i="5"/>
  <c r="AW967" i="5"/>
  <c r="AV967" i="5"/>
  <c r="AU967" i="5"/>
  <c r="AT967" i="5"/>
  <c r="AS967" i="5"/>
  <c r="AR967" i="5"/>
  <c r="AQ967" i="5"/>
  <c r="AF967" i="5"/>
  <c r="AY966" i="5"/>
  <c r="AE966" i="5" s="1"/>
  <c r="AX966" i="5"/>
  <c r="AW966" i="5"/>
  <c r="AV966" i="5"/>
  <c r="AU966" i="5"/>
  <c r="AT966" i="5"/>
  <c r="AS966" i="5"/>
  <c r="AR966" i="5"/>
  <c r="AQ966" i="5"/>
  <c r="AF966" i="5"/>
  <c r="AY754" i="5"/>
  <c r="AE754" i="5" s="1"/>
  <c r="AX754" i="5"/>
  <c r="AW754" i="5"/>
  <c r="AV754" i="5"/>
  <c r="AU754" i="5"/>
  <c r="AT754" i="5"/>
  <c r="AS754" i="5"/>
  <c r="AR754" i="5"/>
  <c r="AQ754" i="5"/>
  <c r="AF754" i="5"/>
  <c r="AY892" i="5"/>
  <c r="AE892" i="5" s="1"/>
  <c r="AX892" i="5"/>
  <c r="AW892" i="5"/>
  <c r="AV892" i="5"/>
  <c r="AU892" i="5"/>
  <c r="AT892" i="5"/>
  <c r="AS892" i="5"/>
  <c r="AR892" i="5"/>
  <c r="AQ892" i="5"/>
  <c r="AF892" i="5"/>
  <c r="AY891" i="5"/>
  <c r="AE891" i="5" s="1"/>
  <c r="AX891" i="5"/>
  <c r="AW891" i="5"/>
  <c r="AV891" i="5"/>
  <c r="AU891" i="5"/>
  <c r="AT891" i="5"/>
  <c r="AS891" i="5"/>
  <c r="AR891" i="5"/>
  <c r="AQ891" i="5"/>
  <c r="AF891" i="5"/>
  <c r="AY838" i="5"/>
  <c r="AE838" i="5" s="1"/>
  <c r="AX838" i="5"/>
  <c r="AW838" i="5"/>
  <c r="AV838" i="5"/>
  <c r="AU838" i="5"/>
  <c r="AT838" i="5"/>
  <c r="AS838" i="5"/>
  <c r="AR838" i="5"/>
  <c r="AQ838" i="5"/>
  <c r="AF838" i="5"/>
  <c r="AY946" i="5"/>
  <c r="AE946" i="5" s="1"/>
  <c r="AX946" i="5"/>
  <c r="AW946" i="5"/>
  <c r="AV946" i="5"/>
  <c r="AU946" i="5"/>
  <c r="AT946" i="5"/>
  <c r="AS946" i="5"/>
  <c r="AR946" i="5"/>
  <c r="AQ946" i="5"/>
  <c r="AF946" i="5"/>
  <c r="AY945" i="5"/>
  <c r="AE945" i="5" s="1"/>
  <c r="AX945" i="5"/>
  <c r="AW945" i="5"/>
  <c r="AV945" i="5"/>
  <c r="AU945" i="5"/>
  <c r="AT945" i="5"/>
  <c r="AS945" i="5"/>
  <c r="AR945" i="5"/>
  <c r="AQ945" i="5"/>
  <c r="AF945" i="5"/>
  <c r="AY837" i="5"/>
  <c r="AE837" i="5" s="1"/>
  <c r="AX837" i="5"/>
  <c r="AW837" i="5"/>
  <c r="AV837" i="5"/>
  <c r="AU837" i="5"/>
  <c r="AT837" i="5"/>
  <c r="AS837" i="5"/>
  <c r="AR837" i="5"/>
  <c r="AQ837" i="5"/>
  <c r="AF837" i="5"/>
  <c r="AY944" i="5"/>
  <c r="AE944" i="5" s="1"/>
  <c r="AX944" i="5"/>
  <c r="AW944" i="5"/>
  <c r="AV944" i="5"/>
  <c r="AU944" i="5"/>
  <c r="AT944" i="5"/>
  <c r="AS944" i="5"/>
  <c r="AR944" i="5"/>
  <c r="AQ944" i="5"/>
  <c r="AF944" i="5"/>
  <c r="AY943" i="5"/>
  <c r="AE943" i="5" s="1"/>
  <c r="AX943" i="5"/>
  <c r="AW943" i="5"/>
  <c r="AV943" i="5"/>
  <c r="AU943" i="5"/>
  <c r="AT943" i="5"/>
  <c r="AS943" i="5"/>
  <c r="AR943" i="5"/>
  <c r="AQ943" i="5"/>
  <c r="AF943" i="5"/>
  <c r="AY619" i="5"/>
  <c r="AE619" i="5" s="1"/>
  <c r="AX619" i="5"/>
  <c r="AW619" i="5"/>
  <c r="AV619" i="5"/>
  <c r="AU619" i="5"/>
  <c r="AT619" i="5"/>
  <c r="AS619" i="5"/>
  <c r="AR619" i="5"/>
  <c r="AQ619" i="5"/>
  <c r="AF619" i="5"/>
  <c r="AY832" i="5"/>
  <c r="AE832" i="5" s="1"/>
  <c r="AX832" i="5"/>
  <c r="AW832" i="5"/>
  <c r="AV832" i="5"/>
  <c r="AU832" i="5"/>
  <c r="AT832" i="5"/>
  <c r="AS832" i="5"/>
  <c r="AR832" i="5"/>
  <c r="AQ832" i="5"/>
  <c r="AF832" i="5"/>
  <c r="AY831" i="5"/>
  <c r="AE831" i="5" s="1"/>
  <c r="AX831" i="5"/>
  <c r="AW831" i="5"/>
  <c r="AV831" i="5"/>
  <c r="AU831" i="5"/>
  <c r="AT831" i="5"/>
  <c r="AS831" i="5"/>
  <c r="AR831" i="5"/>
  <c r="AQ831" i="5"/>
  <c r="AF831" i="5"/>
  <c r="AY691" i="5"/>
  <c r="AE691" i="5" s="1"/>
  <c r="AX691" i="5"/>
  <c r="AW691" i="5"/>
  <c r="AV691" i="5"/>
  <c r="AU691" i="5"/>
  <c r="AT691" i="5"/>
  <c r="AS691" i="5"/>
  <c r="AR691" i="5"/>
  <c r="AQ691" i="5"/>
  <c r="AF691" i="5"/>
  <c r="AY887" i="5"/>
  <c r="AE887" i="5" s="1"/>
  <c r="AX887" i="5"/>
  <c r="AW887" i="5"/>
  <c r="AV887" i="5"/>
  <c r="AU887" i="5"/>
  <c r="AT887" i="5"/>
  <c r="AS887" i="5"/>
  <c r="AR887" i="5"/>
  <c r="AQ887" i="5"/>
  <c r="AF887" i="5"/>
  <c r="AY886" i="5"/>
  <c r="AE886" i="5" s="1"/>
  <c r="AX886" i="5"/>
  <c r="AW886" i="5"/>
  <c r="AV886" i="5"/>
  <c r="AU886" i="5"/>
  <c r="AT886" i="5"/>
  <c r="AS886" i="5"/>
  <c r="AR886" i="5"/>
  <c r="AQ886" i="5"/>
  <c r="AF886" i="5"/>
  <c r="AY690" i="5"/>
  <c r="AE690" i="5" s="1"/>
  <c r="AX690" i="5"/>
  <c r="AW690" i="5"/>
  <c r="AV690" i="5"/>
  <c r="AU690" i="5"/>
  <c r="AT690" i="5"/>
  <c r="AS690" i="5"/>
  <c r="AR690" i="5"/>
  <c r="AQ690" i="5"/>
  <c r="AF690" i="5"/>
  <c r="AY885" i="5"/>
  <c r="AE885" i="5" s="1"/>
  <c r="AX885" i="5"/>
  <c r="AW885" i="5"/>
  <c r="AV885" i="5"/>
  <c r="AU885" i="5"/>
  <c r="AT885" i="5"/>
  <c r="AS885" i="5"/>
  <c r="AR885" i="5"/>
  <c r="AQ885" i="5"/>
  <c r="AF885" i="5"/>
  <c r="AY884" i="5"/>
  <c r="AE884" i="5" s="1"/>
  <c r="AX884" i="5"/>
  <c r="AW884" i="5"/>
  <c r="AV884" i="5"/>
  <c r="AU884" i="5"/>
  <c r="AT884" i="5"/>
  <c r="AS884" i="5"/>
  <c r="AR884" i="5"/>
  <c r="AQ884" i="5"/>
  <c r="AF884" i="5"/>
  <c r="AY935" i="5"/>
  <c r="AX935" i="5"/>
  <c r="AW935" i="5"/>
  <c r="AV935" i="5"/>
  <c r="AU935" i="5"/>
  <c r="AT935" i="5"/>
  <c r="AS935" i="5"/>
  <c r="AR935" i="5"/>
  <c r="AQ935" i="5"/>
  <c r="AF935" i="5"/>
  <c r="AY798" i="5"/>
  <c r="AX798" i="5"/>
  <c r="AW798" i="5"/>
  <c r="AV798" i="5"/>
  <c r="AU798" i="5"/>
  <c r="AT798" i="5"/>
  <c r="AS798" i="5"/>
  <c r="AR798" i="5"/>
  <c r="AQ798" i="5"/>
  <c r="AF798" i="5"/>
  <c r="AY872" i="5"/>
  <c r="AX872" i="5"/>
  <c r="AW872" i="5"/>
  <c r="AV872" i="5"/>
  <c r="AU872" i="5"/>
  <c r="AT872" i="5"/>
  <c r="AS872" i="5"/>
  <c r="AR872" i="5"/>
  <c r="AQ872" i="5"/>
  <c r="AF872" i="5"/>
  <c r="AY871" i="5"/>
  <c r="AX871" i="5"/>
  <c r="AW871" i="5"/>
  <c r="AV871" i="5"/>
  <c r="AU871" i="5"/>
  <c r="AT871" i="5"/>
  <c r="AS871" i="5"/>
  <c r="AR871" i="5"/>
  <c r="AQ871" i="5"/>
  <c r="AF871" i="5"/>
  <c r="AY644" i="5"/>
  <c r="AX644" i="5"/>
  <c r="AW644" i="5"/>
  <c r="AV644" i="5"/>
  <c r="AU644" i="5"/>
  <c r="AT644" i="5"/>
  <c r="AS644" i="5"/>
  <c r="AR644" i="5"/>
  <c r="AQ644" i="5"/>
  <c r="AF644" i="5"/>
  <c r="AY372" i="5"/>
  <c r="AX372" i="5"/>
  <c r="AW372" i="5"/>
  <c r="AV372" i="5"/>
  <c r="AU372" i="5"/>
  <c r="AT372" i="5"/>
  <c r="AS372" i="5"/>
  <c r="AR372" i="5"/>
  <c r="AQ372" i="5"/>
  <c r="AF372" i="5"/>
  <c r="AY778" i="5"/>
  <c r="AX778" i="5"/>
  <c r="AW778" i="5"/>
  <c r="AV778" i="5"/>
  <c r="AU778" i="5"/>
  <c r="AT778" i="5"/>
  <c r="AS778" i="5"/>
  <c r="AR778" i="5"/>
  <c r="AQ778" i="5"/>
  <c r="AF778" i="5"/>
  <c r="AY758" i="5"/>
  <c r="AX758" i="5"/>
  <c r="AW758" i="5"/>
  <c r="AV758" i="5"/>
  <c r="AU758" i="5"/>
  <c r="AT758" i="5"/>
  <c r="AS758" i="5"/>
  <c r="AR758" i="5"/>
  <c r="AQ758" i="5"/>
  <c r="AF758" i="5"/>
  <c r="AY506" i="5"/>
  <c r="AX506" i="5"/>
  <c r="AW506" i="5"/>
  <c r="AV506" i="5"/>
  <c r="AU506" i="5"/>
  <c r="AT506" i="5"/>
  <c r="AS506" i="5"/>
  <c r="AR506" i="5"/>
  <c r="AQ506" i="5"/>
  <c r="AF506" i="5"/>
  <c r="AY856" i="5"/>
  <c r="AX856" i="5"/>
  <c r="AW856" i="5"/>
  <c r="AV856" i="5"/>
  <c r="AU856" i="5"/>
  <c r="AT856" i="5"/>
  <c r="AS856" i="5"/>
  <c r="AR856" i="5"/>
  <c r="AQ856" i="5"/>
  <c r="AF856" i="5"/>
  <c r="AY757" i="5"/>
  <c r="AX757" i="5"/>
  <c r="AW757" i="5"/>
  <c r="AV757" i="5"/>
  <c r="AU757" i="5"/>
  <c r="AT757" i="5"/>
  <c r="AS757" i="5"/>
  <c r="AR757" i="5"/>
  <c r="AQ757" i="5"/>
  <c r="AF757" i="5"/>
  <c r="AY505" i="5"/>
  <c r="AX505" i="5"/>
  <c r="AW505" i="5"/>
  <c r="AV505" i="5"/>
  <c r="AU505" i="5"/>
  <c r="AT505" i="5"/>
  <c r="AS505" i="5"/>
  <c r="AR505" i="5"/>
  <c r="AQ505" i="5"/>
  <c r="AF505" i="5"/>
  <c r="AY855" i="5"/>
  <c r="AX855" i="5"/>
  <c r="AW855" i="5"/>
  <c r="AV855" i="5"/>
  <c r="AU855" i="5"/>
  <c r="AT855" i="5"/>
  <c r="AS855" i="5"/>
  <c r="AR855" i="5"/>
  <c r="AQ855" i="5"/>
  <c r="AF855" i="5"/>
  <c r="AY322" i="5"/>
  <c r="AX322" i="5"/>
  <c r="AW322" i="5"/>
  <c r="AV322" i="5"/>
  <c r="AU322" i="5"/>
  <c r="AT322" i="5"/>
  <c r="AS322" i="5"/>
  <c r="AR322" i="5"/>
  <c r="AQ322" i="5"/>
  <c r="AF322" i="5"/>
  <c r="AY176" i="5"/>
  <c r="AX176" i="5"/>
  <c r="AW176" i="5"/>
  <c r="AV176" i="5"/>
  <c r="AU176" i="5"/>
  <c r="AT176" i="5"/>
  <c r="AS176" i="5"/>
  <c r="AR176" i="5"/>
  <c r="AQ176" i="5"/>
  <c r="AF176" i="5"/>
  <c r="AY484" i="5"/>
  <c r="AX484" i="5"/>
  <c r="AW484" i="5"/>
  <c r="AV484" i="5"/>
  <c r="AU484" i="5"/>
  <c r="AT484" i="5"/>
  <c r="AS484" i="5"/>
  <c r="AR484" i="5"/>
  <c r="AQ484" i="5"/>
  <c r="AF484" i="5"/>
  <c r="AY451" i="5"/>
  <c r="AX451" i="5"/>
  <c r="AW451" i="5"/>
  <c r="AV451" i="5"/>
  <c r="AU451" i="5"/>
  <c r="AT451" i="5"/>
  <c r="AS451" i="5"/>
  <c r="AR451" i="5"/>
  <c r="AQ451" i="5"/>
  <c r="AF451" i="5"/>
  <c r="AY245" i="5"/>
  <c r="AX245" i="5"/>
  <c r="AW245" i="5"/>
  <c r="AV245" i="5"/>
  <c r="AU245" i="5"/>
  <c r="AT245" i="5"/>
  <c r="AS245" i="5"/>
  <c r="AR245" i="5"/>
  <c r="AQ245" i="5"/>
  <c r="AF245" i="5"/>
  <c r="AY632" i="5"/>
  <c r="AX632" i="5"/>
  <c r="AW632" i="5"/>
  <c r="AV632" i="5"/>
  <c r="AU632" i="5"/>
  <c r="AT632" i="5"/>
  <c r="AS632" i="5"/>
  <c r="AR632" i="5"/>
  <c r="AQ632" i="5"/>
  <c r="AF632" i="5"/>
  <c r="AY450" i="5"/>
  <c r="AX450" i="5"/>
  <c r="AW450" i="5"/>
  <c r="AV450" i="5"/>
  <c r="AU450" i="5"/>
  <c r="AT450" i="5"/>
  <c r="AS450" i="5"/>
  <c r="AR450" i="5"/>
  <c r="AQ450" i="5"/>
  <c r="AF450" i="5"/>
  <c r="AY244" i="5"/>
  <c r="AX244" i="5"/>
  <c r="AW244" i="5"/>
  <c r="AV244" i="5"/>
  <c r="AU244" i="5"/>
  <c r="AT244" i="5"/>
  <c r="AS244" i="5"/>
  <c r="AR244" i="5"/>
  <c r="AQ244" i="5"/>
  <c r="AF244" i="5"/>
  <c r="AY631" i="5"/>
  <c r="AX631" i="5"/>
  <c r="AW631" i="5"/>
  <c r="AV631" i="5"/>
  <c r="AU631" i="5"/>
  <c r="AT631" i="5"/>
  <c r="AS631" i="5"/>
  <c r="AR631" i="5"/>
  <c r="AQ631" i="5"/>
  <c r="AF631" i="5"/>
  <c r="AY264" i="5"/>
  <c r="AX264" i="5"/>
  <c r="AJ264" i="5" s="1"/>
  <c r="AW264" i="5"/>
  <c r="AV264" i="5"/>
  <c r="AU264" i="5"/>
  <c r="AT264" i="5"/>
  <c r="AS264" i="5"/>
  <c r="AR264" i="5"/>
  <c r="AQ264" i="5"/>
  <c r="AF264" i="5"/>
  <c r="AY138" i="5"/>
  <c r="AX138" i="5"/>
  <c r="AJ138" i="5" s="1"/>
  <c r="AW138" i="5"/>
  <c r="AV138" i="5"/>
  <c r="AU138" i="5"/>
  <c r="AT138" i="5"/>
  <c r="AS138" i="5"/>
  <c r="AR138" i="5"/>
  <c r="AQ138" i="5"/>
  <c r="AF138" i="5"/>
  <c r="AY386" i="5"/>
  <c r="AX386" i="5"/>
  <c r="AJ386" i="5" s="1"/>
  <c r="AW386" i="5"/>
  <c r="AV386" i="5"/>
  <c r="AU386" i="5"/>
  <c r="AT386" i="5"/>
  <c r="AS386" i="5"/>
  <c r="AR386" i="5"/>
  <c r="AQ386" i="5"/>
  <c r="AF386" i="5"/>
  <c r="AY369" i="5"/>
  <c r="AX369" i="5"/>
  <c r="AJ369" i="5" s="1"/>
  <c r="AW369" i="5"/>
  <c r="AV369" i="5"/>
  <c r="AU369" i="5"/>
  <c r="AT369" i="5"/>
  <c r="AS369" i="5"/>
  <c r="AR369" i="5"/>
  <c r="AQ369" i="5"/>
  <c r="AF369" i="5"/>
  <c r="AY191" i="5"/>
  <c r="AX191" i="5"/>
  <c r="AW191" i="5"/>
  <c r="AV191" i="5"/>
  <c r="AU191" i="5"/>
  <c r="AT191" i="5"/>
  <c r="AS191" i="5"/>
  <c r="AR191" i="5"/>
  <c r="AQ191" i="5"/>
  <c r="AJ191" i="5"/>
  <c r="AF191" i="5"/>
  <c r="AY525" i="5"/>
  <c r="AX525" i="5"/>
  <c r="AJ525" i="5" s="1"/>
  <c r="AW525" i="5"/>
  <c r="AV525" i="5"/>
  <c r="AU525" i="5"/>
  <c r="AT525" i="5"/>
  <c r="AS525" i="5"/>
  <c r="AR525" i="5"/>
  <c r="AQ525" i="5"/>
  <c r="AF525" i="5"/>
  <c r="AY368" i="5"/>
  <c r="AX368" i="5"/>
  <c r="AJ368" i="5" s="1"/>
  <c r="AW368" i="5"/>
  <c r="AV368" i="5"/>
  <c r="AU368" i="5"/>
  <c r="AT368" i="5"/>
  <c r="AS368" i="5"/>
  <c r="AR368" i="5"/>
  <c r="AQ368" i="5"/>
  <c r="AF368" i="5"/>
  <c r="AY190" i="5"/>
  <c r="AX190" i="5"/>
  <c r="AJ190" i="5" s="1"/>
  <c r="AW190" i="5"/>
  <c r="AV190" i="5"/>
  <c r="AU190" i="5"/>
  <c r="AT190" i="5"/>
  <c r="AS190" i="5"/>
  <c r="AR190" i="5"/>
  <c r="AQ190" i="5"/>
  <c r="AF190" i="5"/>
  <c r="AY524" i="5"/>
  <c r="AX524" i="5"/>
  <c r="AJ524" i="5" s="1"/>
  <c r="AW524" i="5"/>
  <c r="AV524" i="5"/>
  <c r="AU524" i="5"/>
  <c r="AT524" i="5"/>
  <c r="AS524" i="5"/>
  <c r="AR524" i="5"/>
  <c r="AQ524" i="5"/>
  <c r="AF524" i="5"/>
  <c r="AY937" i="5"/>
  <c r="AX937" i="5"/>
  <c r="AW937" i="5"/>
  <c r="AV937" i="5"/>
  <c r="AU937" i="5"/>
  <c r="AT937" i="5"/>
  <c r="AS937" i="5"/>
  <c r="AJ937" i="5" s="1"/>
  <c r="AR937" i="5"/>
  <c r="AQ937" i="5"/>
  <c r="AH937" i="5" s="1"/>
  <c r="AF937" i="5"/>
  <c r="AY879" i="5"/>
  <c r="AX879" i="5"/>
  <c r="AW879" i="5"/>
  <c r="AV879" i="5"/>
  <c r="AU879" i="5"/>
  <c r="AT879" i="5"/>
  <c r="AS879" i="5"/>
  <c r="AJ879" i="5" s="1"/>
  <c r="AR879" i="5"/>
  <c r="AQ879" i="5"/>
  <c r="AH879" i="5" s="1"/>
  <c r="AF879" i="5"/>
  <c r="AY878" i="5"/>
  <c r="AX878" i="5"/>
  <c r="AW878" i="5"/>
  <c r="AV878" i="5"/>
  <c r="AU878" i="5"/>
  <c r="AT878" i="5"/>
  <c r="AS878" i="5"/>
  <c r="AJ878" i="5" s="1"/>
  <c r="AR878" i="5"/>
  <c r="AQ878" i="5"/>
  <c r="AH878" i="5" s="1"/>
  <c r="AF878" i="5"/>
  <c r="AY760" i="5"/>
  <c r="AX760" i="5"/>
  <c r="AW760" i="5"/>
  <c r="AV760" i="5"/>
  <c r="AU760" i="5"/>
  <c r="AT760" i="5"/>
  <c r="AS760" i="5"/>
  <c r="AJ760" i="5" s="1"/>
  <c r="AR760" i="5"/>
  <c r="AQ760" i="5"/>
  <c r="AH760" i="5" s="1"/>
  <c r="AF760" i="5"/>
  <c r="AY742" i="5"/>
  <c r="AX742" i="5"/>
  <c r="AW742" i="5"/>
  <c r="AV742" i="5"/>
  <c r="AU742" i="5"/>
  <c r="AT742" i="5"/>
  <c r="AS742" i="5"/>
  <c r="AJ742" i="5" s="1"/>
  <c r="AR742" i="5"/>
  <c r="AQ742" i="5"/>
  <c r="AH742" i="5" s="1"/>
  <c r="AF742" i="5"/>
  <c r="AY849" i="5"/>
  <c r="AX849" i="5"/>
  <c r="AW849" i="5"/>
  <c r="AV849" i="5"/>
  <c r="AU849" i="5"/>
  <c r="AT849" i="5"/>
  <c r="AS849" i="5"/>
  <c r="AJ849" i="5" s="1"/>
  <c r="AR849" i="5"/>
  <c r="AQ849" i="5"/>
  <c r="AH849" i="5" s="1"/>
  <c r="AF849" i="5"/>
  <c r="AY759" i="5"/>
  <c r="AX759" i="5"/>
  <c r="AW759" i="5"/>
  <c r="AV759" i="5"/>
  <c r="AU759" i="5"/>
  <c r="AT759" i="5"/>
  <c r="AS759" i="5"/>
  <c r="AJ759" i="5" s="1"/>
  <c r="AR759" i="5"/>
  <c r="AQ759" i="5"/>
  <c r="AH759" i="5" s="1"/>
  <c r="AF759" i="5"/>
  <c r="AY741" i="5"/>
  <c r="AX741" i="5"/>
  <c r="AW741" i="5"/>
  <c r="AV741" i="5"/>
  <c r="AU741" i="5"/>
  <c r="AT741" i="5"/>
  <c r="AS741" i="5"/>
  <c r="AJ741" i="5" s="1"/>
  <c r="AR741" i="5"/>
  <c r="AQ741" i="5"/>
  <c r="AH741" i="5" s="1"/>
  <c r="AF741" i="5"/>
  <c r="AY848" i="5"/>
  <c r="AX848" i="5"/>
  <c r="AW848" i="5"/>
  <c r="AV848" i="5"/>
  <c r="AU848" i="5"/>
  <c r="AT848" i="5"/>
  <c r="AS848" i="5"/>
  <c r="AJ848" i="5" s="1"/>
  <c r="AR848" i="5"/>
  <c r="AQ848" i="5"/>
  <c r="AH848" i="5" s="1"/>
  <c r="AF848" i="5"/>
  <c r="AY188" i="5"/>
  <c r="AX188" i="5"/>
  <c r="AW188" i="5"/>
  <c r="AV188" i="5"/>
  <c r="AU188" i="5"/>
  <c r="AT188" i="5"/>
  <c r="AS188" i="5"/>
  <c r="AJ188" i="5" s="1"/>
  <c r="AR188" i="5"/>
  <c r="AQ188" i="5"/>
  <c r="AH188" i="5" s="1"/>
  <c r="AF188" i="5"/>
  <c r="AY426" i="5"/>
  <c r="AX426" i="5"/>
  <c r="AW426" i="5"/>
  <c r="AV426" i="5"/>
  <c r="AU426" i="5"/>
  <c r="AT426" i="5"/>
  <c r="AS426" i="5"/>
  <c r="AJ426" i="5" s="1"/>
  <c r="AR426" i="5"/>
  <c r="AQ426" i="5"/>
  <c r="AH426" i="5" s="1"/>
  <c r="AF426" i="5"/>
  <c r="AY179" i="5"/>
  <c r="AX179" i="5"/>
  <c r="AW179" i="5"/>
  <c r="AV179" i="5"/>
  <c r="AU179" i="5"/>
  <c r="AT179" i="5"/>
  <c r="AS179" i="5"/>
  <c r="AJ179" i="5" s="1"/>
  <c r="AR179" i="5"/>
  <c r="AQ179" i="5"/>
  <c r="AH179" i="5" s="1"/>
  <c r="AF179" i="5"/>
  <c r="AY408" i="5"/>
  <c r="AX408" i="5"/>
  <c r="AW408" i="5"/>
  <c r="AV408" i="5"/>
  <c r="AU408" i="5"/>
  <c r="AT408" i="5"/>
  <c r="AS408" i="5"/>
  <c r="AJ408" i="5" s="1"/>
  <c r="AR408" i="5"/>
  <c r="AQ408" i="5"/>
  <c r="AH408" i="5" s="1"/>
  <c r="AF408" i="5"/>
  <c r="AY269" i="5"/>
  <c r="AX269" i="5"/>
  <c r="AW269" i="5"/>
  <c r="AV269" i="5"/>
  <c r="AU269" i="5"/>
  <c r="AT269" i="5"/>
  <c r="AS269" i="5"/>
  <c r="AJ269" i="5" s="1"/>
  <c r="AR269" i="5"/>
  <c r="AQ269" i="5"/>
  <c r="AH269" i="5" s="1"/>
  <c r="AF269" i="5"/>
  <c r="AY589" i="5"/>
  <c r="AX589" i="5"/>
  <c r="AW589" i="5"/>
  <c r="AV589" i="5"/>
  <c r="AU589" i="5"/>
  <c r="AT589" i="5"/>
  <c r="AS589" i="5"/>
  <c r="AJ589" i="5" s="1"/>
  <c r="AR589" i="5"/>
  <c r="AQ589" i="5"/>
  <c r="AH589" i="5" s="1"/>
  <c r="AF589" i="5"/>
  <c r="AY187" i="5"/>
  <c r="AX187" i="5"/>
  <c r="AW187" i="5"/>
  <c r="AV187" i="5"/>
  <c r="AU187" i="5"/>
  <c r="AT187" i="5"/>
  <c r="AS187" i="5"/>
  <c r="AJ187" i="5" s="1"/>
  <c r="AR187" i="5"/>
  <c r="AQ187" i="5"/>
  <c r="AH187" i="5" s="1"/>
  <c r="AF187" i="5"/>
  <c r="AY425" i="5"/>
  <c r="AX425" i="5"/>
  <c r="AW425" i="5"/>
  <c r="AV425" i="5"/>
  <c r="AU425" i="5"/>
  <c r="AT425" i="5"/>
  <c r="AS425" i="5"/>
  <c r="AJ425" i="5" s="1"/>
  <c r="AR425" i="5"/>
  <c r="AQ425" i="5"/>
  <c r="AH425" i="5" s="1"/>
  <c r="AF425" i="5"/>
  <c r="AY178" i="5"/>
  <c r="AX178" i="5"/>
  <c r="AW178" i="5"/>
  <c r="AV178" i="5"/>
  <c r="AU178" i="5"/>
  <c r="AT178" i="5"/>
  <c r="AS178" i="5"/>
  <c r="AJ178" i="5" s="1"/>
  <c r="AR178" i="5"/>
  <c r="AQ178" i="5"/>
  <c r="AH178" i="5" s="1"/>
  <c r="AF178" i="5"/>
  <c r="AY407" i="5"/>
  <c r="AX407" i="5"/>
  <c r="AW407" i="5"/>
  <c r="AV407" i="5"/>
  <c r="AU407" i="5"/>
  <c r="AT407" i="5"/>
  <c r="AS407" i="5"/>
  <c r="AJ407" i="5" s="1"/>
  <c r="AR407" i="5"/>
  <c r="AQ407" i="5"/>
  <c r="AH407" i="5" s="1"/>
  <c r="AF407" i="5"/>
  <c r="AY268" i="5"/>
  <c r="AX268" i="5"/>
  <c r="AW268" i="5"/>
  <c r="AV268" i="5"/>
  <c r="AU268" i="5"/>
  <c r="AT268" i="5"/>
  <c r="AS268" i="5"/>
  <c r="AJ268" i="5" s="1"/>
  <c r="AR268" i="5"/>
  <c r="AQ268" i="5"/>
  <c r="AH268" i="5" s="1"/>
  <c r="AF268" i="5"/>
  <c r="AY588" i="5"/>
  <c r="AX588" i="5"/>
  <c r="AW588" i="5"/>
  <c r="AV588" i="5"/>
  <c r="AU588" i="5"/>
  <c r="AT588" i="5"/>
  <c r="AS588" i="5"/>
  <c r="AJ588" i="5" s="1"/>
  <c r="AR588" i="5"/>
  <c r="AQ588" i="5"/>
  <c r="AH588" i="5" s="1"/>
  <c r="AF588" i="5"/>
  <c r="AY954" i="5"/>
  <c r="AJ954" i="5" s="1"/>
  <c r="AX954" i="5"/>
  <c r="AW954" i="5"/>
  <c r="AV954" i="5"/>
  <c r="AU954" i="5"/>
  <c r="AT954" i="5"/>
  <c r="AS954" i="5"/>
  <c r="AR954" i="5"/>
  <c r="AQ954" i="5"/>
  <c r="AH954" i="5" s="1"/>
  <c r="AF954" i="5"/>
  <c r="AY915" i="5"/>
  <c r="AJ915" i="5" s="1"/>
  <c r="AX915" i="5"/>
  <c r="AW915" i="5"/>
  <c r="AV915" i="5"/>
  <c r="AU915" i="5"/>
  <c r="AT915" i="5"/>
  <c r="AS915" i="5"/>
  <c r="AR915" i="5"/>
  <c r="AQ915" i="5"/>
  <c r="AH915" i="5" s="1"/>
  <c r="AF915" i="5"/>
  <c r="AY934" i="5"/>
  <c r="AJ934" i="5" s="1"/>
  <c r="AX934" i="5"/>
  <c r="AW934" i="5"/>
  <c r="AV934" i="5"/>
  <c r="AU934" i="5"/>
  <c r="AT934" i="5"/>
  <c r="AS934" i="5"/>
  <c r="AR934" i="5"/>
  <c r="AQ934" i="5"/>
  <c r="AH934" i="5" s="1"/>
  <c r="AF934" i="5"/>
  <c r="AY781" i="5"/>
  <c r="AJ781" i="5" s="1"/>
  <c r="AX781" i="5"/>
  <c r="AW781" i="5"/>
  <c r="AV781" i="5"/>
  <c r="AU781" i="5"/>
  <c r="AT781" i="5"/>
  <c r="AS781" i="5"/>
  <c r="AR781" i="5"/>
  <c r="AQ781" i="5"/>
  <c r="AH781" i="5" s="1"/>
  <c r="AF781" i="5"/>
  <c r="AY889" i="5"/>
  <c r="AJ889" i="5" s="1"/>
  <c r="AX889" i="5"/>
  <c r="AW889" i="5"/>
  <c r="AV889" i="5"/>
  <c r="AU889" i="5"/>
  <c r="AT889" i="5"/>
  <c r="AS889" i="5"/>
  <c r="AR889" i="5"/>
  <c r="AQ889" i="5"/>
  <c r="AH889" i="5" s="1"/>
  <c r="AF889" i="5"/>
  <c r="AY826" i="5"/>
  <c r="AJ826" i="5" s="1"/>
  <c r="AX826" i="5"/>
  <c r="AW826" i="5"/>
  <c r="AV826" i="5"/>
  <c r="AU826" i="5"/>
  <c r="AT826" i="5"/>
  <c r="AS826" i="5"/>
  <c r="AR826" i="5"/>
  <c r="AQ826" i="5"/>
  <c r="AH826" i="5" s="1"/>
  <c r="AF826" i="5"/>
  <c r="AY918" i="5"/>
  <c r="AJ918" i="5" s="1"/>
  <c r="AX918" i="5"/>
  <c r="AW918" i="5"/>
  <c r="AV918" i="5"/>
  <c r="AU918" i="5"/>
  <c r="AT918" i="5"/>
  <c r="AS918" i="5"/>
  <c r="AR918" i="5"/>
  <c r="AQ918" i="5"/>
  <c r="AH918" i="5" s="1"/>
  <c r="AF918" i="5"/>
  <c r="AY423" i="5"/>
  <c r="AJ423" i="5" s="1"/>
  <c r="AX423" i="5"/>
  <c r="AW423" i="5"/>
  <c r="AV423" i="5"/>
  <c r="AU423" i="5"/>
  <c r="AT423" i="5"/>
  <c r="AS423" i="5"/>
  <c r="AR423" i="5"/>
  <c r="AQ423" i="5"/>
  <c r="AH423" i="5" s="1"/>
  <c r="AF423" i="5"/>
  <c r="AY656" i="5"/>
  <c r="AJ656" i="5" s="1"/>
  <c r="AX656" i="5"/>
  <c r="AW656" i="5"/>
  <c r="AV656" i="5"/>
  <c r="AU656" i="5"/>
  <c r="AT656" i="5"/>
  <c r="AS656" i="5"/>
  <c r="AR656" i="5"/>
  <c r="AQ656" i="5"/>
  <c r="AH656" i="5" s="1"/>
  <c r="AF656" i="5"/>
  <c r="AY464" i="5"/>
  <c r="AJ464" i="5" s="1"/>
  <c r="AX464" i="5"/>
  <c r="AW464" i="5"/>
  <c r="AV464" i="5"/>
  <c r="AU464" i="5"/>
  <c r="AT464" i="5"/>
  <c r="AS464" i="5"/>
  <c r="AR464" i="5"/>
  <c r="AQ464" i="5"/>
  <c r="AH464" i="5" s="1"/>
  <c r="AF464" i="5"/>
  <c r="AY697" i="5"/>
  <c r="AJ697" i="5" s="1"/>
  <c r="AX697" i="5"/>
  <c r="AW697" i="5"/>
  <c r="AV697" i="5"/>
  <c r="AU697" i="5"/>
  <c r="AT697" i="5"/>
  <c r="AS697" i="5"/>
  <c r="AR697" i="5"/>
  <c r="AQ697" i="5"/>
  <c r="AH697" i="5" s="1"/>
  <c r="AF697" i="5"/>
  <c r="AY333" i="5"/>
  <c r="AJ333" i="5" s="1"/>
  <c r="AX333" i="5"/>
  <c r="AW333" i="5"/>
  <c r="AV333" i="5"/>
  <c r="AU333" i="5"/>
  <c r="AT333" i="5"/>
  <c r="AS333" i="5"/>
  <c r="AR333" i="5"/>
  <c r="AQ333" i="5"/>
  <c r="AH333" i="5" s="1"/>
  <c r="AF333" i="5"/>
  <c r="AY561" i="5"/>
  <c r="AJ561" i="5" s="1"/>
  <c r="AX561" i="5"/>
  <c r="AW561" i="5"/>
  <c r="AV561" i="5"/>
  <c r="AU561" i="5"/>
  <c r="AT561" i="5"/>
  <c r="AS561" i="5"/>
  <c r="AR561" i="5"/>
  <c r="AQ561" i="5"/>
  <c r="AH561" i="5" s="1"/>
  <c r="AF561" i="5"/>
  <c r="AY371" i="5"/>
  <c r="AJ371" i="5" s="1"/>
  <c r="AX371" i="5"/>
  <c r="AW371" i="5"/>
  <c r="AV371" i="5"/>
  <c r="AU371" i="5"/>
  <c r="AT371" i="5"/>
  <c r="AS371" i="5"/>
  <c r="AR371" i="5"/>
  <c r="AQ371" i="5"/>
  <c r="AH371" i="5" s="1"/>
  <c r="AF371" i="5"/>
  <c r="AY605" i="5"/>
  <c r="AJ605" i="5" s="1"/>
  <c r="AX605" i="5"/>
  <c r="AW605" i="5"/>
  <c r="AV605" i="5"/>
  <c r="AU605" i="5"/>
  <c r="AT605" i="5"/>
  <c r="AS605" i="5"/>
  <c r="AR605" i="5"/>
  <c r="AQ605" i="5"/>
  <c r="AH605" i="5" s="1"/>
  <c r="AF605" i="5"/>
  <c r="AY921" i="5"/>
  <c r="AJ921" i="5" s="1"/>
  <c r="AX921" i="5"/>
  <c r="AW921" i="5"/>
  <c r="AV921" i="5"/>
  <c r="AU921" i="5"/>
  <c r="AT921" i="5"/>
  <c r="AS921" i="5"/>
  <c r="AR921" i="5"/>
  <c r="AQ921" i="5"/>
  <c r="AH921" i="5" s="1"/>
  <c r="AF921" i="5"/>
  <c r="AY816" i="5"/>
  <c r="AJ816" i="5" s="1"/>
  <c r="AX816" i="5"/>
  <c r="AW816" i="5"/>
  <c r="AV816" i="5"/>
  <c r="AU816" i="5"/>
  <c r="AT816" i="5"/>
  <c r="AS816" i="5"/>
  <c r="AR816" i="5"/>
  <c r="AQ816" i="5"/>
  <c r="AH816" i="5" s="1"/>
  <c r="AF816" i="5"/>
  <c r="AY847" i="5"/>
  <c r="AJ847" i="5" s="1"/>
  <c r="AX847" i="5"/>
  <c r="AW847" i="5"/>
  <c r="AV847" i="5"/>
  <c r="AU847" i="5"/>
  <c r="AT847" i="5"/>
  <c r="AS847" i="5"/>
  <c r="AR847" i="5"/>
  <c r="AQ847" i="5"/>
  <c r="AH847" i="5" s="1"/>
  <c r="AF847" i="5"/>
  <c r="AY606" i="5"/>
  <c r="AJ606" i="5" s="1"/>
  <c r="AX606" i="5"/>
  <c r="AW606" i="5"/>
  <c r="AV606" i="5"/>
  <c r="AU606" i="5"/>
  <c r="AT606" i="5"/>
  <c r="AS606" i="5"/>
  <c r="AR606" i="5"/>
  <c r="AQ606" i="5"/>
  <c r="AH606" i="5" s="1"/>
  <c r="AF606" i="5"/>
  <c r="AY774" i="5"/>
  <c r="AJ774" i="5" s="1"/>
  <c r="AX774" i="5"/>
  <c r="AW774" i="5"/>
  <c r="AV774" i="5"/>
  <c r="AU774" i="5"/>
  <c r="AT774" i="5"/>
  <c r="AS774" i="5"/>
  <c r="AR774" i="5"/>
  <c r="AQ774" i="5"/>
  <c r="AH774" i="5" s="1"/>
  <c r="AF774" i="5"/>
  <c r="AY661" i="5"/>
  <c r="AJ661" i="5" s="1"/>
  <c r="AX661" i="5"/>
  <c r="AW661" i="5"/>
  <c r="AV661" i="5"/>
  <c r="AU661" i="5"/>
  <c r="AT661" i="5"/>
  <c r="AS661" i="5"/>
  <c r="AR661" i="5"/>
  <c r="AQ661" i="5"/>
  <c r="AH661" i="5" s="1"/>
  <c r="AF661" i="5"/>
  <c r="AY823" i="5"/>
  <c r="AJ823" i="5" s="1"/>
  <c r="AX823" i="5"/>
  <c r="AW823" i="5"/>
  <c r="AV823" i="5"/>
  <c r="AU823" i="5"/>
  <c r="AT823" i="5"/>
  <c r="AS823" i="5"/>
  <c r="AR823" i="5"/>
  <c r="AQ823" i="5"/>
  <c r="AH823" i="5" s="1"/>
  <c r="AF823" i="5"/>
  <c r="AY263" i="5"/>
  <c r="AJ263" i="5" s="1"/>
  <c r="AX263" i="5"/>
  <c r="AW263" i="5"/>
  <c r="AV263" i="5"/>
  <c r="AU263" i="5"/>
  <c r="AT263" i="5"/>
  <c r="AS263" i="5"/>
  <c r="AR263" i="5"/>
  <c r="AQ263" i="5"/>
  <c r="AH263" i="5" s="1"/>
  <c r="AF263" i="5"/>
  <c r="AY431" i="5"/>
  <c r="AJ431" i="5" s="1"/>
  <c r="AX431" i="5"/>
  <c r="AW431" i="5"/>
  <c r="AV431" i="5"/>
  <c r="AU431" i="5"/>
  <c r="AT431" i="5"/>
  <c r="AS431" i="5"/>
  <c r="AR431" i="5"/>
  <c r="AQ431" i="5"/>
  <c r="AH431" i="5" s="1"/>
  <c r="AF431" i="5"/>
  <c r="AY288" i="5"/>
  <c r="AJ288" i="5" s="1"/>
  <c r="AX288" i="5"/>
  <c r="AW288" i="5"/>
  <c r="AV288" i="5"/>
  <c r="AU288" i="5"/>
  <c r="AT288" i="5"/>
  <c r="AS288" i="5"/>
  <c r="AR288" i="5"/>
  <c r="AQ288" i="5"/>
  <c r="AH288" i="5" s="1"/>
  <c r="AF288" i="5"/>
  <c r="AY481" i="5"/>
  <c r="AJ481" i="5" s="1"/>
  <c r="AX481" i="5"/>
  <c r="AW481" i="5"/>
  <c r="AV481" i="5"/>
  <c r="AU481" i="5"/>
  <c r="AT481" i="5"/>
  <c r="AS481" i="5"/>
  <c r="AR481" i="5"/>
  <c r="AQ481" i="5"/>
  <c r="AH481" i="5" s="1"/>
  <c r="AF481" i="5"/>
  <c r="AY204" i="5"/>
  <c r="AJ204" i="5" s="1"/>
  <c r="AX204" i="5"/>
  <c r="AW204" i="5"/>
  <c r="AV204" i="5"/>
  <c r="AU204" i="5"/>
  <c r="AT204" i="5"/>
  <c r="AS204" i="5"/>
  <c r="AR204" i="5"/>
  <c r="AQ204" i="5"/>
  <c r="AH204" i="5" s="1"/>
  <c r="AF204" i="5"/>
  <c r="AY353" i="5"/>
  <c r="AJ353" i="5" s="1"/>
  <c r="AX353" i="5"/>
  <c r="AW353" i="5"/>
  <c r="AV353" i="5"/>
  <c r="AU353" i="5"/>
  <c r="AT353" i="5"/>
  <c r="AS353" i="5"/>
  <c r="AR353" i="5"/>
  <c r="AQ353" i="5"/>
  <c r="AH353" i="5" s="1"/>
  <c r="AF353" i="5"/>
  <c r="AY224" i="5"/>
  <c r="AJ224" i="5" s="1"/>
  <c r="AX224" i="5"/>
  <c r="AW224" i="5"/>
  <c r="AV224" i="5"/>
  <c r="AU224" i="5"/>
  <c r="AT224" i="5"/>
  <c r="AS224" i="5"/>
  <c r="AR224" i="5"/>
  <c r="AQ224" i="5"/>
  <c r="AH224" i="5" s="1"/>
  <c r="AF224" i="5"/>
  <c r="AY385" i="5"/>
  <c r="AJ385" i="5" s="1"/>
  <c r="AX385" i="5"/>
  <c r="AW385" i="5"/>
  <c r="AV385" i="5"/>
  <c r="AU385" i="5"/>
  <c r="AT385" i="5"/>
  <c r="AS385" i="5"/>
  <c r="AR385" i="5"/>
  <c r="AQ385" i="5"/>
  <c r="AH385" i="5" s="1"/>
  <c r="AF385" i="5"/>
  <c r="AY932" i="5"/>
  <c r="AX932" i="5"/>
  <c r="AW932" i="5"/>
  <c r="AV932" i="5"/>
  <c r="AE932" i="5" s="1"/>
  <c r="AU932" i="5"/>
  <c r="AT932" i="5"/>
  <c r="AS932" i="5"/>
  <c r="AR932" i="5"/>
  <c r="AQ932" i="5"/>
  <c r="AH932" i="5" s="1"/>
  <c r="AJ932" i="5"/>
  <c r="AF932" i="5"/>
  <c r="AY862" i="5"/>
  <c r="AX862" i="5"/>
  <c r="AW862" i="5"/>
  <c r="AV862" i="5"/>
  <c r="AE862" i="5" s="1"/>
  <c r="AU862" i="5"/>
  <c r="AT862" i="5"/>
  <c r="AS862" i="5"/>
  <c r="AR862" i="5"/>
  <c r="AQ862" i="5"/>
  <c r="AH862" i="5" s="1"/>
  <c r="AJ862" i="5"/>
  <c r="AF862" i="5"/>
  <c r="AY977" i="5"/>
  <c r="AX977" i="5"/>
  <c r="AV977" i="5"/>
  <c r="AE977" i="5" s="1"/>
  <c r="AU977" i="5"/>
  <c r="AT977" i="5"/>
  <c r="AS977" i="5"/>
  <c r="AR977" i="5"/>
  <c r="AQ977" i="5"/>
  <c r="AH977" i="5" s="1"/>
  <c r="AJ977" i="5"/>
  <c r="AF977" i="5"/>
  <c r="AY975" i="5"/>
  <c r="AX975" i="5"/>
  <c r="AW975" i="5"/>
  <c r="AV975" i="5"/>
  <c r="AE975" i="5" s="1"/>
  <c r="AU975" i="5"/>
  <c r="AT975" i="5"/>
  <c r="AS975" i="5"/>
  <c r="AR975" i="5"/>
  <c r="AQ975" i="5"/>
  <c r="AH975" i="5" s="1"/>
  <c r="AJ975" i="5"/>
  <c r="AF975" i="5"/>
  <c r="AY601" i="5"/>
  <c r="AX601" i="5"/>
  <c r="AW601" i="5"/>
  <c r="AV601" i="5"/>
  <c r="AE601" i="5" s="1"/>
  <c r="AU601" i="5"/>
  <c r="AT601" i="5"/>
  <c r="AS601" i="5"/>
  <c r="AR601" i="5"/>
  <c r="AQ601" i="5"/>
  <c r="AH601" i="5" s="1"/>
  <c r="AJ601" i="5"/>
  <c r="AF601" i="5"/>
  <c r="AY972" i="5"/>
  <c r="AX972" i="5"/>
  <c r="AV972" i="5"/>
  <c r="AE972" i="5" s="1"/>
  <c r="AU972" i="5"/>
  <c r="AT972" i="5"/>
  <c r="AS972" i="5"/>
  <c r="AR972" i="5"/>
  <c r="AQ972" i="5"/>
  <c r="AH972" i="5" s="1"/>
  <c r="AJ972" i="5"/>
  <c r="AF972" i="5"/>
  <c r="AY963" i="5"/>
  <c r="AX963" i="5"/>
  <c r="AW963" i="5"/>
  <c r="AV963" i="5"/>
  <c r="AE963" i="5" s="1"/>
  <c r="AU963" i="5"/>
  <c r="AT963" i="5"/>
  <c r="AS963" i="5"/>
  <c r="AR963" i="5"/>
  <c r="AQ963" i="5"/>
  <c r="AH963" i="5" s="1"/>
  <c r="AJ963" i="5"/>
  <c r="AF963" i="5"/>
  <c r="AY161" i="5"/>
  <c r="AX161" i="5"/>
  <c r="AW161" i="5"/>
  <c r="AV161" i="5"/>
  <c r="AE161" i="5" s="1"/>
  <c r="AU161" i="5"/>
  <c r="AT161" i="5"/>
  <c r="AS161" i="5"/>
  <c r="AR161" i="5"/>
  <c r="AQ161" i="5"/>
  <c r="AH161" i="5" s="1"/>
  <c r="AJ161" i="5"/>
  <c r="AF161" i="5"/>
  <c r="AY976" i="5"/>
  <c r="AX976" i="5"/>
  <c r="AV976" i="5"/>
  <c r="AE976" i="5" s="1"/>
  <c r="AU976" i="5"/>
  <c r="AT976" i="5"/>
  <c r="AS976" i="5"/>
  <c r="AR976" i="5"/>
  <c r="AQ976" i="5"/>
  <c r="AH976" i="5" s="1"/>
  <c r="AJ976" i="5"/>
  <c r="AF976" i="5"/>
  <c r="AY974" i="5"/>
  <c r="AX974" i="5"/>
  <c r="AW974" i="5"/>
  <c r="AV974" i="5"/>
  <c r="AE974" i="5" s="1"/>
  <c r="AU974" i="5"/>
  <c r="AT974" i="5"/>
  <c r="AS974" i="5"/>
  <c r="AR974" i="5"/>
  <c r="AQ974" i="5"/>
  <c r="AH974" i="5" s="1"/>
  <c r="AJ974" i="5"/>
  <c r="AF974" i="5"/>
  <c r="AY414" i="5"/>
  <c r="AX414" i="5"/>
  <c r="AW414" i="5"/>
  <c r="AV414" i="5"/>
  <c r="AE414" i="5" s="1"/>
  <c r="AU414" i="5"/>
  <c r="AT414" i="5"/>
  <c r="AS414" i="5"/>
  <c r="AR414" i="5"/>
  <c r="AQ414" i="5"/>
  <c r="AH414" i="5" s="1"/>
  <c r="AJ414" i="5"/>
  <c r="AF414" i="5"/>
  <c r="AY860" i="5"/>
  <c r="AJ860" i="5" s="1"/>
  <c r="AX860" i="5"/>
  <c r="AW860" i="5"/>
  <c r="AV860" i="5"/>
  <c r="AU860" i="5"/>
  <c r="AT860" i="5"/>
  <c r="AS860" i="5"/>
  <c r="AE860" i="5" s="1"/>
  <c r="AR860" i="5"/>
  <c r="AQ860" i="5"/>
  <c r="AH860" i="5" s="1"/>
  <c r="AY665" i="5"/>
  <c r="AJ665" i="5" s="1"/>
  <c r="AX665" i="5"/>
  <c r="AW665" i="5"/>
  <c r="AV665" i="5"/>
  <c r="AU665" i="5"/>
  <c r="AT665" i="5"/>
  <c r="AS665" i="5"/>
  <c r="AE665" i="5" s="1"/>
  <c r="AR665" i="5"/>
  <c r="AQ665" i="5"/>
  <c r="AH665" i="5" s="1"/>
  <c r="AY693" i="5"/>
  <c r="AJ693" i="5" s="1"/>
  <c r="AX693" i="5"/>
  <c r="AW693" i="5"/>
  <c r="AV693" i="5"/>
  <c r="AU693" i="5"/>
  <c r="AT693" i="5"/>
  <c r="AS693" i="5"/>
  <c r="AE693" i="5" s="1"/>
  <c r="AR693" i="5"/>
  <c r="AQ693" i="5"/>
  <c r="AH693" i="5" s="1"/>
  <c r="AY775" i="5"/>
  <c r="AJ775" i="5" s="1"/>
  <c r="AX775" i="5"/>
  <c r="AW775" i="5"/>
  <c r="AV775" i="5"/>
  <c r="AU775" i="5"/>
  <c r="AT775" i="5"/>
  <c r="AS775" i="5"/>
  <c r="AE775" i="5" s="1"/>
  <c r="AR775" i="5"/>
  <c r="AQ775" i="5"/>
  <c r="AH775" i="5" s="1"/>
  <c r="AY390" i="5"/>
  <c r="AJ390" i="5" s="1"/>
  <c r="AX390" i="5"/>
  <c r="AW390" i="5"/>
  <c r="AV390" i="5"/>
  <c r="AU390" i="5"/>
  <c r="AT390" i="5"/>
  <c r="AS390" i="5"/>
  <c r="AE390" i="5" s="1"/>
  <c r="AR390" i="5"/>
  <c r="AQ390" i="5"/>
  <c r="AH390" i="5" s="1"/>
  <c r="AY449" i="5"/>
  <c r="AJ449" i="5" s="1"/>
  <c r="AX449" i="5"/>
  <c r="AW449" i="5"/>
  <c r="AV449" i="5"/>
  <c r="AU449" i="5"/>
  <c r="AT449" i="5"/>
  <c r="AS449" i="5"/>
  <c r="AE449" i="5" s="1"/>
  <c r="AR449" i="5"/>
  <c r="AQ449" i="5"/>
  <c r="AH449" i="5" s="1"/>
  <c r="AY599" i="5"/>
  <c r="AJ599" i="5" s="1"/>
  <c r="AX599" i="5"/>
  <c r="AW599" i="5"/>
  <c r="AV599" i="5"/>
  <c r="AU599" i="5"/>
  <c r="AT599" i="5"/>
  <c r="AS599" i="5"/>
  <c r="AE599" i="5" s="1"/>
  <c r="AR599" i="5"/>
  <c r="AQ599" i="5"/>
  <c r="AH599" i="5" s="1"/>
  <c r="AY412" i="5"/>
  <c r="AJ412" i="5" s="1"/>
  <c r="AX412" i="5"/>
  <c r="AW412" i="5"/>
  <c r="AV412" i="5"/>
  <c r="AU412" i="5"/>
  <c r="AT412" i="5"/>
  <c r="AS412" i="5"/>
  <c r="AE412" i="5" s="1"/>
  <c r="AR412" i="5"/>
  <c r="AQ412" i="5"/>
  <c r="AH412" i="5" s="1"/>
  <c r="AY492" i="5"/>
  <c r="AJ492" i="5" s="1"/>
  <c r="AX492" i="5"/>
  <c r="AW492" i="5"/>
  <c r="AV492" i="5"/>
  <c r="AU492" i="5"/>
  <c r="AT492" i="5"/>
  <c r="AS492" i="5"/>
  <c r="AE492" i="5" s="1"/>
  <c r="AR492" i="5"/>
  <c r="AQ492" i="5"/>
  <c r="AH492" i="5" s="1"/>
  <c r="AY628" i="5"/>
  <c r="AJ628" i="5" s="1"/>
  <c r="AX628" i="5"/>
  <c r="AW628" i="5"/>
  <c r="AV628" i="5"/>
  <c r="AU628" i="5"/>
  <c r="AT628" i="5"/>
  <c r="AS628" i="5"/>
  <c r="AE628" i="5" s="1"/>
  <c r="AR628" i="5"/>
  <c r="AQ628" i="5"/>
  <c r="AH628" i="5" s="1"/>
  <c r="AY521" i="5"/>
  <c r="AJ521" i="5" s="1"/>
  <c r="AX521" i="5"/>
  <c r="AW521" i="5"/>
  <c r="AV521" i="5"/>
  <c r="AU521" i="5"/>
  <c r="AT521" i="5"/>
  <c r="AS521" i="5"/>
  <c r="AE521" i="5" s="1"/>
  <c r="AR521" i="5"/>
  <c r="AQ521" i="5"/>
  <c r="AH521" i="5" s="1"/>
  <c r="AY602" i="5"/>
  <c r="AJ602" i="5" s="1"/>
  <c r="AX602" i="5"/>
  <c r="AW602" i="5"/>
  <c r="AV602" i="5"/>
  <c r="AU602" i="5"/>
  <c r="AT602" i="5"/>
  <c r="AS602" i="5"/>
  <c r="AE602" i="5" s="1"/>
  <c r="AR602" i="5"/>
  <c r="AQ602" i="5"/>
  <c r="AH602" i="5" s="1"/>
  <c r="AY712" i="5"/>
  <c r="AJ712" i="5" s="1"/>
  <c r="AX712" i="5"/>
  <c r="AW712" i="5"/>
  <c r="AV712" i="5"/>
  <c r="AU712" i="5"/>
  <c r="AT712" i="5"/>
  <c r="AS712" i="5"/>
  <c r="AE712" i="5" s="1"/>
  <c r="AR712" i="5"/>
  <c r="AQ712" i="5"/>
  <c r="AH712" i="5" s="1"/>
  <c r="AY360" i="5"/>
  <c r="AJ360" i="5" s="1"/>
  <c r="AX360" i="5"/>
  <c r="AW360" i="5"/>
  <c r="AV360" i="5"/>
  <c r="AU360" i="5"/>
  <c r="AT360" i="5"/>
  <c r="AS360" i="5"/>
  <c r="AE360" i="5" s="1"/>
  <c r="AR360" i="5"/>
  <c r="AQ360" i="5"/>
  <c r="AH360" i="5" s="1"/>
  <c r="AY417" i="5"/>
  <c r="AJ417" i="5" s="1"/>
  <c r="AX417" i="5"/>
  <c r="AW417" i="5"/>
  <c r="AV417" i="5"/>
  <c r="AU417" i="5"/>
  <c r="AT417" i="5"/>
  <c r="AS417" i="5"/>
  <c r="AE417" i="5" s="1"/>
  <c r="AR417" i="5"/>
  <c r="AQ417" i="5"/>
  <c r="AH417" i="5" s="1"/>
  <c r="AY560" i="5"/>
  <c r="AJ560" i="5" s="1"/>
  <c r="AX560" i="5"/>
  <c r="AW560" i="5"/>
  <c r="AV560" i="5"/>
  <c r="AU560" i="5"/>
  <c r="AT560" i="5"/>
  <c r="AS560" i="5"/>
  <c r="AE560" i="5" s="1"/>
  <c r="AR560" i="5"/>
  <c r="AQ560" i="5"/>
  <c r="AH560" i="5" s="1"/>
  <c r="AY388" i="5"/>
  <c r="AJ388" i="5" s="1"/>
  <c r="AX388" i="5"/>
  <c r="AW388" i="5"/>
  <c r="AV388" i="5"/>
  <c r="AU388" i="5"/>
  <c r="AT388" i="5"/>
  <c r="AS388" i="5"/>
  <c r="AE388" i="5" s="1"/>
  <c r="AR388" i="5"/>
  <c r="AQ388" i="5"/>
  <c r="AH388" i="5" s="1"/>
  <c r="AY444" i="5"/>
  <c r="AJ444" i="5" s="1"/>
  <c r="AX444" i="5"/>
  <c r="AW444" i="5"/>
  <c r="AV444" i="5"/>
  <c r="AU444" i="5"/>
  <c r="AT444" i="5"/>
  <c r="AS444" i="5"/>
  <c r="AE444" i="5" s="1"/>
  <c r="AR444" i="5"/>
  <c r="AQ444" i="5"/>
  <c r="AH444" i="5" s="1"/>
  <c r="AY595" i="5"/>
  <c r="AJ595" i="5" s="1"/>
  <c r="AX595" i="5"/>
  <c r="AW595" i="5"/>
  <c r="AV595" i="5"/>
  <c r="AU595" i="5"/>
  <c r="AT595" i="5"/>
  <c r="AS595" i="5"/>
  <c r="AE595" i="5" s="1"/>
  <c r="AR595" i="5"/>
  <c r="AQ595" i="5"/>
  <c r="AH595" i="5" s="1"/>
  <c r="AY489" i="5"/>
  <c r="AJ489" i="5" s="1"/>
  <c r="AX489" i="5"/>
  <c r="AW489" i="5"/>
  <c r="AV489" i="5"/>
  <c r="AU489" i="5"/>
  <c r="AT489" i="5"/>
  <c r="AS489" i="5"/>
  <c r="AE489" i="5" s="1"/>
  <c r="AR489" i="5"/>
  <c r="AQ489" i="5"/>
  <c r="AH489" i="5" s="1"/>
  <c r="AY570" i="5"/>
  <c r="AJ570" i="5" s="1"/>
  <c r="AX570" i="5"/>
  <c r="AW570" i="5"/>
  <c r="AV570" i="5"/>
  <c r="AU570" i="5"/>
  <c r="AT570" i="5"/>
  <c r="AS570" i="5"/>
  <c r="AE570" i="5" s="1"/>
  <c r="AR570" i="5"/>
  <c r="AQ570" i="5"/>
  <c r="AH570" i="5" s="1"/>
  <c r="AY689" i="5"/>
  <c r="AJ689" i="5" s="1"/>
  <c r="AX689" i="5"/>
  <c r="AW689" i="5"/>
  <c r="AV689" i="5"/>
  <c r="AU689" i="5"/>
  <c r="AT689" i="5"/>
  <c r="AS689" i="5"/>
  <c r="AE689" i="5" s="1"/>
  <c r="AR689" i="5"/>
  <c r="AQ689" i="5"/>
  <c r="AH689" i="5" s="1"/>
  <c r="AY359" i="5"/>
  <c r="AJ359" i="5" s="1"/>
  <c r="AX359" i="5"/>
  <c r="AW359" i="5"/>
  <c r="AV359" i="5"/>
  <c r="AU359" i="5"/>
  <c r="AT359" i="5"/>
  <c r="AS359" i="5"/>
  <c r="AE359" i="5" s="1"/>
  <c r="AR359" i="5"/>
  <c r="AQ359" i="5"/>
  <c r="AH359" i="5" s="1"/>
  <c r="AY416" i="5"/>
  <c r="AJ416" i="5" s="1"/>
  <c r="AX416" i="5"/>
  <c r="AW416" i="5"/>
  <c r="AV416" i="5"/>
  <c r="AU416" i="5"/>
  <c r="AT416" i="5"/>
  <c r="AS416" i="5"/>
  <c r="AE416" i="5" s="1"/>
  <c r="AR416" i="5"/>
  <c r="AQ416" i="5"/>
  <c r="AH416" i="5" s="1"/>
  <c r="AY559" i="5"/>
  <c r="AJ559" i="5" s="1"/>
  <c r="AX559" i="5"/>
  <c r="AW559" i="5"/>
  <c r="AV559" i="5"/>
  <c r="AU559" i="5"/>
  <c r="AT559" i="5"/>
  <c r="AS559" i="5"/>
  <c r="AE559" i="5" s="1"/>
  <c r="AR559" i="5"/>
  <c r="AQ559" i="5"/>
  <c r="AH559" i="5" s="1"/>
  <c r="AY387" i="5"/>
  <c r="AJ387" i="5" s="1"/>
  <c r="AX387" i="5"/>
  <c r="AW387" i="5"/>
  <c r="AV387" i="5"/>
  <c r="AU387" i="5"/>
  <c r="AT387" i="5"/>
  <c r="AS387" i="5"/>
  <c r="AE387" i="5" s="1"/>
  <c r="AR387" i="5"/>
  <c r="AQ387" i="5"/>
  <c r="AH387" i="5" s="1"/>
  <c r="AY443" i="5"/>
  <c r="AJ443" i="5" s="1"/>
  <c r="AX443" i="5"/>
  <c r="AW443" i="5"/>
  <c r="AV443" i="5"/>
  <c r="AU443" i="5"/>
  <c r="AT443" i="5"/>
  <c r="AS443" i="5"/>
  <c r="AE443" i="5" s="1"/>
  <c r="AR443" i="5"/>
  <c r="AQ443" i="5"/>
  <c r="AH443" i="5" s="1"/>
  <c r="AY594" i="5"/>
  <c r="AJ594" i="5" s="1"/>
  <c r="AX594" i="5"/>
  <c r="AW594" i="5"/>
  <c r="AV594" i="5"/>
  <c r="AU594" i="5"/>
  <c r="AT594" i="5"/>
  <c r="AS594" i="5"/>
  <c r="AE594" i="5" s="1"/>
  <c r="AR594" i="5"/>
  <c r="AQ594" i="5"/>
  <c r="AH594" i="5" s="1"/>
  <c r="AY488" i="5"/>
  <c r="AJ488" i="5" s="1"/>
  <c r="AX488" i="5"/>
  <c r="AW488" i="5"/>
  <c r="AV488" i="5"/>
  <c r="AU488" i="5"/>
  <c r="AT488" i="5"/>
  <c r="AS488" i="5"/>
  <c r="AE488" i="5" s="1"/>
  <c r="AR488" i="5"/>
  <c r="AQ488" i="5"/>
  <c r="AH488" i="5" s="1"/>
  <c r="AY569" i="5"/>
  <c r="AJ569" i="5" s="1"/>
  <c r="AX569" i="5"/>
  <c r="AW569" i="5"/>
  <c r="AV569" i="5"/>
  <c r="AU569" i="5"/>
  <c r="AT569" i="5"/>
  <c r="AS569" i="5"/>
  <c r="AE569" i="5" s="1"/>
  <c r="AR569" i="5"/>
  <c r="AQ569" i="5"/>
  <c r="AH569" i="5" s="1"/>
  <c r="AY688" i="5"/>
  <c r="AJ688" i="5" s="1"/>
  <c r="AX688" i="5"/>
  <c r="AW688" i="5"/>
  <c r="AV688" i="5"/>
  <c r="AU688" i="5"/>
  <c r="AT688" i="5"/>
  <c r="AS688" i="5"/>
  <c r="AE688" i="5" s="1"/>
  <c r="AR688" i="5"/>
  <c r="AQ688" i="5"/>
  <c r="AH688" i="5" s="1"/>
  <c r="AC53" i="5"/>
  <c r="AW977" i="5" s="1"/>
  <c r="C29" i="5"/>
  <c r="D54" i="5" s="1"/>
  <c r="D21" i="5"/>
  <c r="D22" i="5" s="1"/>
  <c r="D20" i="5"/>
  <c r="D19" i="5"/>
  <c r="AI932" i="5" s="1"/>
  <c r="D17" i="5"/>
  <c r="C17" i="5"/>
  <c r="B17" i="5"/>
  <c r="D21" i="2"/>
  <c r="D22" i="2" s="1"/>
  <c r="D20" i="2"/>
  <c r="D19" i="2"/>
  <c r="C17" i="2"/>
  <c r="D17" i="2"/>
  <c r="C29" i="2"/>
  <c r="D54" i="2" s="1"/>
  <c r="B17" i="2"/>
  <c r="D57" i="2" s="1"/>
  <c r="AJ630" i="5" l="1"/>
  <c r="AJ731" i="5"/>
  <c r="AJ596" i="5"/>
  <c r="AJ397" i="5"/>
  <c r="AJ735" i="5"/>
  <c r="AJ593" i="5"/>
  <c r="AJ493" i="5"/>
  <c r="AJ660" i="5"/>
  <c r="AJ794" i="5"/>
  <c r="AJ558" i="5"/>
  <c r="H818" i="5"/>
  <c r="W818" i="5" s="1"/>
  <c r="AC818" i="5" s="1"/>
  <c r="AG888" i="5"/>
  <c r="R406" i="5"/>
  <c r="R761" i="5"/>
  <c r="R890" i="5"/>
  <c r="R361" i="5"/>
  <c r="R364" i="5"/>
  <c r="R391" i="5"/>
  <c r="R529" i="5"/>
  <c r="R604" i="5"/>
  <c r="R565" i="5"/>
  <c r="R804" i="5"/>
  <c r="R526" i="5"/>
  <c r="R259" i="5"/>
  <c r="R564" i="5"/>
  <c r="R627" i="5"/>
  <c r="AG320" i="5"/>
  <c r="AG150" i="5"/>
  <c r="AG115" i="5"/>
  <c r="AG646" i="5"/>
  <c r="AG664" i="5"/>
  <c r="AG356" i="5"/>
  <c r="AG941" i="5"/>
  <c r="AG107" i="5"/>
  <c r="AG124" i="5"/>
  <c r="AG76" i="5"/>
  <c r="AG102" i="5"/>
  <c r="AG299" i="5"/>
  <c r="AG111" i="5"/>
  <c r="AG345" i="5"/>
  <c r="AG141" i="5"/>
  <c r="AG169" i="5"/>
  <c r="AG99" i="5"/>
  <c r="AG261" i="5"/>
  <c r="AG109" i="5"/>
  <c r="AG143" i="5"/>
  <c r="AG651" i="5"/>
  <c r="AG801" i="5"/>
  <c r="AG84" i="5"/>
  <c r="AG117" i="5"/>
  <c r="AG149" i="5"/>
  <c r="AG196" i="5"/>
  <c r="AG94" i="5"/>
  <c r="AG399" i="5"/>
  <c r="AG466" i="5"/>
  <c r="AG355" i="5"/>
  <c r="AG803" i="5"/>
  <c r="AG90" i="5"/>
  <c r="AG168" i="5"/>
  <c r="AG79" i="5"/>
  <c r="AG129" i="5"/>
  <c r="AG108" i="5"/>
  <c r="AG91" i="5"/>
  <c r="AG252" i="5"/>
  <c r="AG528" i="5"/>
  <c r="AG114" i="5"/>
  <c r="AG98" i="5"/>
  <c r="AG157" i="5"/>
  <c r="AG146" i="5"/>
  <c r="AG93" i="5"/>
  <c r="AG650" i="5"/>
  <c r="AG328" i="5"/>
  <c r="AG802" i="5"/>
  <c r="AG155" i="5"/>
  <c r="AG195" i="5"/>
  <c r="AG81" i="5"/>
  <c r="AG278" i="5"/>
  <c r="AG131" i="5"/>
  <c r="AG398" i="5"/>
  <c r="AG163" i="5"/>
  <c r="AG229" i="5"/>
  <c r="AG793" i="5"/>
  <c r="AG896" i="5"/>
  <c r="AG113" i="5"/>
  <c r="AG83" i="5"/>
  <c r="AG97" i="5"/>
  <c r="AG145" i="5"/>
  <c r="AG77" i="5"/>
  <c r="AG338" i="5"/>
  <c r="AG327" i="5"/>
  <c r="AG389" i="5"/>
  <c r="AG87" i="5"/>
  <c r="AG217" i="5"/>
  <c r="AG105" i="5"/>
  <c r="AG92" i="5"/>
  <c r="AG445" i="5"/>
  <c r="AG463" i="5"/>
  <c r="AG227" i="5"/>
  <c r="AG106" i="5"/>
  <c r="AG277" i="5"/>
  <c r="AG85" i="5"/>
  <c r="AG194" i="5"/>
  <c r="AG162" i="5"/>
  <c r="AG130" i="5"/>
  <c r="AG258" i="5"/>
  <c r="AG235" i="5"/>
  <c r="AG116" i="5"/>
  <c r="AG792" i="5"/>
  <c r="AG516" i="5"/>
  <c r="AG897" i="5"/>
  <c r="AG78" i="5"/>
  <c r="AG95" i="5"/>
  <c r="AG104" i="5"/>
  <c r="AG80" i="5"/>
  <c r="AG220" i="5"/>
  <c r="AG462" i="5"/>
  <c r="AG96" i="5"/>
  <c r="AG696" i="5"/>
  <c r="AG216" i="5"/>
  <c r="AG125" i="5"/>
  <c r="AG86" i="5"/>
  <c r="AG262" i="5"/>
  <c r="AG300" i="5"/>
  <c r="AG226" i="5"/>
  <c r="AG655" i="5"/>
  <c r="AG171" i="5"/>
  <c r="AG89" i="5"/>
  <c r="AG126" i="5"/>
  <c r="AG234" i="5"/>
  <c r="AG82" i="5"/>
  <c r="AG88" i="5"/>
  <c r="AG112" i="5"/>
  <c r="AG381" i="5"/>
  <c r="AG710" i="5"/>
  <c r="AG172" i="5"/>
  <c r="AG139" i="5"/>
  <c r="AG514" i="5"/>
  <c r="AG515" i="5"/>
  <c r="AG580" i="5"/>
  <c r="AG100" i="5"/>
  <c r="AG329" i="5"/>
  <c r="AG663" i="5"/>
  <c r="AG122" i="5"/>
  <c r="AG830" i="5"/>
  <c r="AG465" i="5"/>
  <c r="AG167" i="5"/>
  <c r="AG534" i="5"/>
  <c r="AG212" i="5"/>
  <c r="AG319" i="5"/>
  <c r="AI762" i="5"/>
  <c r="U79" i="5"/>
  <c r="O79" i="5" s="1"/>
  <c r="AJ273" i="5"/>
  <c r="AJ323" i="5"/>
  <c r="AJ305" i="5"/>
  <c r="AJ541" i="5"/>
  <c r="AJ726" i="5"/>
  <c r="AJ815" i="5"/>
  <c r="AJ675" i="5"/>
  <c r="AJ727" i="5"/>
  <c r="AJ909" i="5"/>
  <c r="AJ78" i="5"/>
  <c r="U78" i="5"/>
  <c r="J180" i="5"/>
  <c r="AJ153" i="5"/>
  <c r="AJ198" i="5"/>
  <c r="AJ597" i="5"/>
  <c r="J598" i="5"/>
  <c r="AJ533" i="5"/>
  <c r="J843" i="5"/>
  <c r="J827" i="5"/>
  <c r="J828" i="5"/>
  <c r="J439" i="5"/>
  <c r="J936" i="5"/>
  <c r="J877" i="5"/>
  <c r="J854" i="5"/>
  <c r="J420" i="5"/>
  <c r="AH959" i="5"/>
  <c r="J959" i="5" s="1"/>
  <c r="AH927" i="5"/>
  <c r="J927" i="5" s="1"/>
  <c r="AH971" i="5"/>
  <c r="J971" i="5" s="1"/>
  <c r="AH973" i="5"/>
  <c r="J973" i="5" s="1"/>
  <c r="J273" i="5"/>
  <c r="AH208" i="5"/>
  <c r="AH429" i="5"/>
  <c r="AH396" i="5"/>
  <c r="AH523" i="5"/>
  <c r="AJ886" i="5"/>
  <c r="H682" i="5"/>
  <c r="AH232" i="5"/>
  <c r="J232" i="5" s="1"/>
  <c r="AH504" i="5"/>
  <c r="J504" i="5" s="1"/>
  <c r="H920" i="5"/>
  <c r="W920" i="5" s="1"/>
  <c r="AC920" i="5" s="1"/>
  <c r="AJ322" i="5"/>
  <c r="AJ893" i="5"/>
  <c r="AJ393" i="5"/>
  <c r="AJ668" i="5"/>
  <c r="AJ540" i="5"/>
  <c r="AJ669" i="5"/>
  <c r="AJ950" i="5"/>
  <c r="AJ970" i="5"/>
  <c r="AJ133" i="5"/>
  <c r="J118" i="5"/>
  <c r="J597" i="5"/>
  <c r="AJ532" i="5"/>
  <c r="AJ635" i="5"/>
  <c r="AJ213" i="5"/>
  <c r="J184" i="5"/>
  <c r="J627" i="5"/>
  <c r="AH782" i="5"/>
  <c r="J782" i="5" s="1"/>
  <c r="AI375" i="5"/>
  <c r="AI189" i="5"/>
  <c r="AI477" i="5"/>
  <c r="AI764" i="5"/>
  <c r="AI841" i="5"/>
  <c r="AI894" i="5"/>
  <c r="AI929" i="5"/>
  <c r="AJ920" i="5"/>
  <c r="AH855" i="5"/>
  <c r="J855" i="5" s="1"/>
  <c r="AJ744" i="5"/>
  <c r="AJ497" i="5"/>
  <c r="AJ745" i="5"/>
  <c r="AJ498" i="5"/>
  <c r="AJ640" i="5"/>
  <c r="AJ378" i="5"/>
  <c r="AJ746" i="5"/>
  <c r="AJ499" i="5"/>
  <c r="AJ747" i="5"/>
  <c r="AJ500" i="5"/>
  <c r="AJ641" i="5"/>
  <c r="AJ379" i="5"/>
  <c r="AJ923" i="5"/>
  <c r="AJ805" i="5"/>
  <c r="AJ924" i="5"/>
  <c r="AJ806" i="5"/>
  <c r="AJ873" i="5"/>
  <c r="AH938" i="5"/>
  <c r="J938" i="5" s="1"/>
  <c r="AH864" i="5"/>
  <c r="J864" i="5" s="1"/>
  <c r="AH799" i="5"/>
  <c r="J799" i="5" s="1"/>
  <c r="AH867" i="5"/>
  <c r="J867" i="5" s="1"/>
  <c r="AH955" i="5"/>
  <c r="J955" i="5" s="1"/>
  <c r="AH940" i="5"/>
  <c r="J940" i="5" s="1"/>
  <c r="AH591" i="5"/>
  <c r="AH436" i="5"/>
  <c r="AH700" i="5"/>
  <c r="AH858" i="5"/>
  <c r="J818" i="5"/>
  <c r="AC919" i="5"/>
  <c r="AH233" i="5"/>
  <c r="J233" i="5" s="1"/>
  <c r="J178" i="5"/>
  <c r="AJ184" i="5"/>
  <c r="J868" i="5"/>
  <c r="AJ776" i="5"/>
  <c r="J777" i="5"/>
  <c r="AJ718" i="5"/>
  <c r="AJ470" i="5"/>
  <c r="AJ645" i="5"/>
  <c r="AH334" i="5"/>
  <c r="J334" i="5" s="1"/>
  <c r="AH323" i="5"/>
  <c r="J323" i="5" s="1"/>
  <c r="AH336" i="5"/>
  <c r="J336" i="5" s="1"/>
  <c r="AH222" i="5"/>
  <c r="J222" i="5" s="1"/>
  <c r="AH808" i="5"/>
  <c r="J808" i="5" s="1"/>
  <c r="AJ277" i="5"/>
  <c r="AH950" i="5"/>
  <c r="J950" i="5" s="1"/>
  <c r="AH964" i="5"/>
  <c r="J964" i="5" s="1"/>
  <c r="AH340" i="5"/>
  <c r="J340" i="5" s="1"/>
  <c r="AI241" i="5"/>
  <c r="AJ100" i="5"/>
  <c r="AJ320" i="5"/>
  <c r="AJ98" i="5"/>
  <c r="H621" i="5"/>
  <c r="H817" i="5"/>
  <c r="W817" i="5" s="1"/>
  <c r="AC817" i="5" s="1"/>
  <c r="AH752" i="5"/>
  <c r="J752" i="5" s="1"/>
  <c r="AJ798" i="5"/>
  <c r="J549" i="5"/>
  <c r="AI511" i="5"/>
  <c r="H681" i="5"/>
  <c r="AJ698" i="5"/>
  <c r="J761" i="5"/>
  <c r="H685" i="5"/>
  <c r="W685" i="5" s="1"/>
  <c r="AC685" i="5" s="1"/>
  <c r="AJ704" i="5"/>
  <c r="AJ527" i="5"/>
  <c r="AH851" i="5"/>
  <c r="AI409" i="5"/>
  <c r="AI479" i="5"/>
  <c r="AI446" i="5"/>
  <c r="U195" i="5"/>
  <c r="O195" i="5" s="1"/>
  <c r="J385" i="5"/>
  <c r="J481" i="5"/>
  <c r="J823" i="5"/>
  <c r="AJ245" i="5"/>
  <c r="AJ959" i="5"/>
  <c r="AJ927" i="5"/>
  <c r="AJ193" i="5"/>
  <c r="AJ438" i="5"/>
  <c r="J310" i="5"/>
  <c r="AJ270" i="5"/>
  <c r="AJ357" i="5"/>
  <c r="AJ610" i="5"/>
  <c r="J611" i="5"/>
  <c r="J458" i="5"/>
  <c r="AJ716" i="5"/>
  <c r="AJ459" i="5"/>
  <c r="J916" i="5"/>
  <c r="J836" i="5"/>
  <c r="AJ303" i="5"/>
  <c r="AJ454" i="5"/>
  <c r="AJ336" i="5"/>
  <c r="AJ551" i="5"/>
  <c r="AI825" i="5"/>
  <c r="AH702" i="5"/>
  <c r="AH797" i="5"/>
  <c r="AH904" i="5"/>
  <c r="AH147" i="5"/>
  <c r="AH159" i="5"/>
  <c r="AH174" i="5"/>
  <c r="AI237" i="5"/>
  <c r="AH199" i="5"/>
  <c r="AI276" i="5"/>
  <c r="AH478" i="5"/>
  <c r="AI350" i="5"/>
  <c r="AH267" i="5"/>
  <c r="AI358" i="5"/>
  <c r="AH422" i="5"/>
  <c r="AI544" i="5"/>
  <c r="AH307" i="5"/>
  <c r="AH812" i="5"/>
  <c r="J383" i="5"/>
  <c r="AJ621" i="5"/>
  <c r="AJ622" i="5"/>
  <c r="AJ280" i="5"/>
  <c r="AJ609" i="5"/>
  <c r="AJ643" i="5"/>
  <c r="AI342" i="5"/>
  <c r="AI228" i="5"/>
  <c r="AI175" i="5"/>
  <c r="AI421" i="5"/>
  <c r="AJ818" i="5"/>
  <c r="AH935" i="5"/>
  <c r="J935" i="5" s="1"/>
  <c r="AH837" i="5"/>
  <c r="J837" i="5" s="1"/>
  <c r="AH946" i="5"/>
  <c r="J946" i="5" s="1"/>
  <c r="AH754" i="5"/>
  <c r="J754" i="5" s="1"/>
  <c r="AJ118" i="5"/>
  <c r="AJ447" i="5"/>
  <c r="AJ402" i="5"/>
  <c r="AJ293" i="5"/>
  <c r="J294" i="5"/>
  <c r="AJ248" i="5"/>
  <c r="AJ807" i="5"/>
  <c r="AJ403" i="5"/>
  <c r="J740" i="5"/>
  <c r="AH747" i="5"/>
  <c r="J747" i="5" s="1"/>
  <c r="AH500" i="5"/>
  <c r="J500" i="5" s="1"/>
  <c r="AH641" i="5"/>
  <c r="J641" i="5" s="1"/>
  <c r="AH379" i="5"/>
  <c r="J379" i="5" s="1"/>
  <c r="AH923" i="5"/>
  <c r="J923" i="5" s="1"/>
  <c r="AH805" i="5"/>
  <c r="J805" i="5" s="1"/>
  <c r="AH924" i="5"/>
  <c r="J924" i="5" s="1"/>
  <c r="AH806" i="5"/>
  <c r="J806" i="5" s="1"/>
  <c r="AH873" i="5"/>
  <c r="J873" i="5" s="1"/>
  <c r="AH901" i="5"/>
  <c r="J901" i="5" s="1"/>
  <c r="AH865" i="5"/>
  <c r="J865" i="5" s="1"/>
  <c r="AH866" i="5"/>
  <c r="J866" i="5" s="1"/>
  <c r="AH800" i="5"/>
  <c r="J800" i="5" s="1"/>
  <c r="AH956" i="5"/>
  <c r="J956" i="5" s="1"/>
  <c r="AH961" i="5"/>
  <c r="J961" i="5" s="1"/>
  <c r="J899" i="5"/>
  <c r="J821" i="5"/>
  <c r="AJ713" i="5"/>
  <c r="J784" i="5"/>
  <c r="AJ302" i="5"/>
  <c r="AH221" i="5"/>
  <c r="J221" i="5" s="1"/>
  <c r="AH453" i="5"/>
  <c r="J453" i="5" s="1"/>
  <c r="AH335" i="5"/>
  <c r="J335" i="5" s="1"/>
  <c r="AH910" i="5"/>
  <c r="J910" i="5" s="1"/>
  <c r="V851" i="5"/>
  <c r="AI673" i="5"/>
  <c r="AH554" i="5"/>
  <c r="AH120" i="5"/>
  <c r="AH123" i="5"/>
  <c r="AH275" i="5"/>
  <c r="AH136" i="5"/>
  <c r="AI199" i="5"/>
  <c r="AH238" i="5"/>
  <c r="AI478" i="5"/>
  <c r="AH400" i="5"/>
  <c r="AI267" i="5"/>
  <c r="AH351" i="5"/>
  <c r="AI422" i="5"/>
  <c r="AH545" i="5"/>
  <c r="AI725" i="5"/>
  <c r="AH255" i="5"/>
  <c r="AH308" i="5"/>
  <c r="U100" i="5"/>
  <c r="J817" i="5"/>
  <c r="AI240" i="5"/>
  <c r="AI173" i="5"/>
  <c r="AI523" i="5"/>
  <c r="H401" i="5"/>
  <c r="W401" i="5" s="1"/>
  <c r="AC401" i="5" s="1"/>
  <c r="AH567" i="5"/>
  <c r="J567" i="5" s="1"/>
  <c r="AJ856" i="5"/>
  <c r="AJ372" i="5"/>
  <c r="AJ935" i="5"/>
  <c r="AJ943" i="5"/>
  <c r="AH948" i="5"/>
  <c r="J948" i="5" s="1"/>
  <c r="AJ835" i="5"/>
  <c r="AH473" i="5"/>
  <c r="J473" i="5" s="1"/>
  <c r="U117" i="5"/>
  <c r="U212" i="5"/>
  <c r="U278" i="5"/>
  <c r="U131" i="5"/>
  <c r="AJ441" i="5"/>
  <c r="AJ442" i="5"/>
  <c r="AJ205" i="5"/>
  <c r="AJ623" i="5"/>
  <c r="J569" i="5"/>
  <c r="J665" i="5"/>
  <c r="J224" i="5"/>
  <c r="J288" i="5"/>
  <c r="J661" i="5"/>
  <c r="J816" i="5"/>
  <c r="J561" i="5"/>
  <c r="J423" i="5"/>
  <c r="AJ748" i="5"/>
  <c r="J193" i="5"/>
  <c r="AJ165" i="5"/>
  <c r="AJ316" i="5"/>
  <c r="AJ717" i="5"/>
  <c r="AJ777" i="5"/>
  <c r="J676" i="5"/>
  <c r="J236" i="5"/>
  <c r="AJ197" i="5"/>
  <c r="J403" i="5"/>
  <c r="J341" i="5"/>
  <c r="J406" i="5"/>
  <c r="J364" i="5"/>
  <c r="J564" i="5"/>
  <c r="AJ473" i="5"/>
  <c r="AH840" i="5"/>
  <c r="J840" i="5" s="1"/>
  <c r="AJ910" i="5"/>
  <c r="AI448" i="5"/>
  <c r="AI870" i="5"/>
  <c r="AI542" i="5"/>
  <c r="AI680" i="5"/>
  <c r="AH789" i="5"/>
  <c r="AH367" i="5"/>
  <c r="AH732" i="5"/>
  <c r="AH811" i="5"/>
  <c r="U217" i="5"/>
  <c r="AJ143" i="5"/>
  <c r="AJ650" i="5"/>
  <c r="AJ463" i="5"/>
  <c r="H315" i="5"/>
  <c r="J179" i="5"/>
  <c r="J741" i="5"/>
  <c r="AH758" i="5"/>
  <c r="J758" i="5" s="1"/>
  <c r="AH871" i="5"/>
  <c r="J871" i="5" s="1"/>
  <c r="AH968" i="5"/>
  <c r="J968" i="5" s="1"/>
  <c r="AJ968" i="5"/>
  <c r="J293" i="5"/>
  <c r="J357" i="5"/>
  <c r="J392" i="5"/>
  <c r="J565" i="5"/>
  <c r="J890" i="5"/>
  <c r="AH744" i="5"/>
  <c r="J744" i="5" s="1"/>
  <c r="AH497" i="5"/>
  <c r="J497" i="5" s="1"/>
  <c r="AH745" i="5"/>
  <c r="J745" i="5" s="1"/>
  <c r="AH498" i="5"/>
  <c r="J498" i="5" s="1"/>
  <c r="AH640" i="5"/>
  <c r="J640" i="5" s="1"/>
  <c r="AH378" i="5"/>
  <c r="J378" i="5" s="1"/>
  <c r="AH746" i="5"/>
  <c r="J746" i="5" s="1"/>
  <c r="AH499" i="5"/>
  <c r="J499" i="5" s="1"/>
  <c r="H899" i="5"/>
  <c r="V899" i="5" s="1"/>
  <c r="H821" i="5"/>
  <c r="V821" i="5" s="1"/>
  <c r="AI625" i="5"/>
  <c r="AI427" i="5"/>
  <c r="U277" i="5"/>
  <c r="AJ212" i="5"/>
  <c r="AJ278" i="5"/>
  <c r="U130" i="5"/>
  <c r="AJ131" i="5"/>
  <c r="AJ896" i="5"/>
  <c r="AJ113" i="5"/>
  <c r="AJ682" i="5"/>
  <c r="J353" i="5"/>
  <c r="J431" i="5"/>
  <c r="J402" i="5"/>
  <c r="H243" i="5"/>
  <c r="AJ326" i="5"/>
  <c r="H326" i="5"/>
  <c r="AL326" i="5" s="1"/>
  <c r="AJ257" i="5"/>
  <c r="H257" i="5"/>
  <c r="AL257" i="5" s="1"/>
  <c r="J521" i="5"/>
  <c r="H684" i="5"/>
  <c r="W684" i="5" s="1"/>
  <c r="AC684" i="5" s="1"/>
  <c r="J862" i="5"/>
  <c r="J932" i="5"/>
  <c r="J606" i="5"/>
  <c r="J605" i="5"/>
  <c r="J464" i="5"/>
  <c r="J826" i="5"/>
  <c r="J915" i="5"/>
  <c r="J589" i="5"/>
  <c r="J848" i="5"/>
  <c r="AJ631" i="5"/>
  <c r="AH451" i="5"/>
  <c r="J451" i="5" s="1"/>
  <c r="AJ451" i="5"/>
  <c r="AH505" i="5"/>
  <c r="J505" i="5" s="1"/>
  <c r="AJ505" i="5"/>
  <c r="AH885" i="5"/>
  <c r="J885" i="5" s="1"/>
  <c r="AH832" i="5"/>
  <c r="J832" i="5" s="1"/>
  <c r="AJ832" i="5"/>
  <c r="AH891" i="5"/>
  <c r="J891" i="5" s="1"/>
  <c r="AJ891" i="5"/>
  <c r="AJ164" i="5"/>
  <c r="AJ127" i="5"/>
  <c r="J718" i="5"/>
  <c r="AH939" i="5"/>
  <c r="J939" i="5" s="1"/>
  <c r="AH705" i="5"/>
  <c r="J705" i="5" s="1"/>
  <c r="AH581" i="5"/>
  <c r="J581" i="5" s="1"/>
  <c r="AH708" i="5"/>
  <c r="J708" i="5" s="1"/>
  <c r="AH846" i="5"/>
  <c r="J846" i="5" s="1"/>
  <c r="AH965" i="5"/>
  <c r="J965" i="5" s="1"/>
  <c r="AH260" i="5"/>
  <c r="AI286" i="5"/>
  <c r="AH796" i="5"/>
  <c r="AH902" i="5"/>
  <c r="AH158" i="5"/>
  <c r="AH103" i="5"/>
  <c r="AH148" i="5"/>
  <c r="AH228" i="5"/>
  <c r="AH175" i="5"/>
  <c r="AH421" i="5"/>
  <c r="AH479" i="5"/>
  <c r="AH446" i="5"/>
  <c r="AH733" i="5"/>
  <c r="AH810" i="5"/>
  <c r="AJ195" i="5"/>
  <c r="U95" i="5"/>
  <c r="U124" i="5"/>
  <c r="O124" i="5" s="1"/>
  <c r="U216" i="5"/>
  <c r="O216" i="5" s="1"/>
  <c r="U169" i="5"/>
  <c r="O169" i="5" s="1"/>
  <c r="H494" i="5"/>
  <c r="AL494" i="5" s="1"/>
  <c r="H380" i="5"/>
  <c r="AL380" i="5" s="1"/>
  <c r="AJ637" i="5"/>
  <c r="AJ695" i="5"/>
  <c r="AH331" i="5"/>
  <c r="J331" i="5" s="1"/>
  <c r="AH211" i="5"/>
  <c r="J211" i="5" s="1"/>
  <c r="AH503" i="5"/>
  <c r="J503" i="5" s="1"/>
  <c r="AH786" i="5"/>
  <c r="J786" i="5" s="1"/>
  <c r="J774" i="5"/>
  <c r="J921" i="5"/>
  <c r="J333" i="5"/>
  <c r="J697" i="5"/>
  <c r="J918" i="5"/>
  <c r="J934" i="5"/>
  <c r="J849" i="5"/>
  <c r="J937" i="5"/>
  <c r="AJ274" i="5"/>
  <c r="J748" i="5"/>
  <c r="J447" i="5"/>
  <c r="J213" i="5"/>
  <c r="AJ142" i="5"/>
  <c r="AJ483" i="5"/>
  <c r="J295" i="5"/>
  <c r="J249" i="5"/>
  <c r="AJ314" i="5"/>
  <c r="J470" i="5"/>
  <c r="AJ310" i="5"/>
  <c r="AJ613" i="5"/>
  <c r="J930" i="5"/>
  <c r="AH250" i="5"/>
  <c r="J250" i="5" s="1"/>
  <c r="AH305" i="5"/>
  <c r="J305" i="5" s="1"/>
  <c r="AJ337" i="5"/>
  <c r="AJ550" i="5"/>
  <c r="AJ653" i="5"/>
  <c r="AJ461" i="5"/>
  <c r="AJ616" i="5"/>
  <c r="AJ703" i="5"/>
  <c r="AH809" i="5"/>
  <c r="J809" i="5" s="1"/>
  <c r="AH393" i="5"/>
  <c r="J393" i="5" s="1"/>
  <c r="AJ520" i="5"/>
  <c r="AH394" i="5"/>
  <c r="J394" i="5" s="1"/>
  <c r="AH669" i="5"/>
  <c r="J669" i="5" s="1"/>
  <c r="AH882" i="5"/>
  <c r="J882" i="5" s="1"/>
  <c r="AI633" i="5"/>
  <c r="AI791" i="5"/>
  <c r="AI313" i="5"/>
  <c r="AI151" i="5"/>
  <c r="AI562" i="5"/>
  <c r="AI362" i="5"/>
  <c r="AI626" i="5"/>
  <c r="AH556" i="5"/>
  <c r="AH737" i="5"/>
  <c r="AH553" i="5"/>
  <c r="AH875" i="5"/>
  <c r="AH486" i="5"/>
  <c r="AH769" i="5"/>
  <c r="AJ117" i="5"/>
  <c r="AJ580" i="5"/>
  <c r="AJ651" i="5"/>
  <c r="AJ801" i="5"/>
  <c r="AH450" i="5"/>
  <c r="J450" i="5" s="1"/>
  <c r="AH506" i="5"/>
  <c r="J506" i="5" s="1"/>
  <c r="AH691" i="5"/>
  <c r="J691" i="5" s="1"/>
  <c r="AJ691" i="5"/>
  <c r="J635" i="5"/>
  <c r="J165" i="5"/>
  <c r="J248" i="5"/>
  <c r="J438" i="5"/>
  <c r="J776" i="5"/>
  <c r="J717" i="5"/>
  <c r="AJ666" i="5"/>
  <c r="AH600" i="5"/>
  <c r="J600" i="5" s="1"/>
  <c r="AI343" i="5"/>
  <c r="AI788" i="5"/>
  <c r="AI297" i="5"/>
  <c r="AI429" i="5"/>
  <c r="AJ107" i="5"/>
  <c r="U168" i="5"/>
  <c r="O168" i="5" s="1"/>
  <c r="AJ124" i="5"/>
  <c r="AJ141" i="5"/>
  <c r="J587" i="5"/>
  <c r="AJ401" i="5"/>
  <c r="AJ315" i="5"/>
  <c r="J898" i="5"/>
  <c r="AH468" i="5"/>
  <c r="J468" i="5" s="1"/>
  <c r="J595" i="5"/>
  <c r="AJ855" i="5"/>
  <c r="AJ758" i="5"/>
  <c r="AJ885" i="5"/>
  <c r="AJ837" i="5"/>
  <c r="AJ754" i="5"/>
  <c r="J443" i="5"/>
  <c r="J388" i="5"/>
  <c r="J204" i="5"/>
  <c r="J263" i="5"/>
  <c r="J847" i="5"/>
  <c r="J371" i="5"/>
  <c r="J656" i="5"/>
  <c r="J781" i="5"/>
  <c r="AJ450" i="5"/>
  <c r="AJ506" i="5"/>
  <c r="AJ871" i="5"/>
  <c r="AH798" i="5"/>
  <c r="J798" i="5" s="1"/>
  <c r="AJ946" i="5"/>
  <c r="J489" i="5"/>
  <c r="J601" i="5"/>
  <c r="J977" i="5"/>
  <c r="J889" i="5"/>
  <c r="J954" i="5"/>
  <c r="J425" i="5"/>
  <c r="AH244" i="5"/>
  <c r="J244" i="5" s="1"/>
  <c r="AJ244" i="5"/>
  <c r="AH484" i="5"/>
  <c r="J484" i="5" s="1"/>
  <c r="AJ484" i="5"/>
  <c r="AH644" i="5"/>
  <c r="J644" i="5" s="1"/>
  <c r="AJ644" i="5"/>
  <c r="AH886" i="5"/>
  <c r="J886" i="5" s="1"/>
  <c r="AH943" i="5"/>
  <c r="J943" i="5" s="1"/>
  <c r="AH967" i="5"/>
  <c r="J967" i="5" s="1"/>
  <c r="AJ967" i="5"/>
  <c r="J532" i="5"/>
  <c r="J529" i="5"/>
  <c r="J253" i="5"/>
  <c r="J716" i="5"/>
  <c r="J645" i="5"/>
  <c r="AH550" i="5"/>
  <c r="J550" i="5" s="1"/>
  <c r="AH667" i="5"/>
  <c r="J667" i="5" s="1"/>
  <c r="AJ476" i="5"/>
  <c r="AH727" i="5"/>
  <c r="J727" i="5" s="1"/>
  <c r="AI330" i="5"/>
  <c r="AI279" i="5"/>
  <c r="AI736" i="5"/>
  <c r="AI608" i="5"/>
  <c r="AI709" i="5"/>
  <c r="AI648" i="5"/>
  <c r="AI790" i="5"/>
  <c r="AI207" i="5"/>
  <c r="AI128" i="5"/>
  <c r="AI298" i="5"/>
  <c r="AI432" i="5"/>
  <c r="AI491" i="5"/>
  <c r="AI428" i="5"/>
  <c r="AI577" i="5"/>
  <c r="AI850" i="5"/>
  <c r="AI219" i="5"/>
  <c r="AH673" i="5"/>
  <c r="AI845" i="5"/>
  <c r="AH725" i="5"/>
  <c r="AH306" i="5"/>
  <c r="AH347" i="5"/>
  <c r="AH547" i="5"/>
  <c r="U155" i="5"/>
  <c r="O155" i="5" s="1"/>
  <c r="AJ149" i="5"/>
  <c r="AJ88" i="5"/>
  <c r="AJ139" i="5"/>
  <c r="AJ162" i="5"/>
  <c r="AJ528" i="5"/>
  <c r="AJ99" i="5"/>
  <c r="J496" i="5"/>
  <c r="J687" i="5"/>
  <c r="J863" i="5"/>
  <c r="J510" i="5"/>
  <c r="J861" i="5"/>
  <c r="AJ685" i="5"/>
  <c r="J181" i="5"/>
  <c r="AJ154" i="5"/>
  <c r="J292" i="5"/>
  <c r="AJ192" i="5"/>
  <c r="J483" i="5"/>
  <c r="AI156" i="5"/>
  <c r="AI720" i="5"/>
  <c r="J908" i="5"/>
  <c r="H513" i="5"/>
  <c r="W513" i="5" s="1"/>
  <c r="AC513" i="5" s="1"/>
  <c r="J844" i="5"/>
  <c r="J575" i="5"/>
  <c r="AJ420" i="5"/>
  <c r="J153" i="5"/>
  <c r="AJ181" i="5"/>
  <c r="AJ676" i="5"/>
  <c r="J471" i="5"/>
  <c r="J604" i="5"/>
  <c r="AH911" i="5"/>
  <c r="J911" i="5" s="1"/>
  <c r="J900" i="5"/>
  <c r="AJ930" i="5"/>
  <c r="AJ784" i="5"/>
  <c r="AH455" i="5"/>
  <c r="J455" i="5" s="1"/>
  <c r="AH766" i="5"/>
  <c r="J766" i="5" s="1"/>
  <c r="AH519" i="5"/>
  <c r="J519" i="5" s="1"/>
  <c r="AI638" i="5"/>
  <c r="AI136" i="5"/>
  <c r="AI238" i="5"/>
  <c r="AI400" i="5"/>
  <c r="AI351" i="5"/>
  <c r="AI545" i="5"/>
  <c r="U171" i="5"/>
  <c r="AJ155" i="5"/>
  <c r="AJ663" i="5"/>
  <c r="AJ167" i="5"/>
  <c r="AJ381" i="5"/>
  <c r="AJ226" i="5"/>
  <c r="J728" i="5"/>
  <c r="J404" i="5"/>
  <c r="J683" i="5"/>
  <c r="AH970" i="5"/>
  <c r="J970" i="5" s="1"/>
  <c r="AJ598" i="5"/>
  <c r="AJ868" i="5"/>
  <c r="J869" i="5"/>
  <c r="J270" i="5"/>
  <c r="AJ536" i="5"/>
  <c r="J361" i="5"/>
  <c r="J259" i="5"/>
  <c r="AJ456" i="5"/>
  <c r="J495" i="5"/>
  <c r="AJ250" i="5"/>
  <c r="AJ335" i="5"/>
  <c r="AH324" i="5"/>
  <c r="J324" i="5" s="1"/>
  <c r="AJ222" i="5"/>
  <c r="AJ615" i="5"/>
  <c r="AH405" i="5"/>
  <c r="J405" i="5" s="1"/>
  <c r="AJ808" i="5"/>
  <c r="AH541" i="5"/>
  <c r="J541" i="5" s="1"/>
  <c r="AJ782" i="5"/>
  <c r="AI246" i="5"/>
  <c r="AI512" i="5"/>
  <c r="AI780" i="5"/>
  <c r="AI670" i="5"/>
  <c r="AI914" i="5"/>
  <c r="AI895" i="5"/>
  <c r="AI290" i="5"/>
  <c r="AI230" i="5"/>
  <c r="AI620" i="5"/>
  <c r="AI433" i="5"/>
  <c r="AI723" i="5"/>
  <c r="AI285" i="5"/>
  <c r="AH140" i="5"/>
  <c r="AH121" i="5"/>
  <c r="AH237" i="5"/>
  <c r="AH276" i="5"/>
  <c r="AH350" i="5"/>
  <c r="AH358" i="5"/>
  <c r="AH544" i="5"/>
  <c r="AH346" i="5"/>
  <c r="AH546" i="5"/>
  <c r="AH366" i="5"/>
  <c r="AH487" i="5"/>
  <c r="AH734" i="5"/>
  <c r="U320" i="5"/>
  <c r="AJ398" i="5"/>
  <c r="AJ90" i="5"/>
  <c r="U107" i="5"/>
  <c r="O107" i="5" s="1"/>
  <c r="AJ77" i="5"/>
  <c r="AJ327" i="5"/>
  <c r="AJ169" i="5"/>
  <c r="J767" i="5"/>
  <c r="J243" i="5"/>
  <c r="AJ243" i="5"/>
  <c r="AJ681" i="5"/>
  <c r="AJ919" i="5"/>
  <c r="H674" i="5"/>
  <c r="W674" i="5" s="1"/>
  <c r="AC674" i="5" s="1"/>
  <c r="J755" i="5"/>
  <c r="AI688" i="5"/>
  <c r="J975" i="5"/>
  <c r="J444" i="5"/>
  <c r="J602" i="5"/>
  <c r="J599" i="5"/>
  <c r="J269" i="5"/>
  <c r="J408" i="5"/>
  <c r="J759" i="5"/>
  <c r="AH524" i="5"/>
  <c r="J524" i="5" s="1"/>
  <c r="AH190" i="5"/>
  <c r="J190" i="5" s="1"/>
  <c r="AH368" i="5"/>
  <c r="J368" i="5" s="1"/>
  <c r="AH525" i="5"/>
  <c r="J525" i="5" s="1"/>
  <c r="AH191" i="5"/>
  <c r="J191" i="5" s="1"/>
  <c r="AH369" i="5"/>
  <c r="J369" i="5" s="1"/>
  <c r="AH386" i="5"/>
  <c r="J386" i="5" s="1"/>
  <c r="AH138" i="5"/>
  <c r="J138" i="5" s="1"/>
  <c r="AH631" i="5"/>
  <c r="J631" i="5" s="1"/>
  <c r="AH322" i="5"/>
  <c r="J322" i="5" s="1"/>
  <c r="AH372" i="5"/>
  <c r="J372" i="5" s="1"/>
  <c r="J274" i="5"/>
  <c r="J387" i="5"/>
  <c r="J359" i="5"/>
  <c r="J560" i="5"/>
  <c r="J775" i="5"/>
  <c r="J860" i="5"/>
  <c r="J414" i="5"/>
  <c r="J974" i="5"/>
  <c r="J976" i="5"/>
  <c r="J407" i="5"/>
  <c r="J188" i="5"/>
  <c r="J879" i="5"/>
  <c r="J588" i="5"/>
  <c r="J268" i="5"/>
  <c r="J426" i="5"/>
  <c r="J742" i="5"/>
  <c r="J878" i="5"/>
  <c r="AH245" i="5"/>
  <c r="J245" i="5" s="1"/>
  <c r="AH856" i="5"/>
  <c r="J856" i="5" s="1"/>
  <c r="J198" i="5"/>
  <c r="J693" i="5"/>
  <c r="J417" i="5"/>
  <c r="J492" i="5"/>
  <c r="J133" i="5"/>
  <c r="J127" i="5"/>
  <c r="J316" i="5"/>
  <c r="AJ317" i="5"/>
  <c r="AJ437" i="5"/>
  <c r="AJ218" i="5"/>
  <c r="J197" i="5"/>
  <c r="J536" i="5"/>
  <c r="AJ537" i="5"/>
  <c r="AH711" i="5"/>
  <c r="J711" i="5" s="1"/>
  <c r="AH958" i="5"/>
  <c r="J958" i="5" s="1"/>
  <c r="AH706" i="5"/>
  <c r="J706" i="5" s="1"/>
  <c r="AH707" i="5"/>
  <c r="J707" i="5" s="1"/>
  <c r="AH582" i="5"/>
  <c r="J582" i="5" s="1"/>
  <c r="AH912" i="5"/>
  <c r="J912" i="5" s="1"/>
  <c r="AH962" i="5"/>
  <c r="J962" i="5" s="1"/>
  <c r="J713" i="5"/>
  <c r="J610" i="5"/>
  <c r="J456" i="5"/>
  <c r="AH461" i="5"/>
  <c r="J461" i="5" s="1"/>
  <c r="AH539" i="5"/>
  <c r="J539" i="5" s="1"/>
  <c r="AH475" i="5"/>
  <c r="J475" i="5" s="1"/>
  <c r="AH520" i="5"/>
  <c r="J520" i="5" s="1"/>
  <c r="AI296" i="5"/>
  <c r="AH297" i="5"/>
  <c r="AI396" i="5"/>
  <c r="AJ964" i="5"/>
  <c r="AJ973" i="5"/>
  <c r="AJ180" i="5"/>
  <c r="J749" i="5"/>
  <c r="AJ292" i="5"/>
  <c r="AJ869" i="5"/>
  <c r="AJ271" i="5"/>
  <c r="H611" i="5"/>
  <c r="H458" i="5"/>
  <c r="J613" i="5"/>
  <c r="AH303" i="5"/>
  <c r="J303" i="5" s="1"/>
  <c r="AJ304" i="5"/>
  <c r="AJ455" i="5"/>
  <c r="AH615" i="5"/>
  <c r="J615" i="5" s="1"/>
  <c r="AJ882" i="5"/>
  <c r="AI377" i="5"/>
  <c r="AI579" i="5"/>
  <c r="AI679" i="5"/>
  <c r="AI763" i="5"/>
  <c r="AI842" i="5"/>
  <c r="AI170" i="5"/>
  <c r="AI202" i="5"/>
  <c r="AI576" i="5"/>
  <c r="AI824" i="5"/>
  <c r="AI724" i="5"/>
  <c r="AH296" i="5"/>
  <c r="AH395" i="5"/>
  <c r="AH342" i="5"/>
  <c r="AJ971" i="5"/>
  <c r="J154" i="5"/>
  <c r="AJ749" i="5"/>
  <c r="J533" i="5"/>
  <c r="J317" i="5"/>
  <c r="AJ247" i="5"/>
  <c r="J437" i="5"/>
  <c r="AJ295" i="5"/>
  <c r="J603" i="5"/>
  <c r="AJ311" i="5"/>
  <c r="AJ236" i="5"/>
  <c r="J537" i="5"/>
  <c r="J374" i="5"/>
  <c r="J391" i="5"/>
  <c r="J804" i="5"/>
  <c r="J714" i="5"/>
  <c r="J612" i="5"/>
  <c r="J835" i="5"/>
  <c r="J853" i="5"/>
  <c r="AJ853" i="5"/>
  <c r="J743" i="5"/>
  <c r="AJ453" i="5"/>
  <c r="AH454" i="5"/>
  <c r="J454" i="5" s="1"/>
  <c r="AH304" i="5"/>
  <c r="J304" i="5" s="1"/>
  <c r="AJ251" i="5"/>
  <c r="AH337" i="5"/>
  <c r="J337" i="5" s="1"/>
  <c r="AH703" i="5"/>
  <c r="J703" i="5" s="1"/>
  <c r="AH893" i="5"/>
  <c r="J893" i="5" s="1"/>
  <c r="AH538" i="5"/>
  <c r="J538" i="5" s="1"/>
  <c r="AJ519" i="5"/>
  <c r="AJ474" i="5"/>
  <c r="AH668" i="5"/>
  <c r="J668" i="5" s="1"/>
  <c r="AJ340" i="5"/>
  <c r="AH815" i="5"/>
  <c r="J815" i="5" s="1"/>
  <c r="AI318" i="5"/>
  <c r="AI614" i="5"/>
  <c r="AI647" i="5"/>
  <c r="AI634" i="5"/>
  <c r="AI928" i="5"/>
  <c r="AI152" i="5"/>
  <c r="AI413" i="5"/>
  <c r="AI789" i="5"/>
  <c r="AI208" i="5"/>
  <c r="AI239" i="5"/>
  <c r="AH286" i="5"/>
  <c r="AI282" i="5"/>
  <c r="J662" i="5"/>
  <c r="J574" i="5"/>
  <c r="J584" i="5"/>
  <c r="J768" i="5"/>
  <c r="J951" i="5"/>
  <c r="J352" i="5"/>
  <c r="J621" i="5"/>
  <c r="J622" i="5"/>
  <c r="J280" i="5"/>
  <c r="J441" i="5"/>
  <c r="J442" i="5"/>
  <c r="J205" i="5"/>
  <c r="AJ607" i="5"/>
  <c r="AI283" i="5"/>
  <c r="AH522" i="5"/>
  <c r="AH409" i="5"/>
  <c r="AI671" i="5"/>
  <c r="AH434" i="5"/>
  <c r="AH739" i="5"/>
  <c r="AH795" i="5"/>
  <c r="AJ106" i="5"/>
  <c r="U84" i="5"/>
  <c r="O84" i="5" s="1"/>
  <c r="U85" i="5"/>
  <c r="AJ514" i="5"/>
  <c r="U319" i="5"/>
  <c r="O319" i="5" s="1"/>
  <c r="U196" i="5"/>
  <c r="O196" i="5" s="1"/>
  <c r="AJ163" i="5"/>
  <c r="AJ229" i="5"/>
  <c r="AJ83" i="5"/>
  <c r="AJ95" i="5"/>
  <c r="AJ96" i="5"/>
  <c r="AJ696" i="5"/>
  <c r="U87" i="5"/>
  <c r="AJ125" i="5"/>
  <c r="J750" i="5"/>
  <c r="J373" i="5"/>
  <c r="J494" i="5"/>
  <c r="J380" i="5"/>
  <c r="AH721" i="5"/>
  <c r="J721" i="5" s="1"/>
  <c r="AH530" i="5"/>
  <c r="J530" i="5" s="1"/>
  <c r="AH531" i="5"/>
  <c r="J531" i="5" s="1"/>
  <c r="AH469" i="5"/>
  <c r="J469" i="5" s="1"/>
  <c r="AH283" i="5"/>
  <c r="AI672" i="5"/>
  <c r="AH719" i="5"/>
  <c r="AH845" i="5"/>
  <c r="AH555" i="5"/>
  <c r="AH592" i="5"/>
  <c r="AH552" i="5"/>
  <c r="AH701" i="5"/>
  <c r="AH876" i="5"/>
  <c r="AH903" i="5"/>
  <c r="AH254" i="5"/>
  <c r="AH485" i="5"/>
  <c r="AH548" i="5"/>
  <c r="AH659" i="5"/>
  <c r="AJ329" i="5"/>
  <c r="AJ465" i="5"/>
  <c r="AJ112" i="5"/>
  <c r="AJ122" i="5"/>
  <c r="AJ258" i="5"/>
  <c r="AJ150" i="5"/>
  <c r="AJ94" i="5"/>
  <c r="AJ338" i="5"/>
  <c r="AJ261" i="5"/>
  <c r="AJ109" i="5"/>
  <c r="AJ93" i="5"/>
  <c r="AJ445" i="5"/>
  <c r="J573" i="5"/>
  <c r="J480" i="5"/>
  <c r="J813" i="5"/>
  <c r="J907" i="5"/>
  <c r="AJ513" i="5"/>
  <c r="J674" i="5"/>
  <c r="J957" i="5"/>
  <c r="J643" i="5"/>
  <c r="AJ460" i="5"/>
  <c r="AJ898" i="5"/>
  <c r="AH332" i="5"/>
  <c r="AI617" i="5"/>
  <c r="AI639" i="5"/>
  <c r="AH348" i="5"/>
  <c r="AH256" i="5"/>
  <c r="U106" i="5"/>
  <c r="AJ84" i="5"/>
  <c r="U89" i="5"/>
  <c r="AJ85" i="5"/>
  <c r="AJ126" i="5"/>
  <c r="AJ82" i="5"/>
  <c r="AJ515" i="5"/>
  <c r="AJ793" i="5"/>
  <c r="AJ516" i="5"/>
  <c r="AJ356" i="5"/>
  <c r="AJ803" i="5"/>
  <c r="AJ97" i="5"/>
  <c r="AJ145" i="5"/>
  <c r="AJ80" i="5"/>
  <c r="AJ102" i="5"/>
  <c r="AJ108" i="5"/>
  <c r="AJ87" i="5"/>
  <c r="U98" i="5"/>
  <c r="J501" i="5"/>
  <c r="J772" i="5"/>
  <c r="J370" i="5"/>
  <c r="AJ817" i="5"/>
  <c r="AJ575" i="5"/>
  <c r="J326" i="5"/>
  <c r="AJ779" i="5"/>
  <c r="J460" i="5"/>
  <c r="AJ822" i="5"/>
  <c r="AH566" i="5"/>
  <c r="J688" i="5"/>
  <c r="J594" i="5"/>
  <c r="J570" i="5"/>
  <c r="J712" i="5"/>
  <c r="J488" i="5"/>
  <c r="J559" i="5"/>
  <c r="J689" i="5"/>
  <c r="J360" i="5"/>
  <c r="J807" i="5"/>
  <c r="J698" i="5"/>
  <c r="J526" i="5"/>
  <c r="J390" i="5"/>
  <c r="AH632" i="5"/>
  <c r="J632" i="5" s="1"/>
  <c r="AJ632" i="5"/>
  <c r="AH757" i="5"/>
  <c r="J757" i="5" s="1"/>
  <c r="AJ757" i="5"/>
  <c r="AH872" i="5"/>
  <c r="J872" i="5" s="1"/>
  <c r="AJ872" i="5"/>
  <c r="AH884" i="5"/>
  <c r="J884" i="5" s="1"/>
  <c r="AJ884" i="5"/>
  <c r="AH887" i="5"/>
  <c r="J887" i="5" s="1"/>
  <c r="AJ887" i="5"/>
  <c r="AH619" i="5"/>
  <c r="J619" i="5" s="1"/>
  <c r="AJ619" i="5"/>
  <c r="AH945" i="5"/>
  <c r="J945" i="5" s="1"/>
  <c r="AJ945" i="5"/>
  <c r="AH892" i="5"/>
  <c r="J892" i="5" s="1"/>
  <c r="AJ892" i="5"/>
  <c r="AH949" i="5"/>
  <c r="J949" i="5" s="1"/>
  <c r="AJ949" i="5"/>
  <c r="AH960" i="5"/>
  <c r="J960" i="5" s="1"/>
  <c r="AJ960" i="5"/>
  <c r="AJ249" i="5"/>
  <c r="AJ471" i="5"/>
  <c r="J628" i="5"/>
  <c r="J412" i="5"/>
  <c r="J449" i="5"/>
  <c r="J161" i="5"/>
  <c r="J963" i="5"/>
  <c r="J972" i="5"/>
  <c r="J760" i="5"/>
  <c r="J192" i="5"/>
  <c r="J164" i="5"/>
  <c r="J142" i="5"/>
  <c r="J247" i="5"/>
  <c r="AJ294" i="5"/>
  <c r="J314" i="5"/>
  <c r="J218" i="5"/>
  <c r="AJ603" i="5"/>
  <c r="J311" i="5"/>
  <c r="J271" i="5"/>
  <c r="J507" i="5"/>
  <c r="J187" i="5"/>
  <c r="AH264" i="5"/>
  <c r="J264" i="5" s="1"/>
  <c r="AH176" i="5"/>
  <c r="J176" i="5" s="1"/>
  <c r="AJ176" i="5"/>
  <c r="AH778" i="5"/>
  <c r="J778" i="5" s="1"/>
  <c r="AJ778" i="5"/>
  <c r="AH690" i="5"/>
  <c r="J690" i="5" s="1"/>
  <c r="AJ690" i="5"/>
  <c r="AH831" i="5"/>
  <c r="J831" i="5" s="1"/>
  <c r="AJ831" i="5"/>
  <c r="AH944" i="5"/>
  <c r="J944" i="5" s="1"/>
  <c r="AJ944" i="5"/>
  <c r="AH838" i="5"/>
  <c r="J838" i="5" s="1"/>
  <c r="AJ838" i="5"/>
  <c r="AH966" i="5"/>
  <c r="J966" i="5" s="1"/>
  <c r="AJ966" i="5"/>
  <c r="AH969" i="5"/>
  <c r="J969" i="5" s="1"/>
  <c r="AJ969" i="5"/>
  <c r="AJ495" i="5"/>
  <c r="H495" i="5"/>
  <c r="AJ427" i="5"/>
  <c r="V427" i="5"/>
  <c r="AJ577" i="5"/>
  <c r="V577" i="5"/>
  <c r="AJ825" i="5"/>
  <c r="V825" i="5"/>
  <c r="AJ900" i="5"/>
  <c r="AJ714" i="5"/>
  <c r="AJ612" i="5"/>
  <c r="H916" i="5"/>
  <c r="V916" i="5" s="1"/>
  <c r="H836" i="5"/>
  <c r="J833" i="5"/>
  <c r="H833" i="5"/>
  <c r="V833" i="5" s="1"/>
  <c r="J715" i="5"/>
  <c r="H715" i="5"/>
  <c r="J459" i="5"/>
  <c r="J917" i="5"/>
  <c r="AJ917" i="5"/>
  <c r="AJ931" i="5"/>
  <c r="AJ953" i="5"/>
  <c r="AH452" i="5"/>
  <c r="J452" i="5" s="1"/>
  <c r="AH302" i="5"/>
  <c r="J302" i="5" s="1"/>
  <c r="AJ334" i="5"/>
  <c r="AJ221" i="5"/>
  <c r="AJ324" i="5"/>
  <c r="AH765" i="5"/>
  <c r="J765" i="5" s="1"/>
  <c r="AJ405" i="5"/>
  <c r="AH551" i="5"/>
  <c r="J551" i="5" s="1"/>
  <c r="AH616" i="5"/>
  <c r="J616" i="5" s="1"/>
  <c r="AH339" i="5"/>
  <c r="J339" i="5" s="1"/>
  <c r="AJ539" i="5"/>
  <c r="AH540" i="5"/>
  <c r="J540" i="5" s="1"/>
  <c r="AH783" i="5"/>
  <c r="J783" i="5" s="1"/>
  <c r="AH909" i="5"/>
  <c r="J909" i="5" s="1"/>
  <c r="AH942" i="5"/>
  <c r="J942" i="5" s="1"/>
  <c r="AJ626" i="5"/>
  <c r="V626" i="5"/>
  <c r="AB626" i="5" s="1"/>
  <c r="AJ723" i="5"/>
  <c r="V723" i="5"/>
  <c r="AJ789" i="5"/>
  <c r="V789" i="5"/>
  <c r="AJ711" i="5"/>
  <c r="AJ938" i="5"/>
  <c r="AJ939" i="5"/>
  <c r="AJ901" i="5"/>
  <c r="AJ958" i="5"/>
  <c r="AJ864" i="5"/>
  <c r="AJ705" i="5"/>
  <c r="AJ865" i="5"/>
  <c r="AJ706" i="5"/>
  <c r="AJ799" i="5"/>
  <c r="AJ581" i="5"/>
  <c r="AJ866" i="5"/>
  <c r="AJ707" i="5"/>
  <c r="AJ867" i="5"/>
  <c r="AJ708" i="5"/>
  <c r="AJ800" i="5"/>
  <c r="AJ582" i="5"/>
  <c r="AJ955" i="5"/>
  <c r="AJ911" i="5"/>
  <c r="AJ956" i="5"/>
  <c r="AJ912" i="5"/>
  <c r="AJ940" i="5"/>
  <c r="AJ846" i="5"/>
  <c r="AJ961" i="5"/>
  <c r="AJ962" i="5"/>
  <c r="AJ948" i="5"/>
  <c r="AJ965" i="5"/>
  <c r="J820" i="5"/>
  <c r="AJ820" i="5"/>
  <c r="J834" i="5"/>
  <c r="AJ834" i="5"/>
  <c r="J457" i="5"/>
  <c r="AJ457" i="5"/>
  <c r="H459" i="5"/>
  <c r="J852" i="5"/>
  <c r="H852" i="5"/>
  <c r="V852" i="5" s="1"/>
  <c r="AJ743" i="5"/>
  <c r="J931" i="5"/>
  <c r="H931" i="5"/>
  <c r="V931" i="5" s="1"/>
  <c r="J953" i="5"/>
  <c r="H953" i="5"/>
  <c r="V953" i="5" s="1"/>
  <c r="AJ452" i="5"/>
  <c r="AH251" i="5"/>
  <c r="J251" i="5" s="1"/>
  <c r="AJ765" i="5"/>
  <c r="AH653" i="5"/>
  <c r="J653" i="5" s="1"/>
  <c r="AJ766" i="5"/>
  <c r="AH666" i="5"/>
  <c r="J666" i="5" s="1"/>
  <c r="AJ339" i="5"/>
  <c r="AH474" i="5"/>
  <c r="J474" i="5" s="1"/>
  <c r="AH476" i="5"/>
  <c r="J476" i="5" s="1"/>
  <c r="AH881" i="5"/>
  <c r="J881" i="5" s="1"/>
  <c r="AH726" i="5"/>
  <c r="J726" i="5" s="1"/>
  <c r="AI272" i="5"/>
  <c r="AI543" i="5"/>
  <c r="AI913" i="5"/>
  <c r="AI952" i="5"/>
  <c r="AI206" i="5"/>
  <c r="AI411" i="5"/>
  <c r="AI384" i="5"/>
  <c r="AH435" i="5"/>
  <c r="AH557" i="5"/>
  <c r="AH738" i="5"/>
  <c r="AH859" i="5"/>
  <c r="AH947" i="5"/>
  <c r="AH675" i="5"/>
  <c r="J675" i="5" s="1"/>
  <c r="AH377" i="5"/>
  <c r="AH608" i="5"/>
  <c r="AH579" i="5"/>
  <c r="AH679" i="5"/>
  <c r="AH543" i="5"/>
  <c r="AH763" i="5"/>
  <c r="AH913" i="5"/>
  <c r="AH842" i="5"/>
  <c r="AH952" i="5"/>
  <c r="AH170" i="5"/>
  <c r="AH206" i="5"/>
  <c r="AH202" i="5"/>
  <c r="AH156" i="5"/>
  <c r="AH209" i="5"/>
  <c r="AI209" i="5"/>
  <c r="AH384" i="5"/>
  <c r="AH430" i="5"/>
  <c r="AI430" i="5"/>
  <c r="AH638" i="5"/>
  <c r="AH578" i="5"/>
  <c r="AI578" i="5"/>
  <c r="AH671" i="5"/>
  <c r="AH590" i="5"/>
  <c r="AH874" i="5"/>
  <c r="AI376" i="5"/>
  <c r="AI472" i="5"/>
  <c r="AI490" i="5"/>
  <c r="AI363" i="5"/>
  <c r="AI851" i="5"/>
  <c r="AH285" i="5"/>
  <c r="AH239" i="5"/>
  <c r="AH282" i="5"/>
  <c r="AH219" i="5"/>
  <c r="AH672" i="5"/>
  <c r="AH617" i="5"/>
  <c r="AH639" i="5"/>
  <c r="AH720" i="5"/>
  <c r="AH857" i="5"/>
  <c r="AH365" i="5"/>
  <c r="AH771" i="5"/>
  <c r="AJ840" i="5"/>
  <c r="AH318" i="5"/>
  <c r="AH343" i="5"/>
  <c r="AH614" i="5"/>
  <c r="AH670" i="5"/>
  <c r="AH647" i="5"/>
  <c r="AH790" i="5"/>
  <c r="AH634" i="5"/>
  <c r="AH894" i="5"/>
  <c r="AH928" i="5"/>
  <c r="AH173" i="5"/>
  <c r="AH152" i="5"/>
  <c r="AH230" i="5"/>
  <c r="AH413" i="5"/>
  <c r="V298" i="5"/>
  <c r="V620" i="5"/>
  <c r="V762" i="5"/>
  <c r="AH850" i="5"/>
  <c r="AI922" i="5"/>
  <c r="AI260" i="5"/>
  <c r="AI395" i="5"/>
  <c r="AI522" i="5"/>
  <c r="AI719" i="5"/>
  <c r="AI158" i="5"/>
  <c r="AI120" i="5"/>
  <c r="AI147" i="5"/>
  <c r="AI140" i="5"/>
  <c r="AI103" i="5"/>
  <c r="AI123" i="5"/>
  <c r="AI159" i="5"/>
  <c r="AI121" i="5"/>
  <c r="AI148" i="5"/>
  <c r="AI275" i="5"/>
  <c r="AI174" i="5"/>
  <c r="AH657" i="5"/>
  <c r="AH770" i="5"/>
  <c r="AH658" i="5"/>
  <c r="AH905" i="5"/>
  <c r="AJ171" i="5"/>
  <c r="AJ534" i="5"/>
  <c r="U172" i="5"/>
  <c r="O172" i="5" s="1"/>
  <c r="AJ235" i="5"/>
  <c r="AJ115" i="5"/>
  <c r="AJ399" i="5"/>
  <c r="AJ897" i="5"/>
  <c r="AJ941" i="5"/>
  <c r="AJ220" i="5"/>
  <c r="AJ299" i="5"/>
  <c r="AJ91" i="5"/>
  <c r="AJ114" i="5"/>
  <c r="AJ217" i="5"/>
  <c r="AJ157" i="5"/>
  <c r="AJ105" i="5"/>
  <c r="AJ86" i="5"/>
  <c r="AJ328" i="5"/>
  <c r="AJ227" i="5"/>
  <c r="AJ655" i="5"/>
  <c r="J571" i="5"/>
  <c r="J482" i="5"/>
  <c r="J751" i="5"/>
  <c r="J572" i="5"/>
  <c r="J586" i="5"/>
  <c r="J684" i="5"/>
  <c r="AJ684" i="5"/>
  <c r="J401" i="5"/>
  <c r="J682" i="5"/>
  <c r="AJ936" i="5"/>
  <c r="J607" i="5"/>
  <c r="AH880" i="5"/>
  <c r="J880" i="5" s="1"/>
  <c r="J814" i="5"/>
  <c r="J585" i="5"/>
  <c r="J919" i="5"/>
  <c r="AJ674" i="5"/>
  <c r="AJ755" i="5"/>
  <c r="J257" i="5"/>
  <c r="AH753" i="5"/>
  <c r="J753" i="5" s="1"/>
  <c r="AJ89" i="5"/>
  <c r="AJ81" i="5"/>
  <c r="AJ194" i="5"/>
  <c r="AJ234" i="5"/>
  <c r="AJ319" i="5"/>
  <c r="AJ196" i="5"/>
  <c r="AJ792" i="5"/>
  <c r="AJ664" i="5"/>
  <c r="AJ355" i="5"/>
  <c r="U113" i="5"/>
  <c r="AJ168" i="5"/>
  <c r="AJ104" i="5"/>
  <c r="AJ76" i="5"/>
  <c r="AJ129" i="5"/>
  <c r="U141" i="5"/>
  <c r="U114" i="5"/>
  <c r="O114" i="5" s="1"/>
  <c r="U99" i="5"/>
  <c r="O99" i="5" s="1"/>
  <c r="AJ300" i="5"/>
  <c r="J652" i="5"/>
  <c r="H280" i="5"/>
  <c r="H441" i="5"/>
  <c r="H442" i="5"/>
  <c r="H205" i="5"/>
  <c r="H623" i="5"/>
  <c r="H624" i="5"/>
  <c r="J681" i="5"/>
  <c r="J315" i="5"/>
  <c r="J609" i="5"/>
  <c r="AH210" i="5"/>
  <c r="J210" i="5" s="1"/>
  <c r="AH787" i="5"/>
  <c r="J787" i="5" s="1"/>
  <c r="AJ116" i="5"/>
  <c r="AJ646" i="5"/>
  <c r="AJ466" i="5"/>
  <c r="U90" i="5"/>
  <c r="U83" i="5"/>
  <c r="O83" i="5" s="1"/>
  <c r="AJ79" i="5"/>
  <c r="AJ462" i="5"/>
  <c r="AJ111" i="5"/>
  <c r="AJ252" i="5"/>
  <c r="AJ216" i="5"/>
  <c r="U125" i="5"/>
  <c r="AJ146" i="5"/>
  <c r="AJ92" i="5"/>
  <c r="AJ262" i="5"/>
  <c r="AJ802" i="5"/>
  <c r="AJ888" i="5"/>
  <c r="J839" i="5"/>
  <c r="J686" i="5"/>
  <c r="J773" i="5"/>
  <c r="J925" i="5"/>
  <c r="J926" i="5"/>
  <c r="J568" i="5"/>
  <c r="J312" i="5"/>
  <c r="J699" i="5"/>
  <c r="J623" i="5"/>
  <c r="J624" i="5"/>
  <c r="AJ624" i="5"/>
  <c r="J920" i="5"/>
  <c r="AG786" i="5"/>
  <c r="AG503" i="5"/>
  <c r="AG211" i="5"/>
  <c r="AG331" i="5"/>
  <c r="AG504" i="5"/>
  <c r="AG566" i="5"/>
  <c r="AG332" i="5"/>
  <c r="AG880" i="5"/>
  <c r="AG567" i="5"/>
  <c r="AG752" i="5"/>
  <c r="AG232" i="5"/>
  <c r="AG531" i="5"/>
  <c r="AG721" i="5"/>
  <c r="AG210" i="5"/>
  <c r="AG469" i="5"/>
  <c r="AG722" i="5"/>
  <c r="AG530" i="5"/>
  <c r="AG753" i="5"/>
  <c r="AG898" i="5"/>
  <c r="AG695" i="5"/>
  <c r="AG822" i="5"/>
  <c r="AG460" i="5"/>
  <c r="AG643" i="5"/>
  <c r="AG637" i="5"/>
  <c r="AG779" i="5"/>
  <c r="AG494" i="5"/>
  <c r="AG420" i="5"/>
  <c r="AG609" i="5"/>
  <c r="AG607" i="5"/>
  <c r="AG755" i="5"/>
  <c r="AG787" i="5"/>
  <c r="AG468" i="5"/>
  <c r="AG257" i="5"/>
  <c r="AG674" i="5"/>
  <c r="AG233" i="5"/>
  <c r="AG326" i="5"/>
  <c r="AG957" i="5"/>
  <c r="AG439" i="5"/>
  <c r="AG844" i="5"/>
  <c r="AG919" i="5"/>
  <c r="AG401" i="5"/>
  <c r="AG854" i="5"/>
  <c r="AG828" i="5"/>
  <c r="AG843" i="5"/>
  <c r="AG920" i="5"/>
  <c r="AG681" i="5"/>
  <c r="AG380" i="5"/>
  <c r="AG877" i="5"/>
  <c r="AG827" i="5"/>
  <c r="AG682" i="5"/>
  <c r="AG936" i="5"/>
  <c r="AG575" i="5"/>
  <c r="AG315" i="5"/>
  <c r="AG684" i="5"/>
  <c r="AG685" i="5"/>
  <c r="AG513" i="5"/>
  <c r="AG818" i="5"/>
  <c r="AG817" i="5"/>
  <c r="AG243" i="5"/>
  <c r="AG624" i="5"/>
  <c r="AG623" i="5"/>
  <c r="AG205" i="5"/>
  <c r="AG442" i="5"/>
  <c r="AG441" i="5"/>
  <c r="AG621" i="5"/>
  <c r="AG861" i="5"/>
  <c r="AG352" i="5"/>
  <c r="AG404" i="5"/>
  <c r="AG652" i="5"/>
  <c r="AG373" i="5"/>
  <c r="AG370" i="5"/>
  <c r="AG951" i="5"/>
  <c r="AG863" i="5"/>
  <c r="AG768" i="5"/>
  <c r="AG908" i="5"/>
  <c r="AG687" i="5"/>
  <c r="AG767" i="5"/>
  <c r="AG907" i="5"/>
  <c r="AG587" i="5"/>
  <c r="AG496" i="5"/>
  <c r="AG728" i="5"/>
  <c r="AG280" i="5"/>
  <c r="AG622" i="5"/>
  <c r="AG683" i="5"/>
  <c r="AG383" i="5"/>
  <c r="AG510" i="5"/>
  <c r="AG933" i="5"/>
  <c r="AG699" i="5"/>
  <c r="AG312" i="5"/>
  <c r="AG568" i="5"/>
  <c r="AG926" i="5"/>
  <c r="AG925" i="5"/>
  <c r="AG773" i="5"/>
  <c r="AG686" i="5"/>
  <c r="AG839" i="5"/>
  <c r="AG772" i="5"/>
  <c r="AG585" i="5"/>
  <c r="AG814" i="5"/>
  <c r="AG501" i="5"/>
  <c r="AG819" i="5"/>
  <c r="AG502" i="5"/>
  <c r="AG287" i="5"/>
  <c r="AG518" i="5"/>
  <c r="AG301" i="5"/>
  <c r="AG321" i="5"/>
  <c r="AG636" i="5"/>
  <c r="AG186" i="5"/>
  <c r="AG101" i="5"/>
  <c r="AG177" i="5"/>
  <c r="AG214" i="5"/>
  <c r="AG144" i="5"/>
  <c r="AG291" i="5"/>
  <c r="AG584" i="5"/>
  <c r="AG813" i="5"/>
  <c r="AG574" i="5"/>
  <c r="AG480" i="5"/>
  <c r="AG662" i="5"/>
  <c r="AG573" i="5"/>
  <c r="AG583" i="5"/>
  <c r="AG692" i="5"/>
  <c r="AG382" i="5"/>
  <c r="AG215" i="5"/>
  <c r="AG440" i="5"/>
  <c r="AG467" i="5"/>
  <c r="AG119" i="5"/>
  <c r="AG231" i="5"/>
  <c r="AG137" i="5"/>
  <c r="AG132" i="5"/>
  <c r="AG281" i="5"/>
  <c r="AG183" i="5"/>
  <c r="AG110" i="5"/>
  <c r="AG586" i="5"/>
  <c r="AG572" i="5"/>
  <c r="AG751" i="5"/>
  <c r="AG482" i="5"/>
  <c r="AG571" i="5"/>
  <c r="AG750" i="5"/>
  <c r="AG225" i="5"/>
  <c r="AG203" i="5"/>
  <c r="AG906" i="5"/>
  <c r="AG694" i="5"/>
  <c r="AG410" i="5"/>
  <c r="AG677" i="5"/>
  <c r="AG424" i="5"/>
  <c r="AG508" i="5"/>
  <c r="AG785" i="5"/>
  <c r="AG265" i="5"/>
  <c r="AG134" i="5"/>
  <c r="AG284" i="5"/>
  <c r="AG309" i="5"/>
  <c r="AG223" i="5"/>
  <c r="AG419" i="5"/>
  <c r="AG185" i="5"/>
  <c r="AG266" i="5"/>
  <c r="AG535" i="5"/>
  <c r="AG135" i="5"/>
  <c r="AG160" i="5"/>
  <c r="AG349" i="5"/>
  <c r="AG730" i="5"/>
  <c r="AG829" i="5"/>
  <c r="AG509" i="5"/>
  <c r="AG325" i="5"/>
  <c r="AG642" i="5"/>
  <c r="AG629" i="5"/>
  <c r="AG182" i="5"/>
  <c r="AG344" i="5"/>
  <c r="AG200" i="5"/>
  <c r="AG201" i="5"/>
  <c r="AG418" i="5"/>
  <c r="AG242" i="5"/>
  <c r="AG166" i="5"/>
  <c r="AG354" i="5"/>
  <c r="AG289" i="5"/>
  <c r="AG905" i="5"/>
  <c r="AG811" i="5"/>
  <c r="AG734" i="5"/>
  <c r="AG771" i="5"/>
  <c r="AG658" i="5"/>
  <c r="AG732" i="5"/>
  <c r="AG769" i="5"/>
  <c r="AG367" i="5"/>
  <c r="AG486" i="5"/>
  <c r="AG547" i="5"/>
  <c r="AG365" i="5"/>
  <c r="AG812" i="5"/>
  <c r="AG810" i="5"/>
  <c r="AG659" i="5"/>
  <c r="AG733" i="5"/>
  <c r="AG770" i="5"/>
  <c r="AG657" i="5"/>
  <c r="AG487" i="5"/>
  <c r="AG548" i="5"/>
  <c r="AG366" i="5"/>
  <c r="AG546" i="5"/>
  <c r="AG256" i="5"/>
  <c r="AG307" i="5"/>
  <c r="AG347" i="5"/>
  <c r="AG254" i="5"/>
  <c r="AG725" i="5"/>
  <c r="AG446" i="5"/>
  <c r="AG422" i="5"/>
  <c r="AG479" i="5"/>
  <c r="AG267" i="5"/>
  <c r="AG421" i="5"/>
  <c r="AG478" i="5"/>
  <c r="AG175" i="5"/>
  <c r="AG199" i="5"/>
  <c r="AG228" i="5"/>
  <c r="AG174" i="5"/>
  <c r="AG148" i="5"/>
  <c r="AG159" i="5"/>
  <c r="AG103" i="5"/>
  <c r="AG147" i="5"/>
  <c r="AG158" i="5"/>
  <c r="AG904" i="5"/>
  <c r="AG902" i="5"/>
  <c r="AG308" i="5"/>
  <c r="AG348" i="5"/>
  <c r="AG255" i="5"/>
  <c r="AG306" i="5"/>
  <c r="AG346" i="5"/>
  <c r="AG545" i="5"/>
  <c r="AG544" i="5"/>
  <c r="AG351" i="5"/>
  <c r="AG358" i="5"/>
  <c r="AG400" i="5"/>
  <c r="AG350" i="5"/>
  <c r="AG238" i="5"/>
  <c r="AG276" i="5"/>
  <c r="AG136" i="5"/>
  <c r="AG237" i="5"/>
  <c r="AG275" i="5"/>
  <c r="AG121" i="5"/>
  <c r="AG123" i="5"/>
  <c r="AG140" i="5"/>
  <c r="AG120" i="5"/>
  <c r="AG947" i="5"/>
  <c r="AG903" i="5"/>
  <c r="AG485" i="5"/>
  <c r="AG859" i="5"/>
  <c r="AG876" i="5"/>
  <c r="AG796" i="5"/>
  <c r="AG857" i="5"/>
  <c r="AG874" i="5"/>
  <c r="AG554" i="5"/>
  <c r="AG701" i="5"/>
  <c r="AG738" i="5"/>
  <c r="AG552" i="5"/>
  <c r="AG557" i="5"/>
  <c r="AG592" i="5"/>
  <c r="AG435" i="5"/>
  <c r="AG851" i="5"/>
  <c r="AG789" i="5"/>
  <c r="AG825" i="5"/>
  <c r="AG723" i="5"/>
  <c r="AG577" i="5"/>
  <c r="AG626" i="5"/>
  <c r="AG427" i="5"/>
  <c r="AG433" i="5"/>
  <c r="AG491" i="5"/>
  <c r="AG362" i="5"/>
  <c r="AG762" i="5"/>
  <c r="AG620" i="5"/>
  <c r="AG298" i="5"/>
  <c r="AG797" i="5"/>
  <c r="AG858" i="5"/>
  <c r="AG875" i="5"/>
  <c r="AG795" i="5"/>
  <c r="AG702" i="5"/>
  <c r="AG739" i="5"/>
  <c r="AG553" i="5"/>
  <c r="AG700" i="5"/>
  <c r="AG737" i="5"/>
  <c r="AG436" i="5"/>
  <c r="AG556" i="5"/>
  <c r="AG591" i="5"/>
  <c r="AG434" i="5"/>
  <c r="AG845" i="5"/>
  <c r="AG671" i="5"/>
  <c r="AG639" i="5"/>
  <c r="AG673" i="5"/>
  <c r="AG409" i="5"/>
  <c r="AG638" i="5"/>
  <c r="AG672" i="5"/>
  <c r="AG283" i="5"/>
  <c r="AG342" i="5"/>
  <c r="AG384" i="5"/>
  <c r="AG282" i="5"/>
  <c r="AG286" i="5"/>
  <c r="AG297" i="5"/>
  <c r="AG156" i="5"/>
  <c r="AG285" i="5"/>
  <c r="AG296" i="5"/>
  <c r="AG883" i="5"/>
  <c r="AG731" i="5"/>
  <c r="AG649" i="5"/>
  <c r="AG794" i="5"/>
  <c r="AG660" i="5"/>
  <c r="AG678" i="5"/>
  <c r="AG563" i="5"/>
  <c r="AG593" i="5"/>
  <c r="AG735" i="5"/>
  <c r="AG756" i="5"/>
  <c r="AG493" i="5"/>
  <c r="AG517" i="5"/>
  <c r="AG397" i="5"/>
  <c r="AG415" i="5"/>
  <c r="AG596" i="5"/>
  <c r="AG618" i="5"/>
  <c r="AG630" i="5"/>
  <c r="AG654" i="5"/>
  <c r="AG527" i="5"/>
  <c r="AG558" i="5"/>
  <c r="AG704" i="5"/>
  <c r="AG729" i="5"/>
  <c r="AG922" i="5"/>
  <c r="AG850" i="5"/>
  <c r="AG555" i="5"/>
  <c r="AG590" i="5"/>
  <c r="AG720" i="5"/>
  <c r="AG719" i="5"/>
  <c r="AG523" i="5"/>
  <c r="AG578" i="5"/>
  <c r="AG617" i="5"/>
  <c r="AG522" i="5"/>
  <c r="AG396" i="5"/>
  <c r="AG430" i="5"/>
  <c r="AG219" i="5"/>
  <c r="AG395" i="5"/>
  <c r="AG429" i="5"/>
  <c r="AG209" i="5"/>
  <c r="AG239" i="5"/>
  <c r="AG260" i="5"/>
  <c r="AG208" i="5"/>
  <c r="AG910" i="5"/>
  <c r="AG727" i="5"/>
  <c r="AG815" i="5"/>
  <c r="AG541" i="5"/>
  <c r="AG340" i="5"/>
  <c r="AG668" i="5"/>
  <c r="AG393" i="5"/>
  <c r="AG473" i="5"/>
  <c r="AG703" i="5"/>
  <c r="AG413" i="5"/>
  <c r="AG202" i="5"/>
  <c r="AG230" i="5"/>
  <c r="AG206" i="5"/>
  <c r="AG152" i="5"/>
  <c r="AG170" i="5"/>
  <c r="AG173" i="5"/>
  <c r="AG952" i="5"/>
  <c r="AG928" i="5"/>
  <c r="AG842" i="5"/>
  <c r="AG894" i="5"/>
  <c r="AG913" i="5"/>
  <c r="AG634" i="5"/>
  <c r="AG763" i="5"/>
  <c r="AG790" i="5"/>
  <c r="AG543" i="5"/>
  <c r="AG647" i="5"/>
  <c r="AG679" i="5"/>
  <c r="AG670" i="5"/>
  <c r="AG579" i="5"/>
  <c r="AG614" i="5"/>
  <c r="AG608" i="5"/>
  <c r="AG343" i="5"/>
  <c r="AG377" i="5"/>
  <c r="AG318" i="5"/>
  <c r="AG246" i="5"/>
  <c r="AG279" i="5"/>
  <c r="AG272" i="5"/>
  <c r="AG724" i="5"/>
  <c r="AG788" i="5"/>
  <c r="AG824" i="5"/>
  <c r="AG428" i="5"/>
  <c r="AG576" i="5"/>
  <c r="AG625" i="5"/>
  <c r="AG363" i="5"/>
  <c r="AG432" i="5"/>
  <c r="AG490" i="5"/>
  <c r="AG472" i="5"/>
  <c r="AG376" i="5"/>
  <c r="AG411" i="5"/>
  <c r="AG909" i="5"/>
  <c r="AG675" i="5"/>
  <c r="AG726" i="5"/>
  <c r="AG669" i="5"/>
  <c r="AG540" i="5"/>
  <c r="AG474" i="5"/>
  <c r="AG519" i="5"/>
  <c r="AG893" i="5"/>
  <c r="AG511" i="5"/>
  <c r="AG562" i="5"/>
  <c r="AG151" i="5"/>
  <c r="AG290" i="5"/>
  <c r="AG313" i="5"/>
  <c r="AG128" i="5"/>
  <c r="AG207" i="5"/>
  <c r="AG241" i="5"/>
  <c r="AG929" i="5"/>
  <c r="AG895" i="5"/>
  <c r="AG914" i="5"/>
  <c r="AG841" i="5"/>
  <c r="AG764" i="5"/>
  <c r="AG791" i="5"/>
  <c r="AG633" i="5"/>
  <c r="AG648" i="5"/>
  <c r="AG680" i="5"/>
  <c r="AG542" i="5"/>
  <c r="AG870" i="5"/>
  <c r="AG780" i="5"/>
  <c r="AG448" i="5"/>
  <c r="AG709" i="5"/>
  <c r="AG736" i="5"/>
  <c r="AG240" i="5"/>
  <c r="AG477" i="5"/>
  <c r="AG512" i="5"/>
  <c r="AG330" i="5"/>
  <c r="AG942" i="5"/>
  <c r="AG551" i="5"/>
  <c r="AG653" i="5"/>
  <c r="AG337" i="5"/>
  <c r="AG222" i="5"/>
  <c r="AG454" i="5"/>
  <c r="AG250" i="5"/>
  <c r="AG302" i="5"/>
  <c r="AG890" i="5"/>
  <c r="AG804" i="5"/>
  <c r="AG374" i="5"/>
  <c r="AG565" i="5"/>
  <c r="AG761" i="5"/>
  <c r="AG253" i="5"/>
  <c r="AG406" i="5"/>
  <c r="AG604" i="5"/>
  <c r="AG341" i="5"/>
  <c r="AG783" i="5"/>
  <c r="AG600" i="5"/>
  <c r="AG881" i="5"/>
  <c r="AG394" i="5"/>
  <c r="AG475" i="5"/>
  <c r="AG667" i="5"/>
  <c r="AG538" i="5"/>
  <c r="AG809" i="5"/>
  <c r="AG616" i="5"/>
  <c r="AG405" i="5"/>
  <c r="AG765" i="5"/>
  <c r="AG251" i="5"/>
  <c r="AG304" i="5"/>
  <c r="AG453" i="5"/>
  <c r="AG334" i="5"/>
  <c r="AG953" i="5"/>
  <c r="AG931" i="5"/>
  <c r="AG495" i="5"/>
  <c r="AG743" i="5"/>
  <c r="AG836" i="5"/>
  <c r="AG852" i="5"/>
  <c r="AG916" i="5"/>
  <c r="AG613" i="5"/>
  <c r="AG458" i="5"/>
  <c r="AG715" i="5"/>
  <c r="AG611" i="5"/>
  <c r="AG456" i="5"/>
  <c r="AG713" i="5"/>
  <c r="AG821" i="5"/>
  <c r="AG833" i="5"/>
  <c r="AG899" i="5"/>
  <c r="AG189" i="5"/>
  <c r="AG375" i="5"/>
  <c r="AG840" i="5"/>
  <c r="AG882" i="5"/>
  <c r="AG782" i="5"/>
  <c r="AG476" i="5"/>
  <c r="AG520" i="5"/>
  <c r="AG539" i="5"/>
  <c r="AG339" i="5"/>
  <c r="AG666" i="5"/>
  <c r="AG808" i="5"/>
  <c r="AG461" i="5"/>
  <c r="AG550" i="5"/>
  <c r="AG455" i="5"/>
  <c r="AG336" i="5"/>
  <c r="AG303" i="5"/>
  <c r="AG323" i="5"/>
  <c r="AG627" i="5"/>
  <c r="AG391" i="5"/>
  <c r="AG564" i="5"/>
  <c r="AG549" i="5"/>
  <c r="AG259" i="5"/>
  <c r="AG364" i="5"/>
  <c r="AG392" i="5"/>
  <c r="AG361" i="5"/>
  <c r="AG766" i="5"/>
  <c r="AG615" i="5"/>
  <c r="AG305" i="5"/>
  <c r="AG324" i="5"/>
  <c r="AG335" i="5"/>
  <c r="AG221" i="5"/>
  <c r="AG452" i="5"/>
  <c r="AG784" i="5"/>
  <c r="AG930" i="5"/>
  <c r="AG645" i="5"/>
  <c r="AG853" i="5"/>
  <c r="AG917" i="5"/>
  <c r="AG835" i="5"/>
  <c r="AG459" i="5"/>
  <c r="AG716" i="5"/>
  <c r="AG612" i="5"/>
  <c r="AG457" i="5"/>
  <c r="AG714" i="5"/>
  <c r="AG610" i="5"/>
  <c r="AG834" i="5"/>
  <c r="AG900" i="5"/>
  <c r="AG820" i="5"/>
  <c r="AG965" i="5"/>
  <c r="AG948" i="5"/>
  <c r="AG962" i="5"/>
  <c r="AG961" i="5"/>
  <c r="AG846" i="5"/>
  <c r="AG940" i="5"/>
  <c r="AG912" i="5"/>
  <c r="AG956" i="5"/>
  <c r="AG911" i="5"/>
  <c r="AG955" i="5"/>
  <c r="AG582" i="5"/>
  <c r="AG800" i="5"/>
  <c r="AG708" i="5"/>
  <c r="AG867" i="5"/>
  <c r="AG707" i="5"/>
  <c r="AG866" i="5"/>
  <c r="AG581" i="5"/>
  <c r="AG799" i="5"/>
  <c r="AG706" i="5"/>
  <c r="AG865" i="5"/>
  <c r="AG705" i="5"/>
  <c r="AG864" i="5"/>
  <c r="AG958" i="5"/>
  <c r="AG901" i="5"/>
  <c r="AG939" i="5"/>
  <c r="AG938" i="5"/>
  <c r="AG711" i="5"/>
  <c r="AG873" i="5"/>
  <c r="AG806" i="5"/>
  <c r="AG924" i="5"/>
  <c r="AG805" i="5"/>
  <c r="AG923" i="5"/>
  <c r="AG379" i="5"/>
  <c r="AG641" i="5"/>
  <c r="AG500" i="5"/>
  <c r="AG747" i="5"/>
  <c r="AG499" i="5"/>
  <c r="AG746" i="5"/>
  <c r="AG378" i="5"/>
  <c r="AG640" i="5"/>
  <c r="AG498" i="5"/>
  <c r="AG745" i="5"/>
  <c r="AG497" i="5"/>
  <c r="AG744" i="5"/>
  <c r="AG526" i="5"/>
  <c r="AG507" i="5"/>
  <c r="AG536" i="5"/>
  <c r="AG271" i="5"/>
  <c r="AG310" i="5"/>
  <c r="AG807" i="5"/>
  <c r="AG717" i="5"/>
  <c r="AG218" i="5"/>
  <c r="AG438" i="5"/>
  <c r="AG483" i="5"/>
  <c r="AG127" i="5"/>
  <c r="AG193" i="5"/>
  <c r="AG292" i="5"/>
  <c r="AG533" i="5"/>
  <c r="AG597" i="5"/>
  <c r="AG198" i="5"/>
  <c r="AG153" i="5"/>
  <c r="AG871" i="5"/>
  <c r="AG758" i="5"/>
  <c r="AG505" i="5"/>
  <c r="AG484" i="5"/>
  <c r="AG450" i="5"/>
  <c r="AG138" i="5"/>
  <c r="AG525" i="5"/>
  <c r="AG937" i="5"/>
  <c r="AG742" i="5"/>
  <c r="AG848" i="5"/>
  <c r="AG408" i="5"/>
  <c r="AG425" i="5"/>
  <c r="AG588" i="5"/>
  <c r="AG954" i="5"/>
  <c r="AG889" i="5"/>
  <c r="AG656" i="5"/>
  <c r="AG561" i="5"/>
  <c r="AG816" i="5"/>
  <c r="AG661" i="5"/>
  <c r="AG288" i="5"/>
  <c r="R740" i="5"/>
  <c r="AG537" i="5"/>
  <c r="AG357" i="5"/>
  <c r="AG270" i="5"/>
  <c r="AG676" i="5"/>
  <c r="AG869" i="5"/>
  <c r="AG184" i="5"/>
  <c r="AG295" i="5"/>
  <c r="AG437" i="5"/>
  <c r="AG316" i="5"/>
  <c r="AG165" i="5"/>
  <c r="AG192" i="5"/>
  <c r="AG635" i="5"/>
  <c r="AG532" i="5"/>
  <c r="AG133" i="5"/>
  <c r="AG274" i="5"/>
  <c r="AG973" i="5"/>
  <c r="AG971" i="5"/>
  <c r="AG927" i="5"/>
  <c r="AG959" i="5"/>
  <c r="AG969" i="5"/>
  <c r="AG949" i="5"/>
  <c r="AG966" i="5"/>
  <c r="AG892" i="5"/>
  <c r="AG838" i="5"/>
  <c r="AG945" i="5"/>
  <c r="AG944" i="5"/>
  <c r="AG619" i="5"/>
  <c r="AG831" i="5"/>
  <c r="AG887" i="5"/>
  <c r="AG690" i="5"/>
  <c r="AG884" i="5"/>
  <c r="AG872" i="5"/>
  <c r="AG778" i="5"/>
  <c r="AG757" i="5"/>
  <c r="AG176" i="5"/>
  <c r="AG632" i="5"/>
  <c r="AG264" i="5"/>
  <c r="AG191" i="5"/>
  <c r="AG524" i="5"/>
  <c r="AG760" i="5"/>
  <c r="AG741" i="5"/>
  <c r="AG179" i="5"/>
  <c r="AG187" i="5"/>
  <c r="AG268" i="5"/>
  <c r="AG781" i="5"/>
  <c r="AG423" i="5"/>
  <c r="AG333" i="5"/>
  <c r="AG921" i="5"/>
  <c r="AG774" i="5"/>
  <c r="AG431" i="5"/>
  <c r="AG529" i="5"/>
  <c r="AG740" i="5"/>
  <c r="AG403" i="5"/>
  <c r="AG236" i="5"/>
  <c r="AG471" i="5"/>
  <c r="AG603" i="5"/>
  <c r="AG777" i="5"/>
  <c r="AG868" i="5"/>
  <c r="AG249" i="5"/>
  <c r="AG294" i="5"/>
  <c r="AG317" i="5"/>
  <c r="AG213" i="5"/>
  <c r="AG164" i="5"/>
  <c r="AG447" i="5"/>
  <c r="AG749" i="5"/>
  <c r="AG118" i="5"/>
  <c r="AG181" i="5"/>
  <c r="AG273" i="5"/>
  <c r="AG798" i="5"/>
  <c r="AG372" i="5"/>
  <c r="AG856" i="5"/>
  <c r="AG322" i="5"/>
  <c r="AG245" i="5"/>
  <c r="AG631" i="5"/>
  <c r="AG369" i="5"/>
  <c r="AG190" i="5"/>
  <c r="AG878" i="5"/>
  <c r="AG759" i="5"/>
  <c r="AG426" i="5"/>
  <c r="AG589" i="5"/>
  <c r="AG407" i="5"/>
  <c r="AG934" i="5"/>
  <c r="AG918" i="5"/>
  <c r="AG697" i="5"/>
  <c r="AG605" i="5"/>
  <c r="AG606" i="5"/>
  <c r="AG263" i="5"/>
  <c r="AG204" i="5"/>
  <c r="AG698" i="5"/>
  <c r="AG197" i="5"/>
  <c r="AG311" i="5"/>
  <c r="AG470" i="5"/>
  <c r="AG718" i="5"/>
  <c r="AG776" i="5"/>
  <c r="AG314" i="5"/>
  <c r="AG248" i="5"/>
  <c r="AG247" i="5"/>
  <c r="AG142" i="5"/>
  <c r="AG293" i="5"/>
  <c r="AG402" i="5"/>
  <c r="AG598" i="5"/>
  <c r="AG748" i="5"/>
  <c r="AG154" i="5"/>
  <c r="AG180" i="5"/>
  <c r="AG964" i="5"/>
  <c r="AG970" i="5"/>
  <c r="AG960" i="5"/>
  <c r="AG950" i="5"/>
  <c r="AG968" i="5"/>
  <c r="AG967" i="5"/>
  <c r="AG754" i="5"/>
  <c r="AG891" i="5"/>
  <c r="AG946" i="5"/>
  <c r="AG837" i="5"/>
  <c r="AG943" i="5"/>
  <c r="AG832" i="5"/>
  <c r="AG691" i="5"/>
  <c r="AG886" i="5"/>
  <c r="AG885" i="5"/>
  <c r="AG935" i="5"/>
  <c r="AG644" i="5"/>
  <c r="AG506" i="5"/>
  <c r="AG855" i="5"/>
  <c r="AG451" i="5"/>
  <c r="AG244" i="5"/>
  <c r="AG386" i="5"/>
  <c r="AG368" i="5"/>
  <c r="AG879" i="5"/>
  <c r="AG849" i="5"/>
  <c r="AG188" i="5"/>
  <c r="AG269" i="5"/>
  <c r="AG178" i="5"/>
  <c r="AG915" i="5"/>
  <c r="AG826" i="5"/>
  <c r="AG464" i="5"/>
  <c r="AG371" i="5"/>
  <c r="AG847" i="5"/>
  <c r="AG823" i="5"/>
  <c r="AG481" i="5"/>
  <c r="AG224" i="5"/>
  <c r="AG353" i="5"/>
  <c r="AG932" i="5"/>
  <c r="AG977" i="5"/>
  <c r="AG601" i="5"/>
  <c r="AG963" i="5"/>
  <c r="AG976" i="5"/>
  <c r="AG414" i="5"/>
  <c r="AG665" i="5"/>
  <c r="AG775" i="5"/>
  <c r="AG449" i="5"/>
  <c r="AG412" i="5"/>
  <c r="AG628" i="5"/>
  <c r="AG602" i="5"/>
  <c r="AG360" i="5"/>
  <c r="AG560" i="5"/>
  <c r="AG444" i="5"/>
  <c r="AG489" i="5"/>
  <c r="AG689" i="5"/>
  <c r="AG416" i="5"/>
  <c r="AG387" i="5"/>
  <c r="AG594" i="5"/>
  <c r="AG569" i="5"/>
  <c r="AG385" i="5"/>
  <c r="AG862" i="5"/>
  <c r="AG975" i="5"/>
  <c r="AG972" i="5"/>
  <c r="AG161" i="5"/>
  <c r="AG974" i="5"/>
  <c r="AG860" i="5"/>
  <c r="AG693" i="5"/>
  <c r="AG390" i="5"/>
  <c r="AG599" i="5"/>
  <c r="AG492" i="5"/>
  <c r="AG521" i="5"/>
  <c r="AG712" i="5"/>
  <c r="AG417" i="5"/>
  <c r="AG388" i="5"/>
  <c r="AG595" i="5"/>
  <c r="AG570" i="5"/>
  <c r="AG359" i="5"/>
  <c r="AG559" i="5"/>
  <c r="AG443" i="5"/>
  <c r="AG488" i="5"/>
  <c r="AG688" i="5"/>
  <c r="AL504" i="5"/>
  <c r="AL566" i="5"/>
  <c r="AL332" i="5"/>
  <c r="AL880" i="5"/>
  <c r="AL567" i="5"/>
  <c r="AL752" i="5"/>
  <c r="AL787" i="5"/>
  <c r="AL753" i="5"/>
  <c r="AL233" i="5"/>
  <c r="AL210" i="5"/>
  <c r="AL722" i="5"/>
  <c r="AL232" i="5"/>
  <c r="AL469" i="5"/>
  <c r="AL468" i="5"/>
  <c r="AL530" i="5"/>
  <c r="AM380" i="5"/>
  <c r="U380" i="5" s="1"/>
  <c r="AL211" i="5"/>
  <c r="AL331" i="5"/>
  <c r="AM326" i="5"/>
  <c r="U326" i="5" s="1"/>
  <c r="AM420" i="5"/>
  <c r="U420" i="5" s="1"/>
  <c r="AM755" i="5"/>
  <c r="U755" i="5" s="1"/>
  <c r="AL674" i="5"/>
  <c r="AM607" i="5"/>
  <c r="U607" i="5" s="1"/>
  <c r="AL755" i="5"/>
  <c r="AL920" i="5"/>
  <c r="AL919" i="5"/>
  <c r="AL315" i="5"/>
  <c r="AL682" i="5"/>
  <c r="AL681" i="5"/>
  <c r="AL401" i="5"/>
  <c r="AL685" i="5"/>
  <c r="AL684" i="5"/>
  <c r="AL513" i="5"/>
  <c r="AL818" i="5"/>
  <c r="AL817" i="5"/>
  <c r="AL243" i="5"/>
  <c r="AM460" i="5"/>
  <c r="U460" i="5" s="1"/>
  <c r="AM257" i="5"/>
  <c r="U257" i="5" s="1"/>
  <c r="AL936" i="5"/>
  <c r="AL575" i="5"/>
  <c r="AM898" i="5"/>
  <c r="U898" i="5" s="1"/>
  <c r="AM643" i="5"/>
  <c r="U643" i="5" s="1"/>
  <c r="AM494" i="5"/>
  <c r="U494" i="5" s="1"/>
  <c r="AL607" i="5"/>
  <c r="AL957" i="5"/>
  <c r="AL439" i="5"/>
  <c r="AL844" i="5"/>
  <c r="AL503" i="5"/>
  <c r="AL531" i="5"/>
  <c r="AL721" i="5"/>
  <c r="AM695" i="5"/>
  <c r="U695" i="5" s="1"/>
  <c r="AM637" i="5"/>
  <c r="U637" i="5" s="1"/>
  <c r="AM609" i="5"/>
  <c r="U609" i="5" s="1"/>
  <c r="AL854" i="5"/>
  <c r="AL828" i="5"/>
  <c r="AL843" i="5"/>
  <c r="AL786" i="5"/>
  <c r="AL609" i="5"/>
  <c r="AM779" i="5"/>
  <c r="U779" i="5" s="1"/>
  <c r="AM822" i="5"/>
  <c r="U822" i="5" s="1"/>
  <c r="AL624" i="5"/>
  <c r="AL623" i="5"/>
  <c r="AL205" i="5"/>
  <c r="AL442" i="5"/>
  <c r="AL441" i="5"/>
  <c r="AL280" i="5"/>
  <c r="AL622" i="5"/>
  <c r="W622" i="5" s="1"/>
  <c r="AL621" i="5"/>
  <c r="AL933" i="5"/>
  <c r="AL877" i="5"/>
  <c r="AL827" i="5"/>
  <c r="AL652" i="5"/>
  <c r="AL373" i="5"/>
  <c r="AL370" i="5"/>
  <c r="AL951" i="5"/>
  <c r="AL863" i="5"/>
  <c r="AL768" i="5"/>
  <c r="AL908" i="5"/>
  <c r="AL687" i="5"/>
  <c r="AL767" i="5"/>
  <c r="AL907" i="5"/>
  <c r="AL587" i="5"/>
  <c r="AL496" i="5"/>
  <c r="AL728" i="5"/>
  <c r="AL683" i="5"/>
  <c r="AL383" i="5"/>
  <c r="AL510" i="5"/>
  <c r="AM926" i="5"/>
  <c r="AM925" i="5"/>
  <c r="AM773" i="5"/>
  <c r="AM686" i="5"/>
  <c r="AM839" i="5"/>
  <c r="AM772" i="5"/>
  <c r="AM585" i="5"/>
  <c r="AM814" i="5"/>
  <c r="AM501" i="5"/>
  <c r="AL699" i="5"/>
  <c r="AL312" i="5"/>
  <c r="AL568" i="5"/>
  <c r="AL926" i="5"/>
  <c r="AL925" i="5"/>
  <c r="AL773" i="5"/>
  <c r="AL686" i="5"/>
  <c r="AL839" i="5"/>
  <c r="AL772" i="5"/>
  <c r="AL585" i="5"/>
  <c r="AL814" i="5"/>
  <c r="AL501" i="5"/>
  <c r="AL861" i="5"/>
  <c r="AL352" i="5"/>
  <c r="AL404" i="5"/>
  <c r="AM951" i="5"/>
  <c r="AM863" i="5"/>
  <c r="AM768" i="5"/>
  <c r="AM908" i="5"/>
  <c r="AM687" i="5"/>
  <c r="AM767" i="5"/>
  <c r="AM907" i="5"/>
  <c r="AM587" i="5"/>
  <c r="AM496" i="5"/>
  <c r="AM728" i="5"/>
  <c r="AL584" i="5"/>
  <c r="AL813" i="5"/>
  <c r="AL574" i="5"/>
  <c r="AL480" i="5"/>
  <c r="AL662" i="5"/>
  <c r="AL573" i="5"/>
  <c r="AM586" i="5"/>
  <c r="AM572" i="5"/>
  <c r="AM751" i="5"/>
  <c r="AM482" i="5"/>
  <c r="AM571" i="5"/>
  <c r="AM750" i="5"/>
  <c r="AL583" i="5"/>
  <c r="AL692" i="5"/>
  <c r="AL382" i="5"/>
  <c r="AL215" i="5"/>
  <c r="AL440" i="5"/>
  <c r="AL467" i="5"/>
  <c r="AL119" i="5"/>
  <c r="AL231" i="5"/>
  <c r="AL137" i="5"/>
  <c r="AL132" i="5"/>
  <c r="AL281" i="5"/>
  <c r="AL183" i="5"/>
  <c r="AL110" i="5"/>
  <c r="AL586" i="5"/>
  <c r="AL572" i="5"/>
  <c r="AL751" i="5"/>
  <c r="AL482" i="5"/>
  <c r="AL571" i="5"/>
  <c r="AL750" i="5"/>
  <c r="AM584" i="5"/>
  <c r="AM813" i="5"/>
  <c r="AM574" i="5"/>
  <c r="AM480" i="5"/>
  <c r="AM662" i="5"/>
  <c r="AM573" i="5"/>
  <c r="AL819" i="5"/>
  <c r="AL502" i="5"/>
  <c r="AL287" i="5"/>
  <c r="AL518" i="5"/>
  <c r="AL301" i="5"/>
  <c r="AL321" i="5"/>
  <c r="AL636" i="5"/>
  <c r="AL186" i="5"/>
  <c r="AL101" i="5"/>
  <c r="AL177" i="5"/>
  <c r="AL214" i="5"/>
  <c r="AL144" i="5"/>
  <c r="AL291" i="5"/>
  <c r="AL135" i="5"/>
  <c r="AL160" i="5"/>
  <c r="AL349" i="5"/>
  <c r="AL730" i="5"/>
  <c r="AL829" i="5"/>
  <c r="AL509" i="5"/>
  <c r="AL325" i="5"/>
  <c r="AL642" i="5"/>
  <c r="AL629" i="5"/>
  <c r="AL182" i="5"/>
  <c r="AL344" i="5"/>
  <c r="AL200" i="5"/>
  <c r="AL201" i="5"/>
  <c r="AL418" i="5"/>
  <c r="AL242" i="5"/>
  <c r="AL166" i="5"/>
  <c r="AL354" i="5"/>
  <c r="AL289" i="5"/>
  <c r="AM888" i="5"/>
  <c r="U888" i="5" s="1"/>
  <c r="O888" i="5" s="1"/>
  <c r="AM227" i="5"/>
  <c r="U227" i="5" s="1"/>
  <c r="O227" i="5" s="1"/>
  <c r="AM463" i="5"/>
  <c r="U463" i="5" s="1"/>
  <c r="O463" i="5" s="1"/>
  <c r="AM445" i="5"/>
  <c r="U445" i="5" s="1"/>
  <c r="O445" i="5" s="1"/>
  <c r="AM92" i="5"/>
  <c r="U92" i="5" s="1"/>
  <c r="O92" i="5" s="1"/>
  <c r="AM105" i="5"/>
  <c r="U105" i="5" s="1"/>
  <c r="O105" i="5" s="1"/>
  <c r="AM217" i="5"/>
  <c r="AM87" i="5"/>
  <c r="AL888" i="5"/>
  <c r="AM655" i="5"/>
  <c r="U655" i="5" s="1"/>
  <c r="O655" i="5" s="1"/>
  <c r="AL227" i="5"/>
  <c r="AM226" i="5"/>
  <c r="U226" i="5" s="1"/>
  <c r="O226" i="5" s="1"/>
  <c r="AL463" i="5"/>
  <c r="AM300" i="5"/>
  <c r="U300" i="5" s="1"/>
  <c r="O300" i="5" s="1"/>
  <c r="AL445" i="5"/>
  <c r="AM262" i="5"/>
  <c r="U262" i="5" s="1"/>
  <c r="O262" i="5" s="1"/>
  <c r="AL92" i="5"/>
  <c r="AM86" i="5"/>
  <c r="U86" i="5" s="1"/>
  <c r="O86" i="5" s="1"/>
  <c r="AL105" i="5"/>
  <c r="AM125" i="5"/>
  <c r="AL217" i="5"/>
  <c r="AL225" i="5"/>
  <c r="AL203" i="5"/>
  <c r="AL906" i="5"/>
  <c r="AL694" i="5"/>
  <c r="AL410" i="5"/>
  <c r="AL677" i="5"/>
  <c r="AL424" i="5"/>
  <c r="AL508" i="5"/>
  <c r="AL785" i="5"/>
  <c r="AL265" i="5"/>
  <c r="AL134" i="5"/>
  <c r="AL284" i="5"/>
  <c r="AL309" i="5"/>
  <c r="AL223" i="5"/>
  <c r="AL419" i="5"/>
  <c r="AL185" i="5"/>
  <c r="AL266" i="5"/>
  <c r="AL535" i="5"/>
  <c r="AL226" i="5"/>
  <c r="AL300" i="5"/>
  <c r="AL262" i="5"/>
  <c r="AL86" i="5"/>
  <c r="AL125" i="5"/>
  <c r="AL216" i="5"/>
  <c r="AL696" i="5"/>
  <c r="AM216" i="5"/>
  <c r="AL87" i="5"/>
  <c r="AM96" i="5"/>
  <c r="U96" i="5" s="1"/>
  <c r="O96" i="5" s="1"/>
  <c r="AL327" i="5"/>
  <c r="AL338" i="5"/>
  <c r="AL77" i="5"/>
  <c r="AL145" i="5"/>
  <c r="AL97" i="5"/>
  <c r="AL83" i="5"/>
  <c r="AL113" i="5"/>
  <c r="AL896" i="5"/>
  <c r="AL793" i="5"/>
  <c r="AL229" i="5"/>
  <c r="AL163" i="5"/>
  <c r="AL398" i="5"/>
  <c r="AL131" i="5"/>
  <c r="AL528" i="5"/>
  <c r="AL96" i="5"/>
  <c r="AM111" i="5"/>
  <c r="U111" i="5" s="1"/>
  <c r="O111" i="5" s="1"/>
  <c r="AM299" i="5"/>
  <c r="U299" i="5" s="1"/>
  <c r="O299" i="5" s="1"/>
  <c r="AM102" i="5"/>
  <c r="U102" i="5" s="1"/>
  <c r="O102" i="5" s="1"/>
  <c r="AM76" i="5"/>
  <c r="AM124" i="5"/>
  <c r="AM107" i="5"/>
  <c r="AM941" i="5"/>
  <c r="U941" i="5" s="1"/>
  <c r="O941" i="5" s="1"/>
  <c r="AM356" i="5"/>
  <c r="U356" i="5" s="1"/>
  <c r="O356" i="5" s="1"/>
  <c r="AM664" i="5"/>
  <c r="U664" i="5" s="1"/>
  <c r="O664" i="5" s="1"/>
  <c r="AM646" i="5"/>
  <c r="U646" i="5" s="1"/>
  <c r="O646" i="5" s="1"/>
  <c r="AM115" i="5"/>
  <c r="U115" i="5" s="1"/>
  <c r="O115" i="5" s="1"/>
  <c r="AM150" i="5"/>
  <c r="AM320" i="5"/>
  <c r="AM696" i="5"/>
  <c r="U696" i="5" s="1"/>
  <c r="O696" i="5" s="1"/>
  <c r="AM389" i="5"/>
  <c r="U389" i="5" s="1"/>
  <c r="O389" i="5" s="1"/>
  <c r="AM252" i="5"/>
  <c r="U252" i="5" s="1"/>
  <c r="O252" i="5" s="1"/>
  <c r="AL111" i="5"/>
  <c r="AM91" i="5"/>
  <c r="U91" i="5" s="1"/>
  <c r="O91" i="5" s="1"/>
  <c r="AL299" i="5"/>
  <c r="AM108" i="5"/>
  <c r="U108" i="5" s="1"/>
  <c r="O108" i="5" s="1"/>
  <c r="AL102" i="5"/>
  <c r="AM129" i="5"/>
  <c r="U129" i="5" s="1"/>
  <c r="O129" i="5" s="1"/>
  <c r="AL76" i="5"/>
  <c r="AM79" i="5"/>
  <c r="AL124" i="5"/>
  <c r="AM168" i="5"/>
  <c r="AL107" i="5"/>
  <c r="AM90" i="5"/>
  <c r="AL941" i="5"/>
  <c r="AM803" i="5"/>
  <c r="U803" i="5" s="1"/>
  <c r="O803" i="5" s="1"/>
  <c r="AL356" i="5"/>
  <c r="AM355" i="5"/>
  <c r="U355" i="5" s="1"/>
  <c r="O355" i="5" s="1"/>
  <c r="AL664" i="5"/>
  <c r="AM466" i="5"/>
  <c r="U466" i="5" s="1"/>
  <c r="O466" i="5" s="1"/>
  <c r="AL646" i="5"/>
  <c r="AM399" i="5"/>
  <c r="U399" i="5" s="1"/>
  <c r="O399" i="5" s="1"/>
  <c r="AL115" i="5"/>
  <c r="AL389" i="5"/>
  <c r="AM100" i="5"/>
  <c r="AM580" i="5"/>
  <c r="AL515" i="5"/>
  <c r="AL514" i="5"/>
  <c r="AL82" i="5"/>
  <c r="AL234" i="5"/>
  <c r="AL126" i="5"/>
  <c r="AL89" i="5"/>
  <c r="AL171" i="5"/>
  <c r="AM812" i="5"/>
  <c r="U812" i="5" s="1"/>
  <c r="AM810" i="5"/>
  <c r="U810" i="5" s="1"/>
  <c r="AM659" i="5"/>
  <c r="U659" i="5" s="1"/>
  <c r="AM733" i="5"/>
  <c r="U733" i="5" s="1"/>
  <c r="AM770" i="5"/>
  <c r="U770" i="5" s="1"/>
  <c r="AM657" i="5"/>
  <c r="U657" i="5" s="1"/>
  <c r="AM487" i="5"/>
  <c r="U487" i="5" s="1"/>
  <c r="AM548" i="5"/>
  <c r="U548" i="5" s="1"/>
  <c r="AM366" i="5"/>
  <c r="U366" i="5" s="1"/>
  <c r="AM485" i="5"/>
  <c r="U485" i="5" s="1"/>
  <c r="AM94" i="5"/>
  <c r="U94" i="5" s="1"/>
  <c r="O94" i="5" s="1"/>
  <c r="AL150" i="5"/>
  <c r="AL100" i="5"/>
  <c r="AL580" i="5"/>
  <c r="AN905" i="5"/>
  <c r="V905" i="5" s="1"/>
  <c r="AL812" i="5"/>
  <c r="AN811" i="5"/>
  <c r="V811" i="5" s="1"/>
  <c r="AL810" i="5"/>
  <c r="AN734" i="5"/>
  <c r="V734" i="5" s="1"/>
  <c r="AL659" i="5"/>
  <c r="AN771" i="5"/>
  <c r="V771" i="5" s="1"/>
  <c r="AL733" i="5"/>
  <c r="AN658" i="5"/>
  <c r="V658" i="5" s="1"/>
  <c r="AL770" i="5"/>
  <c r="AN732" i="5"/>
  <c r="V732" i="5" s="1"/>
  <c r="AL657" i="5"/>
  <c r="AN769" i="5"/>
  <c r="V769" i="5" s="1"/>
  <c r="AL487" i="5"/>
  <c r="AN367" i="5"/>
  <c r="V367" i="5" s="1"/>
  <c r="AL548" i="5"/>
  <c r="AN486" i="5"/>
  <c r="V486" i="5" s="1"/>
  <c r="AL366" i="5"/>
  <c r="AN547" i="5"/>
  <c r="V547" i="5" s="1"/>
  <c r="AL485" i="5"/>
  <c r="AN365" i="5"/>
  <c r="V365" i="5" s="1"/>
  <c r="AM196" i="5"/>
  <c r="AL278" i="5"/>
  <c r="AM172" i="5"/>
  <c r="AM710" i="5"/>
  <c r="U710" i="5" s="1"/>
  <c r="O710" i="5" s="1"/>
  <c r="AM381" i="5"/>
  <c r="U381" i="5" s="1"/>
  <c r="O381" i="5" s="1"/>
  <c r="AL167" i="5"/>
  <c r="AM112" i="5"/>
  <c r="U112" i="5" s="1"/>
  <c r="O112" i="5" s="1"/>
  <c r="AL465" i="5"/>
  <c r="AM162" i="5"/>
  <c r="U162" i="5" s="1"/>
  <c r="O162" i="5" s="1"/>
  <c r="AM194" i="5"/>
  <c r="U194" i="5" s="1"/>
  <c r="O194" i="5" s="1"/>
  <c r="AM85" i="5"/>
  <c r="AM277" i="5"/>
  <c r="AM106" i="5"/>
  <c r="AM905" i="5"/>
  <c r="U905" i="5" s="1"/>
  <c r="AM811" i="5"/>
  <c r="U811" i="5" s="1"/>
  <c r="AM734" i="5"/>
  <c r="U734" i="5" s="1"/>
  <c r="AM771" i="5"/>
  <c r="U771" i="5" s="1"/>
  <c r="AM658" i="5"/>
  <c r="U658" i="5" s="1"/>
  <c r="AM732" i="5"/>
  <c r="U732" i="5" s="1"/>
  <c r="AM769" i="5"/>
  <c r="U769" i="5" s="1"/>
  <c r="AM367" i="5"/>
  <c r="U367" i="5" s="1"/>
  <c r="AM486" i="5"/>
  <c r="U486" i="5" s="1"/>
  <c r="AM547" i="5"/>
  <c r="U547" i="5" s="1"/>
  <c r="AL320" i="5"/>
  <c r="AM319" i="5"/>
  <c r="AL172" i="5"/>
  <c r="AM830" i="5"/>
  <c r="U830" i="5" s="1"/>
  <c r="O830" i="5" s="1"/>
  <c r="AL710" i="5"/>
  <c r="AM515" i="5"/>
  <c r="U515" i="5" s="1"/>
  <c r="O515" i="5" s="1"/>
  <c r="AL381" i="5"/>
  <c r="AM514" i="5"/>
  <c r="U514" i="5" s="1"/>
  <c r="O514" i="5" s="1"/>
  <c r="AL112" i="5"/>
  <c r="AM82" i="5"/>
  <c r="U82" i="5" s="1"/>
  <c r="O82" i="5" s="1"/>
  <c r="AL162" i="5"/>
  <c r="AM234" i="5"/>
  <c r="U234" i="5" s="1"/>
  <c r="O234" i="5" s="1"/>
  <c r="AL194" i="5"/>
  <c r="AM126" i="5"/>
  <c r="U126" i="5" s="1"/>
  <c r="O126" i="5" s="1"/>
  <c r="AL85" i="5"/>
  <c r="AM89" i="5"/>
  <c r="AL277" i="5"/>
  <c r="AM171" i="5"/>
  <c r="AL106" i="5"/>
  <c r="AL905" i="5"/>
  <c r="AN812" i="5"/>
  <c r="V812" i="5" s="1"/>
  <c r="AL811" i="5"/>
  <c r="AN810" i="5"/>
  <c r="V810" i="5" s="1"/>
  <c r="AL734" i="5"/>
  <c r="AN659" i="5"/>
  <c r="V659" i="5" s="1"/>
  <c r="AL771" i="5"/>
  <c r="AN733" i="5"/>
  <c r="V733" i="5" s="1"/>
  <c r="AL658" i="5"/>
  <c r="AN770" i="5"/>
  <c r="V770" i="5" s="1"/>
  <c r="AL732" i="5"/>
  <c r="AN657" i="5"/>
  <c r="V657" i="5" s="1"/>
  <c r="AL769" i="5"/>
  <c r="AN487" i="5"/>
  <c r="V487" i="5" s="1"/>
  <c r="AL367" i="5"/>
  <c r="AL486" i="5"/>
  <c r="AL547" i="5"/>
  <c r="AN485" i="5"/>
  <c r="V485" i="5" s="1"/>
  <c r="AM365" i="5"/>
  <c r="U365" i="5" s="1"/>
  <c r="AM308" i="5"/>
  <c r="U308" i="5" s="1"/>
  <c r="AM348" i="5"/>
  <c r="U348" i="5" s="1"/>
  <c r="AM255" i="5"/>
  <c r="U255" i="5" s="1"/>
  <c r="AM306" i="5"/>
  <c r="U306" i="5" s="1"/>
  <c r="AM346" i="5"/>
  <c r="U346" i="5" s="1"/>
  <c r="AM545" i="5"/>
  <c r="U545" i="5" s="1"/>
  <c r="AM544" i="5"/>
  <c r="U544" i="5" s="1"/>
  <c r="AM351" i="5"/>
  <c r="U351" i="5" s="1"/>
  <c r="AM358" i="5"/>
  <c r="U358" i="5" s="1"/>
  <c r="AM400" i="5"/>
  <c r="U400" i="5" s="1"/>
  <c r="AM350" i="5"/>
  <c r="U350" i="5" s="1"/>
  <c r="AM238" i="5"/>
  <c r="U238" i="5" s="1"/>
  <c r="AM276" i="5"/>
  <c r="U276" i="5" s="1"/>
  <c r="AM136" i="5"/>
  <c r="U136" i="5" s="1"/>
  <c r="AM237" i="5"/>
  <c r="U237" i="5" s="1"/>
  <c r="AM275" i="5"/>
  <c r="U275" i="5" s="1"/>
  <c r="AM121" i="5"/>
  <c r="U121" i="5" s="1"/>
  <c r="AM123" i="5"/>
  <c r="U123" i="5" s="1"/>
  <c r="AM140" i="5"/>
  <c r="U140" i="5" s="1"/>
  <c r="AM120" i="5"/>
  <c r="U120" i="5" s="1"/>
  <c r="AM947" i="5"/>
  <c r="U947" i="5" s="1"/>
  <c r="AM903" i="5"/>
  <c r="U903" i="5" s="1"/>
  <c r="AM859" i="5"/>
  <c r="U859" i="5" s="1"/>
  <c r="AL365" i="5"/>
  <c r="AN546" i="5"/>
  <c r="V546" i="5" s="1"/>
  <c r="AL308" i="5"/>
  <c r="AN256" i="5"/>
  <c r="V256" i="5" s="1"/>
  <c r="AL348" i="5"/>
  <c r="AN307" i="5"/>
  <c r="V307" i="5" s="1"/>
  <c r="AL255" i="5"/>
  <c r="AN347" i="5"/>
  <c r="V347" i="5" s="1"/>
  <c r="AL306" i="5"/>
  <c r="AN254" i="5"/>
  <c r="V254" i="5" s="1"/>
  <c r="AL346" i="5"/>
  <c r="AN725" i="5"/>
  <c r="V725" i="5" s="1"/>
  <c r="AL545" i="5"/>
  <c r="AN446" i="5"/>
  <c r="V446" i="5" s="1"/>
  <c r="AL544" i="5"/>
  <c r="AN422" i="5"/>
  <c r="V422" i="5" s="1"/>
  <c r="AL351" i="5"/>
  <c r="AN479" i="5"/>
  <c r="V479" i="5" s="1"/>
  <c r="AL358" i="5"/>
  <c r="AN267" i="5"/>
  <c r="V267" i="5" s="1"/>
  <c r="AL400" i="5"/>
  <c r="AN421" i="5"/>
  <c r="V421" i="5" s="1"/>
  <c r="AL350" i="5"/>
  <c r="AN478" i="5"/>
  <c r="V478" i="5" s="1"/>
  <c r="AL238" i="5"/>
  <c r="AN175" i="5"/>
  <c r="V175" i="5" s="1"/>
  <c r="AL276" i="5"/>
  <c r="AN199" i="5"/>
  <c r="V199" i="5" s="1"/>
  <c r="AL136" i="5"/>
  <c r="AN228" i="5"/>
  <c r="V228" i="5" s="1"/>
  <c r="AL237" i="5"/>
  <c r="AN174" i="5"/>
  <c r="V174" i="5" s="1"/>
  <c r="AL275" i="5"/>
  <c r="AN148" i="5"/>
  <c r="V148" i="5" s="1"/>
  <c r="AL121" i="5"/>
  <c r="AN159" i="5"/>
  <c r="V159" i="5" s="1"/>
  <c r="AL123" i="5"/>
  <c r="AN103" i="5"/>
  <c r="V103" i="5" s="1"/>
  <c r="AL140" i="5"/>
  <c r="AN147" i="5"/>
  <c r="V147" i="5" s="1"/>
  <c r="AL120" i="5"/>
  <c r="AN158" i="5"/>
  <c r="V158" i="5" s="1"/>
  <c r="AL947" i="5"/>
  <c r="AN904" i="5"/>
  <c r="V904" i="5" s="1"/>
  <c r="AM546" i="5"/>
  <c r="U546" i="5" s="1"/>
  <c r="AM256" i="5"/>
  <c r="U256" i="5" s="1"/>
  <c r="AM307" i="5"/>
  <c r="U307" i="5" s="1"/>
  <c r="AM347" i="5"/>
  <c r="U347" i="5" s="1"/>
  <c r="AM254" i="5"/>
  <c r="U254" i="5" s="1"/>
  <c r="AM725" i="5"/>
  <c r="U725" i="5" s="1"/>
  <c r="AM446" i="5"/>
  <c r="U446" i="5" s="1"/>
  <c r="AM422" i="5"/>
  <c r="U422" i="5" s="1"/>
  <c r="AM479" i="5"/>
  <c r="U479" i="5" s="1"/>
  <c r="AM267" i="5"/>
  <c r="U267" i="5" s="1"/>
  <c r="AM421" i="5"/>
  <c r="U421" i="5" s="1"/>
  <c r="AM478" i="5"/>
  <c r="U478" i="5" s="1"/>
  <c r="AM175" i="5"/>
  <c r="U175" i="5" s="1"/>
  <c r="AM199" i="5"/>
  <c r="U199" i="5" s="1"/>
  <c r="AM228" i="5"/>
  <c r="U228" i="5" s="1"/>
  <c r="AM174" i="5"/>
  <c r="U174" i="5" s="1"/>
  <c r="AM148" i="5"/>
  <c r="U148" i="5" s="1"/>
  <c r="AM159" i="5"/>
  <c r="U159" i="5" s="1"/>
  <c r="AM103" i="5"/>
  <c r="U103" i="5" s="1"/>
  <c r="AM147" i="5"/>
  <c r="U147" i="5" s="1"/>
  <c r="AM158" i="5"/>
  <c r="U158" i="5" s="1"/>
  <c r="AM904" i="5"/>
  <c r="U904" i="5" s="1"/>
  <c r="AM902" i="5"/>
  <c r="U902" i="5" s="1"/>
  <c r="AN548" i="5"/>
  <c r="V548" i="5" s="1"/>
  <c r="AN366" i="5"/>
  <c r="V366" i="5" s="1"/>
  <c r="AL546" i="5"/>
  <c r="AN308" i="5"/>
  <c r="V308" i="5" s="1"/>
  <c r="AL256" i="5"/>
  <c r="AN348" i="5"/>
  <c r="V348" i="5" s="1"/>
  <c r="AL307" i="5"/>
  <c r="AN255" i="5"/>
  <c r="V255" i="5" s="1"/>
  <c r="AL347" i="5"/>
  <c r="AN306" i="5"/>
  <c r="V306" i="5" s="1"/>
  <c r="AL254" i="5"/>
  <c r="AN346" i="5"/>
  <c r="V346" i="5" s="1"/>
  <c r="AL725" i="5"/>
  <c r="AN545" i="5"/>
  <c r="V545" i="5" s="1"/>
  <c r="AL446" i="5"/>
  <c r="AN544" i="5"/>
  <c r="V544" i="5" s="1"/>
  <c r="AL422" i="5"/>
  <c r="AN351" i="5"/>
  <c r="V351" i="5" s="1"/>
  <c r="AL479" i="5"/>
  <c r="AN358" i="5"/>
  <c r="V358" i="5" s="1"/>
  <c r="AL267" i="5"/>
  <c r="AN400" i="5"/>
  <c r="V400" i="5" s="1"/>
  <c r="AL421" i="5"/>
  <c r="AN350" i="5"/>
  <c r="V350" i="5" s="1"/>
  <c r="AL478" i="5"/>
  <c r="AN238" i="5"/>
  <c r="V238" i="5" s="1"/>
  <c r="AL175" i="5"/>
  <c r="AN276" i="5"/>
  <c r="V276" i="5" s="1"/>
  <c r="AL199" i="5"/>
  <c r="AN136" i="5"/>
  <c r="V136" i="5" s="1"/>
  <c r="AL228" i="5"/>
  <c r="AN237" i="5"/>
  <c r="V237" i="5" s="1"/>
  <c r="AL174" i="5"/>
  <c r="AN275" i="5"/>
  <c r="V275" i="5" s="1"/>
  <c r="AL148" i="5"/>
  <c r="AN121" i="5"/>
  <c r="V121" i="5" s="1"/>
  <c r="AL159" i="5"/>
  <c r="AN123" i="5"/>
  <c r="V123" i="5" s="1"/>
  <c r="AL103" i="5"/>
  <c r="AN140" i="5"/>
  <c r="V140" i="5" s="1"/>
  <c r="AL147" i="5"/>
  <c r="AN120" i="5"/>
  <c r="V120" i="5" s="1"/>
  <c r="AL158" i="5"/>
  <c r="AN947" i="5"/>
  <c r="V947" i="5" s="1"/>
  <c r="AL904" i="5"/>
  <c r="AL859" i="5"/>
  <c r="AM797" i="5"/>
  <c r="U797" i="5" s="1"/>
  <c r="AM858" i="5"/>
  <c r="U858" i="5" s="1"/>
  <c r="AM875" i="5"/>
  <c r="U875" i="5" s="1"/>
  <c r="AM795" i="5"/>
  <c r="U795" i="5" s="1"/>
  <c r="AM702" i="5"/>
  <c r="U702" i="5" s="1"/>
  <c r="AM739" i="5"/>
  <c r="U739" i="5" s="1"/>
  <c r="AM553" i="5"/>
  <c r="U553" i="5" s="1"/>
  <c r="AM700" i="5"/>
  <c r="U700" i="5" s="1"/>
  <c r="AM737" i="5"/>
  <c r="U737" i="5" s="1"/>
  <c r="AM436" i="5"/>
  <c r="U436" i="5" s="1"/>
  <c r="AM556" i="5"/>
  <c r="U556" i="5" s="1"/>
  <c r="AM591" i="5"/>
  <c r="U591" i="5" s="1"/>
  <c r="AN903" i="5"/>
  <c r="V903" i="5" s="1"/>
  <c r="AL797" i="5"/>
  <c r="AN876" i="5"/>
  <c r="V876" i="5" s="1"/>
  <c r="AL858" i="5"/>
  <c r="AN796" i="5"/>
  <c r="V796" i="5" s="1"/>
  <c r="AL875" i="5"/>
  <c r="AN857" i="5"/>
  <c r="V857" i="5" s="1"/>
  <c r="AL795" i="5"/>
  <c r="AN874" i="5"/>
  <c r="V874" i="5" s="1"/>
  <c r="AL702" i="5"/>
  <c r="AN554" i="5"/>
  <c r="V554" i="5" s="1"/>
  <c r="AL739" i="5"/>
  <c r="AN701" i="5"/>
  <c r="V701" i="5" s="1"/>
  <c r="AL553" i="5"/>
  <c r="AN738" i="5"/>
  <c r="V738" i="5" s="1"/>
  <c r="AL700" i="5"/>
  <c r="AN552" i="5"/>
  <c r="V552" i="5" s="1"/>
  <c r="AL737" i="5"/>
  <c r="AN557" i="5"/>
  <c r="V557" i="5" s="1"/>
  <c r="AL436" i="5"/>
  <c r="AN592" i="5"/>
  <c r="V592" i="5" s="1"/>
  <c r="AL556" i="5"/>
  <c r="AN435" i="5"/>
  <c r="V435" i="5" s="1"/>
  <c r="AL591" i="5"/>
  <c r="AN555" i="5"/>
  <c r="V555" i="5" s="1"/>
  <c r="AL434" i="5"/>
  <c r="AN590" i="5"/>
  <c r="V590" i="5" s="1"/>
  <c r="AL845" i="5"/>
  <c r="AN720" i="5"/>
  <c r="V720" i="5" s="1"/>
  <c r="AL671" i="5"/>
  <c r="AN719" i="5"/>
  <c r="V719" i="5" s="1"/>
  <c r="AL639" i="5"/>
  <c r="AN523" i="5"/>
  <c r="V523" i="5" s="1"/>
  <c r="AL673" i="5"/>
  <c r="AN578" i="5"/>
  <c r="V578" i="5" s="1"/>
  <c r="AL409" i="5"/>
  <c r="AN617" i="5"/>
  <c r="V617" i="5" s="1"/>
  <c r="AL638" i="5"/>
  <c r="AN522" i="5"/>
  <c r="V522" i="5" s="1"/>
  <c r="AL672" i="5"/>
  <c r="AN396" i="5"/>
  <c r="V396" i="5" s="1"/>
  <c r="AL283" i="5"/>
  <c r="AN430" i="5"/>
  <c r="V430" i="5" s="1"/>
  <c r="AL342" i="5"/>
  <c r="AN219" i="5"/>
  <c r="V219" i="5" s="1"/>
  <c r="AL384" i="5"/>
  <c r="AN395" i="5"/>
  <c r="V395" i="5" s="1"/>
  <c r="AL282" i="5"/>
  <c r="AN429" i="5"/>
  <c r="V429" i="5" s="1"/>
  <c r="AL286" i="5"/>
  <c r="AN209" i="5"/>
  <c r="V209" i="5" s="1"/>
  <c r="AL297" i="5"/>
  <c r="AN239" i="5"/>
  <c r="V239" i="5" s="1"/>
  <c r="AL156" i="5"/>
  <c r="AN260" i="5"/>
  <c r="V260" i="5" s="1"/>
  <c r="AL285" i="5"/>
  <c r="AN208" i="5"/>
  <c r="V208" i="5" s="1"/>
  <c r="AL296" i="5"/>
  <c r="AM883" i="5"/>
  <c r="U883" i="5" s="1"/>
  <c r="AM731" i="5"/>
  <c r="U731" i="5" s="1"/>
  <c r="AM649" i="5"/>
  <c r="U649" i="5" s="1"/>
  <c r="AM794" i="5"/>
  <c r="U794" i="5" s="1"/>
  <c r="AM660" i="5"/>
  <c r="U660" i="5" s="1"/>
  <c r="AM678" i="5"/>
  <c r="U678" i="5" s="1"/>
  <c r="AM563" i="5"/>
  <c r="U563" i="5" s="1"/>
  <c r="AM593" i="5"/>
  <c r="U593" i="5" s="1"/>
  <c r="AM735" i="5"/>
  <c r="U735" i="5" s="1"/>
  <c r="AM756" i="5"/>
  <c r="U756" i="5" s="1"/>
  <c r="AM493" i="5"/>
  <c r="U493" i="5" s="1"/>
  <c r="AM517" i="5"/>
  <c r="U517" i="5" s="1"/>
  <c r="AM397" i="5"/>
  <c r="U397" i="5" s="1"/>
  <c r="AM415" i="5"/>
  <c r="U415" i="5" s="1"/>
  <c r="AM596" i="5"/>
  <c r="U596" i="5" s="1"/>
  <c r="AM618" i="5"/>
  <c r="U618" i="5" s="1"/>
  <c r="AM630" i="5"/>
  <c r="U630" i="5" s="1"/>
  <c r="AM654" i="5"/>
  <c r="U654" i="5" s="1"/>
  <c r="AM527" i="5"/>
  <c r="U527" i="5" s="1"/>
  <c r="AM558" i="5"/>
  <c r="U558" i="5" s="1"/>
  <c r="AM704" i="5"/>
  <c r="U704" i="5" s="1"/>
  <c r="AM729" i="5"/>
  <c r="U729" i="5" s="1"/>
  <c r="AM922" i="5"/>
  <c r="U922" i="5" s="1"/>
  <c r="AM850" i="5"/>
  <c r="U850" i="5" s="1"/>
  <c r="AM724" i="5"/>
  <c r="U724" i="5" s="1"/>
  <c r="AM788" i="5"/>
  <c r="U788" i="5" s="1"/>
  <c r="AM824" i="5"/>
  <c r="U824" i="5" s="1"/>
  <c r="AM428" i="5"/>
  <c r="U428" i="5" s="1"/>
  <c r="AM576" i="5"/>
  <c r="U576" i="5" s="1"/>
  <c r="AM625" i="5"/>
  <c r="U625" i="5" s="1"/>
  <c r="AM363" i="5"/>
  <c r="U363" i="5" s="1"/>
  <c r="AM432" i="5"/>
  <c r="U432" i="5" s="1"/>
  <c r="AM490" i="5"/>
  <c r="U490" i="5" s="1"/>
  <c r="AM472" i="5"/>
  <c r="U472" i="5" s="1"/>
  <c r="AM376" i="5"/>
  <c r="U376" i="5" s="1"/>
  <c r="AL903" i="5"/>
  <c r="AN902" i="5"/>
  <c r="V902" i="5" s="1"/>
  <c r="AM876" i="5"/>
  <c r="U876" i="5" s="1"/>
  <c r="AM796" i="5"/>
  <c r="U796" i="5" s="1"/>
  <c r="AM857" i="5"/>
  <c r="U857" i="5" s="1"/>
  <c r="AM874" i="5"/>
  <c r="U874" i="5" s="1"/>
  <c r="AM554" i="5"/>
  <c r="U554" i="5" s="1"/>
  <c r="AM701" i="5"/>
  <c r="U701" i="5" s="1"/>
  <c r="AM738" i="5"/>
  <c r="U738" i="5" s="1"/>
  <c r="AM552" i="5"/>
  <c r="U552" i="5" s="1"/>
  <c r="AM557" i="5"/>
  <c r="U557" i="5" s="1"/>
  <c r="AM592" i="5"/>
  <c r="U592" i="5" s="1"/>
  <c r="AM435" i="5"/>
  <c r="U435" i="5" s="1"/>
  <c r="AM555" i="5"/>
  <c r="U555" i="5" s="1"/>
  <c r="AM590" i="5"/>
  <c r="U590" i="5" s="1"/>
  <c r="AM720" i="5"/>
  <c r="U720" i="5" s="1"/>
  <c r="AM719" i="5"/>
  <c r="U719" i="5" s="1"/>
  <c r="AM523" i="5"/>
  <c r="U523" i="5" s="1"/>
  <c r="AM578" i="5"/>
  <c r="U578" i="5" s="1"/>
  <c r="AM617" i="5"/>
  <c r="U617" i="5" s="1"/>
  <c r="AM522" i="5"/>
  <c r="U522" i="5" s="1"/>
  <c r="AM396" i="5"/>
  <c r="U396" i="5" s="1"/>
  <c r="AM430" i="5"/>
  <c r="U430" i="5" s="1"/>
  <c r="AM219" i="5"/>
  <c r="U219" i="5" s="1"/>
  <c r="AM395" i="5"/>
  <c r="U395" i="5" s="1"/>
  <c r="AM429" i="5"/>
  <c r="U429" i="5" s="1"/>
  <c r="AM209" i="5"/>
  <c r="U209" i="5" s="1"/>
  <c r="AM239" i="5"/>
  <c r="U239" i="5" s="1"/>
  <c r="AM260" i="5"/>
  <c r="U260" i="5" s="1"/>
  <c r="AM208" i="5"/>
  <c r="U208" i="5" s="1"/>
  <c r="AL883" i="5"/>
  <c r="T883" i="5" s="1"/>
  <c r="AL731" i="5"/>
  <c r="T731" i="5" s="1"/>
  <c r="AL649" i="5"/>
  <c r="T649" i="5" s="1"/>
  <c r="AL794" i="5"/>
  <c r="T794" i="5" s="1"/>
  <c r="AL660" i="5"/>
  <c r="T660" i="5" s="1"/>
  <c r="AL678" i="5"/>
  <c r="T678" i="5" s="1"/>
  <c r="AL563" i="5"/>
  <c r="T563" i="5" s="1"/>
  <c r="AL593" i="5"/>
  <c r="T593" i="5" s="1"/>
  <c r="AL735" i="5"/>
  <c r="T735" i="5" s="1"/>
  <c r="AL756" i="5"/>
  <c r="AL493" i="5"/>
  <c r="T493" i="5" s="1"/>
  <c r="AL517" i="5"/>
  <c r="T517" i="5" s="1"/>
  <c r="AL397" i="5"/>
  <c r="T397" i="5" s="1"/>
  <c r="AL415" i="5"/>
  <c r="T415" i="5" s="1"/>
  <c r="AL596" i="5"/>
  <c r="T596" i="5" s="1"/>
  <c r="AL618" i="5"/>
  <c r="T618" i="5" s="1"/>
  <c r="AL630" i="5"/>
  <c r="T630" i="5" s="1"/>
  <c r="AL654" i="5"/>
  <c r="T654" i="5" s="1"/>
  <c r="AL527" i="5"/>
  <c r="T527" i="5" s="1"/>
  <c r="AL558" i="5"/>
  <c r="T558" i="5" s="1"/>
  <c r="AL704" i="5"/>
  <c r="T704" i="5" s="1"/>
  <c r="AL729" i="5"/>
  <c r="T729" i="5" s="1"/>
  <c r="AL922" i="5"/>
  <c r="AL850" i="5"/>
  <c r="AL724" i="5"/>
  <c r="AL788" i="5"/>
  <c r="AL824" i="5"/>
  <c r="AL428" i="5"/>
  <c r="AL576" i="5"/>
  <c r="AL625" i="5"/>
  <c r="AL363" i="5"/>
  <c r="AL432" i="5"/>
  <c r="AL490" i="5"/>
  <c r="AL472" i="5"/>
  <c r="AL376" i="5"/>
  <c r="AL411" i="5"/>
  <c r="AL902" i="5"/>
  <c r="AN859" i="5"/>
  <c r="V859" i="5" s="1"/>
  <c r="AN797" i="5"/>
  <c r="V797" i="5" s="1"/>
  <c r="AL876" i="5"/>
  <c r="AN858" i="5"/>
  <c r="V858" i="5" s="1"/>
  <c r="AL796" i="5"/>
  <c r="AN875" i="5"/>
  <c r="V875" i="5" s="1"/>
  <c r="AL857" i="5"/>
  <c r="AN795" i="5"/>
  <c r="V795" i="5" s="1"/>
  <c r="AL874" i="5"/>
  <c r="AN702" i="5"/>
  <c r="V702" i="5" s="1"/>
  <c r="AL554" i="5"/>
  <c r="AN739" i="5"/>
  <c r="V739" i="5" s="1"/>
  <c r="AL701" i="5"/>
  <c r="AN553" i="5"/>
  <c r="V553" i="5" s="1"/>
  <c r="AL738" i="5"/>
  <c r="AN700" i="5"/>
  <c r="V700" i="5" s="1"/>
  <c r="AL552" i="5"/>
  <c r="AN737" i="5"/>
  <c r="V737" i="5" s="1"/>
  <c r="AL557" i="5"/>
  <c r="AN436" i="5"/>
  <c r="V436" i="5" s="1"/>
  <c r="AL592" i="5"/>
  <c r="AN556" i="5"/>
  <c r="V556" i="5" s="1"/>
  <c r="AL435" i="5"/>
  <c r="AN591" i="5"/>
  <c r="V591" i="5" s="1"/>
  <c r="AL555" i="5"/>
  <c r="AN434" i="5"/>
  <c r="V434" i="5" s="1"/>
  <c r="AL590" i="5"/>
  <c r="AN845" i="5"/>
  <c r="V845" i="5" s="1"/>
  <c r="AL720" i="5"/>
  <c r="AN671" i="5"/>
  <c r="V671" i="5" s="1"/>
  <c r="AL719" i="5"/>
  <c r="AN639" i="5"/>
  <c r="V639" i="5" s="1"/>
  <c r="AL523" i="5"/>
  <c r="AN673" i="5"/>
  <c r="V673" i="5" s="1"/>
  <c r="AL578" i="5"/>
  <c r="AN409" i="5"/>
  <c r="V409" i="5" s="1"/>
  <c r="AL617" i="5"/>
  <c r="AN638" i="5"/>
  <c r="V638" i="5" s="1"/>
  <c r="AL522" i="5"/>
  <c r="AN672" i="5"/>
  <c r="V672" i="5" s="1"/>
  <c r="AL396" i="5"/>
  <c r="AN283" i="5"/>
  <c r="V283" i="5" s="1"/>
  <c r="AL430" i="5"/>
  <c r="AN342" i="5"/>
  <c r="V342" i="5" s="1"/>
  <c r="AL219" i="5"/>
  <c r="AN384" i="5"/>
  <c r="V384" i="5" s="1"/>
  <c r="AL395" i="5"/>
  <c r="AN282" i="5"/>
  <c r="V282" i="5" s="1"/>
  <c r="AL429" i="5"/>
  <c r="AN286" i="5"/>
  <c r="V286" i="5" s="1"/>
  <c r="AL209" i="5"/>
  <c r="AN297" i="5"/>
  <c r="V297" i="5" s="1"/>
  <c r="AL239" i="5"/>
  <c r="AN156" i="5"/>
  <c r="V156" i="5" s="1"/>
  <c r="AL260" i="5"/>
  <c r="AN285" i="5"/>
  <c r="V285" i="5" s="1"/>
  <c r="AL208" i="5"/>
  <c r="AN296" i="5"/>
  <c r="V296" i="5" s="1"/>
  <c r="AM851" i="5"/>
  <c r="U851" i="5" s="1"/>
  <c r="AM789" i="5"/>
  <c r="U789" i="5" s="1"/>
  <c r="AM434" i="5"/>
  <c r="U434" i="5" s="1"/>
  <c r="AM845" i="5"/>
  <c r="U845" i="5" s="1"/>
  <c r="AM671" i="5"/>
  <c r="U671" i="5" s="1"/>
  <c r="AM639" i="5"/>
  <c r="U639" i="5" s="1"/>
  <c r="AM673" i="5"/>
  <c r="U673" i="5" s="1"/>
  <c r="AM409" i="5"/>
  <c r="U409" i="5" s="1"/>
  <c r="AM638" i="5"/>
  <c r="U638" i="5" s="1"/>
  <c r="AM672" i="5"/>
  <c r="U672" i="5" s="1"/>
  <c r="AM283" i="5"/>
  <c r="U283" i="5" s="1"/>
  <c r="AM342" i="5"/>
  <c r="U342" i="5" s="1"/>
  <c r="AM384" i="5"/>
  <c r="U384" i="5" s="1"/>
  <c r="AM282" i="5"/>
  <c r="U282" i="5" s="1"/>
  <c r="AM286" i="5"/>
  <c r="U286" i="5" s="1"/>
  <c r="AM297" i="5"/>
  <c r="U297" i="5" s="1"/>
  <c r="AM156" i="5"/>
  <c r="U156" i="5" s="1"/>
  <c r="AM285" i="5"/>
  <c r="U285" i="5" s="1"/>
  <c r="AM296" i="5"/>
  <c r="U296" i="5" s="1"/>
  <c r="AL789" i="5"/>
  <c r="AL413" i="5"/>
  <c r="AL202" i="5"/>
  <c r="AL230" i="5"/>
  <c r="AL206" i="5"/>
  <c r="AL152" i="5"/>
  <c r="AL170" i="5"/>
  <c r="AL173" i="5"/>
  <c r="AL952" i="5"/>
  <c r="AL928" i="5"/>
  <c r="AL842" i="5"/>
  <c r="AL894" i="5"/>
  <c r="AL913" i="5"/>
  <c r="AL634" i="5"/>
  <c r="AL763" i="5"/>
  <c r="AL790" i="5"/>
  <c r="AL543" i="5"/>
  <c r="AL647" i="5"/>
  <c r="AL679" i="5"/>
  <c r="AL670" i="5"/>
  <c r="AL579" i="5"/>
  <c r="AL614" i="5"/>
  <c r="AL608" i="5"/>
  <c r="AL343" i="5"/>
  <c r="AL377" i="5"/>
  <c r="AL318" i="5"/>
  <c r="AL246" i="5"/>
  <c r="AL279" i="5"/>
  <c r="AL272" i="5"/>
  <c r="AL942" i="5"/>
  <c r="AM909" i="5"/>
  <c r="U909" i="5" s="1"/>
  <c r="O909" i="5" s="1"/>
  <c r="AL783" i="5"/>
  <c r="AM675" i="5"/>
  <c r="U675" i="5" s="1"/>
  <c r="O675" i="5" s="1"/>
  <c r="AL600" i="5"/>
  <c r="AM726" i="5"/>
  <c r="U726" i="5" s="1"/>
  <c r="O726" i="5" s="1"/>
  <c r="AL881" i="5"/>
  <c r="AM669" i="5"/>
  <c r="U669" i="5" s="1"/>
  <c r="O669" i="5" s="1"/>
  <c r="AL394" i="5"/>
  <c r="AM540" i="5"/>
  <c r="U540" i="5" s="1"/>
  <c r="O540" i="5" s="1"/>
  <c r="AL475" i="5"/>
  <c r="AM474" i="5"/>
  <c r="U474" i="5" s="1"/>
  <c r="O474" i="5" s="1"/>
  <c r="AL667" i="5"/>
  <c r="AM519" i="5"/>
  <c r="U519" i="5" s="1"/>
  <c r="O519" i="5" s="1"/>
  <c r="AL538" i="5"/>
  <c r="AM893" i="5"/>
  <c r="U893" i="5" s="1"/>
  <c r="O893" i="5" s="1"/>
  <c r="AL809" i="5"/>
  <c r="AL851" i="5"/>
  <c r="AM825" i="5"/>
  <c r="U825" i="5" s="1"/>
  <c r="AM723" i="5"/>
  <c r="U723" i="5" s="1"/>
  <c r="AM577" i="5"/>
  <c r="U577" i="5" s="1"/>
  <c r="AM626" i="5"/>
  <c r="U626" i="5" s="1"/>
  <c r="AM427" i="5"/>
  <c r="U427" i="5" s="1"/>
  <c r="AM433" i="5"/>
  <c r="AM491" i="5"/>
  <c r="AM362" i="5"/>
  <c r="AM762" i="5"/>
  <c r="U762" i="5" s="1"/>
  <c r="AM620" i="5"/>
  <c r="U620" i="5" s="1"/>
  <c r="AM298" i="5"/>
  <c r="U298" i="5" s="1"/>
  <c r="AM511" i="5"/>
  <c r="U511" i="5" s="1"/>
  <c r="AM562" i="5"/>
  <c r="U562" i="5" s="1"/>
  <c r="AM151" i="5"/>
  <c r="U151" i="5" s="1"/>
  <c r="AM290" i="5"/>
  <c r="U290" i="5" s="1"/>
  <c r="AM313" i="5"/>
  <c r="U313" i="5" s="1"/>
  <c r="AM128" i="5"/>
  <c r="U128" i="5" s="1"/>
  <c r="AM207" i="5"/>
  <c r="U207" i="5" s="1"/>
  <c r="AM241" i="5"/>
  <c r="U241" i="5" s="1"/>
  <c r="AM929" i="5"/>
  <c r="U929" i="5" s="1"/>
  <c r="AM895" i="5"/>
  <c r="U895" i="5" s="1"/>
  <c r="AM914" i="5"/>
  <c r="U914" i="5" s="1"/>
  <c r="AM841" i="5"/>
  <c r="U841" i="5" s="1"/>
  <c r="AM764" i="5"/>
  <c r="U764" i="5" s="1"/>
  <c r="AM791" i="5"/>
  <c r="U791" i="5" s="1"/>
  <c r="AM633" i="5"/>
  <c r="U633" i="5" s="1"/>
  <c r="AM648" i="5"/>
  <c r="U648" i="5" s="1"/>
  <c r="AM680" i="5"/>
  <c r="U680" i="5" s="1"/>
  <c r="AM542" i="5"/>
  <c r="U542" i="5" s="1"/>
  <c r="AM870" i="5"/>
  <c r="U870" i="5" s="1"/>
  <c r="AM780" i="5"/>
  <c r="U780" i="5" s="1"/>
  <c r="AM448" i="5"/>
  <c r="U448" i="5" s="1"/>
  <c r="AM709" i="5"/>
  <c r="U709" i="5" s="1"/>
  <c r="AM736" i="5"/>
  <c r="U736" i="5" s="1"/>
  <c r="AM240" i="5"/>
  <c r="U240" i="5" s="1"/>
  <c r="AM477" i="5"/>
  <c r="U477" i="5" s="1"/>
  <c r="AM512" i="5"/>
  <c r="U512" i="5" s="1"/>
  <c r="AM189" i="5"/>
  <c r="U189" i="5" s="1"/>
  <c r="AM330" i="5"/>
  <c r="U330" i="5" s="1"/>
  <c r="AM375" i="5"/>
  <c r="U375" i="5" s="1"/>
  <c r="AL825" i="5"/>
  <c r="AL723" i="5"/>
  <c r="AL577" i="5"/>
  <c r="AL626" i="5"/>
  <c r="AL427" i="5"/>
  <c r="AL433" i="5"/>
  <c r="AL491" i="5"/>
  <c r="AL362" i="5"/>
  <c r="AL762" i="5"/>
  <c r="AL620" i="5"/>
  <c r="AL298" i="5"/>
  <c r="AM411" i="5"/>
  <c r="U411" i="5" s="1"/>
  <c r="AL511" i="5"/>
  <c r="AL562" i="5"/>
  <c r="AL151" i="5"/>
  <c r="AL290" i="5"/>
  <c r="AL313" i="5"/>
  <c r="AL128" i="5"/>
  <c r="AL207" i="5"/>
  <c r="AL241" i="5"/>
  <c r="AL929" i="5"/>
  <c r="AL895" i="5"/>
  <c r="AL914" i="5"/>
  <c r="AL841" i="5"/>
  <c r="AL764" i="5"/>
  <c r="AL791" i="5"/>
  <c r="AL633" i="5"/>
  <c r="AL648" i="5"/>
  <c r="AL680" i="5"/>
  <c r="AL542" i="5"/>
  <c r="AL870" i="5"/>
  <c r="AL780" i="5"/>
  <c r="AL448" i="5"/>
  <c r="AL709" i="5"/>
  <c r="AL736" i="5"/>
  <c r="AL240" i="5"/>
  <c r="AL477" i="5"/>
  <c r="AL512" i="5"/>
  <c r="AL189" i="5"/>
  <c r="AL330" i="5"/>
  <c r="AL375" i="5"/>
  <c r="AM910" i="5"/>
  <c r="U910" i="5" s="1"/>
  <c r="O910" i="5" s="1"/>
  <c r="AL840" i="5"/>
  <c r="AM727" i="5"/>
  <c r="U727" i="5" s="1"/>
  <c r="O727" i="5" s="1"/>
  <c r="AL882" i="5"/>
  <c r="AM815" i="5"/>
  <c r="U815" i="5" s="1"/>
  <c r="O815" i="5" s="1"/>
  <c r="AL782" i="5"/>
  <c r="AM541" i="5"/>
  <c r="U541" i="5" s="1"/>
  <c r="O541" i="5" s="1"/>
  <c r="AL476" i="5"/>
  <c r="AM340" i="5"/>
  <c r="U340" i="5" s="1"/>
  <c r="O340" i="5" s="1"/>
  <c r="AL520" i="5"/>
  <c r="AM668" i="5"/>
  <c r="U668" i="5" s="1"/>
  <c r="O668" i="5" s="1"/>
  <c r="AL539" i="5"/>
  <c r="AM393" i="5"/>
  <c r="U393" i="5" s="1"/>
  <c r="O393" i="5" s="1"/>
  <c r="AL339" i="5"/>
  <c r="AM473" i="5"/>
  <c r="U473" i="5" s="1"/>
  <c r="O473" i="5" s="1"/>
  <c r="AL666" i="5"/>
  <c r="AM703" i="5"/>
  <c r="U703" i="5" s="1"/>
  <c r="O703" i="5" s="1"/>
  <c r="AL808" i="5"/>
  <c r="AM413" i="5"/>
  <c r="U413" i="5" s="1"/>
  <c r="AM202" i="5"/>
  <c r="U202" i="5" s="1"/>
  <c r="AM230" i="5"/>
  <c r="U230" i="5" s="1"/>
  <c r="AM206" i="5"/>
  <c r="U206" i="5" s="1"/>
  <c r="AM152" i="5"/>
  <c r="U152" i="5" s="1"/>
  <c r="AM170" i="5"/>
  <c r="U170" i="5" s="1"/>
  <c r="AM173" i="5"/>
  <c r="U173" i="5" s="1"/>
  <c r="AM952" i="5"/>
  <c r="U952" i="5" s="1"/>
  <c r="AM928" i="5"/>
  <c r="U928" i="5" s="1"/>
  <c r="AM842" i="5"/>
  <c r="U842" i="5" s="1"/>
  <c r="AM894" i="5"/>
  <c r="U894" i="5" s="1"/>
  <c r="AM913" i="5"/>
  <c r="U913" i="5" s="1"/>
  <c r="AM634" i="5"/>
  <c r="U634" i="5" s="1"/>
  <c r="AM763" i="5"/>
  <c r="U763" i="5" s="1"/>
  <c r="AM790" i="5"/>
  <c r="U790" i="5" s="1"/>
  <c r="AM543" i="5"/>
  <c r="U543" i="5" s="1"/>
  <c r="AM647" i="5"/>
  <c r="U647" i="5" s="1"/>
  <c r="AM679" i="5"/>
  <c r="U679" i="5" s="1"/>
  <c r="AM670" i="5"/>
  <c r="U670" i="5" s="1"/>
  <c r="AM579" i="5"/>
  <c r="U579" i="5" s="1"/>
  <c r="AM614" i="5"/>
  <c r="U614" i="5" s="1"/>
  <c r="AM608" i="5"/>
  <c r="U608" i="5" s="1"/>
  <c r="AM343" i="5"/>
  <c r="U343" i="5" s="1"/>
  <c r="AM377" i="5"/>
  <c r="U377" i="5" s="1"/>
  <c r="AL909" i="5"/>
  <c r="AL675" i="5"/>
  <c r="AL726" i="5"/>
  <c r="AL669" i="5"/>
  <c r="AL540" i="5"/>
  <c r="AL474" i="5"/>
  <c r="AL519" i="5"/>
  <c r="AL893" i="5"/>
  <c r="AM616" i="5"/>
  <c r="U616" i="5" s="1"/>
  <c r="O616" i="5" s="1"/>
  <c r="AM461" i="5"/>
  <c r="U461" i="5" s="1"/>
  <c r="O461" i="5" s="1"/>
  <c r="AL405" i="5"/>
  <c r="AM550" i="5"/>
  <c r="U550" i="5" s="1"/>
  <c r="O550" i="5" s="1"/>
  <c r="AL765" i="5"/>
  <c r="AM455" i="5"/>
  <c r="U455" i="5" s="1"/>
  <c r="O455" i="5" s="1"/>
  <c r="AL251" i="5"/>
  <c r="AM336" i="5"/>
  <c r="U336" i="5" s="1"/>
  <c r="O336" i="5" s="1"/>
  <c r="AL304" i="5"/>
  <c r="AM303" i="5"/>
  <c r="U303" i="5" s="1"/>
  <c r="O303" i="5" s="1"/>
  <c r="AL453" i="5"/>
  <c r="AM323" i="5"/>
  <c r="U323" i="5" s="1"/>
  <c r="O323" i="5" s="1"/>
  <c r="AL334" i="5"/>
  <c r="AL953" i="5"/>
  <c r="AL931" i="5"/>
  <c r="AL495" i="5"/>
  <c r="AL743" i="5"/>
  <c r="V743" i="5" s="1"/>
  <c r="AL836" i="5"/>
  <c r="AL852" i="5"/>
  <c r="AL916" i="5"/>
  <c r="AL613" i="5"/>
  <c r="V613" i="5" s="1"/>
  <c r="AL458" i="5"/>
  <c r="AL715" i="5"/>
  <c r="AL611" i="5"/>
  <c r="AL456" i="5"/>
  <c r="V456" i="5" s="1"/>
  <c r="AL713" i="5"/>
  <c r="AL821" i="5"/>
  <c r="AL833" i="5"/>
  <c r="AL899" i="5"/>
  <c r="AM627" i="5"/>
  <c r="U627" i="5" s="1"/>
  <c r="AM391" i="5"/>
  <c r="U391" i="5" s="1"/>
  <c r="AM564" i="5"/>
  <c r="U564" i="5" s="1"/>
  <c r="AM549" i="5"/>
  <c r="U549" i="5" s="1"/>
  <c r="AM259" i="5"/>
  <c r="U259" i="5" s="1"/>
  <c r="AM364" i="5"/>
  <c r="U364" i="5" s="1"/>
  <c r="AM392" i="5"/>
  <c r="U392" i="5" s="1"/>
  <c r="AM361" i="5"/>
  <c r="U361" i="5" s="1"/>
  <c r="AM526" i="5"/>
  <c r="U526" i="5" s="1"/>
  <c r="AM318" i="5"/>
  <c r="U318" i="5" s="1"/>
  <c r="AM279" i="5"/>
  <c r="U279" i="5" s="1"/>
  <c r="AM942" i="5"/>
  <c r="U942" i="5" s="1"/>
  <c r="O942" i="5" s="1"/>
  <c r="AM783" i="5"/>
  <c r="U783" i="5" s="1"/>
  <c r="O783" i="5" s="1"/>
  <c r="AM600" i="5"/>
  <c r="U600" i="5" s="1"/>
  <c r="O600" i="5" s="1"/>
  <c r="AM881" i="5"/>
  <c r="U881" i="5" s="1"/>
  <c r="O881" i="5" s="1"/>
  <c r="AM394" i="5"/>
  <c r="U394" i="5" s="1"/>
  <c r="O394" i="5" s="1"/>
  <c r="AM475" i="5"/>
  <c r="U475" i="5" s="1"/>
  <c r="O475" i="5" s="1"/>
  <c r="AM667" i="5"/>
  <c r="U667" i="5" s="1"/>
  <c r="O667" i="5" s="1"/>
  <c r="AM538" i="5"/>
  <c r="U538" i="5" s="1"/>
  <c r="O538" i="5" s="1"/>
  <c r="AM809" i="5"/>
  <c r="U809" i="5" s="1"/>
  <c r="O809" i="5" s="1"/>
  <c r="AL616" i="5"/>
  <c r="AM766" i="5"/>
  <c r="U766" i="5" s="1"/>
  <c r="O766" i="5" s="1"/>
  <c r="AL461" i="5"/>
  <c r="AM615" i="5"/>
  <c r="U615" i="5" s="1"/>
  <c r="O615" i="5" s="1"/>
  <c r="AL550" i="5"/>
  <c r="AM305" i="5"/>
  <c r="U305" i="5" s="1"/>
  <c r="O305" i="5" s="1"/>
  <c r="AL455" i="5"/>
  <c r="AM324" i="5"/>
  <c r="U324" i="5" s="1"/>
  <c r="O324" i="5" s="1"/>
  <c r="AL336" i="5"/>
  <c r="AM335" i="5"/>
  <c r="U335" i="5" s="1"/>
  <c r="O335" i="5" s="1"/>
  <c r="AL303" i="5"/>
  <c r="AM221" i="5"/>
  <c r="U221" i="5" s="1"/>
  <c r="O221" i="5" s="1"/>
  <c r="AL323" i="5"/>
  <c r="AM452" i="5"/>
  <c r="U452" i="5" s="1"/>
  <c r="O452" i="5" s="1"/>
  <c r="AL910" i="5"/>
  <c r="AM551" i="5"/>
  <c r="U551" i="5" s="1"/>
  <c r="O551" i="5" s="1"/>
  <c r="AL766" i="5"/>
  <c r="AM653" i="5"/>
  <c r="U653" i="5" s="1"/>
  <c r="O653" i="5" s="1"/>
  <c r="AL615" i="5"/>
  <c r="AM337" i="5"/>
  <c r="U337" i="5" s="1"/>
  <c r="O337" i="5" s="1"/>
  <c r="AL305" i="5"/>
  <c r="AM222" i="5"/>
  <c r="U222" i="5" s="1"/>
  <c r="O222" i="5" s="1"/>
  <c r="AL324" i="5"/>
  <c r="AM454" i="5"/>
  <c r="U454" i="5" s="1"/>
  <c r="O454" i="5" s="1"/>
  <c r="AL335" i="5"/>
  <c r="AM250" i="5"/>
  <c r="U250" i="5" s="1"/>
  <c r="O250" i="5" s="1"/>
  <c r="AL221" i="5"/>
  <c r="AM302" i="5"/>
  <c r="U302" i="5" s="1"/>
  <c r="O302" i="5" s="1"/>
  <c r="AL452" i="5"/>
  <c r="AL784" i="5"/>
  <c r="V784" i="5" s="1"/>
  <c r="AL930" i="5"/>
  <c r="AL645" i="5"/>
  <c r="V645" i="5" s="1"/>
  <c r="AL853" i="5"/>
  <c r="AL917" i="5"/>
  <c r="AL835" i="5"/>
  <c r="AL459" i="5"/>
  <c r="AL716" i="5"/>
  <c r="AL612" i="5"/>
  <c r="AL457" i="5"/>
  <c r="AL714" i="5"/>
  <c r="AL610" i="5"/>
  <c r="V610" i="5" s="1"/>
  <c r="AL834" i="5"/>
  <c r="AL900" i="5"/>
  <c r="AL820" i="5"/>
  <c r="AL965" i="5"/>
  <c r="AL948" i="5"/>
  <c r="AL962" i="5"/>
  <c r="AL961" i="5"/>
  <c r="AL846" i="5"/>
  <c r="AL940" i="5"/>
  <c r="AL912" i="5"/>
  <c r="AL956" i="5"/>
  <c r="AL911" i="5"/>
  <c r="AL955" i="5"/>
  <c r="AL582" i="5"/>
  <c r="AL800" i="5"/>
  <c r="AL708" i="5"/>
  <c r="AL867" i="5"/>
  <c r="AL707" i="5"/>
  <c r="AL866" i="5"/>
  <c r="AL581" i="5"/>
  <c r="T581" i="5" s="1"/>
  <c r="AL799" i="5"/>
  <c r="T799" i="5" s="1"/>
  <c r="AL706" i="5"/>
  <c r="T706" i="5" s="1"/>
  <c r="AL865" i="5"/>
  <c r="T865" i="5" s="1"/>
  <c r="AL705" i="5"/>
  <c r="T705" i="5" s="1"/>
  <c r="AL864" i="5"/>
  <c r="T864" i="5" s="1"/>
  <c r="AL958" i="5"/>
  <c r="AL901" i="5"/>
  <c r="AL939" i="5"/>
  <c r="AL938" i="5"/>
  <c r="AL711" i="5"/>
  <c r="AL873" i="5"/>
  <c r="AL806" i="5"/>
  <c r="AL924" i="5"/>
  <c r="AL805" i="5"/>
  <c r="AL923" i="5"/>
  <c r="AL379" i="5"/>
  <c r="AL641" i="5"/>
  <c r="AL500" i="5"/>
  <c r="AL747" i="5"/>
  <c r="AL499" i="5"/>
  <c r="AL746" i="5"/>
  <c r="AL378" i="5"/>
  <c r="T378" i="5" s="1"/>
  <c r="AL640" i="5"/>
  <c r="T640" i="5" s="1"/>
  <c r="AL498" i="5"/>
  <c r="T498" i="5" s="1"/>
  <c r="AL745" i="5"/>
  <c r="T745" i="5" s="1"/>
  <c r="AL497" i="5"/>
  <c r="T497" i="5" s="1"/>
  <c r="AL744" i="5"/>
  <c r="T744" i="5" s="1"/>
  <c r="AM890" i="5"/>
  <c r="U890" i="5" s="1"/>
  <c r="AM804" i="5"/>
  <c r="U804" i="5" s="1"/>
  <c r="AM374" i="5"/>
  <c r="U374" i="5" s="1"/>
  <c r="X374" i="5" s="1"/>
  <c r="R374" i="5" s="1"/>
  <c r="AM565" i="5"/>
  <c r="U565" i="5" s="1"/>
  <c r="AM761" i="5"/>
  <c r="U761" i="5" s="1"/>
  <c r="AM253" i="5"/>
  <c r="U253" i="5" s="1"/>
  <c r="AM406" i="5"/>
  <c r="U406" i="5" s="1"/>
  <c r="AM604" i="5"/>
  <c r="U604" i="5" s="1"/>
  <c r="AM341" i="5"/>
  <c r="U341" i="5" s="1"/>
  <c r="AM246" i="5"/>
  <c r="U246" i="5" s="1"/>
  <c r="AM272" i="5"/>
  <c r="U272" i="5" s="1"/>
  <c r="AM840" i="5"/>
  <c r="U840" i="5" s="1"/>
  <c r="O840" i="5" s="1"/>
  <c r="AL727" i="5"/>
  <c r="AM882" i="5"/>
  <c r="U882" i="5" s="1"/>
  <c r="O882" i="5" s="1"/>
  <c r="AL815" i="5"/>
  <c r="AM782" i="5"/>
  <c r="U782" i="5" s="1"/>
  <c r="O782" i="5" s="1"/>
  <c r="AL541" i="5"/>
  <c r="AM476" i="5"/>
  <c r="U476" i="5" s="1"/>
  <c r="O476" i="5" s="1"/>
  <c r="AL340" i="5"/>
  <c r="AM520" i="5"/>
  <c r="U520" i="5" s="1"/>
  <c r="O520" i="5" s="1"/>
  <c r="AL668" i="5"/>
  <c r="AM539" i="5"/>
  <c r="U539" i="5" s="1"/>
  <c r="O539" i="5" s="1"/>
  <c r="AL393" i="5"/>
  <c r="AM339" i="5"/>
  <c r="U339" i="5" s="1"/>
  <c r="O339" i="5" s="1"/>
  <c r="AL473" i="5"/>
  <c r="AM666" i="5"/>
  <c r="U666" i="5" s="1"/>
  <c r="O666" i="5" s="1"/>
  <c r="AL703" i="5"/>
  <c r="AM808" i="5"/>
  <c r="U808" i="5" s="1"/>
  <c r="O808" i="5" s="1"/>
  <c r="AL551" i="5"/>
  <c r="AM405" i="5"/>
  <c r="U405" i="5" s="1"/>
  <c r="O405" i="5" s="1"/>
  <c r="AL653" i="5"/>
  <c r="AM765" i="5"/>
  <c r="U765" i="5" s="1"/>
  <c r="O765" i="5" s="1"/>
  <c r="AL337" i="5"/>
  <c r="AM251" i="5"/>
  <c r="U251" i="5" s="1"/>
  <c r="O251" i="5" s="1"/>
  <c r="AL222" i="5"/>
  <c r="AM304" i="5"/>
  <c r="U304" i="5" s="1"/>
  <c r="O304" i="5" s="1"/>
  <c r="AL454" i="5"/>
  <c r="AM453" i="5"/>
  <c r="U453" i="5" s="1"/>
  <c r="O453" i="5" s="1"/>
  <c r="AL250" i="5"/>
  <c r="AM334" i="5"/>
  <c r="U334" i="5" s="1"/>
  <c r="O334" i="5" s="1"/>
  <c r="AL302" i="5"/>
  <c r="AL890" i="5"/>
  <c r="AL804" i="5"/>
  <c r="AL374" i="5"/>
  <c r="AL565" i="5"/>
  <c r="AL761" i="5"/>
  <c r="AL391" i="5"/>
  <c r="AL549" i="5"/>
  <c r="AM529" i="5"/>
  <c r="U529" i="5" s="1"/>
  <c r="AM740" i="5"/>
  <c r="U740" i="5" s="1"/>
  <c r="AL537" i="5"/>
  <c r="AL357" i="5"/>
  <c r="AL270" i="5"/>
  <c r="AL676" i="5"/>
  <c r="AL869" i="5"/>
  <c r="AL184" i="5"/>
  <c r="AL295" i="5"/>
  <c r="AL437" i="5"/>
  <c r="AL316" i="5"/>
  <c r="AL165" i="5"/>
  <c r="AL192" i="5"/>
  <c r="AL635" i="5"/>
  <c r="AL532" i="5"/>
  <c r="AL133" i="5"/>
  <c r="AL274" i="5"/>
  <c r="AL973" i="5"/>
  <c r="AL971" i="5"/>
  <c r="AL927" i="5"/>
  <c r="AL959" i="5"/>
  <c r="AL969" i="5"/>
  <c r="AL949" i="5"/>
  <c r="AL966" i="5"/>
  <c r="AL892" i="5"/>
  <c r="AL838" i="5"/>
  <c r="AL945" i="5"/>
  <c r="AL944" i="5"/>
  <c r="AL619" i="5"/>
  <c r="AL831" i="5"/>
  <c r="AL887" i="5"/>
  <c r="AL690" i="5"/>
  <c r="AL884" i="5"/>
  <c r="AL872" i="5"/>
  <c r="AL778" i="5"/>
  <c r="AL757" i="5"/>
  <c r="AL176" i="5"/>
  <c r="AL632" i="5"/>
  <c r="AL264" i="5"/>
  <c r="AL191" i="5"/>
  <c r="AL524" i="5"/>
  <c r="AL760" i="5"/>
  <c r="AL741" i="5"/>
  <c r="AL179" i="5"/>
  <c r="AL187" i="5"/>
  <c r="AL268" i="5"/>
  <c r="AM934" i="5"/>
  <c r="U934" i="5" s="1"/>
  <c r="AL781" i="5"/>
  <c r="AM918" i="5"/>
  <c r="U918" i="5" s="1"/>
  <c r="AL423" i="5"/>
  <c r="AM697" i="5"/>
  <c r="U697" i="5" s="1"/>
  <c r="AL333" i="5"/>
  <c r="AM605" i="5"/>
  <c r="U605" i="5" s="1"/>
  <c r="AL921" i="5"/>
  <c r="AM606" i="5"/>
  <c r="U606" i="5" s="1"/>
  <c r="AL774" i="5"/>
  <c r="AM263" i="5"/>
  <c r="U263" i="5" s="1"/>
  <c r="AL431" i="5"/>
  <c r="AM204" i="5"/>
  <c r="U204" i="5" s="1"/>
  <c r="AL353" i="5"/>
  <c r="AL259" i="5"/>
  <c r="AL364" i="5"/>
  <c r="AL392" i="5"/>
  <c r="AL361" i="5"/>
  <c r="AL526" i="5"/>
  <c r="AL529" i="5"/>
  <c r="AL740" i="5"/>
  <c r="AL403" i="5"/>
  <c r="AL236" i="5"/>
  <c r="AL471" i="5"/>
  <c r="AL603" i="5"/>
  <c r="AL777" i="5"/>
  <c r="AL868" i="5"/>
  <c r="AL249" i="5"/>
  <c r="AL294" i="5"/>
  <c r="AL317" i="5"/>
  <c r="AL213" i="5"/>
  <c r="AL164" i="5"/>
  <c r="AL447" i="5"/>
  <c r="AL749" i="5"/>
  <c r="AL118" i="5"/>
  <c r="AL181" i="5"/>
  <c r="AL273" i="5"/>
  <c r="AL798" i="5"/>
  <c r="AL372" i="5"/>
  <c r="AL856" i="5"/>
  <c r="AL322" i="5"/>
  <c r="AL245" i="5"/>
  <c r="AL631" i="5"/>
  <c r="AL369" i="5"/>
  <c r="AL190" i="5"/>
  <c r="AL878" i="5"/>
  <c r="AL759" i="5"/>
  <c r="AL426" i="5"/>
  <c r="AL589" i="5"/>
  <c r="AM915" i="5"/>
  <c r="U915" i="5" s="1"/>
  <c r="AL934" i="5"/>
  <c r="AM826" i="5"/>
  <c r="U826" i="5" s="1"/>
  <c r="AL918" i="5"/>
  <c r="AM464" i="5"/>
  <c r="U464" i="5" s="1"/>
  <c r="AL697" i="5"/>
  <c r="AM371" i="5"/>
  <c r="U371" i="5" s="1"/>
  <c r="AL605" i="5"/>
  <c r="AM847" i="5"/>
  <c r="U847" i="5" s="1"/>
  <c r="AL606" i="5"/>
  <c r="AM823" i="5"/>
  <c r="U823" i="5" s="1"/>
  <c r="AL263" i="5"/>
  <c r="AM481" i="5"/>
  <c r="U481" i="5" s="1"/>
  <c r="AL204" i="5"/>
  <c r="AL627" i="5"/>
  <c r="AL564" i="5"/>
  <c r="AM507" i="5"/>
  <c r="U507" i="5" s="1"/>
  <c r="AL698" i="5"/>
  <c r="AL197" i="5"/>
  <c r="AL311" i="5"/>
  <c r="AL470" i="5"/>
  <c r="AL718" i="5"/>
  <c r="AL776" i="5"/>
  <c r="AL314" i="5"/>
  <c r="AL248" i="5"/>
  <c r="AL247" i="5"/>
  <c r="AL142" i="5"/>
  <c r="AL293" i="5"/>
  <c r="AL402" i="5"/>
  <c r="AL598" i="5"/>
  <c r="AL748" i="5"/>
  <c r="AL154" i="5"/>
  <c r="AL180" i="5"/>
  <c r="AL964" i="5"/>
  <c r="AL970" i="5"/>
  <c r="AL960" i="5"/>
  <c r="AL950" i="5"/>
  <c r="AL968" i="5"/>
  <c r="AL967" i="5"/>
  <c r="AL754" i="5"/>
  <c r="AL891" i="5"/>
  <c r="AL946" i="5"/>
  <c r="AL837" i="5"/>
  <c r="AL943" i="5"/>
  <c r="AL832" i="5"/>
  <c r="AL691" i="5"/>
  <c r="AL886" i="5"/>
  <c r="AL885" i="5"/>
  <c r="AL935" i="5"/>
  <c r="AL644" i="5"/>
  <c r="AL506" i="5"/>
  <c r="AL855" i="5"/>
  <c r="AL451" i="5"/>
  <c r="AL244" i="5"/>
  <c r="AL386" i="5"/>
  <c r="AL368" i="5"/>
  <c r="AL879" i="5"/>
  <c r="AL849" i="5"/>
  <c r="AL188" i="5"/>
  <c r="AL269" i="5"/>
  <c r="AL178" i="5"/>
  <c r="AM954" i="5"/>
  <c r="U954" i="5" s="1"/>
  <c r="AL915" i="5"/>
  <c r="AM889" i="5"/>
  <c r="U889" i="5" s="1"/>
  <c r="AL826" i="5"/>
  <c r="AM656" i="5"/>
  <c r="U656" i="5" s="1"/>
  <c r="AL464" i="5"/>
  <c r="AM561" i="5"/>
  <c r="U561" i="5" s="1"/>
  <c r="AL371" i="5"/>
  <c r="AM816" i="5"/>
  <c r="U816" i="5" s="1"/>
  <c r="AL847" i="5"/>
  <c r="AM661" i="5"/>
  <c r="U661" i="5" s="1"/>
  <c r="AL823" i="5"/>
  <c r="AM288" i="5"/>
  <c r="U288" i="5" s="1"/>
  <c r="AL481" i="5"/>
  <c r="AL253" i="5"/>
  <c r="AL406" i="5"/>
  <c r="AL604" i="5"/>
  <c r="AL341" i="5"/>
  <c r="AL507" i="5"/>
  <c r="AL536" i="5"/>
  <c r="AL271" i="5"/>
  <c r="AL310" i="5"/>
  <c r="AL807" i="5"/>
  <c r="AL717" i="5"/>
  <c r="AL218" i="5"/>
  <c r="AL438" i="5"/>
  <c r="AL483" i="5"/>
  <c r="AL127" i="5"/>
  <c r="AL193" i="5"/>
  <c r="AL292" i="5"/>
  <c r="AL533" i="5"/>
  <c r="AL597" i="5"/>
  <c r="AL198" i="5"/>
  <c r="AL153" i="5"/>
  <c r="AL871" i="5"/>
  <c r="AL758" i="5"/>
  <c r="AL505" i="5"/>
  <c r="AL484" i="5"/>
  <c r="AL450" i="5"/>
  <c r="AL138" i="5"/>
  <c r="AL525" i="5"/>
  <c r="AL937" i="5"/>
  <c r="AL742" i="5"/>
  <c r="AL848" i="5"/>
  <c r="AL408" i="5"/>
  <c r="AL425" i="5"/>
  <c r="AL588" i="5"/>
  <c r="AL954" i="5"/>
  <c r="AM781" i="5"/>
  <c r="U781" i="5" s="1"/>
  <c r="AL889" i="5"/>
  <c r="AM423" i="5"/>
  <c r="U423" i="5" s="1"/>
  <c r="AL656" i="5"/>
  <c r="AM333" i="5"/>
  <c r="U333" i="5" s="1"/>
  <c r="AL561" i="5"/>
  <c r="AM921" i="5"/>
  <c r="U921" i="5" s="1"/>
  <c r="AL816" i="5"/>
  <c r="AM774" i="5"/>
  <c r="U774" i="5" s="1"/>
  <c r="AL661" i="5"/>
  <c r="AM431" i="5"/>
  <c r="U431" i="5" s="1"/>
  <c r="AL288" i="5"/>
  <c r="AM353" i="5"/>
  <c r="U353" i="5" s="1"/>
  <c r="AL932" i="5"/>
  <c r="AL977" i="5"/>
  <c r="AL601" i="5"/>
  <c r="AL963" i="5"/>
  <c r="AL976" i="5"/>
  <c r="AL414" i="5"/>
  <c r="AL665" i="5"/>
  <c r="AL775" i="5"/>
  <c r="AL449" i="5"/>
  <c r="AL412" i="5"/>
  <c r="AL628" i="5"/>
  <c r="AL602" i="5"/>
  <c r="AL360" i="5"/>
  <c r="AL560" i="5"/>
  <c r="AL444" i="5"/>
  <c r="AL489" i="5"/>
  <c r="AL689" i="5"/>
  <c r="AL416" i="5"/>
  <c r="AL387" i="5"/>
  <c r="AL594" i="5"/>
  <c r="AL569" i="5"/>
  <c r="AM385" i="5"/>
  <c r="U385" i="5" s="1"/>
  <c r="AM224" i="5"/>
  <c r="U224" i="5" s="1"/>
  <c r="AL385" i="5"/>
  <c r="AL862" i="5"/>
  <c r="AL975" i="5"/>
  <c r="AL972" i="5"/>
  <c r="AL161" i="5"/>
  <c r="AL974" i="5"/>
  <c r="AL860" i="5"/>
  <c r="AL693" i="5"/>
  <c r="AL390" i="5"/>
  <c r="AL599" i="5"/>
  <c r="AL492" i="5"/>
  <c r="AL521" i="5"/>
  <c r="AL712" i="5"/>
  <c r="AL417" i="5"/>
  <c r="AL388" i="5"/>
  <c r="AL595" i="5"/>
  <c r="AL570" i="5"/>
  <c r="AL359" i="5"/>
  <c r="AL559" i="5"/>
  <c r="AL443" i="5"/>
  <c r="AL488" i="5"/>
  <c r="AL688" i="5"/>
  <c r="AL224" i="5"/>
  <c r="J416" i="5"/>
  <c r="AI569" i="5"/>
  <c r="AI594" i="5"/>
  <c r="AI387" i="5"/>
  <c r="AI416" i="5"/>
  <c r="AI689" i="5"/>
  <c r="AI444" i="5"/>
  <c r="AI560" i="5"/>
  <c r="AI360" i="5"/>
  <c r="AI602" i="5"/>
  <c r="AI628" i="5"/>
  <c r="AI412" i="5"/>
  <c r="AI449" i="5"/>
  <c r="AI775" i="5"/>
  <c r="AI665" i="5"/>
  <c r="AI414" i="5"/>
  <c r="AI976" i="5"/>
  <c r="AI963" i="5"/>
  <c r="AW972" i="5"/>
  <c r="AI601" i="5"/>
  <c r="AI977" i="5"/>
  <c r="AE583" i="5"/>
  <c r="J583" i="5" s="1"/>
  <c r="AE692" i="5"/>
  <c r="J692" i="5" s="1"/>
  <c r="AE382" i="5"/>
  <c r="J382" i="5" s="1"/>
  <c r="AE215" i="5"/>
  <c r="J215" i="5" s="1"/>
  <c r="AE440" i="5"/>
  <c r="J440" i="5" s="1"/>
  <c r="AE467" i="5"/>
  <c r="J467" i="5" s="1"/>
  <c r="AE119" i="5"/>
  <c r="J119" i="5" s="1"/>
  <c r="AE231" i="5"/>
  <c r="J231" i="5" s="1"/>
  <c r="AE137" i="5"/>
  <c r="J137" i="5" s="1"/>
  <c r="AE132" i="5"/>
  <c r="J132" i="5" s="1"/>
  <c r="AE281" i="5"/>
  <c r="J281" i="5" s="1"/>
  <c r="AE183" i="5"/>
  <c r="J183" i="5" s="1"/>
  <c r="AE110" i="5"/>
  <c r="J110" i="5" s="1"/>
  <c r="AE819" i="5"/>
  <c r="J819" i="5" s="1"/>
  <c r="AE502" i="5"/>
  <c r="J502" i="5" s="1"/>
  <c r="AE287" i="5"/>
  <c r="J287" i="5" s="1"/>
  <c r="AE518" i="5"/>
  <c r="J518" i="5" s="1"/>
  <c r="AE301" i="5"/>
  <c r="J301" i="5" s="1"/>
  <c r="AE321" i="5"/>
  <c r="J321" i="5" s="1"/>
  <c r="AE636" i="5"/>
  <c r="J636" i="5" s="1"/>
  <c r="AE186" i="5"/>
  <c r="J186" i="5" s="1"/>
  <c r="AE101" i="5"/>
  <c r="J101" i="5" s="1"/>
  <c r="AE177" i="5"/>
  <c r="J177" i="5" s="1"/>
  <c r="AE214" i="5"/>
  <c r="J214" i="5" s="1"/>
  <c r="AE144" i="5"/>
  <c r="J144" i="5" s="1"/>
  <c r="AE291" i="5"/>
  <c r="J291" i="5" s="1"/>
  <c r="AE135" i="5"/>
  <c r="J135" i="5" s="1"/>
  <c r="AE160" i="5"/>
  <c r="J160" i="5" s="1"/>
  <c r="AE349" i="5"/>
  <c r="J349" i="5" s="1"/>
  <c r="AE730" i="5"/>
  <c r="J730" i="5" s="1"/>
  <c r="AE829" i="5"/>
  <c r="J829" i="5" s="1"/>
  <c r="AE509" i="5"/>
  <c r="J509" i="5" s="1"/>
  <c r="AE325" i="5"/>
  <c r="J325" i="5" s="1"/>
  <c r="AE642" i="5"/>
  <c r="J642" i="5" s="1"/>
  <c r="AE629" i="5"/>
  <c r="J629" i="5" s="1"/>
  <c r="AE182" i="5"/>
  <c r="J182" i="5" s="1"/>
  <c r="AE344" i="5"/>
  <c r="J344" i="5" s="1"/>
  <c r="AE200" i="5"/>
  <c r="J200" i="5" s="1"/>
  <c r="AE201" i="5"/>
  <c r="J201" i="5" s="1"/>
  <c r="AE418" i="5"/>
  <c r="J418" i="5" s="1"/>
  <c r="AE242" i="5"/>
  <c r="J242" i="5" s="1"/>
  <c r="AE166" i="5"/>
  <c r="J166" i="5" s="1"/>
  <c r="AE354" i="5"/>
  <c r="J354" i="5" s="1"/>
  <c r="AE289" i="5"/>
  <c r="J289" i="5" s="1"/>
  <c r="AE802" i="5"/>
  <c r="J802" i="5" s="1"/>
  <c r="AE328" i="5"/>
  <c r="J328" i="5" s="1"/>
  <c r="AE650" i="5"/>
  <c r="J650" i="5" s="1"/>
  <c r="AE93" i="5"/>
  <c r="J93" i="5" s="1"/>
  <c r="AE146" i="5"/>
  <c r="J146" i="5" s="1"/>
  <c r="AE157" i="5"/>
  <c r="J157" i="5" s="1"/>
  <c r="AE98" i="5"/>
  <c r="J98" i="5" s="1"/>
  <c r="AE114" i="5"/>
  <c r="J114" i="5" s="1"/>
  <c r="AE528" i="5"/>
  <c r="J528" i="5" s="1"/>
  <c r="AE888" i="5"/>
  <c r="J888" i="5" s="1"/>
  <c r="AE227" i="5"/>
  <c r="J227" i="5" s="1"/>
  <c r="AE463" i="5"/>
  <c r="J463" i="5" s="1"/>
  <c r="AE445" i="5"/>
  <c r="J445" i="5" s="1"/>
  <c r="AE92" i="5"/>
  <c r="J92" i="5" s="1"/>
  <c r="AE105" i="5"/>
  <c r="J105" i="5" s="1"/>
  <c r="AE217" i="5"/>
  <c r="J217" i="5" s="1"/>
  <c r="AE87" i="5"/>
  <c r="J87" i="5" s="1"/>
  <c r="AE225" i="5"/>
  <c r="J225" i="5" s="1"/>
  <c r="AE203" i="5"/>
  <c r="J203" i="5" s="1"/>
  <c r="AE906" i="5"/>
  <c r="J906" i="5" s="1"/>
  <c r="AE694" i="5"/>
  <c r="J694" i="5" s="1"/>
  <c r="AE410" i="5"/>
  <c r="J410" i="5" s="1"/>
  <c r="AE677" i="5"/>
  <c r="J677" i="5" s="1"/>
  <c r="AE424" i="5"/>
  <c r="J424" i="5" s="1"/>
  <c r="AE508" i="5"/>
  <c r="J508" i="5" s="1"/>
  <c r="AE785" i="5"/>
  <c r="J785" i="5" s="1"/>
  <c r="AE265" i="5"/>
  <c r="J265" i="5" s="1"/>
  <c r="AE134" i="5"/>
  <c r="J134" i="5" s="1"/>
  <c r="AE284" i="5"/>
  <c r="J284" i="5" s="1"/>
  <c r="AE309" i="5"/>
  <c r="J309" i="5" s="1"/>
  <c r="AE223" i="5"/>
  <c r="J223" i="5" s="1"/>
  <c r="AE419" i="5"/>
  <c r="J419" i="5" s="1"/>
  <c r="AE185" i="5"/>
  <c r="J185" i="5" s="1"/>
  <c r="AE266" i="5"/>
  <c r="J266" i="5" s="1"/>
  <c r="AE535" i="5"/>
  <c r="J535" i="5" s="1"/>
  <c r="AE655" i="5"/>
  <c r="J655" i="5" s="1"/>
  <c r="AE226" i="5"/>
  <c r="J226" i="5" s="1"/>
  <c r="AE300" i="5"/>
  <c r="J300" i="5" s="1"/>
  <c r="AE262" i="5"/>
  <c r="J262" i="5" s="1"/>
  <c r="AE86" i="5"/>
  <c r="J86" i="5" s="1"/>
  <c r="AE125" i="5"/>
  <c r="J125" i="5" s="1"/>
  <c r="AE801" i="5"/>
  <c r="J801" i="5" s="1"/>
  <c r="AE651" i="5"/>
  <c r="J651" i="5" s="1"/>
  <c r="AE143" i="5"/>
  <c r="J143" i="5" s="1"/>
  <c r="AE109" i="5"/>
  <c r="J109" i="5" s="1"/>
  <c r="AE261" i="5"/>
  <c r="J261" i="5" s="1"/>
  <c r="AE99" i="5"/>
  <c r="J99" i="5" s="1"/>
  <c r="AE169" i="5"/>
  <c r="J169" i="5" s="1"/>
  <c r="AE141" i="5"/>
  <c r="J141" i="5" s="1"/>
  <c r="AE462" i="5"/>
  <c r="J462" i="5" s="1"/>
  <c r="AE220" i="5"/>
  <c r="J220" i="5" s="1"/>
  <c r="AE80" i="5"/>
  <c r="J80" i="5" s="1"/>
  <c r="AE104" i="5"/>
  <c r="J104" i="5" s="1"/>
  <c r="AE95" i="5"/>
  <c r="J95" i="5" s="1"/>
  <c r="AE78" i="5"/>
  <c r="J78" i="5" s="1"/>
  <c r="AE897" i="5"/>
  <c r="J897" i="5" s="1"/>
  <c r="AE516" i="5"/>
  <c r="J516" i="5" s="1"/>
  <c r="AE792" i="5"/>
  <c r="J792" i="5" s="1"/>
  <c r="AE116" i="5"/>
  <c r="J116" i="5" s="1"/>
  <c r="AE235" i="5"/>
  <c r="J235" i="5" s="1"/>
  <c r="AE258" i="5"/>
  <c r="J258" i="5" s="1"/>
  <c r="AE389" i="5"/>
  <c r="J389" i="5" s="1"/>
  <c r="AE345" i="5"/>
  <c r="J345" i="5" s="1"/>
  <c r="AE111" i="5"/>
  <c r="J111" i="5" s="1"/>
  <c r="AE299" i="5"/>
  <c r="J299" i="5" s="1"/>
  <c r="AE102" i="5"/>
  <c r="J102" i="5" s="1"/>
  <c r="AE76" i="5"/>
  <c r="J76" i="5" s="1"/>
  <c r="AE124" i="5"/>
  <c r="J124" i="5" s="1"/>
  <c r="AE107" i="5"/>
  <c r="J107" i="5" s="1"/>
  <c r="AE941" i="5"/>
  <c r="J941" i="5" s="1"/>
  <c r="AE356" i="5"/>
  <c r="J356" i="5" s="1"/>
  <c r="AE664" i="5"/>
  <c r="J664" i="5" s="1"/>
  <c r="AE646" i="5"/>
  <c r="J646" i="5" s="1"/>
  <c r="AE115" i="5"/>
  <c r="J115" i="5" s="1"/>
  <c r="AE150" i="5"/>
  <c r="J150" i="5" s="1"/>
  <c r="AE320" i="5"/>
  <c r="J320" i="5" s="1"/>
  <c r="AE696" i="5"/>
  <c r="J696" i="5" s="1"/>
  <c r="AE96" i="5"/>
  <c r="J96" i="5" s="1"/>
  <c r="AE252" i="5"/>
  <c r="J252" i="5" s="1"/>
  <c r="AE91" i="5"/>
  <c r="J91" i="5" s="1"/>
  <c r="AE108" i="5"/>
  <c r="J108" i="5" s="1"/>
  <c r="AE129" i="5"/>
  <c r="J129" i="5" s="1"/>
  <c r="AE79" i="5"/>
  <c r="J79" i="5" s="1"/>
  <c r="AE168" i="5"/>
  <c r="J168" i="5" s="1"/>
  <c r="AE90" i="5"/>
  <c r="J90" i="5" s="1"/>
  <c r="AE803" i="5"/>
  <c r="J803" i="5" s="1"/>
  <c r="AE355" i="5"/>
  <c r="J355" i="5" s="1"/>
  <c r="AE466" i="5"/>
  <c r="J466" i="5" s="1"/>
  <c r="AE399" i="5"/>
  <c r="J399" i="5" s="1"/>
  <c r="AE216" i="5"/>
  <c r="J216" i="5" s="1"/>
  <c r="AE327" i="5"/>
  <c r="J327" i="5" s="1"/>
  <c r="AE338" i="5"/>
  <c r="J338" i="5" s="1"/>
  <c r="AE77" i="5"/>
  <c r="J77" i="5" s="1"/>
  <c r="AE145" i="5"/>
  <c r="J145" i="5" s="1"/>
  <c r="AE97" i="5"/>
  <c r="J97" i="5" s="1"/>
  <c r="AE83" i="5"/>
  <c r="J83" i="5" s="1"/>
  <c r="AE113" i="5"/>
  <c r="J113" i="5" s="1"/>
  <c r="AE896" i="5"/>
  <c r="J896" i="5" s="1"/>
  <c r="AE793" i="5"/>
  <c r="J793" i="5" s="1"/>
  <c r="AE229" i="5"/>
  <c r="J229" i="5" s="1"/>
  <c r="AE163" i="5"/>
  <c r="J163" i="5" s="1"/>
  <c r="AE398" i="5"/>
  <c r="J398" i="5" s="1"/>
  <c r="AE131" i="5"/>
  <c r="J131" i="5" s="1"/>
  <c r="AE278" i="5"/>
  <c r="J278" i="5" s="1"/>
  <c r="AE212" i="5"/>
  <c r="J212" i="5" s="1"/>
  <c r="AE534" i="5"/>
  <c r="J534" i="5" s="1"/>
  <c r="AE94" i="5"/>
  <c r="J94" i="5" s="1"/>
  <c r="AE319" i="5"/>
  <c r="J319" i="5" s="1"/>
  <c r="AE122" i="5"/>
  <c r="J122" i="5" s="1"/>
  <c r="AE663" i="5"/>
  <c r="J663" i="5" s="1"/>
  <c r="AE329" i="5"/>
  <c r="J329" i="5" s="1"/>
  <c r="AE88" i="5"/>
  <c r="J88" i="5" s="1"/>
  <c r="AE149" i="5"/>
  <c r="J149" i="5" s="1"/>
  <c r="AE117" i="5"/>
  <c r="J117" i="5" s="1"/>
  <c r="AE84" i="5"/>
  <c r="J84" i="5" s="1"/>
  <c r="AE812" i="5"/>
  <c r="AE810" i="5"/>
  <c r="AE659" i="5"/>
  <c r="AE733" i="5"/>
  <c r="AE770" i="5"/>
  <c r="AE657" i="5"/>
  <c r="AE487" i="5"/>
  <c r="AE548" i="5"/>
  <c r="AE366" i="5"/>
  <c r="AE485" i="5"/>
  <c r="AE196" i="5"/>
  <c r="J196" i="5" s="1"/>
  <c r="AE172" i="5"/>
  <c r="J172" i="5" s="1"/>
  <c r="AE830" i="5"/>
  <c r="J830" i="5" s="1"/>
  <c r="AE710" i="5"/>
  <c r="J710" i="5" s="1"/>
  <c r="AE167" i="5"/>
  <c r="J167" i="5" s="1"/>
  <c r="AE465" i="5"/>
  <c r="J465" i="5" s="1"/>
  <c r="AE139" i="5"/>
  <c r="J139" i="5" s="1"/>
  <c r="AE81" i="5"/>
  <c r="J81" i="5" s="1"/>
  <c r="AE195" i="5"/>
  <c r="J195" i="5" s="1"/>
  <c r="AE155" i="5"/>
  <c r="J155" i="5" s="1"/>
  <c r="AE130" i="5"/>
  <c r="J130" i="5" s="1"/>
  <c r="AE100" i="5"/>
  <c r="J100" i="5" s="1"/>
  <c r="AE580" i="5"/>
  <c r="J580" i="5" s="1"/>
  <c r="AE381" i="5"/>
  <c r="J381" i="5" s="1"/>
  <c r="AE112" i="5"/>
  <c r="J112" i="5" s="1"/>
  <c r="AE162" i="5"/>
  <c r="J162" i="5" s="1"/>
  <c r="AE194" i="5"/>
  <c r="J194" i="5" s="1"/>
  <c r="AE85" i="5"/>
  <c r="J85" i="5" s="1"/>
  <c r="AE277" i="5"/>
  <c r="J277" i="5" s="1"/>
  <c r="AE106" i="5"/>
  <c r="J106" i="5" s="1"/>
  <c r="AE905" i="5"/>
  <c r="AE811" i="5"/>
  <c r="AE734" i="5"/>
  <c r="AE771" i="5"/>
  <c r="AE658" i="5"/>
  <c r="AE732" i="5"/>
  <c r="J732" i="5" s="1"/>
  <c r="AE769" i="5"/>
  <c r="AE367" i="5"/>
  <c r="AE486" i="5"/>
  <c r="AE515" i="5"/>
  <c r="J515" i="5" s="1"/>
  <c r="AE514" i="5"/>
  <c r="J514" i="5" s="1"/>
  <c r="AE82" i="5"/>
  <c r="J82" i="5" s="1"/>
  <c r="AE234" i="5"/>
  <c r="J234" i="5" s="1"/>
  <c r="AE126" i="5"/>
  <c r="J126" i="5" s="1"/>
  <c r="AE89" i="5"/>
  <c r="J89" i="5" s="1"/>
  <c r="AE171" i="5"/>
  <c r="J171" i="5" s="1"/>
  <c r="AE308" i="5"/>
  <c r="AE348" i="5"/>
  <c r="AE255" i="5"/>
  <c r="AE306" i="5"/>
  <c r="AE346" i="5"/>
  <c r="AE545" i="5"/>
  <c r="AE544" i="5"/>
  <c r="AE351" i="5"/>
  <c r="AE358" i="5"/>
  <c r="AE400" i="5"/>
  <c r="AE350" i="5"/>
  <c r="AE238" i="5"/>
  <c r="AE276" i="5"/>
  <c r="AE136" i="5"/>
  <c r="AE237" i="5"/>
  <c r="AE275" i="5"/>
  <c r="J275" i="5" s="1"/>
  <c r="AE121" i="5"/>
  <c r="AE123" i="5"/>
  <c r="AE140" i="5"/>
  <c r="AE120" i="5"/>
  <c r="AE947" i="5"/>
  <c r="AE903" i="5"/>
  <c r="AE547" i="5"/>
  <c r="AE365" i="5"/>
  <c r="AE546" i="5"/>
  <c r="AE256" i="5"/>
  <c r="AE307" i="5"/>
  <c r="AE347" i="5"/>
  <c r="J347" i="5" s="1"/>
  <c r="AE254" i="5"/>
  <c r="AE725" i="5"/>
  <c r="AE446" i="5"/>
  <c r="AE422" i="5"/>
  <c r="AE479" i="5"/>
  <c r="AE267" i="5"/>
  <c r="AE421" i="5"/>
  <c r="AE478" i="5"/>
  <c r="AE175" i="5"/>
  <c r="J175" i="5" s="1"/>
  <c r="AE199" i="5"/>
  <c r="AE228" i="5"/>
  <c r="AE174" i="5"/>
  <c r="AE148" i="5"/>
  <c r="AE159" i="5"/>
  <c r="J159" i="5" s="1"/>
  <c r="AE103" i="5"/>
  <c r="AE147" i="5"/>
  <c r="AE158" i="5"/>
  <c r="J158" i="5" s="1"/>
  <c r="AE904" i="5"/>
  <c r="AE902" i="5"/>
  <c r="AE797" i="5"/>
  <c r="AE858" i="5"/>
  <c r="AE875" i="5"/>
  <c r="AE795" i="5"/>
  <c r="AE702" i="5"/>
  <c r="AE739" i="5"/>
  <c r="AE553" i="5"/>
  <c r="AE700" i="5"/>
  <c r="AE737" i="5"/>
  <c r="AE436" i="5"/>
  <c r="AE556" i="5"/>
  <c r="AE883" i="5"/>
  <c r="J883" i="5" s="1"/>
  <c r="AE731" i="5"/>
  <c r="J731" i="5" s="1"/>
  <c r="AE649" i="5"/>
  <c r="J649" i="5" s="1"/>
  <c r="AE794" i="5"/>
  <c r="J794" i="5" s="1"/>
  <c r="AE660" i="5"/>
  <c r="J660" i="5" s="1"/>
  <c r="AE678" i="5"/>
  <c r="J678" i="5" s="1"/>
  <c r="AE563" i="5"/>
  <c r="J563" i="5" s="1"/>
  <c r="AE593" i="5"/>
  <c r="J593" i="5" s="1"/>
  <c r="AE735" i="5"/>
  <c r="J735" i="5" s="1"/>
  <c r="AE756" i="5"/>
  <c r="J756" i="5" s="1"/>
  <c r="AE493" i="5"/>
  <c r="J493" i="5" s="1"/>
  <c r="AE517" i="5"/>
  <c r="J517" i="5" s="1"/>
  <c r="AE397" i="5"/>
  <c r="J397" i="5" s="1"/>
  <c r="AE415" i="5"/>
  <c r="J415" i="5" s="1"/>
  <c r="AE596" i="5"/>
  <c r="J596" i="5" s="1"/>
  <c r="AE618" i="5"/>
  <c r="J618" i="5" s="1"/>
  <c r="AE630" i="5"/>
  <c r="J630" i="5" s="1"/>
  <c r="AE654" i="5"/>
  <c r="J654" i="5" s="1"/>
  <c r="AE527" i="5"/>
  <c r="J527" i="5" s="1"/>
  <c r="AE558" i="5"/>
  <c r="J558" i="5" s="1"/>
  <c r="AE704" i="5"/>
  <c r="J704" i="5" s="1"/>
  <c r="AE729" i="5"/>
  <c r="J729" i="5" s="1"/>
  <c r="AE922" i="5"/>
  <c r="AE850" i="5"/>
  <c r="AE724" i="5"/>
  <c r="AE788" i="5"/>
  <c r="AE824" i="5"/>
  <c r="AE428" i="5"/>
  <c r="AE576" i="5"/>
  <c r="AE625" i="5"/>
  <c r="AE363" i="5"/>
  <c r="AE432" i="5"/>
  <c r="AE490" i="5"/>
  <c r="AE472" i="5"/>
  <c r="AE376" i="5"/>
  <c r="AE859" i="5"/>
  <c r="AE876" i="5"/>
  <c r="AE796" i="5"/>
  <c r="J796" i="5" s="1"/>
  <c r="AE857" i="5"/>
  <c r="AE874" i="5"/>
  <c r="AE554" i="5"/>
  <c r="AE701" i="5"/>
  <c r="AE738" i="5"/>
  <c r="AE552" i="5"/>
  <c r="AE557" i="5"/>
  <c r="J557" i="5" s="1"/>
  <c r="AE592" i="5"/>
  <c r="AE435" i="5"/>
  <c r="AE555" i="5"/>
  <c r="AE590" i="5"/>
  <c r="AE720" i="5"/>
  <c r="AE719" i="5"/>
  <c r="AE523" i="5"/>
  <c r="AE578" i="5"/>
  <c r="AE617" i="5"/>
  <c r="AE522" i="5"/>
  <c r="AE396" i="5"/>
  <c r="J396" i="5" s="1"/>
  <c r="AE430" i="5"/>
  <c r="AE219" i="5"/>
  <c r="AE395" i="5"/>
  <c r="AE429" i="5"/>
  <c r="AE209" i="5"/>
  <c r="AE239" i="5"/>
  <c r="AE260" i="5"/>
  <c r="J260" i="5" s="1"/>
  <c r="AE208" i="5"/>
  <c r="AE851" i="5"/>
  <c r="AE789" i="5"/>
  <c r="J789" i="5" s="1"/>
  <c r="AE591" i="5"/>
  <c r="J591" i="5" s="1"/>
  <c r="AE434" i="5"/>
  <c r="AE845" i="5"/>
  <c r="AE671" i="5"/>
  <c r="AE639" i="5"/>
  <c r="AE673" i="5"/>
  <c r="AE409" i="5"/>
  <c r="AE638" i="5"/>
  <c r="AE672" i="5"/>
  <c r="AE283" i="5"/>
  <c r="AE342" i="5"/>
  <c r="AE384" i="5"/>
  <c r="AE282" i="5"/>
  <c r="AE286" i="5"/>
  <c r="J286" i="5" s="1"/>
  <c r="AE297" i="5"/>
  <c r="AE156" i="5"/>
  <c r="AE285" i="5"/>
  <c r="AE296" i="5"/>
  <c r="AE411" i="5"/>
  <c r="AE511" i="5"/>
  <c r="AE562" i="5"/>
  <c r="AE151" i="5"/>
  <c r="AE290" i="5"/>
  <c r="AE313" i="5"/>
  <c r="AE128" i="5"/>
  <c r="AE207" i="5"/>
  <c r="AE241" i="5"/>
  <c r="AE929" i="5"/>
  <c r="AE895" i="5"/>
  <c r="AE914" i="5"/>
  <c r="AE841" i="5"/>
  <c r="AE764" i="5"/>
  <c r="AE791" i="5"/>
  <c r="AE633" i="5"/>
  <c r="AE648" i="5"/>
  <c r="AE680" i="5"/>
  <c r="AE542" i="5"/>
  <c r="AE870" i="5"/>
  <c r="AE780" i="5"/>
  <c r="AE448" i="5"/>
  <c r="AE709" i="5"/>
  <c r="AE736" i="5"/>
  <c r="AE240" i="5"/>
  <c r="AE477" i="5"/>
  <c r="AE512" i="5"/>
  <c r="AE189" i="5"/>
  <c r="AE330" i="5"/>
  <c r="AE375" i="5"/>
  <c r="AE825" i="5"/>
  <c r="AE723" i="5"/>
  <c r="AE577" i="5"/>
  <c r="AE626" i="5"/>
  <c r="AE427" i="5"/>
  <c r="AE433" i="5"/>
  <c r="AE491" i="5"/>
  <c r="AE362" i="5"/>
  <c r="AE762" i="5"/>
  <c r="AE620" i="5"/>
  <c r="AE298" i="5"/>
  <c r="AE413" i="5"/>
  <c r="AE202" i="5"/>
  <c r="AE230" i="5"/>
  <c r="AE206" i="5"/>
  <c r="AE152" i="5"/>
  <c r="J152" i="5" s="1"/>
  <c r="AE170" i="5"/>
  <c r="AE173" i="5"/>
  <c r="AE952" i="5"/>
  <c r="AE928" i="5"/>
  <c r="AE842" i="5"/>
  <c r="AE894" i="5"/>
  <c r="AE913" i="5"/>
  <c r="AE634" i="5"/>
  <c r="J634" i="5" s="1"/>
  <c r="AE763" i="5"/>
  <c r="AE790" i="5"/>
  <c r="AE543" i="5"/>
  <c r="AE647" i="5"/>
  <c r="AE679" i="5"/>
  <c r="AE670" i="5"/>
  <c r="AE579" i="5"/>
  <c r="AE614" i="5"/>
  <c r="J614" i="5" s="1"/>
  <c r="AE608" i="5"/>
  <c r="AE343" i="5"/>
  <c r="AE377" i="5"/>
  <c r="AE318" i="5"/>
  <c r="AE279" i="5"/>
  <c r="AE246" i="5"/>
  <c r="AE272" i="5"/>
  <c r="AI909" i="5"/>
  <c r="AI675" i="5"/>
  <c r="AI726" i="5"/>
  <c r="AI669" i="5"/>
  <c r="AI540" i="5"/>
  <c r="AI474" i="5"/>
  <c r="AI519" i="5"/>
  <c r="AI893" i="5"/>
  <c r="AI910" i="5"/>
  <c r="AI727" i="5"/>
  <c r="AI815" i="5"/>
  <c r="AI541" i="5"/>
  <c r="AI340" i="5"/>
  <c r="AI668" i="5"/>
  <c r="AI393" i="5"/>
  <c r="AI473" i="5"/>
  <c r="AI703" i="5"/>
  <c r="AI461" i="5"/>
  <c r="AI550" i="5"/>
  <c r="AI455" i="5"/>
  <c r="AI336" i="5"/>
  <c r="AI303" i="5"/>
  <c r="AI323" i="5"/>
  <c r="AI627" i="5"/>
  <c r="AI391" i="5"/>
  <c r="AI564" i="5"/>
  <c r="AI549" i="5"/>
  <c r="AI259" i="5"/>
  <c r="AI364" i="5"/>
  <c r="AI392" i="5"/>
  <c r="AI361" i="5"/>
  <c r="AI526" i="5"/>
  <c r="AI840" i="5"/>
  <c r="AI882" i="5"/>
  <c r="AI782" i="5"/>
  <c r="AI476" i="5"/>
  <c r="AI520" i="5"/>
  <c r="AI539" i="5"/>
  <c r="AI339" i="5"/>
  <c r="AI666" i="5"/>
  <c r="AI808" i="5"/>
  <c r="AI766" i="5"/>
  <c r="AI615" i="5"/>
  <c r="AI305" i="5"/>
  <c r="AI324" i="5"/>
  <c r="AI335" i="5"/>
  <c r="AI221" i="5"/>
  <c r="AI452" i="5"/>
  <c r="AI784" i="5"/>
  <c r="AI930" i="5"/>
  <c r="AI645" i="5"/>
  <c r="AI853" i="5"/>
  <c r="AI917" i="5"/>
  <c r="AI835" i="5"/>
  <c r="AI459" i="5"/>
  <c r="AI716" i="5"/>
  <c r="AI612" i="5"/>
  <c r="AI457" i="5"/>
  <c r="AI714" i="5"/>
  <c r="AI610" i="5"/>
  <c r="AI834" i="5"/>
  <c r="AI900" i="5"/>
  <c r="AI820" i="5"/>
  <c r="AI965" i="5"/>
  <c r="AI948" i="5"/>
  <c r="AI962" i="5"/>
  <c r="AI961" i="5"/>
  <c r="AI846" i="5"/>
  <c r="AI940" i="5"/>
  <c r="AI912" i="5"/>
  <c r="AI956" i="5"/>
  <c r="AI911" i="5"/>
  <c r="AI955" i="5"/>
  <c r="AI582" i="5"/>
  <c r="AI800" i="5"/>
  <c r="AI708" i="5"/>
  <c r="AI867" i="5"/>
  <c r="AI707" i="5"/>
  <c r="AI866" i="5"/>
  <c r="AI581" i="5"/>
  <c r="AI799" i="5"/>
  <c r="AI706" i="5"/>
  <c r="AI865" i="5"/>
  <c r="AI705" i="5"/>
  <c r="AI864" i="5"/>
  <c r="AI958" i="5"/>
  <c r="AI901" i="5"/>
  <c r="AI939" i="5"/>
  <c r="AI938" i="5"/>
  <c r="AI711" i="5"/>
  <c r="AI873" i="5"/>
  <c r="AI806" i="5"/>
  <c r="AI924" i="5"/>
  <c r="AI805" i="5"/>
  <c r="AI923" i="5"/>
  <c r="AI379" i="5"/>
  <c r="AI641" i="5"/>
  <c r="AI500" i="5"/>
  <c r="AI747" i="5"/>
  <c r="AI499" i="5"/>
  <c r="AI746" i="5"/>
  <c r="AI378" i="5"/>
  <c r="AI640" i="5"/>
  <c r="AI498" i="5"/>
  <c r="AI745" i="5"/>
  <c r="AI497" i="5"/>
  <c r="AI744" i="5"/>
  <c r="AI551" i="5"/>
  <c r="AI653" i="5"/>
  <c r="AI337" i="5"/>
  <c r="AI222" i="5"/>
  <c r="AI454" i="5"/>
  <c r="AI250" i="5"/>
  <c r="AI302" i="5"/>
  <c r="AI890" i="5"/>
  <c r="AI804" i="5"/>
  <c r="AI374" i="5"/>
  <c r="AI565" i="5"/>
  <c r="AI761" i="5"/>
  <c r="AI253" i="5"/>
  <c r="AI406" i="5"/>
  <c r="AI604" i="5"/>
  <c r="AI341" i="5"/>
  <c r="AI942" i="5"/>
  <c r="AI783" i="5"/>
  <c r="AI600" i="5"/>
  <c r="AI881" i="5"/>
  <c r="AI394" i="5"/>
  <c r="AI475" i="5"/>
  <c r="AI667" i="5"/>
  <c r="AI538" i="5"/>
  <c r="AI809" i="5"/>
  <c r="AI616" i="5"/>
  <c r="AI405" i="5"/>
  <c r="AI765" i="5"/>
  <c r="AI251" i="5"/>
  <c r="AI304" i="5"/>
  <c r="AI453" i="5"/>
  <c r="AI334" i="5"/>
  <c r="AI953" i="5"/>
  <c r="AI931" i="5"/>
  <c r="AI495" i="5"/>
  <c r="AI743" i="5"/>
  <c r="AI836" i="5"/>
  <c r="AI852" i="5"/>
  <c r="AI916" i="5"/>
  <c r="AI613" i="5"/>
  <c r="AI458" i="5"/>
  <c r="AI715" i="5"/>
  <c r="AI611" i="5"/>
  <c r="AI456" i="5"/>
  <c r="AI713" i="5"/>
  <c r="AI821" i="5"/>
  <c r="AI833" i="5"/>
  <c r="AI899" i="5"/>
  <c r="AI529" i="5"/>
  <c r="AI740" i="5"/>
  <c r="AI403" i="5"/>
  <c r="AI236" i="5"/>
  <c r="AI471" i="5"/>
  <c r="AI603" i="5"/>
  <c r="AI777" i="5"/>
  <c r="AI868" i="5"/>
  <c r="AI249" i="5"/>
  <c r="AI294" i="5"/>
  <c r="AI317" i="5"/>
  <c r="AI213" i="5"/>
  <c r="AI164" i="5"/>
  <c r="AI447" i="5"/>
  <c r="AI749" i="5"/>
  <c r="AI118" i="5"/>
  <c r="AI181" i="5"/>
  <c r="AI273" i="5"/>
  <c r="AI798" i="5"/>
  <c r="AI372" i="5"/>
  <c r="AI856" i="5"/>
  <c r="AI322" i="5"/>
  <c r="AI245" i="5"/>
  <c r="AI631" i="5"/>
  <c r="AI369" i="5"/>
  <c r="AI190" i="5"/>
  <c r="AI878" i="5"/>
  <c r="AI759" i="5"/>
  <c r="AI426" i="5"/>
  <c r="AI589" i="5"/>
  <c r="AI407" i="5"/>
  <c r="AI934" i="5"/>
  <c r="AI918" i="5"/>
  <c r="AI697" i="5"/>
  <c r="AI605" i="5"/>
  <c r="AI606" i="5"/>
  <c r="AI263" i="5"/>
  <c r="AI204" i="5"/>
  <c r="AI698" i="5"/>
  <c r="AI197" i="5"/>
  <c r="AI311" i="5"/>
  <c r="AI470" i="5"/>
  <c r="AI718" i="5"/>
  <c r="AI776" i="5"/>
  <c r="AI314" i="5"/>
  <c r="AI248" i="5"/>
  <c r="AI247" i="5"/>
  <c r="AI142" i="5"/>
  <c r="AI293" i="5"/>
  <c r="AI402" i="5"/>
  <c r="AI598" i="5"/>
  <c r="AI748" i="5"/>
  <c r="AI154" i="5"/>
  <c r="AI180" i="5"/>
  <c r="AI964" i="5"/>
  <c r="AI970" i="5"/>
  <c r="AI960" i="5"/>
  <c r="AI950" i="5"/>
  <c r="AI968" i="5"/>
  <c r="AI967" i="5"/>
  <c r="AI754" i="5"/>
  <c r="AI891" i="5"/>
  <c r="AI946" i="5"/>
  <c r="AI837" i="5"/>
  <c r="AI943" i="5"/>
  <c r="AI832" i="5"/>
  <c r="AI691" i="5"/>
  <c r="AI886" i="5"/>
  <c r="AI885" i="5"/>
  <c r="AI935" i="5"/>
  <c r="AI644" i="5"/>
  <c r="AI506" i="5"/>
  <c r="AI855" i="5"/>
  <c r="AI451" i="5"/>
  <c r="AI244" i="5"/>
  <c r="AI386" i="5"/>
  <c r="AI368" i="5"/>
  <c r="AI879" i="5"/>
  <c r="AI849" i="5"/>
  <c r="AI188" i="5"/>
  <c r="AI269" i="5"/>
  <c r="AI178" i="5"/>
  <c r="AI915" i="5"/>
  <c r="AI826" i="5"/>
  <c r="AI464" i="5"/>
  <c r="AI371" i="5"/>
  <c r="AI847" i="5"/>
  <c r="AI823" i="5"/>
  <c r="AI481" i="5"/>
  <c r="AI507" i="5"/>
  <c r="AI536" i="5"/>
  <c r="AI271" i="5"/>
  <c r="AI310" i="5"/>
  <c r="AI807" i="5"/>
  <c r="AI717" i="5"/>
  <c r="AI218" i="5"/>
  <c r="AI438" i="5"/>
  <c r="AI483" i="5"/>
  <c r="AI127" i="5"/>
  <c r="AI193" i="5"/>
  <c r="AI292" i="5"/>
  <c r="AI533" i="5"/>
  <c r="AI597" i="5"/>
  <c r="AI198" i="5"/>
  <c r="AI153" i="5"/>
  <c r="AI871" i="5"/>
  <c r="AI758" i="5"/>
  <c r="AI505" i="5"/>
  <c r="AI484" i="5"/>
  <c r="AI450" i="5"/>
  <c r="AI138" i="5"/>
  <c r="AI525" i="5"/>
  <c r="AI937" i="5"/>
  <c r="AI742" i="5"/>
  <c r="AI848" i="5"/>
  <c r="AI408" i="5"/>
  <c r="AI425" i="5"/>
  <c r="AI588" i="5"/>
  <c r="AI954" i="5"/>
  <c r="AI889" i="5"/>
  <c r="AI656" i="5"/>
  <c r="AI561" i="5"/>
  <c r="AI816" i="5"/>
  <c r="AI661" i="5"/>
  <c r="AI288" i="5"/>
  <c r="AI537" i="5"/>
  <c r="AI357" i="5"/>
  <c r="AI270" i="5"/>
  <c r="AI676" i="5"/>
  <c r="AI869" i="5"/>
  <c r="AI184" i="5"/>
  <c r="AI295" i="5"/>
  <c r="AI437" i="5"/>
  <c r="AI316" i="5"/>
  <c r="AI165" i="5"/>
  <c r="AI192" i="5"/>
  <c r="AI635" i="5"/>
  <c r="AI532" i="5"/>
  <c r="AI133" i="5"/>
  <c r="AI274" i="5"/>
  <c r="AI973" i="5"/>
  <c r="AI971" i="5"/>
  <c r="AI927" i="5"/>
  <c r="AI959" i="5"/>
  <c r="AI969" i="5"/>
  <c r="AI949" i="5"/>
  <c r="AI966" i="5"/>
  <c r="AI892" i="5"/>
  <c r="AI838" i="5"/>
  <c r="AI945" i="5"/>
  <c r="AI944" i="5"/>
  <c r="AI619" i="5"/>
  <c r="AI831" i="5"/>
  <c r="AI887" i="5"/>
  <c r="AI690" i="5"/>
  <c r="AI884" i="5"/>
  <c r="AI872" i="5"/>
  <c r="AI778" i="5"/>
  <c r="AI757" i="5"/>
  <c r="AI176" i="5"/>
  <c r="AI632" i="5"/>
  <c r="AI264" i="5"/>
  <c r="AI191" i="5"/>
  <c r="AI524" i="5"/>
  <c r="AI760" i="5"/>
  <c r="AI741" i="5"/>
  <c r="AI179" i="5"/>
  <c r="AI187" i="5"/>
  <c r="AI268" i="5"/>
  <c r="AI781" i="5"/>
  <c r="AI423" i="5"/>
  <c r="AI333" i="5"/>
  <c r="AI921" i="5"/>
  <c r="AI774" i="5"/>
  <c r="AI431" i="5"/>
  <c r="AI353" i="5"/>
  <c r="AI224" i="5"/>
  <c r="AI488" i="5"/>
  <c r="AI443" i="5"/>
  <c r="AI559" i="5"/>
  <c r="AI359" i="5"/>
  <c r="AI570" i="5"/>
  <c r="AI595" i="5"/>
  <c r="AI388" i="5"/>
  <c r="AI417" i="5"/>
  <c r="AI712" i="5"/>
  <c r="AI521" i="5"/>
  <c r="AI492" i="5"/>
  <c r="AI599" i="5"/>
  <c r="AI390" i="5"/>
  <c r="AI693" i="5"/>
  <c r="AI860" i="5"/>
  <c r="AI974" i="5"/>
  <c r="AW976" i="5"/>
  <c r="AI161" i="5"/>
  <c r="AI972" i="5"/>
  <c r="AI975" i="5"/>
  <c r="AI862" i="5"/>
  <c r="AI385" i="5"/>
  <c r="AD526" i="5"/>
  <c r="AD761" i="5"/>
  <c r="AD565" i="5"/>
  <c r="AD804" i="5"/>
  <c r="AD890" i="5"/>
  <c r="V836" i="5"/>
  <c r="AJ809" i="5"/>
  <c r="AJ538" i="5"/>
  <c r="AJ667" i="5"/>
  <c r="AJ475" i="5"/>
  <c r="AJ394" i="5"/>
  <c r="AJ881" i="5"/>
  <c r="AJ600" i="5"/>
  <c r="AJ783" i="5"/>
  <c r="AJ942" i="5"/>
  <c r="AH272" i="5"/>
  <c r="AJ272" i="5"/>
  <c r="AH246" i="5"/>
  <c r="AJ246" i="5"/>
  <c r="AJ899" i="5"/>
  <c r="H820" i="5"/>
  <c r="AJ833" i="5"/>
  <c r="H900" i="5"/>
  <c r="AJ821" i="5"/>
  <c r="H834" i="5"/>
  <c r="H714" i="5"/>
  <c r="AJ611" i="5"/>
  <c r="H457" i="5"/>
  <c r="AJ715" i="5"/>
  <c r="H612" i="5"/>
  <c r="AJ458" i="5"/>
  <c r="AJ916" i="5"/>
  <c r="H835" i="5"/>
  <c r="AJ852" i="5"/>
  <c r="H917" i="5"/>
  <c r="AJ836" i="5"/>
  <c r="H853" i="5"/>
  <c r="H930" i="5"/>
  <c r="AH279" i="5"/>
  <c r="AJ279" i="5"/>
  <c r="AH375" i="5"/>
  <c r="AH330" i="5"/>
  <c r="AH189" i="5"/>
  <c r="V512" i="5"/>
  <c r="AH512" i="5"/>
  <c r="AJ318" i="5"/>
  <c r="V477" i="5"/>
  <c r="AH477" i="5"/>
  <c r="AJ377" i="5"/>
  <c r="V240" i="5"/>
  <c r="AH240" i="5"/>
  <c r="AJ343" i="5"/>
  <c r="V736" i="5"/>
  <c r="AH736" i="5"/>
  <c r="AJ608" i="5"/>
  <c r="V709" i="5"/>
  <c r="AH709" i="5"/>
  <c r="AJ614" i="5"/>
  <c r="V448" i="5"/>
  <c r="AH448" i="5"/>
  <c r="AJ579" i="5"/>
  <c r="V780" i="5"/>
  <c r="AH780" i="5"/>
  <c r="AJ670" i="5"/>
  <c r="V870" i="5"/>
  <c r="AH870" i="5"/>
  <c r="AJ679" i="5"/>
  <c r="AH542" i="5"/>
  <c r="AJ647" i="5"/>
  <c r="AH680" i="5"/>
  <c r="AJ543" i="5"/>
  <c r="AH648" i="5"/>
  <c r="AJ790" i="5"/>
  <c r="V633" i="5"/>
  <c r="AH633" i="5"/>
  <c r="AJ763" i="5"/>
  <c r="V791" i="5"/>
  <c r="AH791" i="5"/>
  <c r="AJ634" i="5"/>
  <c r="V764" i="5"/>
  <c r="AH764" i="5"/>
  <c r="AJ913" i="5"/>
  <c r="V841" i="5"/>
  <c r="AH841" i="5"/>
  <c r="AJ894" i="5"/>
  <c r="V914" i="5"/>
  <c r="AH914" i="5"/>
  <c r="AJ842" i="5"/>
  <c r="V895" i="5"/>
  <c r="AH895" i="5"/>
  <c r="AJ928" i="5"/>
  <c r="V929" i="5"/>
  <c r="AH929" i="5"/>
  <c r="AJ952" i="5"/>
  <c r="AH241" i="5"/>
  <c r="AJ173" i="5"/>
  <c r="AH207" i="5"/>
  <c r="AJ170" i="5"/>
  <c r="AH128" i="5"/>
  <c r="AJ152" i="5"/>
  <c r="V313" i="5"/>
  <c r="AH313" i="5"/>
  <c r="AJ206" i="5"/>
  <c r="V290" i="5"/>
  <c r="AH290" i="5"/>
  <c r="AJ230" i="5"/>
  <c r="V151" i="5"/>
  <c r="AH151" i="5"/>
  <c r="AJ202" i="5"/>
  <c r="V562" i="5"/>
  <c r="AH562" i="5"/>
  <c r="AJ413" i="5"/>
  <c r="V511" i="5"/>
  <c r="AH511" i="5"/>
  <c r="AH411" i="5"/>
  <c r="AH922" i="5"/>
  <c r="V318" i="5"/>
  <c r="V377" i="5"/>
  <c r="V343" i="5"/>
  <c r="V608" i="5"/>
  <c r="V614" i="5"/>
  <c r="V579" i="5"/>
  <c r="V670" i="5"/>
  <c r="V790" i="5"/>
  <c r="V763" i="5"/>
  <c r="V634" i="5"/>
  <c r="V913" i="5"/>
  <c r="V894" i="5"/>
  <c r="V842" i="5"/>
  <c r="V928" i="5"/>
  <c r="V952" i="5"/>
  <c r="V206" i="5"/>
  <c r="V230" i="5"/>
  <c r="V202" i="5"/>
  <c r="V413" i="5"/>
  <c r="V411" i="5"/>
  <c r="AJ411" i="5"/>
  <c r="AH298" i="5"/>
  <c r="AH376" i="5"/>
  <c r="AH620" i="5"/>
  <c r="AH472" i="5"/>
  <c r="AH762" i="5"/>
  <c r="AH490" i="5"/>
  <c r="AH362" i="5"/>
  <c r="AH432" i="5"/>
  <c r="AH491" i="5"/>
  <c r="AH363" i="5"/>
  <c r="AH433" i="5"/>
  <c r="AH625" i="5"/>
  <c r="AH427" i="5"/>
  <c r="AH576" i="5"/>
  <c r="AH626" i="5"/>
  <c r="AH428" i="5"/>
  <c r="AH577" i="5"/>
  <c r="AH824" i="5"/>
  <c r="AH723" i="5"/>
  <c r="AH788" i="5"/>
  <c r="AH825" i="5"/>
  <c r="AH724" i="5"/>
  <c r="T756" i="5"/>
  <c r="V376" i="5"/>
  <c r="V472" i="5"/>
  <c r="V625" i="5"/>
  <c r="V576" i="5"/>
  <c r="V428" i="5"/>
  <c r="V824" i="5"/>
  <c r="V788" i="5"/>
  <c r="V724" i="5"/>
  <c r="V850" i="5"/>
  <c r="V922" i="5"/>
  <c r="AM117" i="5"/>
  <c r="AM195" i="5"/>
  <c r="AM88" i="5"/>
  <c r="U88" i="5" s="1"/>
  <c r="O88" i="5" s="1"/>
  <c r="AM139" i="5"/>
  <c r="U139" i="5" s="1"/>
  <c r="O139" i="5" s="1"/>
  <c r="AM329" i="5"/>
  <c r="U329" i="5" s="1"/>
  <c r="O329" i="5" s="1"/>
  <c r="AM465" i="5"/>
  <c r="U465" i="5" s="1"/>
  <c r="O465" i="5" s="1"/>
  <c r="AM663" i="5"/>
  <c r="U663" i="5" s="1"/>
  <c r="O663" i="5" s="1"/>
  <c r="AM167" i="5"/>
  <c r="U167" i="5" s="1"/>
  <c r="O167" i="5" s="1"/>
  <c r="AM122" i="5"/>
  <c r="U122" i="5" s="1"/>
  <c r="O122" i="5" s="1"/>
  <c r="AA155" i="5"/>
  <c r="AM149" i="5"/>
  <c r="U149" i="5" s="1"/>
  <c r="O149" i="5" s="1"/>
  <c r="AM81" i="5"/>
  <c r="U81" i="5" s="1"/>
  <c r="O81" i="5" s="1"/>
  <c r="AM84" i="5"/>
  <c r="AM155" i="5"/>
  <c r="U580" i="5"/>
  <c r="O580" i="5" s="1"/>
  <c r="AM534" i="5"/>
  <c r="U534" i="5" s="1"/>
  <c r="O534" i="5" s="1"/>
  <c r="AJ710" i="5"/>
  <c r="AM212" i="5"/>
  <c r="AJ172" i="5"/>
  <c r="AL94" i="5"/>
  <c r="AL355" i="5"/>
  <c r="AM793" i="5"/>
  <c r="U793" i="5" s="1"/>
  <c r="O793" i="5" s="1"/>
  <c r="AM516" i="5"/>
  <c r="U516" i="5" s="1"/>
  <c r="O516" i="5" s="1"/>
  <c r="AM78" i="5"/>
  <c r="AL168" i="5"/>
  <c r="AM83" i="5"/>
  <c r="U76" i="5"/>
  <c r="O76" i="5" s="1"/>
  <c r="AL129" i="5"/>
  <c r="AM145" i="5"/>
  <c r="U145" i="5" s="1"/>
  <c r="O145" i="5" s="1"/>
  <c r="AM80" i="5"/>
  <c r="U80" i="5" s="1"/>
  <c r="O80" i="5" s="1"/>
  <c r="AL155" i="5"/>
  <c r="AL195" i="5"/>
  <c r="AL81" i="5"/>
  <c r="AL139" i="5"/>
  <c r="AL130" i="5"/>
  <c r="AL466" i="5"/>
  <c r="AM229" i="5"/>
  <c r="U229" i="5" s="1"/>
  <c r="O229" i="5" s="1"/>
  <c r="AM792" i="5"/>
  <c r="U792" i="5" s="1"/>
  <c r="O792" i="5" s="1"/>
  <c r="AM95" i="5"/>
  <c r="AL79" i="5"/>
  <c r="AM97" i="5"/>
  <c r="U97" i="5" s="1"/>
  <c r="O97" i="5" s="1"/>
  <c r="AM104" i="5"/>
  <c r="U104" i="5" s="1"/>
  <c r="O104" i="5" s="1"/>
  <c r="AL252" i="5"/>
  <c r="AM327" i="5"/>
  <c r="U327" i="5" s="1"/>
  <c r="O327" i="5" s="1"/>
  <c r="AM345" i="5"/>
  <c r="U345" i="5" s="1"/>
  <c r="O345" i="5" s="1"/>
  <c r="AL84" i="5"/>
  <c r="AL117" i="5"/>
  <c r="AL149" i="5"/>
  <c r="AL88" i="5"/>
  <c r="AL329" i="5"/>
  <c r="AL663" i="5"/>
  <c r="AL122" i="5"/>
  <c r="AL534" i="5"/>
  <c r="AJ830" i="5"/>
  <c r="AL830" i="5"/>
  <c r="AL212" i="5"/>
  <c r="AL319" i="5"/>
  <c r="AJ130" i="5"/>
  <c r="AM131" i="5"/>
  <c r="AL399" i="5"/>
  <c r="AM163" i="5"/>
  <c r="U163" i="5" s="1"/>
  <c r="O163" i="5" s="1"/>
  <c r="AM116" i="5"/>
  <c r="U116" i="5" s="1"/>
  <c r="O116" i="5" s="1"/>
  <c r="AL91" i="5"/>
  <c r="AM338" i="5"/>
  <c r="U338" i="5" s="1"/>
  <c r="O338" i="5" s="1"/>
  <c r="AM462" i="5"/>
  <c r="U462" i="5" s="1"/>
  <c r="O462" i="5" s="1"/>
  <c r="AM278" i="5"/>
  <c r="AM130" i="5"/>
  <c r="AL196" i="5"/>
  <c r="AM258" i="5"/>
  <c r="U258" i="5" s="1"/>
  <c r="O258" i="5" s="1"/>
  <c r="AL258" i="5"/>
  <c r="U150" i="5"/>
  <c r="O150" i="5" s="1"/>
  <c r="AM398" i="5"/>
  <c r="U398" i="5" s="1"/>
  <c r="O398" i="5" s="1"/>
  <c r="AM235" i="5"/>
  <c r="U235" i="5" s="1"/>
  <c r="O235" i="5" s="1"/>
  <c r="AL803" i="5"/>
  <c r="AM896" i="5"/>
  <c r="U896" i="5" s="1"/>
  <c r="O896" i="5" s="1"/>
  <c r="AM897" i="5"/>
  <c r="U897" i="5" s="1"/>
  <c r="O897" i="5" s="1"/>
  <c r="AL90" i="5"/>
  <c r="AM113" i="5"/>
  <c r="AA107" i="5"/>
  <c r="AL108" i="5"/>
  <c r="AM77" i="5"/>
  <c r="U77" i="5" s="1"/>
  <c r="O77" i="5" s="1"/>
  <c r="AM220" i="5"/>
  <c r="U220" i="5" s="1"/>
  <c r="O220" i="5" s="1"/>
  <c r="AM528" i="5"/>
  <c r="U528" i="5" s="1"/>
  <c r="O528" i="5" s="1"/>
  <c r="AJ389" i="5"/>
  <c r="AL143" i="5"/>
  <c r="AM650" i="5"/>
  <c r="U650" i="5" s="1"/>
  <c r="O650" i="5" s="1"/>
  <c r="AL169" i="5"/>
  <c r="AM98" i="5"/>
  <c r="AL109" i="5"/>
  <c r="AM93" i="5"/>
  <c r="U93" i="5" s="1"/>
  <c r="O93" i="5" s="1"/>
  <c r="AL235" i="5"/>
  <c r="AL116" i="5"/>
  <c r="AL792" i="5"/>
  <c r="AL516" i="5"/>
  <c r="AL897" i="5"/>
  <c r="AL78" i="5"/>
  <c r="AL95" i="5"/>
  <c r="AL104" i="5"/>
  <c r="AL80" i="5"/>
  <c r="AL220" i="5"/>
  <c r="AL462" i="5"/>
  <c r="AJ345" i="5"/>
  <c r="AL345" i="5"/>
  <c r="AL141" i="5"/>
  <c r="AA114" i="5"/>
  <c r="AL261" i="5"/>
  <c r="AM146" i="5"/>
  <c r="U146" i="5" s="1"/>
  <c r="O146" i="5" s="1"/>
  <c r="AL655" i="5"/>
  <c r="AL801" i="5"/>
  <c r="AM802" i="5"/>
  <c r="U802" i="5" s="1"/>
  <c r="O802" i="5" s="1"/>
  <c r="AM114" i="5"/>
  <c r="AL114" i="5"/>
  <c r="AL99" i="5"/>
  <c r="AM157" i="5"/>
  <c r="U157" i="5" s="1"/>
  <c r="O157" i="5" s="1"/>
  <c r="AL651" i="5"/>
  <c r="AM328" i="5"/>
  <c r="U328" i="5" s="1"/>
  <c r="O328" i="5" s="1"/>
  <c r="AM141" i="5"/>
  <c r="AM169" i="5"/>
  <c r="AM99" i="5"/>
  <c r="AM261" i="5"/>
  <c r="U261" i="5" s="1"/>
  <c r="O261" i="5" s="1"/>
  <c r="AM109" i="5"/>
  <c r="U109" i="5" s="1"/>
  <c r="O109" i="5" s="1"/>
  <c r="AM143" i="5"/>
  <c r="U143" i="5" s="1"/>
  <c r="O143" i="5" s="1"/>
  <c r="AM651" i="5"/>
  <c r="U651" i="5" s="1"/>
  <c r="O651" i="5" s="1"/>
  <c r="AM801" i="5"/>
  <c r="U801" i="5" s="1"/>
  <c r="O801" i="5" s="1"/>
  <c r="AL98" i="5"/>
  <c r="AL157" i="5"/>
  <c r="AL146" i="5"/>
  <c r="AL93" i="5"/>
  <c r="AL650" i="5"/>
  <c r="AL328" i="5"/>
  <c r="AL802" i="5"/>
  <c r="J933" i="5"/>
  <c r="W441" i="5"/>
  <c r="H827" i="5"/>
  <c r="H877" i="5"/>
  <c r="W877" i="5" s="1"/>
  <c r="J685" i="5"/>
  <c r="J513" i="5"/>
  <c r="H843" i="5"/>
  <c r="W843" i="5" s="1"/>
  <c r="AJ827" i="5"/>
  <c r="H828" i="5"/>
  <c r="W828" i="5" s="1"/>
  <c r="AJ877" i="5"/>
  <c r="H854" i="5"/>
  <c r="AJ843" i="5"/>
  <c r="H844" i="5"/>
  <c r="W844" i="5" s="1"/>
  <c r="AJ828" i="5"/>
  <c r="H439" i="5"/>
  <c r="AJ854" i="5"/>
  <c r="H957" i="5"/>
  <c r="W957" i="5" s="1"/>
  <c r="J779" i="5"/>
  <c r="J822" i="5"/>
  <c r="AJ844" i="5"/>
  <c r="H575" i="5"/>
  <c r="W575" i="5" s="1"/>
  <c r="AJ439" i="5"/>
  <c r="H936" i="5"/>
  <c r="W936" i="5" s="1"/>
  <c r="AJ957" i="5"/>
  <c r="J637" i="5"/>
  <c r="J695" i="5"/>
  <c r="AL779" i="5"/>
  <c r="AL637" i="5"/>
  <c r="AL643" i="5"/>
  <c r="AL460" i="5"/>
  <c r="AL822" i="5"/>
  <c r="AL695" i="5"/>
  <c r="AL898" i="5"/>
  <c r="J566" i="5"/>
  <c r="AL420" i="5"/>
  <c r="J332" i="5"/>
  <c r="AH722" i="5"/>
  <c r="J722" i="5" s="1"/>
  <c r="AE678" i="2"/>
  <c r="AE530" i="2"/>
  <c r="AE514" i="2"/>
  <c r="AE498" i="2"/>
  <c r="AE482" i="2"/>
  <c r="AE466" i="2"/>
  <c r="AE451" i="2"/>
  <c r="AE526" i="2"/>
  <c r="AE510" i="2"/>
  <c r="AE494" i="2"/>
  <c r="AE478" i="2"/>
  <c r="AE455" i="2"/>
  <c r="AE522" i="2"/>
  <c r="AE506" i="2"/>
  <c r="AE490" i="2"/>
  <c r="AE474" i="2"/>
  <c r="AE534" i="2"/>
  <c r="AE518" i="2"/>
  <c r="AE502" i="2"/>
  <c r="AE486" i="2"/>
  <c r="AE470" i="2"/>
  <c r="AE560" i="2"/>
  <c r="AE564" i="2"/>
  <c r="AE568" i="2"/>
  <c r="AE572" i="2"/>
  <c r="AE576" i="2"/>
  <c r="AE580" i="2"/>
  <c r="AE584" i="2"/>
  <c r="AE588" i="2"/>
  <c r="AE592" i="2"/>
  <c r="AE596" i="2"/>
  <c r="AE600" i="2"/>
  <c r="AE604" i="2"/>
  <c r="AE608" i="2"/>
  <c r="AE612" i="2"/>
  <c r="AE616" i="2"/>
  <c r="AE620" i="2"/>
  <c r="AE624" i="2"/>
  <c r="AE628" i="2"/>
  <c r="AE632" i="2"/>
  <c r="AE636" i="2"/>
  <c r="AE640" i="2"/>
  <c r="AE644" i="2"/>
  <c r="AE648" i="2"/>
  <c r="AE652" i="2"/>
  <c r="AE656" i="2"/>
  <c r="AE660" i="2"/>
  <c r="AE664" i="2"/>
  <c r="AE668" i="2"/>
  <c r="AE672" i="2"/>
  <c r="AE676" i="2"/>
  <c r="AE680" i="2"/>
  <c r="AE459" i="2"/>
  <c r="AE463" i="2"/>
  <c r="AE561" i="2"/>
  <c r="AE565" i="2"/>
  <c r="AE569" i="2"/>
  <c r="AE573" i="2"/>
  <c r="AE577" i="2"/>
  <c r="AE581" i="2"/>
  <c r="AE585" i="2"/>
  <c r="AE589" i="2"/>
  <c r="AE593" i="2"/>
  <c r="AE597" i="2"/>
  <c r="AE601" i="2"/>
  <c r="AE605" i="2"/>
  <c r="AE609" i="2"/>
  <c r="AE613" i="2"/>
  <c r="AE617" i="2"/>
  <c r="AE621" i="2"/>
  <c r="AE625" i="2"/>
  <c r="AE629" i="2"/>
  <c r="AE633" i="2"/>
  <c r="AE637" i="2"/>
  <c r="AE641" i="2"/>
  <c r="AE645" i="2"/>
  <c r="AE649" i="2"/>
  <c r="AE653" i="2"/>
  <c r="AE657" i="2"/>
  <c r="AE661" i="2"/>
  <c r="AE665" i="2"/>
  <c r="AE669" i="2"/>
  <c r="AE673" i="2"/>
  <c r="AE677" i="2"/>
  <c r="AE557" i="2"/>
  <c r="AE460" i="2"/>
  <c r="AE464" i="2"/>
  <c r="AE558" i="2"/>
  <c r="AE562" i="2"/>
  <c r="AE566" i="2"/>
  <c r="AE570" i="2"/>
  <c r="AE574" i="2"/>
  <c r="AE578" i="2"/>
  <c r="AE582" i="2"/>
  <c r="AE586" i="2"/>
  <c r="AE590" i="2"/>
  <c r="AE594" i="2"/>
  <c r="AE598" i="2"/>
  <c r="AE602" i="2"/>
  <c r="AE606" i="2"/>
  <c r="AE610" i="2"/>
  <c r="AE614" i="2"/>
  <c r="AE618" i="2"/>
  <c r="AE622" i="2"/>
  <c r="AE626" i="2"/>
  <c r="AE630" i="2"/>
  <c r="AE634" i="2"/>
  <c r="AE638" i="2"/>
  <c r="AE642" i="2"/>
  <c r="AE646" i="2"/>
  <c r="AE650" i="2"/>
  <c r="AE654" i="2"/>
  <c r="AE658" i="2"/>
  <c r="AE662" i="2"/>
  <c r="AE666" i="2"/>
  <c r="AE670" i="2"/>
  <c r="AE559" i="2"/>
  <c r="AE563" i="2"/>
  <c r="AE567" i="2"/>
  <c r="AE571" i="2"/>
  <c r="AE575" i="2"/>
  <c r="AE579" i="2"/>
  <c r="AE583" i="2"/>
  <c r="AE587" i="2"/>
  <c r="AE591" i="2"/>
  <c r="AE595" i="2"/>
  <c r="AE599" i="2"/>
  <c r="AE603" i="2"/>
  <c r="AE607" i="2"/>
  <c r="AE611" i="2"/>
  <c r="AE615" i="2"/>
  <c r="AE619" i="2"/>
  <c r="AE623" i="2"/>
  <c r="AE627" i="2"/>
  <c r="AE631" i="2"/>
  <c r="AE635" i="2"/>
  <c r="AE639" i="2"/>
  <c r="AE643" i="2"/>
  <c r="AE647" i="2"/>
  <c r="AE651" i="2"/>
  <c r="AE655" i="2"/>
  <c r="AE659" i="2"/>
  <c r="AE663" i="2"/>
  <c r="AE667" i="2"/>
  <c r="AE671" i="2"/>
  <c r="AE675" i="2"/>
  <c r="AE679" i="2"/>
  <c r="AE457" i="2"/>
  <c r="AE453" i="2"/>
  <c r="AE532" i="2"/>
  <c r="AE528" i="2"/>
  <c r="AE524" i="2"/>
  <c r="AE520" i="2"/>
  <c r="AE516" i="2"/>
  <c r="AE512" i="2"/>
  <c r="AE508" i="2"/>
  <c r="AE504" i="2"/>
  <c r="AE500" i="2"/>
  <c r="AE496" i="2"/>
  <c r="AE492" i="2"/>
  <c r="AE488" i="2"/>
  <c r="AE484" i="2"/>
  <c r="AE480" i="2"/>
  <c r="AE476" i="2"/>
  <c r="AE472" i="2"/>
  <c r="AE468" i="2"/>
  <c r="AE462" i="2"/>
  <c r="AE456" i="2"/>
  <c r="AE452" i="2"/>
  <c r="AE531" i="2"/>
  <c r="AE527" i="2"/>
  <c r="AE523" i="2"/>
  <c r="AE519" i="2"/>
  <c r="AE515" i="2"/>
  <c r="AE511" i="2"/>
  <c r="AE507" i="2"/>
  <c r="AE503" i="2"/>
  <c r="AE499" i="2"/>
  <c r="AE495" i="2"/>
  <c r="AE491" i="2"/>
  <c r="AE487" i="2"/>
  <c r="AE483" i="2"/>
  <c r="AE479" i="2"/>
  <c r="AE475" i="2"/>
  <c r="AE471" i="2"/>
  <c r="AE467" i="2"/>
  <c r="AE461" i="2"/>
  <c r="AE458" i="2"/>
  <c r="AE454" i="2"/>
  <c r="AE533" i="2"/>
  <c r="AE529" i="2"/>
  <c r="AE525" i="2"/>
  <c r="AE521" i="2"/>
  <c r="AE517" i="2"/>
  <c r="AE513" i="2"/>
  <c r="AE509" i="2"/>
  <c r="AE505" i="2"/>
  <c r="AE501" i="2"/>
  <c r="AE497" i="2"/>
  <c r="AE493" i="2"/>
  <c r="AE489" i="2"/>
  <c r="AE485" i="2"/>
  <c r="AE481" i="2"/>
  <c r="AE477" i="2"/>
  <c r="AE473" i="2"/>
  <c r="AE469" i="2"/>
  <c r="AE465" i="2"/>
  <c r="AE674" i="2"/>
  <c r="AI347" i="2"/>
  <c r="AI351" i="2"/>
  <c r="AI355" i="2"/>
  <c r="AI359" i="2"/>
  <c r="AI363" i="2"/>
  <c r="AI367" i="2"/>
  <c r="AI371" i="2"/>
  <c r="AI375" i="2"/>
  <c r="AI379" i="2"/>
  <c r="AI383" i="2"/>
  <c r="AI387" i="2"/>
  <c r="AI391" i="2"/>
  <c r="AI395" i="2"/>
  <c r="AI399" i="2"/>
  <c r="AI403" i="2"/>
  <c r="AI407" i="2"/>
  <c r="AI411" i="2"/>
  <c r="AI415" i="2"/>
  <c r="AI419" i="2"/>
  <c r="AI423" i="2"/>
  <c r="AI427" i="2"/>
  <c r="AI431" i="2"/>
  <c r="AI435" i="2"/>
  <c r="AI439" i="2"/>
  <c r="AI443" i="2"/>
  <c r="AI447" i="2"/>
  <c r="AI78" i="2"/>
  <c r="AI82" i="2"/>
  <c r="AI86" i="2"/>
  <c r="AI90" i="2"/>
  <c r="AI94" i="2"/>
  <c r="AI98" i="2"/>
  <c r="AI102" i="2"/>
  <c r="AI106" i="2"/>
  <c r="AI110" i="2"/>
  <c r="AI114" i="2"/>
  <c r="AI118" i="2"/>
  <c r="AI122" i="2"/>
  <c r="AI126" i="2"/>
  <c r="AI130" i="2"/>
  <c r="AI134" i="2"/>
  <c r="AI138" i="2"/>
  <c r="AI142" i="2"/>
  <c r="AI146" i="2"/>
  <c r="AI150" i="2"/>
  <c r="AI154" i="2"/>
  <c r="AI158" i="2"/>
  <c r="AI162" i="2"/>
  <c r="AI166" i="2"/>
  <c r="AI170" i="2"/>
  <c r="AI174" i="2"/>
  <c r="AI178" i="2"/>
  <c r="AI182" i="2"/>
  <c r="AI186" i="2"/>
  <c r="AI190" i="2"/>
  <c r="AI194" i="2"/>
  <c r="AI198" i="2"/>
  <c r="AI202" i="2"/>
  <c r="AI206" i="2"/>
  <c r="AI210" i="2"/>
  <c r="AI214" i="2"/>
  <c r="AI218" i="2"/>
  <c r="AI222" i="2"/>
  <c r="AI226" i="2"/>
  <c r="AI230" i="2"/>
  <c r="AI234" i="2"/>
  <c r="AI238" i="2"/>
  <c r="AI242" i="2"/>
  <c r="AI246" i="2"/>
  <c r="AI250" i="2"/>
  <c r="AI254" i="2"/>
  <c r="AI258" i="2"/>
  <c r="AI262" i="2"/>
  <c r="AI266" i="2"/>
  <c r="AI270" i="2"/>
  <c r="AI274" i="2"/>
  <c r="AI278" i="2"/>
  <c r="AI282" i="2"/>
  <c r="AI286" i="2"/>
  <c r="AI290" i="2"/>
  <c r="AI294" i="2"/>
  <c r="AI298" i="2"/>
  <c r="AI302" i="2"/>
  <c r="AI306" i="2"/>
  <c r="AI310" i="2"/>
  <c r="AI348" i="2"/>
  <c r="AI352" i="2"/>
  <c r="AI356" i="2"/>
  <c r="AI360" i="2"/>
  <c r="AI364" i="2"/>
  <c r="AI368" i="2"/>
  <c r="AI372" i="2"/>
  <c r="AI376" i="2"/>
  <c r="AI380" i="2"/>
  <c r="AI384" i="2"/>
  <c r="AI388" i="2"/>
  <c r="AI392" i="2"/>
  <c r="AI396" i="2"/>
  <c r="AI400" i="2"/>
  <c r="AI404" i="2"/>
  <c r="AI408" i="2"/>
  <c r="AI412" i="2"/>
  <c r="AI416" i="2"/>
  <c r="AI420" i="2"/>
  <c r="AI424" i="2"/>
  <c r="AI428" i="2"/>
  <c r="AI432" i="2"/>
  <c r="AI436" i="2"/>
  <c r="AI440" i="2"/>
  <c r="AI444" i="2"/>
  <c r="AI448" i="2"/>
  <c r="AI79" i="2"/>
  <c r="AI83" i="2"/>
  <c r="AI87" i="2"/>
  <c r="AI91" i="2"/>
  <c r="AI95" i="2"/>
  <c r="AI99" i="2"/>
  <c r="AI103" i="2"/>
  <c r="AI107" i="2"/>
  <c r="AI111" i="2"/>
  <c r="AI115" i="2"/>
  <c r="AI119" i="2"/>
  <c r="AI123" i="2"/>
  <c r="AI127" i="2"/>
  <c r="AI131" i="2"/>
  <c r="AI135" i="2"/>
  <c r="AI139" i="2"/>
  <c r="AI143" i="2"/>
  <c r="AI147" i="2"/>
  <c r="AI151" i="2"/>
  <c r="AI155" i="2"/>
  <c r="AI159" i="2"/>
  <c r="AI163" i="2"/>
  <c r="AI167" i="2"/>
  <c r="AI171" i="2"/>
  <c r="AI175" i="2"/>
  <c r="AI179" i="2"/>
  <c r="AI183" i="2"/>
  <c r="AI187" i="2"/>
  <c r="AI191" i="2"/>
  <c r="AI195" i="2"/>
  <c r="AI199" i="2"/>
  <c r="AI203" i="2"/>
  <c r="AI207" i="2"/>
  <c r="AI211" i="2"/>
  <c r="AI215" i="2"/>
  <c r="AI219" i="2"/>
  <c r="AI223" i="2"/>
  <c r="AI227" i="2"/>
  <c r="AI231" i="2"/>
  <c r="AI235" i="2"/>
  <c r="AI239" i="2"/>
  <c r="AI243" i="2"/>
  <c r="AI247" i="2"/>
  <c r="AI251" i="2"/>
  <c r="AI255" i="2"/>
  <c r="AI259" i="2"/>
  <c r="AI263" i="2"/>
  <c r="AI267" i="2"/>
  <c r="AI271" i="2"/>
  <c r="AI275" i="2"/>
  <c r="AI279" i="2"/>
  <c r="AI283" i="2"/>
  <c r="AI287" i="2"/>
  <c r="AI291" i="2"/>
  <c r="AI295" i="2"/>
  <c r="AI299" i="2"/>
  <c r="AI303" i="2"/>
  <c r="AI307" i="2"/>
  <c r="AI311" i="2"/>
  <c r="AI349" i="2"/>
  <c r="AI353" i="2"/>
  <c r="AI357" i="2"/>
  <c r="AI361" i="2"/>
  <c r="AI365" i="2"/>
  <c r="AI369" i="2"/>
  <c r="AI373" i="2"/>
  <c r="AI377" i="2"/>
  <c r="AI381" i="2"/>
  <c r="AI385" i="2"/>
  <c r="AI389" i="2"/>
  <c r="AI393" i="2"/>
  <c r="AI397" i="2"/>
  <c r="AI401" i="2"/>
  <c r="AI405" i="2"/>
  <c r="AI409" i="2"/>
  <c r="AI413" i="2"/>
  <c r="AI417" i="2"/>
  <c r="AI421" i="2"/>
  <c r="AI425" i="2"/>
  <c r="AI429" i="2"/>
  <c r="AI433" i="2"/>
  <c r="AI437" i="2"/>
  <c r="AI441" i="2"/>
  <c r="AI445" i="2"/>
  <c r="AI449" i="2"/>
  <c r="AI80" i="2"/>
  <c r="AI84" i="2"/>
  <c r="AI88" i="2"/>
  <c r="AI92" i="2"/>
  <c r="AI96" i="2"/>
  <c r="AI100" i="2"/>
  <c r="AI104" i="2"/>
  <c r="AI108" i="2"/>
  <c r="AI112" i="2"/>
  <c r="AI116" i="2"/>
  <c r="AI120" i="2"/>
  <c r="AI124" i="2"/>
  <c r="AI128" i="2"/>
  <c r="AI132" i="2"/>
  <c r="AI136" i="2"/>
  <c r="AI140" i="2"/>
  <c r="AI144" i="2"/>
  <c r="AI148" i="2"/>
  <c r="AI152" i="2"/>
  <c r="AI156" i="2"/>
  <c r="AI160" i="2"/>
  <c r="AI164" i="2"/>
  <c r="AI168" i="2"/>
  <c r="AI172" i="2"/>
  <c r="AI176" i="2"/>
  <c r="AI180" i="2"/>
  <c r="AI184" i="2"/>
  <c r="AI188" i="2"/>
  <c r="AI192" i="2"/>
  <c r="AI196" i="2"/>
  <c r="AI200" i="2"/>
  <c r="AI204" i="2"/>
  <c r="AI208" i="2"/>
  <c r="AI212" i="2"/>
  <c r="AI216" i="2"/>
  <c r="AI220" i="2"/>
  <c r="AI224" i="2"/>
  <c r="AI228" i="2"/>
  <c r="AI232" i="2"/>
  <c r="AI236" i="2"/>
  <c r="AI240" i="2"/>
  <c r="AI244" i="2"/>
  <c r="AI248" i="2"/>
  <c r="AI252" i="2"/>
  <c r="AI256" i="2"/>
  <c r="AI260" i="2"/>
  <c r="AI264" i="2"/>
  <c r="AI268" i="2"/>
  <c r="AI272" i="2"/>
  <c r="AI276" i="2"/>
  <c r="AI280" i="2"/>
  <c r="AI284" i="2"/>
  <c r="AI288" i="2"/>
  <c r="AI292" i="2"/>
  <c r="AI296" i="2"/>
  <c r="AI300" i="2"/>
  <c r="AI304" i="2"/>
  <c r="AI308" i="2"/>
  <c r="AI312" i="2"/>
  <c r="AI76" i="2"/>
  <c r="AI344" i="2"/>
  <c r="AI340" i="2"/>
  <c r="AI336" i="2"/>
  <c r="AI332" i="2"/>
  <c r="AI328" i="2"/>
  <c r="AI324" i="2"/>
  <c r="AI320" i="2"/>
  <c r="AI316" i="2"/>
  <c r="AI309" i="2"/>
  <c r="AI293" i="2"/>
  <c r="AI277" i="2"/>
  <c r="AI261" i="2"/>
  <c r="AI245" i="2"/>
  <c r="AI229" i="2"/>
  <c r="AI213" i="2"/>
  <c r="AI197" i="2"/>
  <c r="AI181" i="2"/>
  <c r="AI165" i="2"/>
  <c r="AI149" i="2"/>
  <c r="AI133" i="2"/>
  <c r="AI117" i="2"/>
  <c r="AI101" i="2"/>
  <c r="AI85" i="2"/>
  <c r="AI442" i="2"/>
  <c r="AI426" i="2"/>
  <c r="AI410" i="2"/>
  <c r="AI394" i="2"/>
  <c r="AI378" i="2"/>
  <c r="AI362" i="2"/>
  <c r="AI77" i="2"/>
  <c r="AI343" i="2"/>
  <c r="AI339" i="2"/>
  <c r="AI335" i="2"/>
  <c r="AI331" i="2"/>
  <c r="AI327" i="2"/>
  <c r="AI323" i="2"/>
  <c r="AI319" i="2"/>
  <c r="AI315" i="2"/>
  <c r="AI305" i="2"/>
  <c r="AI289" i="2"/>
  <c r="AI273" i="2"/>
  <c r="AI257" i="2"/>
  <c r="AI241" i="2"/>
  <c r="AI225" i="2"/>
  <c r="AI209" i="2"/>
  <c r="AI193" i="2"/>
  <c r="AI177" i="2"/>
  <c r="AI161" i="2"/>
  <c r="AI145" i="2"/>
  <c r="AI129" i="2"/>
  <c r="AI113" i="2"/>
  <c r="AI97" i="2"/>
  <c r="AI81" i="2"/>
  <c r="AI438" i="2"/>
  <c r="AI422" i="2"/>
  <c r="AI406" i="2"/>
  <c r="AI390" i="2"/>
  <c r="AI374" i="2"/>
  <c r="AI358" i="2"/>
  <c r="AI346" i="2"/>
  <c r="AI342" i="2"/>
  <c r="AI338" i="2"/>
  <c r="AI334" i="2"/>
  <c r="AI330" i="2"/>
  <c r="AI326" i="2"/>
  <c r="AI322" i="2"/>
  <c r="AI318" i="2"/>
  <c r="AI314" i="2"/>
  <c r="AI301" i="2"/>
  <c r="AI285" i="2"/>
  <c r="AI269" i="2"/>
  <c r="AI253" i="2"/>
  <c r="AI237" i="2"/>
  <c r="AI221" i="2"/>
  <c r="AI205" i="2"/>
  <c r="AI189" i="2"/>
  <c r="AI173" i="2"/>
  <c r="AI157" i="2"/>
  <c r="AI141" i="2"/>
  <c r="AI125" i="2"/>
  <c r="AI109" i="2"/>
  <c r="AI93" i="2"/>
  <c r="AI450" i="2"/>
  <c r="AI434" i="2"/>
  <c r="AI418" i="2"/>
  <c r="AI402" i="2"/>
  <c r="AI386" i="2"/>
  <c r="AI370" i="2"/>
  <c r="AI354" i="2"/>
  <c r="AI345" i="2"/>
  <c r="AI341" i="2"/>
  <c r="AI337" i="2"/>
  <c r="AI333" i="2"/>
  <c r="AI329" i="2"/>
  <c r="AI325" i="2"/>
  <c r="AI321" i="2"/>
  <c r="AI317" i="2"/>
  <c r="AI313" i="2"/>
  <c r="AI297" i="2"/>
  <c r="AI281" i="2"/>
  <c r="AI265" i="2"/>
  <c r="AI249" i="2"/>
  <c r="AI233" i="2"/>
  <c r="AI217" i="2"/>
  <c r="AI201" i="2"/>
  <c r="AI185" i="2"/>
  <c r="AI169" i="2"/>
  <c r="AI153" i="2"/>
  <c r="AI137" i="2"/>
  <c r="AI121" i="2"/>
  <c r="AI105" i="2"/>
  <c r="AI89" i="2"/>
  <c r="AI446" i="2"/>
  <c r="AI430" i="2"/>
  <c r="AI414" i="2"/>
  <c r="AI398" i="2"/>
  <c r="AI382" i="2"/>
  <c r="AI366" i="2"/>
  <c r="AI350" i="2"/>
  <c r="W442" i="5" l="1"/>
  <c r="W439" i="5"/>
  <c r="W854" i="5"/>
  <c r="AC854" i="5" s="1"/>
  <c r="J296" i="5"/>
  <c r="AA83" i="5"/>
  <c r="AB762" i="5"/>
  <c r="AA124" i="5"/>
  <c r="AA172" i="5"/>
  <c r="J156" i="5"/>
  <c r="J219" i="5"/>
  <c r="J720" i="5"/>
  <c r="J702" i="5"/>
  <c r="J120" i="5"/>
  <c r="AA195" i="5"/>
  <c r="V542" i="5"/>
  <c r="P542" i="5" s="1"/>
  <c r="J851" i="5"/>
  <c r="J812" i="5"/>
  <c r="V459" i="5"/>
  <c r="V189" i="5"/>
  <c r="P189" i="5" s="1"/>
  <c r="V173" i="5"/>
  <c r="P173" i="5" s="1"/>
  <c r="V246" i="5"/>
  <c r="P246" i="5" s="1"/>
  <c r="AA196" i="5"/>
  <c r="J318" i="5"/>
  <c r="J647" i="5"/>
  <c r="J928" i="5"/>
  <c r="J413" i="5"/>
  <c r="J671" i="5"/>
  <c r="J797" i="5"/>
  <c r="J174" i="5"/>
  <c r="J478" i="5"/>
  <c r="J422" i="5"/>
  <c r="J238" i="5"/>
  <c r="J351" i="5"/>
  <c r="J306" i="5"/>
  <c r="J810" i="5"/>
  <c r="AK833" i="5"/>
  <c r="V611" i="5"/>
  <c r="P611" i="5" s="1"/>
  <c r="W624" i="5"/>
  <c r="W315" i="5"/>
  <c r="AC315" i="5" s="1"/>
  <c r="AA99" i="5"/>
  <c r="AA169" i="5"/>
  <c r="J377" i="5"/>
  <c r="J543" i="5"/>
  <c r="J952" i="5"/>
  <c r="J430" i="5"/>
  <c r="J734" i="5"/>
  <c r="J670" i="5"/>
  <c r="J894" i="5"/>
  <c r="J230" i="5"/>
  <c r="J673" i="5"/>
  <c r="J556" i="5"/>
  <c r="AA319" i="5"/>
  <c r="J148" i="5"/>
  <c r="J479" i="5"/>
  <c r="J276" i="5"/>
  <c r="J346" i="5"/>
  <c r="J486" i="5"/>
  <c r="J658" i="5"/>
  <c r="AK899" i="5"/>
  <c r="W682" i="5"/>
  <c r="AC682" i="5" s="1"/>
  <c r="J239" i="5"/>
  <c r="J617" i="5"/>
  <c r="J147" i="5"/>
  <c r="J365" i="5"/>
  <c r="J367" i="5"/>
  <c r="J485" i="5"/>
  <c r="V495" i="5"/>
  <c r="P495" i="5" s="1"/>
  <c r="V680" i="5"/>
  <c r="P680" i="5" s="1"/>
  <c r="V375" i="5"/>
  <c r="AB375" i="5" s="1"/>
  <c r="J845" i="5"/>
  <c r="V152" i="5"/>
  <c r="P152" i="5" s="1"/>
  <c r="J638" i="5"/>
  <c r="J701" i="5"/>
  <c r="AA84" i="5"/>
  <c r="V647" i="5"/>
  <c r="P647" i="5" s="1"/>
  <c r="J434" i="5"/>
  <c r="AA79" i="5"/>
  <c r="J579" i="5"/>
  <c r="J913" i="5"/>
  <c r="J206" i="5"/>
  <c r="J409" i="5"/>
  <c r="J590" i="5"/>
  <c r="J554" i="5"/>
  <c r="J795" i="5"/>
  <c r="J902" i="5"/>
  <c r="J228" i="5"/>
  <c r="J446" i="5"/>
  <c r="J307" i="5"/>
  <c r="J547" i="5"/>
  <c r="J140" i="5"/>
  <c r="J350" i="5"/>
  <c r="J769" i="5"/>
  <c r="AK821" i="5"/>
  <c r="J429" i="5"/>
  <c r="J199" i="5"/>
  <c r="J267" i="5"/>
  <c r="J136" i="5"/>
  <c r="J400" i="5"/>
  <c r="J545" i="5"/>
  <c r="J435" i="5"/>
  <c r="J858" i="5"/>
  <c r="J947" i="5"/>
  <c r="AA125" i="5"/>
  <c r="O125" i="5"/>
  <c r="AA113" i="5"/>
  <c r="O113" i="5"/>
  <c r="AA85" i="5"/>
  <c r="O85" i="5"/>
  <c r="AA90" i="5"/>
  <c r="O90" i="5"/>
  <c r="AA141" i="5"/>
  <c r="O141" i="5"/>
  <c r="AA106" i="5"/>
  <c r="O106" i="5"/>
  <c r="AA320" i="5"/>
  <c r="O320" i="5"/>
  <c r="AA171" i="5"/>
  <c r="O171" i="5"/>
  <c r="AA95" i="5"/>
  <c r="O95" i="5"/>
  <c r="AA278" i="5"/>
  <c r="O278" i="5"/>
  <c r="AA100" i="5"/>
  <c r="O100" i="5"/>
  <c r="AA277" i="5"/>
  <c r="O277" i="5"/>
  <c r="AA217" i="5"/>
  <c r="O217" i="5"/>
  <c r="AA212" i="5"/>
  <c r="O212" i="5"/>
  <c r="AA78" i="5"/>
  <c r="O78" i="5"/>
  <c r="AA89" i="5"/>
  <c r="O89" i="5"/>
  <c r="AA130" i="5"/>
  <c r="O130" i="5"/>
  <c r="AA117" i="5"/>
  <c r="O117" i="5"/>
  <c r="AA98" i="5"/>
  <c r="O98" i="5"/>
  <c r="AA87" i="5"/>
  <c r="O87" i="5"/>
  <c r="AA131" i="5"/>
  <c r="O131" i="5"/>
  <c r="Q818" i="5"/>
  <c r="Q401" i="5"/>
  <c r="Q684" i="5"/>
  <c r="Q919" i="5"/>
  <c r="Q674" i="5"/>
  <c r="O224" i="5"/>
  <c r="O371" i="5"/>
  <c r="O605" i="5"/>
  <c r="O333" i="5"/>
  <c r="O661" i="5"/>
  <c r="O889" i="5"/>
  <c r="P459" i="5"/>
  <c r="P645" i="5"/>
  <c r="P833" i="5"/>
  <c r="P916" i="5"/>
  <c r="O512" i="5"/>
  <c r="P512" i="5"/>
  <c r="O709" i="5"/>
  <c r="P709" i="5"/>
  <c r="O542" i="5"/>
  <c r="O791" i="5"/>
  <c r="P791" i="5"/>
  <c r="O895" i="5"/>
  <c r="P895" i="5"/>
  <c r="O128" i="5"/>
  <c r="O562" i="5"/>
  <c r="P562" i="5"/>
  <c r="O472" i="5"/>
  <c r="P472" i="5"/>
  <c r="O625" i="5"/>
  <c r="P625" i="5"/>
  <c r="O788" i="5"/>
  <c r="P788" i="5"/>
  <c r="O246" i="5"/>
  <c r="P608" i="5"/>
  <c r="O608" i="5"/>
  <c r="O679" i="5"/>
  <c r="P763" i="5"/>
  <c r="O763" i="5"/>
  <c r="P842" i="5"/>
  <c r="O842" i="5"/>
  <c r="O170" i="5"/>
  <c r="O202" i="5"/>
  <c r="P202" i="5"/>
  <c r="O260" i="5"/>
  <c r="P260" i="5"/>
  <c r="P395" i="5"/>
  <c r="O395" i="5"/>
  <c r="O522" i="5"/>
  <c r="P522" i="5"/>
  <c r="P719" i="5"/>
  <c r="O719" i="5"/>
  <c r="O850" i="5"/>
  <c r="P850" i="5"/>
  <c r="O296" i="5"/>
  <c r="P296" i="5"/>
  <c r="O286" i="5"/>
  <c r="P286" i="5"/>
  <c r="P283" i="5"/>
  <c r="O283" i="5"/>
  <c r="O673" i="5"/>
  <c r="P673" i="5"/>
  <c r="P434" i="5"/>
  <c r="O434" i="5"/>
  <c r="O737" i="5"/>
  <c r="P737" i="5"/>
  <c r="P702" i="5"/>
  <c r="O702" i="5"/>
  <c r="O797" i="5"/>
  <c r="P797" i="5"/>
  <c r="P626" i="5"/>
  <c r="O626" i="5"/>
  <c r="P789" i="5"/>
  <c r="O789" i="5"/>
  <c r="O557" i="5"/>
  <c r="P557" i="5"/>
  <c r="P554" i="5"/>
  <c r="O554" i="5"/>
  <c r="P876" i="5"/>
  <c r="O876" i="5"/>
  <c r="P947" i="5"/>
  <c r="O947" i="5"/>
  <c r="P121" i="5"/>
  <c r="O121" i="5"/>
  <c r="P276" i="5"/>
  <c r="O276" i="5"/>
  <c r="P358" i="5"/>
  <c r="O358" i="5"/>
  <c r="P346" i="5"/>
  <c r="O346" i="5"/>
  <c r="P308" i="5"/>
  <c r="O308" i="5"/>
  <c r="P147" i="5"/>
  <c r="O147" i="5"/>
  <c r="O174" i="5"/>
  <c r="P174" i="5"/>
  <c r="P478" i="5"/>
  <c r="O478" i="5"/>
  <c r="O422" i="5"/>
  <c r="P422" i="5"/>
  <c r="P347" i="5"/>
  <c r="O347" i="5"/>
  <c r="P657" i="5"/>
  <c r="O657" i="5"/>
  <c r="P810" i="5"/>
  <c r="O810" i="5"/>
  <c r="P367" i="5"/>
  <c r="O367" i="5"/>
  <c r="P771" i="5"/>
  <c r="O771" i="5"/>
  <c r="O385" i="5"/>
  <c r="O481" i="5"/>
  <c r="O464" i="5"/>
  <c r="O204" i="5"/>
  <c r="O697" i="5"/>
  <c r="O431" i="5"/>
  <c r="O423" i="5"/>
  <c r="O816" i="5"/>
  <c r="O954" i="5"/>
  <c r="O375" i="5"/>
  <c r="P821" i="5"/>
  <c r="P852" i="5"/>
  <c r="P931" i="5"/>
  <c r="P477" i="5"/>
  <c r="O477" i="5"/>
  <c r="P448" i="5"/>
  <c r="O448" i="5"/>
  <c r="O680" i="5"/>
  <c r="P764" i="5"/>
  <c r="O764" i="5"/>
  <c r="P929" i="5"/>
  <c r="O929" i="5"/>
  <c r="P313" i="5"/>
  <c r="O313" i="5"/>
  <c r="P511" i="5"/>
  <c r="O511" i="5"/>
  <c r="O490" i="5"/>
  <c r="P576" i="5"/>
  <c r="O576" i="5"/>
  <c r="P724" i="5"/>
  <c r="O724" i="5"/>
  <c r="O318" i="5"/>
  <c r="P318" i="5"/>
  <c r="O614" i="5"/>
  <c r="P614" i="5"/>
  <c r="O647" i="5"/>
  <c r="O634" i="5"/>
  <c r="P634" i="5"/>
  <c r="O928" i="5"/>
  <c r="P928" i="5"/>
  <c r="O152" i="5"/>
  <c r="P413" i="5"/>
  <c r="O413" i="5"/>
  <c r="P239" i="5"/>
  <c r="O239" i="5"/>
  <c r="P219" i="5"/>
  <c r="O219" i="5"/>
  <c r="P617" i="5"/>
  <c r="O617" i="5"/>
  <c r="P720" i="5"/>
  <c r="O720" i="5"/>
  <c r="P922" i="5"/>
  <c r="O922" i="5"/>
  <c r="P285" i="5"/>
  <c r="O285" i="5"/>
  <c r="P282" i="5"/>
  <c r="O282" i="5"/>
  <c r="O672" i="5"/>
  <c r="P672" i="5"/>
  <c r="P639" i="5"/>
  <c r="O639" i="5"/>
  <c r="P591" i="5"/>
  <c r="O591" i="5"/>
  <c r="P700" i="5"/>
  <c r="O700" i="5"/>
  <c r="O795" i="5"/>
  <c r="P795" i="5"/>
  <c r="O298" i="5"/>
  <c r="P298" i="5"/>
  <c r="O577" i="5"/>
  <c r="P577" i="5"/>
  <c r="O851" i="5"/>
  <c r="P851" i="5"/>
  <c r="P552" i="5"/>
  <c r="O552" i="5"/>
  <c r="P874" i="5"/>
  <c r="O874" i="5"/>
  <c r="P859" i="5"/>
  <c r="O859" i="5"/>
  <c r="P120" i="5"/>
  <c r="O120" i="5"/>
  <c r="O275" i="5"/>
  <c r="P275" i="5"/>
  <c r="P238" i="5"/>
  <c r="O238" i="5"/>
  <c r="P351" i="5"/>
  <c r="O351" i="5"/>
  <c r="P306" i="5"/>
  <c r="O306" i="5"/>
  <c r="P902" i="5"/>
  <c r="O902" i="5"/>
  <c r="P103" i="5"/>
  <c r="O103" i="5"/>
  <c r="P228" i="5"/>
  <c r="O228" i="5"/>
  <c r="O421" i="5"/>
  <c r="P421" i="5"/>
  <c r="P446" i="5"/>
  <c r="O446" i="5"/>
  <c r="O307" i="5"/>
  <c r="P307" i="5"/>
  <c r="P366" i="5"/>
  <c r="O366" i="5"/>
  <c r="O770" i="5"/>
  <c r="P770" i="5"/>
  <c r="P812" i="5"/>
  <c r="O812" i="5"/>
  <c r="P365" i="5"/>
  <c r="O365" i="5"/>
  <c r="P769" i="5"/>
  <c r="O769" i="5"/>
  <c r="P734" i="5"/>
  <c r="O734" i="5"/>
  <c r="O823" i="5"/>
  <c r="O826" i="5"/>
  <c r="O263" i="5"/>
  <c r="O918" i="5"/>
  <c r="O774" i="5"/>
  <c r="O781" i="5"/>
  <c r="O561" i="5"/>
  <c r="P784" i="5"/>
  <c r="O189" i="5"/>
  <c r="P836" i="5"/>
  <c r="P953" i="5"/>
  <c r="O240" i="5"/>
  <c r="P240" i="5"/>
  <c r="O780" i="5"/>
  <c r="P780" i="5"/>
  <c r="O648" i="5"/>
  <c r="O841" i="5"/>
  <c r="P841" i="5"/>
  <c r="O241" i="5"/>
  <c r="O290" i="5"/>
  <c r="P290" i="5"/>
  <c r="O411" i="5"/>
  <c r="P411" i="5"/>
  <c r="O432" i="5"/>
  <c r="O428" i="5"/>
  <c r="P428" i="5"/>
  <c r="O272" i="5"/>
  <c r="P377" i="5"/>
  <c r="O377" i="5"/>
  <c r="P579" i="5"/>
  <c r="O579" i="5"/>
  <c r="O543" i="5"/>
  <c r="P913" i="5"/>
  <c r="O913" i="5"/>
  <c r="P952" i="5"/>
  <c r="O952" i="5"/>
  <c r="O206" i="5"/>
  <c r="P206" i="5"/>
  <c r="O209" i="5"/>
  <c r="P209" i="5"/>
  <c r="P430" i="5"/>
  <c r="O430" i="5"/>
  <c r="P578" i="5"/>
  <c r="O578" i="5"/>
  <c r="P590" i="5"/>
  <c r="O590" i="5"/>
  <c r="P156" i="5"/>
  <c r="O156" i="5"/>
  <c r="P384" i="5"/>
  <c r="O384" i="5"/>
  <c r="P638" i="5"/>
  <c r="O638" i="5"/>
  <c r="O671" i="5"/>
  <c r="P671" i="5"/>
  <c r="P556" i="5"/>
  <c r="O556" i="5"/>
  <c r="P553" i="5"/>
  <c r="O553" i="5"/>
  <c r="P875" i="5"/>
  <c r="O875" i="5"/>
  <c r="P620" i="5"/>
  <c r="O620" i="5"/>
  <c r="P723" i="5"/>
  <c r="O723" i="5"/>
  <c r="O435" i="5"/>
  <c r="P435" i="5"/>
  <c r="P738" i="5"/>
  <c r="O738" i="5"/>
  <c r="O857" i="5"/>
  <c r="P857" i="5"/>
  <c r="P485" i="5"/>
  <c r="O485" i="5"/>
  <c r="P140" i="5"/>
  <c r="O140" i="5"/>
  <c r="P237" i="5"/>
  <c r="O237" i="5"/>
  <c r="P350" i="5"/>
  <c r="O350" i="5"/>
  <c r="P544" i="5"/>
  <c r="O544" i="5"/>
  <c r="P255" i="5"/>
  <c r="O255" i="5"/>
  <c r="O904" i="5"/>
  <c r="P904" i="5"/>
  <c r="P159" i="5"/>
  <c r="O159" i="5"/>
  <c r="P199" i="5"/>
  <c r="O199" i="5"/>
  <c r="P267" i="5"/>
  <c r="O267" i="5"/>
  <c r="O725" i="5"/>
  <c r="P725" i="5"/>
  <c r="P256" i="5"/>
  <c r="O256" i="5"/>
  <c r="P548" i="5"/>
  <c r="O548" i="5"/>
  <c r="P733" i="5"/>
  <c r="O733" i="5"/>
  <c r="P547" i="5"/>
  <c r="O547" i="5"/>
  <c r="P732" i="5"/>
  <c r="O732" i="5"/>
  <c r="P811" i="5"/>
  <c r="O811" i="5"/>
  <c r="O353" i="5"/>
  <c r="O847" i="5"/>
  <c r="O915" i="5"/>
  <c r="O606" i="5"/>
  <c r="O934" i="5"/>
  <c r="O921" i="5"/>
  <c r="O288" i="5"/>
  <c r="O656" i="5"/>
  <c r="P610" i="5"/>
  <c r="P899" i="5"/>
  <c r="P456" i="5"/>
  <c r="P613" i="5"/>
  <c r="P743" i="5"/>
  <c r="O330" i="5"/>
  <c r="P736" i="5"/>
  <c r="O736" i="5"/>
  <c r="P870" i="5"/>
  <c r="O870" i="5"/>
  <c r="P633" i="5"/>
  <c r="O633" i="5"/>
  <c r="P914" i="5"/>
  <c r="O914" i="5"/>
  <c r="O207" i="5"/>
  <c r="P151" i="5"/>
  <c r="O151" i="5"/>
  <c r="P376" i="5"/>
  <c r="O376" i="5"/>
  <c r="O363" i="5"/>
  <c r="P824" i="5"/>
  <c r="O824" i="5"/>
  <c r="O279" i="5"/>
  <c r="O343" i="5"/>
  <c r="P343" i="5"/>
  <c r="O670" i="5"/>
  <c r="P670" i="5"/>
  <c r="O790" i="5"/>
  <c r="P790" i="5"/>
  <c r="O894" i="5"/>
  <c r="P894" i="5"/>
  <c r="O173" i="5"/>
  <c r="P230" i="5"/>
  <c r="O230" i="5"/>
  <c r="P208" i="5"/>
  <c r="O208" i="5"/>
  <c r="P429" i="5"/>
  <c r="O429" i="5"/>
  <c r="P396" i="5"/>
  <c r="O396" i="5"/>
  <c r="P523" i="5"/>
  <c r="O523" i="5"/>
  <c r="P555" i="5"/>
  <c r="O555" i="5"/>
  <c r="P297" i="5"/>
  <c r="O297" i="5"/>
  <c r="O342" i="5"/>
  <c r="P342" i="5"/>
  <c r="P409" i="5"/>
  <c r="O409" i="5"/>
  <c r="O845" i="5"/>
  <c r="P845" i="5"/>
  <c r="P436" i="5"/>
  <c r="O436" i="5"/>
  <c r="O739" i="5"/>
  <c r="P739" i="5"/>
  <c r="P858" i="5"/>
  <c r="O858" i="5"/>
  <c r="O762" i="5"/>
  <c r="P762" i="5"/>
  <c r="O427" i="5"/>
  <c r="P427" i="5"/>
  <c r="O825" i="5"/>
  <c r="P825" i="5"/>
  <c r="P592" i="5"/>
  <c r="O592" i="5"/>
  <c r="P701" i="5"/>
  <c r="O701" i="5"/>
  <c r="P796" i="5"/>
  <c r="O796" i="5"/>
  <c r="P903" i="5"/>
  <c r="O903" i="5"/>
  <c r="O123" i="5"/>
  <c r="P123" i="5"/>
  <c r="P136" i="5"/>
  <c r="O136" i="5"/>
  <c r="O400" i="5"/>
  <c r="P400" i="5"/>
  <c r="P545" i="5"/>
  <c r="O545" i="5"/>
  <c r="O348" i="5"/>
  <c r="P348" i="5"/>
  <c r="O158" i="5"/>
  <c r="P158" i="5"/>
  <c r="P148" i="5"/>
  <c r="O148" i="5"/>
  <c r="O175" i="5"/>
  <c r="P175" i="5"/>
  <c r="P479" i="5"/>
  <c r="O479" i="5"/>
  <c r="O254" i="5"/>
  <c r="P254" i="5"/>
  <c r="P546" i="5"/>
  <c r="O546" i="5"/>
  <c r="O487" i="5"/>
  <c r="P487" i="5"/>
  <c r="P659" i="5"/>
  <c r="O659" i="5"/>
  <c r="P486" i="5"/>
  <c r="O486" i="5"/>
  <c r="O658" i="5"/>
  <c r="P658" i="5"/>
  <c r="P905" i="5"/>
  <c r="O905" i="5"/>
  <c r="AK852" i="5"/>
  <c r="J342" i="5"/>
  <c r="J209" i="5"/>
  <c r="J237" i="5"/>
  <c r="J544" i="5"/>
  <c r="J255" i="5"/>
  <c r="V715" i="5"/>
  <c r="P715" i="5" s="1"/>
  <c r="Q817" i="5"/>
  <c r="AA168" i="5"/>
  <c r="J523" i="5"/>
  <c r="J552" i="5"/>
  <c r="J859" i="5"/>
  <c r="J850" i="5"/>
  <c r="J875" i="5"/>
  <c r="J123" i="5"/>
  <c r="J608" i="5"/>
  <c r="J763" i="5"/>
  <c r="J170" i="5"/>
  <c r="J285" i="5"/>
  <c r="J672" i="5"/>
  <c r="J719" i="5"/>
  <c r="J857" i="5"/>
  <c r="J436" i="5"/>
  <c r="J254" i="5"/>
  <c r="J905" i="5"/>
  <c r="J487" i="5"/>
  <c r="W205" i="5"/>
  <c r="AC205" i="5" s="1"/>
  <c r="AB577" i="5"/>
  <c r="V363" i="5"/>
  <c r="P363" i="5" s="1"/>
  <c r="AB298" i="5"/>
  <c r="V128" i="5"/>
  <c r="P128" i="5" s="1"/>
  <c r="W280" i="5"/>
  <c r="AC280" i="5" s="1"/>
  <c r="W623" i="5"/>
  <c r="Q623" i="5" s="1"/>
  <c r="AB825" i="5"/>
  <c r="AB723" i="5"/>
  <c r="J904" i="5"/>
  <c r="W681" i="5"/>
  <c r="AC681" i="5" s="1"/>
  <c r="W827" i="5"/>
  <c r="AC827" i="5" s="1"/>
  <c r="J297" i="5"/>
  <c r="J578" i="5"/>
  <c r="J876" i="5"/>
  <c r="J700" i="5"/>
  <c r="J103" i="5"/>
  <c r="J421" i="5"/>
  <c r="J366" i="5"/>
  <c r="J770" i="5"/>
  <c r="AA216" i="5"/>
  <c r="V543" i="5"/>
  <c r="P543" i="5" s="1"/>
  <c r="V330" i="5"/>
  <c r="P330" i="5" s="1"/>
  <c r="V279" i="5"/>
  <c r="AB279" i="5" s="1"/>
  <c r="J283" i="5"/>
  <c r="J208" i="5"/>
  <c r="J555" i="5"/>
  <c r="J553" i="5"/>
  <c r="J348" i="5"/>
  <c r="J811" i="5"/>
  <c r="J548" i="5"/>
  <c r="Q920" i="5"/>
  <c r="V490" i="5"/>
  <c r="P490" i="5" s="1"/>
  <c r="J522" i="5"/>
  <c r="J739" i="5"/>
  <c r="J121" i="5"/>
  <c r="J358" i="5"/>
  <c r="J308" i="5"/>
  <c r="Q513" i="5"/>
  <c r="J343" i="5"/>
  <c r="J790" i="5"/>
  <c r="J173" i="5"/>
  <c r="J874" i="5"/>
  <c r="J725" i="5"/>
  <c r="J256" i="5"/>
  <c r="J903" i="5"/>
  <c r="J733" i="5"/>
  <c r="V432" i="5"/>
  <c r="P432" i="5" s="1"/>
  <c r="AK715" i="5"/>
  <c r="AK916" i="5"/>
  <c r="AK931" i="5"/>
  <c r="J679" i="5"/>
  <c r="J842" i="5"/>
  <c r="J202" i="5"/>
  <c r="J282" i="5"/>
  <c r="J639" i="5"/>
  <c r="J395" i="5"/>
  <c r="J738" i="5"/>
  <c r="J546" i="5"/>
  <c r="J659" i="5"/>
  <c r="V207" i="5"/>
  <c r="P207" i="5" s="1"/>
  <c r="J384" i="5"/>
  <c r="J592" i="5"/>
  <c r="J737" i="5"/>
  <c r="J771" i="5"/>
  <c r="J657" i="5"/>
  <c r="Q685" i="5"/>
  <c r="AB620" i="5"/>
  <c r="AB851" i="5"/>
  <c r="AB789" i="5"/>
  <c r="J922" i="5"/>
  <c r="V272" i="5"/>
  <c r="P272" i="5" s="1"/>
  <c r="V241" i="5"/>
  <c r="AB241" i="5" s="1"/>
  <c r="V648" i="5"/>
  <c r="AB648" i="5" s="1"/>
  <c r="AK611" i="5"/>
  <c r="AK729" i="5"/>
  <c r="AK654" i="5"/>
  <c r="AK415" i="5"/>
  <c r="AK756" i="5"/>
  <c r="AK678" i="5"/>
  <c r="AK731" i="5"/>
  <c r="AB427" i="5"/>
  <c r="J577" i="5"/>
  <c r="J491" i="5"/>
  <c r="J298" i="5"/>
  <c r="J411" i="5"/>
  <c r="J330" i="5"/>
  <c r="J279" i="5"/>
  <c r="J788" i="5"/>
  <c r="J625" i="5"/>
  <c r="J472" i="5"/>
  <c r="J824" i="5"/>
  <c r="J363" i="5"/>
  <c r="J376" i="5"/>
  <c r="J562" i="5"/>
  <c r="J128" i="5"/>
  <c r="J895" i="5"/>
  <c r="J791" i="5"/>
  <c r="J542" i="5"/>
  <c r="J709" i="5"/>
  <c r="J512" i="5"/>
  <c r="J825" i="5"/>
  <c r="J427" i="5"/>
  <c r="J762" i="5"/>
  <c r="J272" i="5"/>
  <c r="J428" i="5"/>
  <c r="J724" i="5"/>
  <c r="J576" i="5"/>
  <c r="J490" i="5"/>
  <c r="AK558" i="5"/>
  <c r="AK618" i="5"/>
  <c r="AK517" i="5"/>
  <c r="AK593" i="5"/>
  <c r="AK794" i="5"/>
  <c r="J626" i="5"/>
  <c r="J362" i="5"/>
  <c r="J290" i="5"/>
  <c r="J241" i="5"/>
  <c r="J841" i="5"/>
  <c r="J648" i="5"/>
  <c r="J780" i="5"/>
  <c r="J240" i="5"/>
  <c r="J375" i="5"/>
  <c r="J151" i="5"/>
  <c r="J207" i="5"/>
  <c r="J914" i="5"/>
  <c r="J633" i="5"/>
  <c r="J870" i="5"/>
  <c r="J736" i="5"/>
  <c r="J432" i="5"/>
  <c r="J511" i="5"/>
  <c r="J313" i="5"/>
  <c r="J929" i="5"/>
  <c r="J764" i="5"/>
  <c r="J680" i="5"/>
  <c r="J448" i="5"/>
  <c r="J477" i="5"/>
  <c r="AA327" i="5"/>
  <c r="AA143" i="5"/>
  <c r="AA338" i="5"/>
  <c r="AA109" i="5"/>
  <c r="AA93" i="5"/>
  <c r="AA896" i="5"/>
  <c r="AA229" i="5"/>
  <c r="AA157" i="5"/>
  <c r="AA163" i="5"/>
  <c r="AA801" i="5"/>
  <c r="AA261" i="5"/>
  <c r="AA77" i="5"/>
  <c r="AA345" i="5"/>
  <c r="AA97" i="5"/>
  <c r="AA149" i="5"/>
  <c r="AA465" i="5"/>
  <c r="AA145" i="5"/>
  <c r="AA398" i="5"/>
  <c r="AA167" i="5"/>
  <c r="AA139" i="5"/>
  <c r="AK643" i="5"/>
  <c r="T643" i="5"/>
  <c r="N643" i="5" s="1"/>
  <c r="T802" i="5"/>
  <c r="N802" i="5" s="1"/>
  <c r="AK802" i="5"/>
  <c r="T143" i="5"/>
  <c r="N143" i="5" s="1"/>
  <c r="AK143" i="5"/>
  <c r="T830" i="5"/>
  <c r="N830" i="5" s="1"/>
  <c r="AK830" i="5"/>
  <c r="AK79" i="5"/>
  <c r="T79" i="5"/>
  <c r="N79" i="5" s="1"/>
  <c r="AB576" i="5"/>
  <c r="N397" i="5"/>
  <c r="Z397" i="5"/>
  <c r="S397" i="5"/>
  <c r="AB230" i="5"/>
  <c r="AB670" i="5"/>
  <c r="AB841" i="5"/>
  <c r="AB240" i="5"/>
  <c r="AB610" i="5"/>
  <c r="AK443" i="5"/>
  <c r="T443" i="5"/>
  <c r="N443" i="5" s="1"/>
  <c r="AK595" i="5"/>
  <c r="T595" i="5"/>
  <c r="N595" i="5" s="1"/>
  <c r="AK521" i="5"/>
  <c r="T521" i="5"/>
  <c r="N521" i="5" s="1"/>
  <c r="AK693" i="5"/>
  <c r="T693" i="5"/>
  <c r="N693" i="5" s="1"/>
  <c r="X972" i="5"/>
  <c r="R972" i="5" s="1"/>
  <c r="T972" i="5"/>
  <c r="N972" i="5" s="1"/>
  <c r="AK972" i="5"/>
  <c r="AA224" i="5"/>
  <c r="AK387" i="5"/>
  <c r="T387" i="5"/>
  <c r="N387" i="5" s="1"/>
  <c r="AK444" i="5"/>
  <c r="T444" i="5"/>
  <c r="N444" i="5" s="1"/>
  <c r="AK628" i="5"/>
  <c r="T628" i="5"/>
  <c r="N628" i="5" s="1"/>
  <c r="AK665" i="5"/>
  <c r="T665" i="5"/>
  <c r="N665" i="5" s="1"/>
  <c r="T601" i="5"/>
  <c r="N601" i="5" s="1"/>
  <c r="AK601" i="5"/>
  <c r="X601" i="5"/>
  <c r="R601" i="5" s="1"/>
  <c r="AK288" i="5"/>
  <c r="T288" i="5"/>
  <c r="N288" i="5" s="1"/>
  <c r="AK816" i="5"/>
  <c r="T816" i="5"/>
  <c r="N816" i="5" s="1"/>
  <c r="AK656" i="5"/>
  <c r="T656" i="5"/>
  <c r="N656" i="5" s="1"/>
  <c r="AK954" i="5"/>
  <c r="T954" i="5"/>
  <c r="N954" i="5" s="1"/>
  <c r="AK848" i="5"/>
  <c r="T848" i="5"/>
  <c r="N848" i="5" s="1"/>
  <c r="AK138" i="5"/>
  <c r="T138" i="5"/>
  <c r="N138" i="5" s="1"/>
  <c r="AK758" i="5"/>
  <c r="T758" i="5"/>
  <c r="N758" i="5" s="1"/>
  <c r="AK127" i="5"/>
  <c r="T127" i="5"/>
  <c r="N127" i="5" s="1"/>
  <c r="AK717" i="5"/>
  <c r="T717" i="5"/>
  <c r="N717" i="5" s="1"/>
  <c r="AK536" i="5"/>
  <c r="T536" i="5"/>
  <c r="N536" i="5" s="1"/>
  <c r="AK406" i="5"/>
  <c r="T406" i="5"/>
  <c r="N406" i="5" s="1"/>
  <c r="T823" i="5"/>
  <c r="N823" i="5" s="1"/>
  <c r="AK823" i="5"/>
  <c r="T371" i="5"/>
  <c r="N371" i="5" s="1"/>
  <c r="AK371" i="5"/>
  <c r="T826" i="5"/>
  <c r="N826" i="5" s="1"/>
  <c r="AK826" i="5"/>
  <c r="T451" i="5"/>
  <c r="N451" i="5" s="1"/>
  <c r="AK451" i="5"/>
  <c r="T935" i="5"/>
  <c r="N935" i="5" s="1"/>
  <c r="AK935" i="5"/>
  <c r="X832" i="5"/>
  <c r="R832" i="5" s="1"/>
  <c r="T832" i="5"/>
  <c r="N832" i="5" s="1"/>
  <c r="AK832" i="5"/>
  <c r="X891" i="5"/>
  <c r="R891" i="5" s="1"/>
  <c r="T891" i="5"/>
  <c r="N891" i="5" s="1"/>
  <c r="AK891" i="5"/>
  <c r="X950" i="5"/>
  <c r="R950" i="5" s="1"/>
  <c r="T950" i="5"/>
  <c r="N950" i="5" s="1"/>
  <c r="AK950" i="5"/>
  <c r="T180" i="5"/>
  <c r="N180" i="5" s="1"/>
  <c r="AK180" i="5"/>
  <c r="T402" i="5"/>
  <c r="N402" i="5" s="1"/>
  <c r="AK402" i="5"/>
  <c r="T248" i="5"/>
  <c r="N248" i="5" s="1"/>
  <c r="AK248" i="5"/>
  <c r="T470" i="5"/>
  <c r="N470" i="5" s="1"/>
  <c r="AK470" i="5"/>
  <c r="AA507" i="5"/>
  <c r="O507" i="5"/>
  <c r="AA481" i="5"/>
  <c r="AA847" i="5"/>
  <c r="AA464" i="5"/>
  <c r="AA915" i="5"/>
  <c r="AK759" i="5"/>
  <c r="T759" i="5"/>
  <c r="N759" i="5" s="1"/>
  <c r="AK631" i="5"/>
  <c r="T631" i="5"/>
  <c r="N631" i="5" s="1"/>
  <c r="AK372" i="5"/>
  <c r="T372" i="5"/>
  <c r="N372" i="5" s="1"/>
  <c r="AK118" i="5"/>
  <c r="T118" i="5"/>
  <c r="N118" i="5" s="1"/>
  <c r="AK213" i="5"/>
  <c r="T213" i="5"/>
  <c r="N213" i="5" s="1"/>
  <c r="AK868" i="5"/>
  <c r="T868" i="5"/>
  <c r="N868" i="5" s="1"/>
  <c r="AK236" i="5"/>
  <c r="T236" i="5"/>
  <c r="N236" i="5" s="1"/>
  <c r="AK526" i="5"/>
  <c r="T526" i="5"/>
  <c r="N526" i="5" s="1"/>
  <c r="AK259" i="5"/>
  <c r="T259" i="5"/>
  <c r="N259" i="5" s="1"/>
  <c r="AA263" i="5"/>
  <c r="AA605" i="5"/>
  <c r="AA918" i="5"/>
  <c r="AK187" i="5"/>
  <c r="T187" i="5"/>
  <c r="N187" i="5" s="1"/>
  <c r="AK524" i="5"/>
  <c r="T524" i="5"/>
  <c r="N524" i="5" s="1"/>
  <c r="AK176" i="5"/>
  <c r="T176" i="5"/>
  <c r="N176" i="5" s="1"/>
  <c r="T884" i="5"/>
  <c r="N884" i="5" s="1"/>
  <c r="AK884" i="5"/>
  <c r="X884" i="5"/>
  <c r="R884" i="5" s="1"/>
  <c r="T619" i="5"/>
  <c r="N619" i="5" s="1"/>
  <c r="AK619" i="5"/>
  <c r="X619" i="5"/>
  <c r="R619" i="5" s="1"/>
  <c r="T892" i="5"/>
  <c r="N892" i="5" s="1"/>
  <c r="AK892" i="5"/>
  <c r="X892" i="5"/>
  <c r="R892" i="5" s="1"/>
  <c r="T959" i="5"/>
  <c r="N959" i="5" s="1"/>
  <c r="AK959" i="5"/>
  <c r="X959" i="5"/>
  <c r="R959" i="5" s="1"/>
  <c r="AK274" i="5"/>
  <c r="T274" i="5"/>
  <c r="N274" i="5" s="1"/>
  <c r="AK192" i="5"/>
  <c r="T192" i="5"/>
  <c r="N192" i="5" s="1"/>
  <c r="AK295" i="5"/>
  <c r="T295" i="5"/>
  <c r="N295" i="5" s="1"/>
  <c r="AK270" i="5"/>
  <c r="T270" i="5"/>
  <c r="N270" i="5" s="1"/>
  <c r="AA529" i="5"/>
  <c r="O529" i="5"/>
  <c r="AK565" i="5"/>
  <c r="T565" i="5"/>
  <c r="N565" i="5" s="1"/>
  <c r="AK302" i="5"/>
  <c r="T302" i="5"/>
  <c r="N302" i="5" s="1"/>
  <c r="AK454" i="5"/>
  <c r="T454" i="5"/>
  <c r="N454" i="5" s="1"/>
  <c r="AK337" i="5"/>
  <c r="T337" i="5"/>
  <c r="N337" i="5" s="1"/>
  <c r="AK551" i="5"/>
  <c r="T551" i="5"/>
  <c r="N551" i="5" s="1"/>
  <c r="AK473" i="5"/>
  <c r="T473" i="5"/>
  <c r="N473" i="5" s="1"/>
  <c r="AK668" i="5"/>
  <c r="T668" i="5"/>
  <c r="N668" i="5" s="1"/>
  <c r="AK541" i="5"/>
  <c r="T541" i="5"/>
  <c r="N541" i="5" s="1"/>
  <c r="AK727" i="5"/>
  <c r="T727" i="5"/>
  <c r="N727" i="5" s="1"/>
  <c r="AA341" i="5"/>
  <c r="O341" i="5"/>
  <c r="X341" i="5"/>
  <c r="R341" i="5" s="1"/>
  <c r="AA761" i="5"/>
  <c r="O761" i="5"/>
  <c r="AA890" i="5"/>
  <c r="O890" i="5"/>
  <c r="N498" i="5"/>
  <c r="AK498" i="5"/>
  <c r="T499" i="5"/>
  <c r="N499" i="5" s="1"/>
  <c r="AK499" i="5"/>
  <c r="T379" i="5"/>
  <c r="N379" i="5" s="1"/>
  <c r="AK379" i="5"/>
  <c r="T806" i="5"/>
  <c r="N806" i="5" s="1"/>
  <c r="AK806" i="5"/>
  <c r="T939" i="5"/>
  <c r="N939" i="5" s="1"/>
  <c r="AK939" i="5"/>
  <c r="N705" i="5"/>
  <c r="AK705" i="5"/>
  <c r="N581" i="5"/>
  <c r="AK581" i="5"/>
  <c r="T708" i="5"/>
  <c r="N708" i="5" s="1"/>
  <c r="AK708" i="5"/>
  <c r="T911" i="5"/>
  <c r="N911" i="5" s="1"/>
  <c r="AK911" i="5"/>
  <c r="T846" i="5"/>
  <c r="N846" i="5" s="1"/>
  <c r="AK846" i="5"/>
  <c r="T965" i="5"/>
  <c r="N965" i="5" s="1"/>
  <c r="AK965" i="5"/>
  <c r="T610" i="5"/>
  <c r="N610" i="5" s="1"/>
  <c r="AK610" i="5"/>
  <c r="U610" i="5"/>
  <c r="O610" i="5" s="1"/>
  <c r="T716" i="5"/>
  <c r="N716" i="5" s="1"/>
  <c r="AK716" i="5"/>
  <c r="U716" i="5"/>
  <c r="O716" i="5" s="1"/>
  <c r="T853" i="5"/>
  <c r="N853" i="5" s="1"/>
  <c r="U853" i="5"/>
  <c r="O853" i="5" s="1"/>
  <c r="T452" i="5"/>
  <c r="N452" i="5" s="1"/>
  <c r="AK452" i="5"/>
  <c r="T335" i="5"/>
  <c r="N335" i="5" s="1"/>
  <c r="AK335" i="5"/>
  <c r="T305" i="5"/>
  <c r="N305" i="5" s="1"/>
  <c r="AK305" i="5"/>
  <c r="T766" i="5"/>
  <c r="N766" i="5" s="1"/>
  <c r="AK766" i="5"/>
  <c r="T323" i="5"/>
  <c r="N323" i="5" s="1"/>
  <c r="AK323" i="5"/>
  <c r="T336" i="5"/>
  <c r="N336" i="5" s="1"/>
  <c r="AK336" i="5"/>
  <c r="T550" i="5"/>
  <c r="N550" i="5" s="1"/>
  <c r="AK550" i="5"/>
  <c r="AK616" i="5"/>
  <c r="T616" i="5"/>
  <c r="N616" i="5" s="1"/>
  <c r="AA475" i="5"/>
  <c r="AA783" i="5"/>
  <c r="AA526" i="5"/>
  <c r="O526" i="5"/>
  <c r="AA259" i="5"/>
  <c r="O259" i="5"/>
  <c r="AA627" i="5"/>
  <c r="O627" i="5"/>
  <c r="AK713" i="5"/>
  <c r="U713" i="5"/>
  <c r="O713" i="5" s="1"/>
  <c r="T713" i="5"/>
  <c r="N713" i="5" s="1"/>
  <c r="U458" i="5"/>
  <c r="T458" i="5"/>
  <c r="N458" i="5" s="1"/>
  <c r="U836" i="5"/>
  <c r="O836" i="5" s="1"/>
  <c r="T836" i="5"/>
  <c r="N836" i="5" s="1"/>
  <c r="U953" i="5"/>
  <c r="O953" i="5" s="1"/>
  <c r="T953" i="5"/>
  <c r="N953" i="5" s="1"/>
  <c r="AA303" i="5"/>
  <c r="AA455" i="5"/>
  <c r="AA461" i="5"/>
  <c r="AK474" i="5"/>
  <c r="T474" i="5"/>
  <c r="N474" i="5" s="1"/>
  <c r="AK675" i="5"/>
  <c r="T675" i="5"/>
  <c r="N675" i="5" s="1"/>
  <c r="AA608" i="5"/>
  <c r="AA679" i="5"/>
  <c r="AA763" i="5"/>
  <c r="AA842" i="5"/>
  <c r="AA170" i="5"/>
  <c r="AA202" i="5"/>
  <c r="T666" i="5"/>
  <c r="N666" i="5" s="1"/>
  <c r="AK666" i="5"/>
  <c r="T539" i="5"/>
  <c r="N539" i="5" s="1"/>
  <c r="AK539" i="5"/>
  <c r="T476" i="5"/>
  <c r="N476" i="5" s="1"/>
  <c r="AK476" i="5"/>
  <c r="T882" i="5"/>
  <c r="N882" i="5" s="1"/>
  <c r="AK882" i="5"/>
  <c r="T375" i="5"/>
  <c r="N375" i="5" s="1"/>
  <c r="AK375" i="5"/>
  <c r="T477" i="5"/>
  <c r="N477" i="5" s="1"/>
  <c r="AK477" i="5"/>
  <c r="T448" i="5"/>
  <c r="N448" i="5" s="1"/>
  <c r="AK448" i="5"/>
  <c r="T680" i="5"/>
  <c r="N680" i="5" s="1"/>
  <c r="AK680" i="5"/>
  <c r="T764" i="5"/>
  <c r="N764" i="5" s="1"/>
  <c r="AK764" i="5"/>
  <c r="T929" i="5"/>
  <c r="N929" i="5" s="1"/>
  <c r="AK929" i="5"/>
  <c r="T313" i="5"/>
  <c r="N313" i="5" s="1"/>
  <c r="AK313" i="5"/>
  <c r="T511" i="5"/>
  <c r="N511" i="5" s="1"/>
  <c r="AK511" i="5"/>
  <c r="AK762" i="5"/>
  <c r="T762" i="5"/>
  <c r="N762" i="5" s="1"/>
  <c r="AK427" i="5"/>
  <c r="T427" i="5"/>
  <c r="N427" i="5" s="1"/>
  <c r="AK825" i="5"/>
  <c r="T825" i="5"/>
  <c r="N825" i="5" s="1"/>
  <c r="AA512" i="5"/>
  <c r="AA709" i="5"/>
  <c r="AA542" i="5"/>
  <c r="AA791" i="5"/>
  <c r="AA895" i="5"/>
  <c r="AA128" i="5"/>
  <c r="AA562" i="5"/>
  <c r="AA762" i="5"/>
  <c r="AA427" i="5"/>
  <c r="AA825" i="5"/>
  <c r="T538" i="5"/>
  <c r="N538" i="5" s="1"/>
  <c r="AK538" i="5"/>
  <c r="T475" i="5"/>
  <c r="N475" i="5" s="1"/>
  <c r="AK475" i="5"/>
  <c r="T881" i="5"/>
  <c r="N881" i="5" s="1"/>
  <c r="AK881" i="5"/>
  <c r="T783" i="5"/>
  <c r="N783" i="5" s="1"/>
  <c r="AK783" i="5"/>
  <c r="AK279" i="5"/>
  <c r="T279" i="5"/>
  <c r="N279" i="5" s="1"/>
  <c r="AK343" i="5"/>
  <c r="T343" i="5"/>
  <c r="N343" i="5" s="1"/>
  <c r="AK670" i="5"/>
  <c r="T670" i="5"/>
  <c r="N670" i="5" s="1"/>
  <c r="AK790" i="5"/>
  <c r="T790" i="5"/>
  <c r="N790" i="5" s="1"/>
  <c r="AK894" i="5"/>
  <c r="T894" i="5"/>
  <c r="N894" i="5" s="1"/>
  <c r="AK173" i="5"/>
  <c r="T173" i="5"/>
  <c r="N173" i="5" s="1"/>
  <c r="AK230" i="5"/>
  <c r="T230" i="5"/>
  <c r="N230" i="5" s="1"/>
  <c r="AA296" i="5"/>
  <c r="AA286" i="5"/>
  <c r="AA283" i="5"/>
  <c r="AA673" i="5"/>
  <c r="AA434" i="5"/>
  <c r="T208" i="5"/>
  <c r="N208" i="5" s="1"/>
  <c r="AK208" i="5"/>
  <c r="T239" i="5"/>
  <c r="N239" i="5" s="1"/>
  <c r="AK239" i="5"/>
  <c r="T429" i="5"/>
  <c r="N429" i="5" s="1"/>
  <c r="AK429" i="5"/>
  <c r="T219" i="5"/>
  <c r="N219" i="5" s="1"/>
  <c r="AK219" i="5"/>
  <c r="T396" i="5"/>
  <c r="N396" i="5" s="1"/>
  <c r="AK396" i="5"/>
  <c r="T617" i="5"/>
  <c r="N617" i="5" s="1"/>
  <c r="AK617" i="5"/>
  <c r="T523" i="5"/>
  <c r="N523" i="5" s="1"/>
  <c r="AK523" i="5"/>
  <c r="T720" i="5"/>
  <c r="N720" i="5" s="1"/>
  <c r="AK720" i="5"/>
  <c r="T555" i="5"/>
  <c r="N555" i="5" s="1"/>
  <c r="AK555" i="5"/>
  <c r="AK592" i="5"/>
  <c r="T592" i="5"/>
  <c r="N592" i="5" s="1"/>
  <c r="AK552" i="5"/>
  <c r="T552" i="5"/>
  <c r="N552" i="5" s="1"/>
  <c r="AK701" i="5"/>
  <c r="T701" i="5"/>
  <c r="N701" i="5" s="1"/>
  <c r="AK874" i="5"/>
  <c r="T874" i="5"/>
  <c r="N874" i="5" s="1"/>
  <c r="AK796" i="5"/>
  <c r="T796" i="5"/>
  <c r="N796" i="5" s="1"/>
  <c r="AB859" i="5"/>
  <c r="AK472" i="5"/>
  <c r="T472" i="5"/>
  <c r="N472" i="5" s="1"/>
  <c r="AK625" i="5"/>
  <c r="T625" i="5"/>
  <c r="N625" i="5" s="1"/>
  <c r="AK788" i="5"/>
  <c r="T788" i="5"/>
  <c r="N788" i="5" s="1"/>
  <c r="AA239" i="5"/>
  <c r="AA219" i="5"/>
  <c r="AA617" i="5"/>
  <c r="AA720" i="5"/>
  <c r="AA592" i="5"/>
  <c r="AA701" i="5"/>
  <c r="AA796" i="5"/>
  <c r="AA376" i="5"/>
  <c r="AA363" i="5"/>
  <c r="AA824" i="5"/>
  <c r="AA922" i="5"/>
  <c r="AA527" i="5"/>
  <c r="O527" i="5"/>
  <c r="AA596" i="5"/>
  <c r="O596" i="5"/>
  <c r="AA493" i="5"/>
  <c r="O493" i="5"/>
  <c r="AA563" i="5"/>
  <c r="O563" i="5"/>
  <c r="AA649" i="5"/>
  <c r="O649" i="5"/>
  <c r="AB208" i="5"/>
  <c r="AB239" i="5"/>
  <c r="AB429" i="5"/>
  <c r="AB219" i="5"/>
  <c r="AB396" i="5"/>
  <c r="AB617" i="5"/>
  <c r="AB523" i="5"/>
  <c r="AB720" i="5"/>
  <c r="AB555" i="5"/>
  <c r="AB592" i="5"/>
  <c r="AB552" i="5"/>
  <c r="AB701" i="5"/>
  <c r="AB874" i="5"/>
  <c r="AB796" i="5"/>
  <c r="AB903" i="5"/>
  <c r="AA737" i="5"/>
  <c r="AA702" i="5"/>
  <c r="AA797" i="5"/>
  <c r="AK158" i="5"/>
  <c r="T158" i="5"/>
  <c r="N158" i="5" s="1"/>
  <c r="AK103" i="5"/>
  <c r="T103" i="5"/>
  <c r="N103" i="5" s="1"/>
  <c r="AK148" i="5"/>
  <c r="T148" i="5"/>
  <c r="N148" i="5" s="1"/>
  <c r="AK228" i="5"/>
  <c r="T228" i="5"/>
  <c r="N228" i="5" s="1"/>
  <c r="AK175" i="5"/>
  <c r="T175" i="5"/>
  <c r="N175" i="5" s="1"/>
  <c r="AK421" i="5"/>
  <c r="T421" i="5"/>
  <c r="N421" i="5" s="1"/>
  <c r="AK479" i="5"/>
  <c r="T479" i="5"/>
  <c r="N479" i="5" s="1"/>
  <c r="AK446" i="5"/>
  <c r="T446" i="5"/>
  <c r="N446" i="5" s="1"/>
  <c r="AK254" i="5"/>
  <c r="T254" i="5"/>
  <c r="N254" i="5" s="1"/>
  <c r="AK307" i="5"/>
  <c r="T307" i="5"/>
  <c r="N307" i="5" s="1"/>
  <c r="AK546" i="5"/>
  <c r="T546" i="5"/>
  <c r="N546" i="5" s="1"/>
  <c r="AA904" i="5"/>
  <c r="AA159" i="5"/>
  <c r="AA199" i="5"/>
  <c r="AA267" i="5"/>
  <c r="AA725" i="5"/>
  <c r="AA256" i="5"/>
  <c r="AB158" i="5"/>
  <c r="AB103" i="5"/>
  <c r="AB148" i="5"/>
  <c r="AB228" i="5"/>
  <c r="AB175" i="5"/>
  <c r="AB421" i="5"/>
  <c r="AB479" i="5"/>
  <c r="AB446" i="5"/>
  <c r="AB254" i="5"/>
  <c r="AB307" i="5"/>
  <c r="AB546" i="5"/>
  <c r="AA947" i="5"/>
  <c r="AA121" i="5"/>
  <c r="AA276" i="5"/>
  <c r="AA358" i="5"/>
  <c r="AA346" i="5"/>
  <c r="AA308" i="5"/>
  <c r="AK486" i="5"/>
  <c r="T486" i="5"/>
  <c r="N486" i="5" s="1"/>
  <c r="AB657" i="5"/>
  <c r="AB733" i="5"/>
  <c r="AB810" i="5"/>
  <c r="AK106" i="5"/>
  <c r="T106" i="5"/>
  <c r="N106" i="5" s="1"/>
  <c r="AK85" i="5"/>
  <c r="T85" i="5"/>
  <c r="N85" i="5" s="1"/>
  <c r="AK162" i="5"/>
  <c r="T162" i="5"/>
  <c r="N162" i="5" s="1"/>
  <c r="AK381" i="5"/>
  <c r="T381" i="5"/>
  <c r="N381" i="5" s="1"/>
  <c r="AK172" i="5"/>
  <c r="T172" i="5"/>
  <c r="N172" i="5" s="1"/>
  <c r="AA486" i="5"/>
  <c r="AA658" i="5"/>
  <c r="AA905" i="5"/>
  <c r="AA194" i="5"/>
  <c r="T167" i="5"/>
  <c r="N167" i="5" s="1"/>
  <c r="AK167" i="5"/>
  <c r="AK278" i="5"/>
  <c r="T278" i="5"/>
  <c r="N278" i="5" s="1"/>
  <c r="AB547" i="5"/>
  <c r="AB367" i="5"/>
  <c r="AB732" i="5"/>
  <c r="AB771" i="5"/>
  <c r="AB811" i="5"/>
  <c r="AK100" i="5"/>
  <c r="T100" i="5"/>
  <c r="N100" i="5" s="1"/>
  <c r="AA366" i="5"/>
  <c r="AA770" i="5"/>
  <c r="AA812" i="5"/>
  <c r="T234" i="5"/>
  <c r="N234" i="5" s="1"/>
  <c r="AK234" i="5"/>
  <c r="AA399" i="5"/>
  <c r="AA355" i="5"/>
  <c r="AA108" i="5"/>
  <c r="AA252" i="5"/>
  <c r="AK96" i="5"/>
  <c r="T96" i="5"/>
  <c r="N96" i="5" s="1"/>
  <c r="T163" i="5"/>
  <c r="N163" i="5" s="1"/>
  <c r="AK163" i="5"/>
  <c r="T113" i="5"/>
  <c r="N113" i="5" s="1"/>
  <c r="AK113" i="5"/>
  <c r="T77" i="5"/>
  <c r="N77" i="5" s="1"/>
  <c r="AK77" i="5"/>
  <c r="AK87" i="5"/>
  <c r="T87" i="5"/>
  <c r="N87" i="5" s="1"/>
  <c r="AK125" i="5"/>
  <c r="T125" i="5"/>
  <c r="N125" i="5" s="1"/>
  <c r="AK226" i="5"/>
  <c r="T226" i="5"/>
  <c r="N226" i="5" s="1"/>
  <c r="AK419" i="5"/>
  <c r="X419" i="5"/>
  <c r="R419" i="5" s="1"/>
  <c r="T419" i="5"/>
  <c r="N419" i="5" s="1"/>
  <c r="AK134" i="5"/>
  <c r="X134" i="5"/>
  <c r="R134" i="5" s="1"/>
  <c r="T134" i="5"/>
  <c r="N134" i="5" s="1"/>
  <c r="AK424" i="5"/>
  <c r="X424" i="5"/>
  <c r="R424" i="5" s="1"/>
  <c r="T424" i="5"/>
  <c r="N424" i="5" s="1"/>
  <c r="AK906" i="5"/>
  <c r="X906" i="5"/>
  <c r="R906" i="5" s="1"/>
  <c r="T906" i="5"/>
  <c r="N906" i="5" s="1"/>
  <c r="AA262" i="5"/>
  <c r="AA226" i="5"/>
  <c r="AA445" i="5"/>
  <c r="X289" i="5"/>
  <c r="R289" i="5" s="1"/>
  <c r="T289" i="5"/>
  <c r="N289" i="5" s="1"/>
  <c r="AK289" i="5"/>
  <c r="X418" i="5"/>
  <c r="R418" i="5" s="1"/>
  <c r="T418" i="5"/>
  <c r="N418" i="5" s="1"/>
  <c r="AK418" i="5"/>
  <c r="X182" i="5"/>
  <c r="R182" i="5" s="1"/>
  <c r="T182" i="5"/>
  <c r="N182" i="5" s="1"/>
  <c r="AK182" i="5"/>
  <c r="X509" i="5"/>
  <c r="R509" i="5" s="1"/>
  <c r="T509" i="5"/>
  <c r="N509" i="5" s="1"/>
  <c r="AK509" i="5"/>
  <c r="X160" i="5"/>
  <c r="R160" i="5" s="1"/>
  <c r="T160" i="5"/>
  <c r="N160" i="5" s="1"/>
  <c r="AK160" i="5"/>
  <c r="AK214" i="5"/>
  <c r="X214" i="5"/>
  <c r="R214" i="5" s="1"/>
  <c r="T214" i="5"/>
  <c r="N214" i="5" s="1"/>
  <c r="AK636" i="5"/>
  <c r="X636" i="5"/>
  <c r="R636" i="5" s="1"/>
  <c r="T636" i="5"/>
  <c r="N636" i="5" s="1"/>
  <c r="AK287" i="5"/>
  <c r="X287" i="5"/>
  <c r="R287" i="5" s="1"/>
  <c r="T287" i="5"/>
  <c r="N287" i="5" s="1"/>
  <c r="X662" i="5"/>
  <c r="U662" i="5"/>
  <c r="O662" i="5" s="1"/>
  <c r="X584" i="5"/>
  <c r="U584" i="5"/>
  <c r="O584" i="5" s="1"/>
  <c r="T751" i="5"/>
  <c r="N751" i="5" s="1"/>
  <c r="AK751" i="5"/>
  <c r="X183" i="5"/>
  <c r="R183" i="5" s="1"/>
  <c r="T183" i="5"/>
  <c r="N183" i="5" s="1"/>
  <c r="AK183" i="5"/>
  <c r="X231" i="5"/>
  <c r="R231" i="5" s="1"/>
  <c r="T231" i="5"/>
  <c r="N231" i="5" s="1"/>
  <c r="AK231" i="5"/>
  <c r="X215" i="5"/>
  <c r="R215" i="5" s="1"/>
  <c r="T215" i="5"/>
  <c r="N215" i="5" s="1"/>
  <c r="AK215" i="5"/>
  <c r="X750" i="5"/>
  <c r="U750" i="5"/>
  <c r="X572" i="5"/>
  <c r="U572" i="5"/>
  <c r="O572" i="5" s="1"/>
  <c r="AK480" i="5"/>
  <c r="T480" i="5"/>
  <c r="N480" i="5" s="1"/>
  <c r="X728" i="5"/>
  <c r="U728" i="5"/>
  <c r="O728" i="5" s="1"/>
  <c r="X767" i="5"/>
  <c r="U767" i="5"/>
  <c r="O767" i="5" s="1"/>
  <c r="X863" i="5"/>
  <c r="U863" i="5"/>
  <c r="O863" i="5" s="1"/>
  <c r="AK861" i="5"/>
  <c r="U861" i="5"/>
  <c r="T861" i="5"/>
  <c r="N861" i="5" s="1"/>
  <c r="X861" i="5"/>
  <c r="T772" i="5"/>
  <c r="N772" i="5" s="1"/>
  <c r="AK772" i="5"/>
  <c r="T925" i="5"/>
  <c r="N925" i="5" s="1"/>
  <c r="AK925" i="5"/>
  <c r="T699" i="5"/>
  <c r="N699" i="5" s="1"/>
  <c r="X699" i="5"/>
  <c r="AK699" i="5"/>
  <c r="U699" i="5"/>
  <c r="X772" i="5"/>
  <c r="U772" i="5"/>
  <c r="O772" i="5" s="1"/>
  <c r="X925" i="5"/>
  <c r="U925" i="5"/>
  <c r="O925" i="5" s="1"/>
  <c r="X683" i="5"/>
  <c r="AK683" i="5"/>
  <c r="U683" i="5"/>
  <c r="T683" i="5"/>
  <c r="N683" i="5" s="1"/>
  <c r="AK907" i="5"/>
  <c r="T907" i="5"/>
  <c r="N907" i="5" s="1"/>
  <c r="AK768" i="5"/>
  <c r="T768" i="5"/>
  <c r="N768" i="5" s="1"/>
  <c r="X373" i="5"/>
  <c r="AK373" i="5"/>
  <c r="U373" i="5"/>
  <c r="T373" i="5"/>
  <c r="N373" i="5" s="1"/>
  <c r="T933" i="5"/>
  <c r="N933" i="5" s="1"/>
  <c r="X933" i="5"/>
  <c r="AK933" i="5"/>
  <c r="U933" i="5"/>
  <c r="X441" i="5"/>
  <c r="T441" i="5"/>
  <c r="N441" i="5" s="1"/>
  <c r="V441" i="5"/>
  <c r="AK441" i="5"/>
  <c r="U441" i="5"/>
  <c r="X624" i="5"/>
  <c r="T624" i="5"/>
  <c r="N624" i="5" s="1"/>
  <c r="V624" i="5"/>
  <c r="AK624" i="5"/>
  <c r="U624" i="5"/>
  <c r="T326" i="5"/>
  <c r="N326" i="5" s="1"/>
  <c r="AK326" i="5"/>
  <c r="X854" i="5"/>
  <c r="T854" i="5"/>
  <c r="N854" i="5" s="1"/>
  <c r="AK854" i="5"/>
  <c r="V854" i="5"/>
  <c r="U854" i="5"/>
  <c r="O695" i="5"/>
  <c r="AA695" i="5"/>
  <c r="X844" i="5"/>
  <c r="T844" i="5"/>
  <c r="N844" i="5" s="1"/>
  <c r="AK844" i="5"/>
  <c r="V844" i="5"/>
  <c r="U844" i="5"/>
  <c r="O494" i="5"/>
  <c r="AA494" i="5"/>
  <c r="X936" i="5"/>
  <c r="T936" i="5"/>
  <c r="N936" i="5" s="1"/>
  <c r="AK936" i="5"/>
  <c r="V936" i="5"/>
  <c r="U936" i="5"/>
  <c r="V817" i="5"/>
  <c r="AK817" i="5"/>
  <c r="U817" i="5"/>
  <c r="T817" i="5"/>
  <c r="N817" i="5" s="1"/>
  <c r="X817" i="5"/>
  <c r="V685" i="5"/>
  <c r="AK685" i="5"/>
  <c r="U685" i="5"/>
  <c r="T685" i="5"/>
  <c r="N685" i="5" s="1"/>
  <c r="X685" i="5"/>
  <c r="V315" i="5"/>
  <c r="AK315" i="5"/>
  <c r="X315" i="5"/>
  <c r="U315" i="5"/>
  <c r="T315" i="5"/>
  <c r="N315" i="5" s="1"/>
  <c r="O607" i="5"/>
  <c r="AA607" i="5"/>
  <c r="O326" i="5"/>
  <c r="AA326" i="5"/>
  <c r="X530" i="5"/>
  <c r="R530" i="5" s="1"/>
  <c r="AK530" i="5"/>
  <c r="T530" i="5"/>
  <c r="N530" i="5" s="1"/>
  <c r="X722" i="5"/>
  <c r="R722" i="5" s="1"/>
  <c r="T722" i="5"/>
  <c r="N722" i="5" s="1"/>
  <c r="AK722" i="5"/>
  <c r="X787" i="5"/>
  <c r="R787" i="5" s="1"/>
  <c r="T787" i="5"/>
  <c r="N787" i="5" s="1"/>
  <c r="AK787" i="5"/>
  <c r="AK332" i="5"/>
  <c r="X332" i="5"/>
  <c r="R332" i="5" s="1"/>
  <c r="T332" i="5"/>
  <c r="N332" i="5" s="1"/>
  <c r="AK898" i="5"/>
  <c r="T898" i="5"/>
  <c r="N898" i="5" s="1"/>
  <c r="AC442" i="5"/>
  <c r="Q442" i="5"/>
  <c r="T261" i="5"/>
  <c r="N261" i="5" s="1"/>
  <c r="AK261" i="5"/>
  <c r="T117" i="5"/>
  <c r="N117" i="5" s="1"/>
  <c r="AK117" i="5"/>
  <c r="T81" i="5"/>
  <c r="N81" i="5" s="1"/>
  <c r="AK81" i="5"/>
  <c r="AA81" i="5"/>
  <c r="N883" i="5"/>
  <c r="Z883" i="5"/>
  <c r="S883" i="5"/>
  <c r="N630" i="5"/>
  <c r="Z630" i="5"/>
  <c r="S630" i="5"/>
  <c r="AB790" i="5"/>
  <c r="AB290" i="5"/>
  <c r="AB780" i="5"/>
  <c r="AB189" i="5"/>
  <c r="V612" i="5"/>
  <c r="P612" i="5" s="1"/>
  <c r="AK612" i="5"/>
  <c r="AB833" i="5"/>
  <c r="AB784" i="5"/>
  <c r="AB931" i="5"/>
  <c r="T879" i="5"/>
  <c r="N879" i="5" s="1"/>
  <c r="AK879" i="5"/>
  <c r="AK420" i="5"/>
  <c r="T420" i="5"/>
  <c r="N420" i="5" s="1"/>
  <c r="AK695" i="5"/>
  <c r="T695" i="5"/>
  <c r="N695" i="5" s="1"/>
  <c r="AK637" i="5"/>
  <c r="T637" i="5"/>
  <c r="N637" i="5" s="1"/>
  <c r="Q575" i="5"/>
  <c r="AC575" i="5"/>
  <c r="Q439" i="5"/>
  <c r="AC439" i="5"/>
  <c r="AC624" i="5"/>
  <c r="Q624" i="5"/>
  <c r="AC441" i="5"/>
  <c r="Q441" i="5"/>
  <c r="T328" i="5"/>
  <c r="N328" i="5" s="1"/>
  <c r="AK328" i="5"/>
  <c r="T157" i="5"/>
  <c r="N157" i="5" s="1"/>
  <c r="AK157" i="5"/>
  <c r="AK655" i="5"/>
  <c r="T655" i="5"/>
  <c r="N655" i="5" s="1"/>
  <c r="T462" i="5"/>
  <c r="N462" i="5" s="1"/>
  <c r="AK462" i="5"/>
  <c r="T95" i="5"/>
  <c r="N95" i="5" s="1"/>
  <c r="AK95" i="5"/>
  <c r="T792" i="5"/>
  <c r="N792" i="5" s="1"/>
  <c r="AK792" i="5"/>
  <c r="AK108" i="5"/>
  <c r="T108" i="5"/>
  <c r="N108" i="5" s="1"/>
  <c r="AK90" i="5"/>
  <c r="T90" i="5"/>
  <c r="N90" i="5" s="1"/>
  <c r="AK803" i="5"/>
  <c r="T803" i="5"/>
  <c r="N803" i="5" s="1"/>
  <c r="AA150" i="5"/>
  <c r="AA534" i="5"/>
  <c r="AK91" i="5"/>
  <c r="T91" i="5"/>
  <c r="N91" i="5" s="1"/>
  <c r="AA116" i="5"/>
  <c r="T329" i="5"/>
  <c r="N329" i="5" s="1"/>
  <c r="AK329" i="5"/>
  <c r="T84" i="5"/>
  <c r="N84" i="5" s="1"/>
  <c r="AK84" i="5"/>
  <c r="AA111" i="5"/>
  <c r="AA792" i="5"/>
  <c r="T195" i="5"/>
  <c r="N195" i="5" s="1"/>
  <c r="AK195" i="5"/>
  <c r="AK129" i="5"/>
  <c r="T129" i="5"/>
  <c r="N129" i="5" s="1"/>
  <c r="AK168" i="5"/>
  <c r="T168" i="5"/>
  <c r="N168" i="5" s="1"/>
  <c r="AA516" i="5"/>
  <c r="AK94" i="5"/>
  <c r="T94" i="5"/>
  <c r="N94" i="5" s="1"/>
  <c r="AB788" i="5"/>
  <c r="AB625" i="5"/>
  <c r="AB472" i="5"/>
  <c r="N731" i="5"/>
  <c r="Z731" i="5"/>
  <c r="S731" i="5"/>
  <c r="N678" i="5"/>
  <c r="Z678" i="5"/>
  <c r="S678" i="5"/>
  <c r="N756" i="5"/>
  <c r="Z756" i="5"/>
  <c r="S756" i="5"/>
  <c r="N415" i="5"/>
  <c r="Z415" i="5"/>
  <c r="S415" i="5"/>
  <c r="N654" i="5"/>
  <c r="Z654" i="5"/>
  <c r="S654" i="5"/>
  <c r="N729" i="5"/>
  <c r="Z729" i="5"/>
  <c r="S729" i="5"/>
  <c r="J723" i="5"/>
  <c r="J433" i="5"/>
  <c r="J620" i="5"/>
  <c r="AB411" i="5"/>
  <c r="AB206" i="5"/>
  <c r="AB952" i="5"/>
  <c r="AB913" i="5"/>
  <c r="AB579" i="5"/>
  <c r="AB377" i="5"/>
  <c r="AB151" i="5"/>
  <c r="AB914" i="5"/>
  <c r="AB633" i="5"/>
  <c r="AB870" i="5"/>
  <c r="AB736" i="5"/>
  <c r="V853" i="5"/>
  <c r="P853" i="5" s="1"/>
  <c r="AK853" i="5"/>
  <c r="V835" i="5"/>
  <c r="P835" i="5" s="1"/>
  <c r="AK835" i="5"/>
  <c r="V834" i="5"/>
  <c r="P834" i="5" s="1"/>
  <c r="AK834" i="5"/>
  <c r="V820" i="5"/>
  <c r="P820" i="5" s="1"/>
  <c r="AK820" i="5"/>
  <c r="J246" i="5"/>
  <c r="AB715" i="5"/>
  <c r="AB645" i="5"/>
  <c r="AK458" i="5"/>
  <c r="V713" i="5"/>
  <c r="P713" i="5" s="1"/>
  <c r="AB899" i="5"/>
  <c r="AK953" i="5"/>
  <c r="AK224" i="5"/>
  <c r="T224" i="5"/>
  <c r="N224" i="5" s="1"/>
  <c r="AK559" i="5"/>
  <c r="T559" i="5"/>
  <c r="N559" i="5" s="1"/>
  <c r="AK388" i="5"/>
  <c r="T388" i="5"/>
  <c r="N388" i="5" s="1"/>
  <c r="AK492" i="5"/>
  <c r="T492" i="5"/>
  <c r="N492" i="5" s="1"/>
  <c r="AK860" i="5"/>
  <c r="T860" i="5"/>
  <c r="N860" i="5" s="1"/>
  <c r="X975" i="5"/>
  <c r="R975" i="5" s="1"/>
  <c r="T975" i="5"/>
  <c r="N975" i="5" s="1"/>
  <c r="AK975" i="5"/>
  <c r="AA385" i="5"/>
  <c r="AK416" i="5"/>
  <c r="T416" i="5"/>
  <c r="N416" i="5" s="1"/>
  <c r="AK560" i="5"/>
  <c r="T560" i="5"/>
  <c r="N560" i="5" s="1"/>
  <c r="AK412" i="5"/>
  <c r="T412" i="5"/>
  <c r="N412" i="5" s="1"/>
  <c r="T414" i="5"/>
  <c r="N414" i="5" s="1"/>
  <c r="AK414" i="5"/>
  <c r="X414" i="5"/>
  <c r="T977" i="5"/>
  <c r="N977" i="5" s="1"/>
  <c r="AK977" i="5"/>
  <c r="X977" i="5"/>
  <c r="R977" i="5" s="1"/>
  <c r="AA431" i="5"/>
  <c r="AA921" i="5"/>
  <c r="AA423" i="5"/>
  <c r="AK588" i="5"/>
  <c r="T588" i="5"/>
  <c r="N588" i="5" s="1"/>
  <c r="AK742" i="5"/>
  <c r="T742" i="5"/>
  <c r="N742" i="5" s="1"/>
  <c r="AK450" i="5"/>
  <c r="T450" i="5"/>
  <c r="N450" i="5" s="1"/>
  <c r="AK871" i="5"/>
  <c r="T871" i="5"/>
  <c r="N871" i="5" s="1"/>
  <c r="AK533" i="5"/>
  <c r="T533" i="5"/>
  <c r="N533" i="5" s="1"/>
  <c r="AK483" i="5"/>
  <c r="T483" i="5"/>
  <c r="N483" i="5" s="1"/>
  <c r="AK807" i="5"/>
  <c r="T807" i="5"/>
  <c r="N807" i="5" s="1"/>
  <c r="AK507" i="5"/>
  <c r="T507" i="5"/>
  <c r="N507" i="5" s="1"/>
  <c r="AK253" i="5"/>
  <c r="T253" i="5"/>
  <c r="N253" i="5" s="1"/>
  <c r="AA661" i="5"/>
  <c r="AA561" i="5"/>
  <c r="AA889" i="5"/>
  <c r="T269" i="5"/>
  <c r="N269" i="5" s="1"/>
  <c r="AK269" i="5"/>
  <c r="T368" i="5"/>
  <c r="N368" i="5" s="1"/>
  <c r="AK368" i="5"/>
  <c r="T855" i="5"/>
  <c r="N855" i="5" s="1"/>
  <c r="AK855" i="5"/>
  <c r="X885" i="5"/>
  <c r="R885" i="5" s="1"/>
  <c r="T885" i="5"/>
  <c r="N885" i="5" s="1"/>
  <c r="AK885" i="5"/>
  <c r="X943" i="5"/>
  <c r="R943" i="5" s="1"/>
  <c r="T943" i="5"/>
  <c r="N943" i="5" s="1"/>
  <c r="AK943" i="5"/>
  <c r="X754" i="5"/>
  <c r="R754" i="5" s="1"/>
  <c r="T754" i="5"/>
  <c r="N754" i="5" s="1"/>
  <c r="AK754" i="5"/>
  <c r="X960" i="5"/>
  <c r="R960" i="5" s="1"/>
  <c r="T960" i="5"/>
  <c r="N960" i="5" s="1"/>
  <c r="AK960" i="5"/>
  <c r="T154" i="5"/>
  <c r="N154" i="5" s="1"/>
  <c r="AK154" i="5"/>
  <c r="T293" i="5"/>
  <c r="N293" i="5" s="1"/>
  <c r="AK293" i="5"/>
  <c r="T314" i="5"/>
  <c r="N314" i="5" s="1"/>
  <c r="AK314" i="5"/>
  <c r="T311" i="5"/>
  <c r="N311" i="5" s="1"/>
  <c r="AK311" i="5"/>
  <c r="AK564" i="5"/>
  <c r="T564" i="5"/>
  <c r="N564" i="5" s="1"/>
  <c r="T263" i="5"/>
  <c r="N263" i="5" s="1"/>
  <c r="AK263" i="5"/>
  <c r="T605" i="5"/>
  <c r="N605" i="5" s="1"/>
  <c r="AK605" i="5"/>
  <c r="T918" i="5"/>
  <c r="N918" i="5" s="1"/>
  <c r="AK918" i="5"/>
  <c r="AK407" i="5"/>
  <c r="T407" i="5"/>
  <c r="N407" i="5" s="1"/>
  <c r="AK878" i="5"/>
  <c r="T878" i="5"/>
  <c r="N878" i="5" s="1"/>
  <c r="AK245" i="5"/>
  <c r="T245" i="5"/>
  <c r="N245" i="5" s="1"/>
  <c r="AK798" i="5"/>
  <c r="T798" i="5"/>
  <c r="N798" i="5" s="1"/>
  <c r="AK749" i="5"/>
  <c r="T749" i="5"/>
  <c r="N749" i="5" s="1"/>
  <c r="AK317" i="5"/>
  <c r="T317" i="5"/>
  <c r="N317" i="5" s="1"/>
  <c r="AK777" i="5"/>
  <c r="T777" i="5"/>
  <c r="N777" i="5" s="1"/>
  <c r="AK403" i="5"/>
  <c r="T403" i="5"/>
  <c r="N403" i="5" s="1"/>
  <c r="AK361" i="5"/>
  <c r="T361" i="5"/>
  <c r="N361" i="5" s="1"/>
  <c r="AK353" i="5"/>
  <c r="T353" i="5"/>
  <c r="N353" i="5" s="1"/>
  <c r="T774" i="5"/>
  <c r="N774" i="5" s="1"/>
  <c r="AK774" i="5"/>
  <c r="T333" i="5"/>
  <c r="N333" i="5" s="1"/>
  <c r="AK333" i="5"/>
  <c r="T781" i="5"/>
  <c r="N781" i="5" s="1"/>
  <c r="AK781" i="5"/>
  <c r="AK179" i="5"/>
  <c r="T179" i="5"/>
  <c r="N179" i="5" s="1"/>
  <c r="AK191" i="5"/>
  <c r="T191" i="5"/>
  <c r="N191" i="5" s="1"/>
  <c r="AK757" i="5"/>
  <c r="T757" i="5"/>
  <c r="N757" i="5" s="1"/>
  <c r="T690" i="5"/>
  <c r="N690" i="5" s="1"/>
  <c r="AK690" i="5"/>
  <c r="X690" i="5"/>
  <c r="R690" i="5" s="1"/>
  <c r="T944" i="5"/>
  <c r="N944" i="5" s="1"/>
  <c r="AK944" i="5"/>
  <c r="X944" i="5"/>
  <c r="R944" i="5" s="1"/>
  <c r="T966" i="5"/>
  <c r="N966" i="5" s="1"/>
  <c r="AK966" i="5"/>
  <c r="X966" i="5"/>
  <c r="R966" i="5" s="1"/>
  <c r="T927" i="5"/>
  <c r="N927" i="5" s="1"/>
  <c r="AK927" i="5"/>
  <c r="X927" i="5"/>
  <c r="R927" i="5" s="1"/>
  <c r="AK133" i="5"/>
  <c r="T133" i="5"/>
  <c r="N133" i="5" s="1"/>
  <c r="AK165" i="5"/>
  <c r="T165" i="5"/>
  <c r="N165" i="5" s="1"/>
  <c r="AK184" i="5"/>
  <c r="T184" i="5"/>
  <c r="N184" i="5" s="1"/>
  <c r="AK357" i="5"/>
  <c r="T357" i="5"/>
  <c r="N357" i="5" s="1"/>
  <c r="AK549" i="5"/>
  <c r="T549" i="5"/>
  <c r="N549" i="5" s="1"/>
  <c r="AK374" i="5"/>
  <c r="T374" i="5"/>
  <c r="N374" i="5" s="1"/>
  <c r="AA334" i="5"/>
  <c r="AA304" i="5"/>
  <c r="AA765" i="5"/>
  <c r="AA808" i="5"/>
  <c r="AA339" i="5"/>
  <c r="AA520" i="5"/>
  <c r="AA782" i="5"/>
  <c r="AA840" i="5"/>
  <c r="AA604" i="5"/>
  <c r="O604" i="5"/>
  <c r="AA565" i="5"/>
  <c r="O565" i="5"/>
  <c r="N744" i="5"/>
  <c r="AK744" i="5"/>
  <c r="N640" i="5"/>
  <c r="AK640" i="5"/>
  <c r="T747" i="5"/>
  <c r="N747" i="5" s="1"/>
  <c r="AK747" i="5"/>
  <c r="T923" i="5"/>
  <c r="N923" i="5" s="1"/>
  <c r="AK923" i="5"/>
  <c r="T873" i="5"/>
  <c r="N873" i="5" s="1"/>
  <c r="AK873" i="5"/>
  <c r="T901" i="5"/>
  <c r="N901" i="5" s="1"/>
  <c r="AK901" i="5"/>
  <c r="N865" i="5"/>
  <c r="AK865" i="5"/>
  <c r="T866" i="5"/>
  <c r="N866" i="5" s="1"/>
  <c r="AK866" i="5"/>
  <c r="T800" i="5"/>
  <c r="N800" i="5" s="1"/>
  <c r="AK800" i="5"/>
  <c r="T956" i="5"/>
  <c r="N956" i="5" s="1"/>
  <c r="AK956" i="5"/>
  <c r="T961" i="5"/>
  <c r="N961" i="5" s="1"/>
  <c r="AK961" i="5"/>
  <c r="T820" i="5"/>
  <c r="N820" i="5" s="1"/>
  <c r="U820" i="5"/>
  <c r="O820" i="5" s="1"/>
  <c r="T714" i="5"/>
  <c r="N714" i="5" s="1"/>
  <c r="U714" i="5"/>
  <c r="O714" i="5" s="1"/>
  <c r="T459" i="5"/>
  <c r="N459" i="5" s="1"/>
  <c r="AK459" i="5"/>
  <c r="U459" i="5"/>
  <c r="O459" i="5" s="1"/>
  <c r="T645" i="5"/>
  <c r="N645" i="5" s="1"/>
  <c r="AK645" i="5"/>
  <c r="U645" i="5"/>
  <c r="O645" i="5" s="1"/>
  <c r="AA302" i="5"/>
  <c r="AA454" i="5"/>
  <c r="AA337" i="5"/>
  <c r="AA551" i="5"/>
  <c r="AA221" i="5"/>
  <c r="AA324" i="5"/>
  <c r="AA615" i="5"/>
  <c r="AA809" i="5"/>
  <c r="AA394" i="5"/>
  <c r="AA942" i="5"/>
  <c r="AA361" i="5"/>
  <c r="O361" i="5"/>
  <c r="AA549" i="5"/>
  <c r="O549" i="5"/>
  <c r="X549" i="5"/>
  <c r="R549" i="5" s="1"/>
  <c r="U899" i="5"/>
  <c r="O899" i="5" s="1"/>
  <c r="T899" i="5"/>
  <c r="N899" i="5" s="1"/>
  <c r="AK456" i="5"/>
  <c r="U456" i="5"/>
  <c r="O456" i="5" s="1"/>
  <c r="T456" i="5"/>
  <c r="N456" i="5" s="1"/>
  <c r="AK613" i="5"/>
  <c r="U613" i="5"/>
  <c r="O613" i="5" s="1"/>
  <c r="T613" i="5"/>
  <c r="N613" i="5" s="1"/>
  <c r="AK743" i="5"/>
  <c r="U743" i="5"/>
  <c r="O743" i="5" s="1"/>
  <c r="T743" i="5"/>
  <c r="N743" i="5" s="1"/>
  <c r="T334" i="5"/>
  <c r="N334" i="5" s="1"/>
  <c r="AK334" i="5"/>
  <c r="T304" i="5"/>
  <c r="N304" i="5" s="1"/>
  <c r="AK304" i="5"/>
  <c r="T765" i="5"/>
  <c r="N765" i="5" s="1"/>
  <c r="AK765" i="5"/>
  <c r="AA616" i="5"/>
  <c r="AK540" i="5"/>
  <c r="T540" i="5"/>
  <c r="N540" i="5" s="1"/>
  <c r="AK909" i="5"/>
  <c r="T909" i="5"/>
  <c r="N909" i="5" s="1"/>
  <c r="AA614" i="5"/>
  <c r="AA647" i="5"/>
  <c r="AA634" i="5"/>
  <c r="AA928" i="5"/>
  <c r="AA152" i="5"/>
  <c r="AA413" i="5"/>
  <c r="AA473" i="5"/>
  <c r="AA668" i="5"/>
  <c r="AA541" i="5"/>
  <c r="AA727" i="5"/>
  <c r="T330" i="5"/>
  <c r="N330" i="5" s="1"/>
  <c r="AK330" i="5"/>
  <c r="T240" i="5"/>
  <c r="N240" i="5" s="1"/>
  <c r="AK240" i="5"/>
  <c r="T780" i="5"/>
  <c r="N780" i="5" s="1"/>
  <c r="AK780" i="5"/>
  <c r="T648" i="5"/>
  <c r="N648" i="5" s="1"/>
  <c r="AK648" i="5"/>
  <c r="T841" i="5"/>
  <c r="N841" i="5" s="1"/>
  <c r="AK841" i="5"/>
  <c r="T241" i="5"/>
  <c r="N241" i="5" s="1"/>
  <c r="AK241" i="5"/>
  <c r="T290" i="5"/>
  <c r="N290" i="5" s="1"/>
  <c r="AK290" i="5"/>
  <c r="AA411" i="5"/>
  <c r="AK362" i="5"/>
  <c r="T362" i="5"/>
  <c r="N362" i="5" s="1"/>
  <c r="AK626" i="5"/>
  <c r="T626" i="5"/>
  <c r="N626" i="5" s="1"/>
  <c r="AA375" i="5"/>
  <c r="AA477" i="5"/>
  <c r="AA448" i="5"/>
  <c r="AA680" i="5"/>
  <c r="AA764" i="5"/>
  <c r="AA929" i="5"/>
  <c r="AA313" i="5"/>
  <c r="AA511" i="5"/>
  <c r="U362" i="5"/>
  <c r="O362" i="5" s="1"/>
  <c r="V362" i="5"/>
  <c r="P362" i="5" s="1"/>
  <c r="AA626" i="5"/>
  <c r="AK851" i="5"/>
  <c r="T851" i="5"/>
  <c r="N851" i="5" s="1"/>
  <c r="AA519" i="5"/>
  <c r="AA540" i="5"/>
  <c r="AA726" i="5"/>
  <c r="AA909" i="5"/>
  <c r="AK246" i="5"/>
  <c r="T246" i="5"/>
  <c r="N246" i="5" s="1"/>
  <c r="AK608" i="5"/>
  <c r="T608" i="5"/>
  <c r="N608" i="5" s="1"/>
  <c r="AK679" i="5"/>
  <c r="T679" i="5"/>
  <c r="N679" i="5" s="1"/>
  <c r="AK763" i="5"/>
  <c r="T763" i="5"/>
  <c r="N763" i="5" s="1"/>
  <c r="AK842" i="5"/>
  <c r="T842" i="5"/>
  <c r="N842" i="5" s="1"/>
  <c r="AK170" i="5"/>
  <c r="T170" i="5"/>
  <c r="N170" i="5" s="1"/>
  <c r="AK202" i="5"/>
  <c r="T202" i="5"/>
  <c r="N202" i="5" s="1"/>
  <c r="AA285" i="5"/>
  <c r="AA282" i="5"/>
  <c r="AA672" i="5"/>
  <c r="AA639" i="5"/>
  <c r="AA789" i="5"/>
  <c r="AB285" i="5"/>
  <c r="AB297" i="5"/>
  <c r="AB282" i="5"/>
  <c r="AB342" i="5"/>
  <c r="AB672" i="5"/>
  <c r="AB409" i="5"/>
  <c r="AB639" i="5"/>
  <c r="AB845" i="5"/>
  <c r="AB591" i="5"/>
  <c r="AB436" i="5"/>
  <c r="AB700" i="5"/>
  <c r="AB739" i="5"/>
  <c r="AB795" i="5"/>
  <c r="AB858" i="5"/>
  <c r="AK902" i="5"/>
  <c r="T902" i="5"/>
  <c r="N902" i="5" s="1"/>
  <c r="AK490" i="5"/>
  <c r="T490" i="5"/>
  <c r="N490" i="5" s="1"/>
  <c r="AK576" i="5"/>
  <c r="T576" i="5"/>
  <c r="N576" i="5" s="1"/>
  <c r="AK724" i="5"/>
  <c r="T724" i="5"/>
  <c r="N724" i="5" s="1"/>
  <c r="AK704" i="5"/>
  <c r="AK630" i="5"/>
  <c r="AK397" i="5"/>
  <c r="AK735" i="5"/>
  <c r="AK660" i="5"/>
  <c r="AK883" i="5"/>
  <c r="AA209" i="5"/>
  <c r="AA430" i="5"/>
  <c r="AA578" i="5"/>
  <c r="AA590" i="5"/>
  <c r="AA557" i="5"/>
  <c r="AA554" i="5"/>
  <c r="AA876" i="5"/>
  <c r="AA472" i="5"/>
  <c r="AA625" i="5"/>
  <c r="AA788" i="5"/>
  <c r="AA729" i="5"/>
  <c r="O729" i="5"/>
  <c r="AA654" i="5"/>
  <c r="O654" i="5"/>
  <c r="AA415" i="5"/>
  <c r="O415" i="5"/>
  <c r="AA756" i="5"/>
  <c r="O756" i="5"/>
  <c r="AA678" i="5"/>
  <c r="O678" i="5"/>
  <c r="AA731" i="5"/>
  <c r="O731" i="5"/>
  <c r="T285" i="5"/>
  <c r="N285" i="5" s="1"/>
  <c r="AK285" i="5"/>
  <c r="T297" i="5"/>
  <c r="N297" i="5" s="1"/>
  <c r="AK297" i="5"/>
  <c r="T282" i="5"/>
  <c r="N282" i="5" s="1"/>
  <c r="AK282" i="5"/>
  <c r="T342" i="5"/>
  <c r="N342" i="5" s="1"/>
  <c r="AK342" i="5"/>
  <c r="T672" i="5"/>
  <c r="N672" i="5" s="1"/>
  <c r="AK672" i="5"/>
  <c r="T409" i="5"/>
  <c r="N409" i="5" s="1"/>
  <c r="AK409" i="5"/>
  <c r="T639" i="5"/>
  <c r="N639" i="5" s="1"/>
  <c r="AK639" i="5"/>
  <c r="T845" i="5"/>
  <c r="N845" i="5" s="1"/>
  <c r="AK845" i="5"/>
  <c r="T591" i="5"/>
  <c r="N591" i="5" s="1"/>
  <c r="AK591" i="5"/>
  <c r="T436" i="5"/>
  <c r="N436" i="5" s="1"/>
  <c r="AK436" i="5"/>
  <c r="T700" i="5"/>
  <c r="N700" i="5" s="1"/>
  <c r="AK700" i="5"/>
  <c r="T739" i="5"/>
  <c r="N739" i="5" s="1"/>
  <c r="AK739" i="5"/>
  <c r="T795" i="5"/>
  <c r="N795" i="5" s="1"/>
  <c r="AK795" i="5"/>
  <c r="T858" i="5"/>
  <c r="N858" i="5" s="1"/>
  <c r="AK858" i="5"/>
  <c r="AA591" i="5"/>
  <c r="AA700" i="5"/>
  <c r="AA795" i="5"/>
  <c r="AK859" i="5"/>
  <c r="T859" i="5"/>
  <c r="N859" i="5" s="1"/>
  <c r="AB120" i="5"/>
  <c r="AB123" i="5"/>
  <c r="AB275" i="5"/>
  <c r="AB136" i="5"/>
  <c r="AB238" i="5"/>
  <c r="AB400" i="5"/>
  <c r="AB351" i="5"/>
  <c r="AB545" i="5"/>
  <c r="AB306" i="5"/>
  <c r="AB348" i="5"/>
  <c r="AB366" i="5"/>
  <c r="AA158" i="5"/>
  <c r="AA148" i="5"/>
  <c r="AA175" i="5"/>
  <c r="AA479" i="5"/>
  <c r="AA254" i="5"/>
  <c r="AA546" i="5"/>
  <c r="T120" i="5"/>
  <c r="N120" i="5" s="1"/>
  <c r="AK120" i="5"/>
  <c r="T123" i="5"/>
  <c r="N123" i="5" s="1"/>
  <c r="AK123" i="5"/>
  <c r="T275" i="5"/>
  <c r="N275" i="5" s="1"/>
  <c r="AK275" i="5"/>
  <c r="T136" i="5"/>
  <c r="N136" i="5" s="1"/>
  <c r="AK136" i="5"/>
  <c r="T238" i="5"/>
  <c r="N238" i="5" s="1"/>
  <c r="AK238" i="5"/>
  <c r="T400" i="5"/>
  <c r="N400" i="5" s="1"/>
  <c r="AK400" i="5"/>
  <c r="T351" i="5"/>
  <c r="N351" i="5" s="1"/>
  <c r="AK351" i="5"/>
  <c r="T545" i="5"/>
  <c r="N545" i="5" s="1"/>
  <c r="AK545" i="5"/>
  <c r="T306" i="5"/>
  <c r="N306" i="5" s="1"/>
  <c r="AK306" i="5"/>
  <c r="T348" i="5"/>
  <c r="N348" i="5" s="1"/>
  <c r="AK348" i="5"/>
  <c r="AK365" i="5"/>
  <c r="T365" i="5"/>
  <c r="N365" i="5" s="1"/>
  <c r="AA120" i="5"/>
  <c r="AA275" i="5"/>
  <c r="AA238" i="5"/>
  <c r="AA351" i="5"/>
  <c r="AA306" i="5"/>
  <c r="AA365" i="5"/>
  <c r="AK367" i="5"/>
  <c r="T367" i="5"/>
  <c r="N367" i="5" s="1"/>
  <c r="AK732" i="5"/>
  <c r="T732" i="5"/>
  <c r="N732" i="5" s="1"/>
  <c r="AK771" i="5"/>
  <c r="T771" i="5"/>
  <c r="N771" i="5" s="1"/>
  <c r="AK811" i="5"/>
  <c r="T811" i="5"/>
  <c r="N811" i="5" s="1"/>
  <c r="AA126" i="5"/>
  <c r="AA82" i="5"/>
  <c r="AA515" i="5"/>
  <c r="AA367" i="5"/>
  <c r="AA771" i="5"/>
  <c r="AA162" i="5"/>
  <c r="AA381" i="5"/>
  <c r="T366" i="5"/>
  <c r="N366" i="5" s="1"/>
  <c r="AK366" i="5"/>
  <c r="T487" i="5"/>
  <c r="N487" i="5" s="1"/>
  <c r="AK487" i="5"/>
  <c r="T770" i="5"/>
  <c r="N770" i="5" s="1"/>
  <c r="AK770" i="5"/>
  <c r="T659" i="5"/>
  <c r="N659" i="5" s="1"/>
  <c r="AK659" i="5"/>
  <c r="T812" i="5"/>
  <c r="N812" i="5" s="1"/>
  <c r="AK812" i="5"/>
  <c r="AK150" i="5"/>
  <c r="T150" i="5"/>
  <c r="N150" i="5" s="1"/>
  <c r="AA548" i="5"/>
  <c r="AA733" i="5"/>
  <c r="T171" i="5"/>
  <c r="N171" i="5" s="1"/>
  <c r="AK171" i="5"/>
  <c r="T82" i="5"/>
  <c r="N82" i="5" s="1"/>
  <c r="AK82" i="5"/>
  <c r="T646" i="5"/>
  <c r="N646" i="5" s="1"/>
  <c r="AK646" i="5"/>
  <c r="T356" i="5"/>
  <c r="N356" i="5" s="1"/>
  <c r="AK356" i="5"/>
  <c r="T107" i="5"/>
  <c r="N107" i="5" s="1"/>
  <c r="AK107" i="5"/>
  <c r="T76" i="5"/>
  <c r="N76" i="5" s="1"/>
  <c r="AK76" i="5"/>
  <c r="T299" i="5"/>
  <c r="N299" i="5" s="1"/>
  <c r="AK299" i="5"/>
  <c r="AK528" i="5"/>
  <c r="T528" i="5"/>
  <c r="N528" i="5" s="1"/>
  <c r="T229" i="5"/>
  <c r="N229" i="5" s="1"/>
  <c r="AK229" i="5"/>
  <c r="T83" i="5"/>
  <c r="N83" i="5" s="1"/>
  <c r="AK83" i="5"/>
  <c r="T338" i="5"/>
  <c r="N338" i="5" s="1"/>
  <c r="AK338" i="5"/>
  <c r="AK86" i="5"/>
  <c r="T86" i="5"/>
  <c r="N86" i="5" s="1"/>
  <c r="AK535" i="5"/>
  <c r="X535" i="5"/>
  <c r="T535" i="5"/>
  <c r="N535" i="5" s="1"/>
  <c r="AK223" i="5"/>
  <c r="X223" i="5"/>
  <c r="R223" i="5" s="1"/>
  <c r="T223" i="5"/>
  <c r="N223" i="5" s="1"/>
  <c r="AK265" i="5"/>
  <c r="X265" i="5"/>
  <c r="R265" i="5" s="1"/>
  <c r="T265" i="5"/>
  <c r="N265" i="5" s="1"/>
  <c r="AK677" i="5"/>
  <c r="X677" i="5"/>
  <c r="R677" i="5" s="1"/>
  <c r="T677" i="5"/>
  <c r="N677" i="5" s="1"/>
  <c r="AK203" i="5"/>
  <c r="X203" i="5"/>
  <c r="R203" i="5" s="1"/>
  <c r="T203" i="5"/>
  <c r="N203" i="5" s="1"/>
  <c r="T105" i="5"/>
  <c r="N105" i="5" s="1"/>
  <c r="AK105" i="5"/>
  <c r="T445" i="5"/>
  <c r="N445" i="5" s="1"/>
  <c r="AK445" i="5"/>
  <c r="T227" i="5"/>
  <c r="N227" i="5" s="1"/>
  <c r="AK227" i="5"/>
  <c r="AA463" i="5"/>
  <c r="X354" i="5"/>
  <c r="R354" i="5" s="1"/>
  <c r="T354" i="5"/>
  <c r="N354" i="5" s="1"/>
  <c r="AK354" i="5"/>
  <c r="X201" i="5"/>
  <c r="R201" i="5" s="1"/>
  <c r="T201" i="5"/>
  <c r="N201" i="5" s="1"/>
  <c r="AK201" i="5"/>
  <c r="X629" i="5"/>
  <c r="R629" i="5" s="1"/>
  <c r="T629" i="5"/>
  <c r="N629" i="5" s="1"/>
  <c r="AK629" i="5"/>
  <c r="X829" i="5"/>
  <c r="R829" i="5" s="1"/>
  <c r="T829" i="5"/>
  <c r="N829" i="5" s="1"/>
  <c r="AK829" i="5"/>
  <c r="X135" i="5"/>
  <c r="R135" i="5" s="1"/>
  <c r="T135" i="5"/>
  <c r="N135" i="5" s="1"/>
  <c r="AK135" i="5"/>
  <c r="AK177" i="5"/>
  <c r="X177" i="5"/>
  <c r="R177" i="5" s="1"/>
  <c r="T177" i="5"/>
  <c r="N177" i="5" s="1"/>
  <c r="AK321" i="5"/>
  <c r="X321" i="5"/>
  <c r="R321" i="5" s="1"/>
  <c r="T321" i="5"/>
  <c r="N321" i="5" s="1"/>
  <c r="AK502" i="5"/>
  <c r="X502" i="5"/>
  <c r="R502" i="5" s="1"/>
  <c r="T502" i="5"/>
  <c r="N502" i="5" s="1"/>
  <c r="X480" i="5"/>
  <c r="U480" i="5"/>
  <c r="O480" i="5" s="1"/>
  <c r="T750" i="5"/>
  <c r="N750" i="5" s="1"/>
  <c r="AK750" i="5"/>
  <c r="T572" i="5"/>
  <c r="N572" i="5" s="1"/>
  <c r="AK572" i="5"/>
  <c r="X281" i="5"/>
  <c r="R281" i="5" s="1"/>
  <c r="T281" i="5"/>
  <c r="N281" i="5" s="1"/>
  <c r="AK281" i="5"/>
  <c r="X119" i="5"/>
  <c r="R119" i="5" s="1"/>
  <c r="T119" i="5"/>
  <c r="N119" i="5" s="1"/>
  <c r="AK119" i="5"/>
  <c r="X382" i="5"/>
  <c r="R382" i="5" s="1"/>
  <c r="T382" i="5"/>
  <c r="N382" i="5" s="1"/>
  <c r="AK382" i="5"/>
  <c r="X571" i="5"/>
  <c r="U571" i="5"/>
  <c r="O571" i="5" s="1"/>
  <c r="X586" i="5"/>
  <c r="U586" i="5"/>
  <c r="O586" i="5" s="1"/>
  <c r="AK574" i="5"/>
  <c r="T574" i="5"/>
  <c r="N574" i="5" s="1"/>
  <c r="X496" i="5"/>
  <c r="U496" i="5"/>
  <c r="O496" i="5" s="1"/>
  <c r="X687" i="5"/>
  <c r="U687" i="5"/>
  <c r="O687" i="5" s="1"/>
  <c r="X951" i="5"/>
  <c r="U951" i="5"/>
  <c r="O951" i="5" s="1"/>
  <c r="T501" i="5"/>
  <c r="N501" i="5" s="1"/>
  <c r="AK501" i="5"/>
  <c r="T839" i="5"/>
  <c r="N839" i="5" s="1"/>
  <c r="AK839" i="5"/>
  <c r="T926" i="5"/>
  <c r="N926" i="5" s="1"/>
  <c r="AK926" i="5"/>
  <c r="X501" i="5"/>
  <c r="U501" i="5"/>
  <c r="O501" i="5" s="1"/>
  <c r="X839" i="5"/>
  <c r="U839" i="5"/>
  <c r="O839" i="5" s="1"/>
  <c r="X926" i="5"/>
  <c r="U926" i="5"/>
  <c r="O926" i="5" s="1"/>
  <c r="AK728" i="5"/>
  <c r="T728" i="5"/>
  <c r="N728" i="5" s="1"/>
  <c r="AK767" i="5"/>
  <c r="T767" i="5"/>
  <c r="N767" i="5" s="1"/>
  <c r="AK863" i="5"/>
  <c r="T863" i="5"/>
  <c r="N863" i="5" s="1"/>
  <c r="X652" i="5"/>
  <c r="AK652" i="5"/>
  <c r="U652" i="5"/>
  <c r="T652" i="5"/>
  <c r="N652" i="5" s="1"/>
  <c r="X621" i="5"/>
  <c r="T621" i="5"/>
  <c r="N621" i="5" s="1"/>
  <c r="V621" i="5"/>
  <c r="AK621" i="5"/>
  <c r="W621" i="5"/>
  <c r="U621" i="5"/>
  <c r="X442" i="5"/>
  <c r="T442" i="5"/>
  <c r="N442" i="5" s="1"/>
  <c r="V442" i="5"/>
  <c r="AK442" i="5"/>
  <c r="U442" i="5"/>
  <c r="O822" i="5"/>
  <c r="AA822" i="5"/>
  <c r="AK786" i="5"/>
  <c r="X786" i="5"/>
  <c r="R786" i="5" s="1"/>
  <c r="T786" i="5"/>
  <c r="N786" i="5" s="1"/>
  <c r="O609" i="5"/>
  <c r="AA609" i="5"/>
  <c r="AK721" i="5"/>
  <c r="X721" i="5"/>
  <c r="R721" i="5" s="1"/>
  <c r="T721" i="5"/>
  <c r="N721" i="5" s="1"/>
  <c r="X439" i="5"/>
  <c r="T439" i="5"/>
  <c r="N439" i="5" s="1"/>
  <c r="AK439" i="5"/>
  <c r="V439" i="5"/>
  <c r="U439" i="5"/>
  <c r="O643" i="5"/>
  <c r="AA643" i="5"/>
  <c r="O257" i="5"/>
  <c r="AA257" i="5"/>
  <c r="V818" i="5"/>
  <c r="AK818" i="5"/>
  <c r="U818" i="5"/>
  <c r="T818" i="5"/>
  <c r="N818" i="5" s="1"/>
  <c r="X818" i="5"/>
  <c r="V401" i="5"/>
  <c r="T401" i="5"/>
  <c r="N401" i="5" s="1"/>
  <c r="AK401" i="5"/>
  <c r="U401" i="5"/>
  <c r="X401" i="5"/>
  <c r="V919" i="5"/>
  <c r="T919" i="5"/>
  <c r="N919" i="5" s="1"/>
  <c r="AK919" i="5"/>
  <c r="X919" i="5"/>
  <c r="U919" i="5"/>
  <c r="X674" i="5"/>
  <c r="AK674" i="5"/>
  <c r="V674" i="5"/>
  <c r="U674" i="5"/>
  <c r="T674" i="5"/>
  <c r="N674" i="5" s="1"/>
  <c r="AK331" i="5"/>
  <c r="T331" i="5"/>
  <c r="N331" i="5" s="1"/>
  <c r="X331" i="5"/>
  <c r="R331" i="5" s="1"/>
  <c r="T468" i="5"/>
  <c r="N468" i="5" s="1"/>
  <c r="AK468" i="5"/>
  <c r="X468" i="5"/>
  <c r="R468" i="5" s="1"/>
  <c r="X210" i="5"/>
  <c r="R210" i="5" s="1"/>
  <c r="T210" i="5"/>
  <c r="N210" i="5" s="1"/>
  <c r="AK210" i="5"/>
  <c r="T752" i="5"/>
  <c r="N752" i="5" s="1"/>
  <c r="AK752" i="5"/>
  <c r="X752" i="5"/>
  <c r="R752" i="5" s="1"/>
  <c r="AK566" i="5"/>
  <c r="X566" i="5"/>
  <c r="R566" i="5" s="1"/>
  <c r="T566" i="5"/>
  <c r="N566" i="5" s="1"/>
  <c r="T380" i="5"/>
  <c r="N380" i="5" s="1"/>
  <c r="AK380" i="5"/>
  <c r="Q828" i="5"/>
  <c r="AC828" i="5"/>
  <c r="T146" i="5"/>
  <c r="N146" i="5" s="1"/>
  <c r="AK146" i="5"/>
  <c r="T651" i="5"/>
  <c r="N651" i="5" s="1"/>
  <c r="AK651" i="5"/>
  <c r="T516" i="5"/>
  <c r="N516" i="5" s="1"/>
  <c r="AK516" i="5"/>
  <c r="AK196" i="5"/>
  <c r="T196" i="5"/>
  <c r="N196" i="5" s="1"/>
  <c r="AA941" i="5"/>
  <c r="T663" i="5"/>
  <c r="N663" i="5" s="1"/>
  <c r="AK663" i="5"/>
  <c r="T130" i="5"/>
  <c r="N130" i="5" s="1"/>
  <c r="AK130" i="5"/>
  <c r="N660" i="5"/>
  <c r="Z660" i="5"/>
  <c r="S660" i="5"/>
  <c r="AB343" i="5"/>
  <c r="V714" i="5"/>
  <c r="P714" i="5" s="1"/>
  <c r="AK714" i="5"/>
  <c r="T178" i="5"/>
  <c r="N178" i="5" s="1"/>
  <c r="AK178" i="5"/>
  <c r="AK822" i="5"/>
  <c r="T822" i="5"/>
  <c r="N822" i="5" s="1"/>
  <c r="AK779" i="5"/>
  <c r="T779" i="5"/>
  <c r="N779" i="5" s="1"/>
  <c r="Q854" i="5"/>
  <c r="Q843" i="5"/>
  <c r="AC843" i="5"/>
  <c r="T650" i="5"/>
  <c r="N650" i="5" s="1"/>
  <c r="AK650" i="5"/>
  <c r="T98" i="5"/>
  <c r="N98" i="5" s="1"/>
  <c r="AK98" i="5"/>
  <c r="AA528" i="5"/>
  <c r="AA651" i="5"/>
  <c r="T141" i="5"/>
  <c r="N141" i="5" s="1"/>
  <c r="AK141" i="5"/>
  <c r="T220" i="5"/>
  <c r="N220" i="5" s="1"/>
  <c r="AK220" i="5"/>
  <c r="T78" i="5"/>
  <c r="N78" i="5" s="1"/>
  <c r="AK78" i="5"/>
  <c r="T116" i="5"/>
  <c r="N116" i="5" s="1"/>
  <c r="AK116" i="5"/>
  <c r="T169" i="5"/>
  <c r="N169" i="5" s="1"/>
  <c r="AK169" i="5"/>
  <c r="AA102" i="5"/>
  <c r="AA356" i="5"/>
  <c r="T258" i="5"/>
  <c r="N258" i="5" s="1"/>
  <c r="AK258" i="5"/>
  <c r="AA389" i="5"/>
  <c r="AA299" i="5"/>
  <c r="T319" i="5"/>
  <c r="N319" i="5" s="1"/>
  <c r="AK319" i="5"/>
  <c r="AK534" i="5"/>
  <c r="T534" i="5"/>
  <c r="N534" i="5" s="1"/>
  <c r="T88" i="5"/>
  <c r="N88" i="5" s="1"/>
  <c r="AK88" i="5"/>
  <c r="AA104" i="5"/>
  <c r="AA96" i="5"/>
  <c r="AA76" i="5"/>
  <c r="AA122" i="5"/>
  <c r="AA663" i="5"/>
  <c r="AA329" i="5"/>
  <c r="AA88" i="5"/>
  <c r="AA580" i="5"/>
  <c r="AB922" i="5"/>
  <c r="AB824" i="5"/>
  <c r="AB376" i="5"/>
  <c r="N649" i="5"/>
  <c r="Z649" i="5"/>
  <c r="S649" i="5"/>
  <c r="N563" i="5"/>
  <c r="Z563" i="5"/>
  <c r="S563" i="5"/>
  <c r="N493" i="5"/>
  <c r="Z493" i="5"/>
  <c r="S493" i="5"/>
  <c r="N596" i="5"/>
  <c r="Z596" i="5"/>
  <c r="S596" i="5"/>
  <c r="N527" i="5"/>
  <c r="Z527" i="5"/>
  <c r="S527" i="5"/>
  <c r="AB413" i="5"/>
  <c r="AB928" i="5"/>
  <c r="AB634" i="5"/>
  <c r="AB614" i="5"/>
  <c r="AB318" i="5"/>
  <c r="AB562" i="5"/>
  <c r="AB895" i="5"/>
  <c r="AB791" i="5"/>
  <c r="AB542" i="5"/>
  <c r="AB709" i="5"/>
  <c r="AB512" i="5"/>
  <c r="V457" i="5"/>
  <c r="P457" i="5" s="1"/>
  <c r="AK457" i="5"/>
  <c r="AB456" i="5"/>
  <c r="AB743" i="5"/>
  <c r="AB916" i="5"/>
  <c r="V458" i="5"/>
  <c r="AB953" i="5"/>
  <c r="AB852" i="5"/>
  <c r="X507" i="5"/>
  <c r="R507" i="5" s="1"/>
  <c r="AK688" i="5"/>
  <c r="T688" i="5"/>
  <c r="N688" i="5" s="1"/>
  <c r="AK359" i="5"/>
  <c r="T359" i="5"/>
  <c r="N359" i="5" s="1"/>
  <c r="AK417" i="5"/>
  <c r="T417" i="5"/>
  <c r="N417" i="5" s="1"/>
  <c r="AK599" i="5"/>
  <c r="T599" i="5"/>
  <c r="N599" i="5" s="1"/>
  <c r="X974" i="5"/>
  <c r="R974" i="5" s="1"/>
  <c r="T974" i="5"/>
  <c r="N974" i="5" s="1"/>
  <c r="AK974" i="5"/>
  <c r="X862" i="5"/>
  <c r="R862" i="5" s="1"/>
  <c r="T862" i="5"/>
  <c r="N862" i="5" s="1"/>
  <c r="AK862" i="5"/>
  <c r="AK569" i="5"/>
  <c r="T569" i="5"/>
  <c r="N569" i="5" s="1"/>
  <c r="AK689" i="5"/>
  <c r="T689" i="5"/>
  <c r="N689" i="5" s="1"/>
  <c r="AK360" i="5"/>
  <c r="T360" i="5"/>
  <c r="N360" i="5" s="1"/>
  <c r="AK449" i="5"/>
  <c r="T449" i="5"/>
  <c r="N449" i="5" s="1"/>
  <c r="T976" i="5"/>
  <c r="N976" i="5" s="1"/>
  <c r="AK976" i="5"/>
  <c r="X976" i="5"/>
  <c r="R976" i="5" s="1"/>
  <c r="T932" i="5"/>
  <c r="N932" i="5" s="1"/>
  <c r="AK932" i="5"/>
  <c r="X932" i="5"/>
  <c r="R932" i="5" s="1"/>
  <c r="AK661" i="5"/>
  <c r="T661" i="5"/>
  <c r="N661" i="5" s="1"/>
  <c r="AK561" i="5"/>
  <c r="T561" i="5"/>
  <c r="N561" i="5" s="1"/>
  <c r="AK889" i="5"/>
  <c r="T889" i="5"/>
  <c r="N889" i="5" s="1"/>
  <c r="AK425" i="5"/>
  <c r="T425" i="5"/>
  <c r="N425" i="5" s="1"/>
  <c r="AK937" i="5"/>
  <c r="T937" i="5"/>
  <c r="N937" i="5" s="1"/>
  <c r="AK484" i="5"/>
  <c r="T484" i="5"/>
  <c r="N484" i="5" s="1"/>
  <c r="AK153" i="5"/>
  <c r="T153" i="5"/>
  <c r="N153" i="5" s="1"/>
  <c r="AK292" i="5"/>
  <c r="T292" i="5"/>
  <c r="N292" i="5" s="1"/>
  <c r="AK438" i="5"/>
  <c r="T438" i="5"/>
  <c r="N438" i="5" s="1"/>
  <c r="AK310" i="5"/>
  <c r="T310" i="5"/>
  <c r="N310" i="5" s="1"/>
  <c r="AK341" i="5"/>
  <c r="T341" i="5"/>
  <c r="N341" i="5" s="1"/>
  <c r="T481" i="5"/>
  <c r="N481" i="5" s="1"/>
  <c r="AK481" i="5"/>
  <c r="T847" i="5"/>
  <c r="N847" i="5" s="1"/>
  <c r="AK847" i="5"/>
  <c r="T464" i="5"/>
  <c r="N464" i="5" s="1"/>
  <c r="AK464" i="5"/>
  <c r="T915" i="5"/>
  <c r="N915" i="5" s="1"/>
  <c r="AK915" i="5"/>
  <c r="T188" i="5"/>
  <c r="N188" i="5" s="1"/>
  <c r="AK188" i="5"/>
  <c r="T386" i="5"/>
  <c r="N386" i="5" s="1"/>
  <c r="AK386" i="5"/>
  <c r="T506" i="5"/>
  <c r="N506" i="5" s="1"/>
  <c r="AK506" i="5"/>
  <c r="X886" i="5"/>
  <c r="R886" i="5" s="1"/>
  <c r="T886" i="5"/>
  <c r="N886" i="5" s="1"/>
  <c r="AK886" i="5"/>
  <c r="X837" i="5"/>
  <c r="R837" i="5" s="1"/>
  <c r="T837" i="5"/>
  <c r="N837" i="5" s="1"/>
  <c r="AK837" i="5"/>
  <c r="X967" i="5"/>
  <c r="R967" i="5" s="1"/>
  <c r="T967" i="5"/>
  <c r="N967" i="5" s="1"/>
  <c r="AK967" i="5"/>
  <c r="X970" i="5"/>
  <c r="R970" i="5" s="1"/>
  <c r="T970" i="5"/>
  <c r="N970" i="5" s="1"/>
  <c r="AK970" i="5"/>
  <c r="T748" i="5"/>
  <c r="N748" i="5" s="1"/>
  <c r="AK748" i="5"/>
  <c r="T142" i="5"/>
  <c r="N142" i="5" s="1"/>
  <c r="AK142" i="5"/>
  <c r="T776" i="5"/>
  <c r="N776" i="5" s="1"/>
  <c r="AK776" i="5"/>
  <c r="T197" i="5"/>
  <c r="N197" i="5" s="1"/>
  <c r="AK197" i="5"/>
  <c r="AK627" i="5"/>
  <c r="T627" i="5"/>
  <c r="N627" i="5" s="1"/>
  <c r="AA823" i="5"/>
  <c r="AA371" i="5"/>
  <c r="AA826" i="5"/>
  <c r="AK589" i="5"/>
  <c r="T589" i="5"/>
  <c r="N589" i="5" s="1"/>
  <c r="AK190" i="5"/>
  <c r="T190" i="5"/>
  <c r="N190" i="5" s="1"/>
  <c r="AK322" i="5"/>
  <c r="T322" i="5"/>
  <c r="N322" i="5" s="1"/>
  <c r="AK273" i="5"/>
  <c r="T273" i="5"/>
  <c r="N273" i="5" s="1"/>
  <c r="AK447" i="5"/>
  <c r="T447" i="5"/>
  <c r="N447" i="5" s="1"/>
  <c r="AK294" i="5"/>
  <c r="T294" i="5"/>
  <c r="N294" i="5" s="1"/>
  <c r="AK603" i="5"/>
  <c r="T603" i="5"/>
  <c r="N603" i="5" s="1"/>
  <c r="AK740" i="5"/>
  <c r="T740" i="5"/>
  <c r="N740" i="5" s="1"/>
  <c r="AK392" i="5"/>
  <c r="T392" i="5"/>
  <c r="N392" i="5" s="1"/>
  <c r="AA204" i="5"/>
  <c r="AA606" i="5"/>
  <c r="AA697" i="5"/>
  <c r="AA934" i="5"/>
  <c r="AK741" i="5"/>
  <c r="T741" i="5"/>
  <c r="N741" i="5" s="1"/>
  <c r="AK264" i="5"/>
  <c r="T264" i="5"/>
  <c r="N264" i="5" s="1"/>
  <c r="AK778" i="5"/>
  <c r="T778" i="5"/>
  <c r="N778" i="5" s="1"/>
  <c r="T887" i="5"/>
  <c r="N887" i="5" s="1"/>
  <c r="AK887" i="5"/>
  <c r="X887" i="5"/>
  <c r="R887" i="5" s="1"/>
  <c r="T945" i="5"/>
  <c r="N945" i="5" s="1"/>
  <c r="AK945" i="5"/>
  <c r="X945" i="5"/>
  <c r="R945" i="5" s="1"/>
  <c r="T949" i="5"/>
  <c r="N949" i="5" s="1"/>
  <c r="AK949" i="5"/>
  <c r="X949" i="5"/>
  <c r="R949" i="5" s="1"/>
  <c r="T971" i="5"/>
  <c r="N971" i="5" s="1"/>
  <c r="AK971" i="5"/>
  <c r="X971" i="5"/>
  <c r="R971" i="5" s="1"/>
  <c r="AK532" i="5"/>
  <c r="T532" i="5"/>
  <c r="N532" i="5" s="1"/>
  <c r="AK316" i="5"/>
  <c r="T316" i="5"/>
  <c r="N316" i="5" s="1"/>
  <c r="AK869" i="5"/>
  <c r="T869" i="5"/>
  <c r="N869" i="5" s="1"/>
  <c r="AK537" i="5"/>
  <c r="T537" i="5"/>
  <c r="N537" i="5" s="1"/>
  <c r="AK391" i="5"/>
  <c r="T391" i="5"/>
  <c r="N391" i="5" s="1"/>
  <c r="AK804" i="5"/>
  <c r="T804" i="5"/>
  <c r="N804" i="5" s="1"/>
  <c r="AK250" i="5"/>
  <c r="T250" i="5"/>
  <c r="N250" i="5" s="1"/>
  <c r="AK222" i="5"/>
  <c r="T222" i="5"/>
  <c r="N222" i="5" s="1"/>
  <c r="AK653" i="5"/>
  <c r="T653" i="5"/>
  <c r="N653" i="5" s="1"/>
  <c r="AK703" i="5"/>
  <c r="T703" i="5"/>
  <c r="N703" i="5" s="1"/>
  <c r="AK393" i="5"/>
  <c r="T393" i="5"/>
  <c r="N393" i="5" s="1"/>
  <c r="AK340" i="5"/>
  <c r="T340" i="5"/>
  <c r="N340" i="5" s="1"/>
  <c r="AK815" i="5"/>
  <c r="T815" i="5"/>
  <c r="N815" i="5" s="1"/>
  <c r="AA272" i="5"/>
  <c r="AA406" i="5"/>
  <c r="O406" i="5"/>
  <c r="AA374" i="5"/>
  <c r="O374" i="5"/>
  <c r="N497" i="5"/>
  <c r="AK497" i="5"/>
  <c r="N378" i="5"/>
  <c r="AK378" i="5"/>
  <c r="T500" i="5"/>
  <c r="N500" i="5" s="1"/>
  <c r="AK500" i="5"/>
  <c r="T805" i="5"/>
  <c r="N805" i="5" s="1"/>
  <c r="AK805" i="5"/>
  <c r="T711" i="5"/>
  <c r="N711" i="5" s="1"/>
  <c r="AK711" i="5"/>
  <c r="T958" i="5"/>
  <c r="N958" i="5" s="1"/>
  <c r="AK958" i="5"/>
  <c r="N706" i="5"/>
  <c r="AK706" i="5"/>
  <c r="T707" i="5"/>
  <c r="N707" i="5" s="1"/>
  <c r="AK707" i="5"/>
  <c r="T582" i="5"/>
  <c r="N582" i="5" s="1"/>
  <c r="AK582" i="5"/>
  <c r="T912" i="5"/>
  <c r="N912" i="5" s="1"/>
  <c r="AK912" i="5"/>
  <c r="T962" i="5"/>
  <c r="N962" i="5" s="1"/>
  <c r="AK962" i="5"/>
  <c r="T900" i="5"/>
  <c r="N900" i="5" s="1"/>
  <c r="U900" i="5"/>
  <c r="O900" i="5" s="1"/>
  <c r="T457" i="5"/>
  <c r="N457" i="5" s="1"/>
  <c r="U457" i="5"/>
  <c r="O457" i="5" s="1"/>
  <c r="T835" i="5"/>
  <c r="N835" i="5" s="1"/>
  <c r="U835" i="5"/>
  <c r="O835" i="5" s="1"/>
  <c r="T930" i="5"/>
  <c r="N930" i="5" s="1"/>
  <c r="U930" i="5"/>
  <c r="O930" i="5" s="1"/>
  <c r="T221" i="5"/>
  <c r="N221" i="5" s="1"/>
  <c r="AK221" i="5"/>
  <c r="T324" i="5"/>
  <c r="N324" i="5" s="1"/>
  <c r="AK324" i="5"/>
  <c r="T615" i="5"/>
  <c r="N615" i="5" s="1"/>
  <c r="AK615" i="5"/>
  <c r="AK910" i="5"/>
  <c r="T910" i="5"/>
  <c r="N910" i="5" s="1"/>
  <c r="T303" i="5"/>
  <c r="N303" i="5" s="1"/>
  <c r="AK303" i="5"/>
  <c r="T455" i="5"/>
  <c r="N455" i="5" s="1"/>
  <c r="AK455" i="5"/>
  <c r="T461" i="5"/>
  <c r="N461" i="5" s="1"/>
  <c r="AK461" i="5"/>
  <c r="AA538" i="5"/>
  <c r="AA881" i="5"/>
  <c r="AA279" i="5"/>
  <c r="AA392" i="5"/>
  <c r="O392" i="5"/>
  <c r="X392" i="5"/>
  <c r="R392" i="5" s="1"/>
  <c r="AA564" i="5"/>
  <c r="O564" i="5"/>
  <c r="U833" i="5"/>
  <c r="O833" i="5" s="1"/>
  <c r="T833" i="5"/>
  <c r="N833" i="5" s="1"/>
  <c r="U611" i="5"/>
  <c r="O611" i="5" s="1"/>
  <c r="T611" i="5"/>
  <c r="N611" i="5" s="1"/>
  <c r="U916" i="5"/>
  <c r="O916" i="5" s="1"/>
  <c r="T916" i="5"/>
  <c r="N916" i="5" s="1"/>
  <c r="AK495" i="5"/>
  <c r="U495" i="5"/>
  <c r="O495" i="5" s="1"/>
  <c r="T495" i="5"/>
  <c r="N495" i="5" s="1"/>
  <c r="AA323" i="5"/>
  <c r="AA336" i="5"/>
  <c r="AA550" i="5"/>
  <c r="AK893" i="5"/>
  <c r="T893" i="5"/>
  <c r="N893" i="5" s="1"/>
  <c r="AK669" i="5"/>
  <c r="T669" i="5"/>
  <c r="N669" i="5" s="1"/>
  <c r="AA377" i="5"/>
  <c r="AA579" i="5"/>
  <c r="AA543" i="5"/>
  <c r="AA913" i="5"/>
  <c r="AA952" i="5"/>
  <c r="AA206" i="5"/>
  <c r="T808" i="5"/>
  <c r="N808" i="5" s="1"/>
  <c r="AK808" i="5"/>
  <c r="T339" i="5"/>
  <c r="N339" i="5" s="1"/>
  <c r="AK339" i="5"/>
  <c r="T520" i="5"/>
  <c r="N520" i="5" s="1"/>
  <c r="AK520" i="5"/>
  <c r="T782" i="5"/>
  <c r="N782" i="5" s="1"/>
  <c r="AK782" i="5"/>
  <c r="T840" i="5"/>
  <c r="N840" i="5" s="1"/>
  <c r="AK840" i="5"/>
  <c r="T189" i="5"/>
  <c r="N189" i="5" s="1"/>
  <c r="AK189" i="5"/>
  <c r="T736" i="5"/>
  <c r="N736" i="5" s="1"/>
  <c r="AK736" i="5"/>
  <c r="T870" i="5"/>
  <c r="N870" i="5" s="1"/>
  <c r="AK870" i="5"/>
  <c r="T633" i="5"/>
  <c r="N633" i="5" s="1"/>
  <c r="AK633" i="5"/>
  <c r="T914" i="5"/>
  <c r="N914" i="5" s="1"/>
  <c r="AK914" i="5"/>
  <c r="T207" i="5"/>
  <c r="N207" i="5" s="1"/>
  <c r="AK207" i="5"/>
  <c r="T151" i="5"/>
  <c r="N151" i="5" s="1"/>
  <c r="AK151" i="5"/>
  <c r="AK298" i="5"/>
  <c r="T298" i="5"/>
  <c r="N298" i="5" s="1"/>
  <c r="AK491" i="5"/>
  <c r="T491" i="5"/>
  <c r="N491" i="5" s="1"/>
  <c r="AK577" i="5"/>
  <c r="T577" i="5"/>
  <c r="N577" i="5" s="1"/>
  <c r="AA330" i="5"/>
  <c r="AA240" i="5"/>
  <c r="AA780" i="5"/>
  <c r="AA648" i="5"/>
  <c r="AA841" i="5"/>
  <c r="AA241" i="5"/>
  <c r="AA290" i="5"/>
  <c r="AA298" i="5"/>
  <c r="U491" i="5"/>
  <c r="O491" i="5" s="1"/>
  <c r="V491" i="5"/>
  <c r="P491" i="5" s="1"/>
  <c r="AA577" i="5"/>
  <c r="T809" i="5"/>
  <c r="N809" i="5" s="1"/>
  <c r="AK809" i="5"/>
  <c r="T667" i="5"/>
  <c r="N667" i="5" s="1"/>
  <c r="AK667" i="5"/>
  <c r="T394" i="5"/>
  <c r="N394" i="5" s="1"/>
  <c r="AK394" i="5"/>
  <c r="T600" i="5"/>
  <c r="N600" i="5" s="1"/>
  <c r="AK600" i="5"/>
  <c r="T942" i="5"/>
  <c r="N942" i="5" s="1"/>
  <c r="AK942" i="5"/>
  <c r="AK318" i="5"/>
  <c r="T318" i="5"/>
  <c r="N318" i="5" s="1"/>
  <c r="AK614" i="5"/>
  <c r="T614" i="5"/>
  <c r="N614" i="5" s="1"/>
  <c r="AK647" i="5"/>
  <c r="T647" i="5"/>
  <c r="N647" i="5" s="1"/>
  <c r="AK634" i="5"/>
  <c r="T634" i="5"/>
  <c r="N634" i="5" s="1"/>
  <c r="AK928" i="5"/>
  <c r="T928" i="5"/>
  <c r="N928" i="5" s="1"/>
  <c r="AK152" i="5"/>
  <c r="T152" i="5"/>
  <c r="N152" i="5" s="1"/>
  <c r="AK413" i="5"/>
  <c r="T413" i="5"/>
  <c r="N413" i="5" s="1"/>
  <c r="AA156" i="5"/>
  <c r="AA384" i="5"/>
  <c r="AA638" i="5"/>
  <c r="AA671" i="5"/>
  <c r="AA851" i="5"/>
  <c r="T260" i="5"/>
  <c r="N260" i="5" s="1"/>
  <c r="AK260" i="5"/>
  <c r="T209" i="5"/>
  <c r="N209" i="5" s="1"/>
  <c r="AK209" i="5"/>
  <c r="T395" i="5"/>
  <c r="N395" i="5" s="1"/>
  <c r="AK395" i="5"/>
  <c r="T430" i="5"/>
  <c r="N430" i="5" s="1"/>
  <c r="AK430" i="5"/>
  <c r="T522" i="5"/>
  <c r="N522" i="5" s="1"/>
  <c r="AK522" i="5"/>
  <c r="T578" i="5"/>
  <c r="N578" i="5" s="1"/>
  <c r="AK578" i="5"/>
  <c r="T719" i="5"/>
  <c r="N719" i="5" s="1"/>
  <c r="AK719" i="5"/>
  <c r="T590" i="5"/>
  <c r="N590" i="5" s="1"/>
  <c r="AK590" i="5"/>
  <c r="AK435" i="5"/>
  <c r="T435" i="5"/>
  <c r="N435" i="5" s="1"/>
  <c r="AK557" i="5"/>
  <c r="T557" i="5"/>
  <c r="N557" i="5" s="1"/>
  <c r="AK738" i="5"/>
  <c r="T738" i="5"/>
  <c r="N738" i="5" s="1"/>
  <c r="AK554" i="5"/>
  <c r="T554" i="5"/>
  <c r="N554" i="5" s="1"/>
  <c r="AK857" i="5"/>
  <c r="T857" i="5"/>
  <c r="N857" i="5" s="1"/>
  <c r="AK876" i="5"/>
  <c r="T876" i="5"/>
  <c r="N876" i="5" s="1"/>
  <c r="T411" i="5"/>
  <c r="N411" i="5" s="1"/>
  <c r="AK411" i="5"/>
  <c r="AK432" i="5"/>
  <c r="T432" i="5"/>
  <c r="N432" i="5" s="1"/>
  <c r="AK428" i="5"/>
  <c r="T428" i="5"/>
  <c r="N428" i="5" s="1"/>
  <c r="AK850" i="5"/>
  <c r="T850" i="5"/>
  <c r="N850" i="5" s="1"/>
  <c r="AA208" i="5"/>
  <c r="AA429" i="5"/>
  <c r="AA396" i="5"/>
  <c r="AA523" i="5"/>
  <c r="AA555" i="5"/>
  <c r="AA552" i="5"/>
  <c r="AA874" i="5"/>
  <c r="AB902" i="5"/>
  <c r="AA490" i="5"/>
  <c r="AA576" i="5"/>
  <c r="AA724" i="5"/>
  <c r="AA704" i="5"/>
  <c r="O704" i="5"/>
  <c r="AA630" i="5"/>
  <c r="O630" i="5"/>
  <c r="AA397" i="5"/>
  <c r="O397" i="5"/>
  <c r="AA735" i="5"/>
  <c r="O735" i="5"/>
  <c r="AA660" i="5"/>
  <c r="O660" i="5"/>
  <c r="AA883" i="5"/>
  <c r="O883" i="5"/>
  <c r="AB260" i="5"/>
  <c r="AB209" i="5"/>
  <c r="AB395" i="5"/>
  <c r="AB430" i="5"/>
  <c r="AB522" i="5"/>
  <c r="AB578" i="5"/>
  <c r="AB719" i="5"/>
  <c r="AB590" i="5"/>
  <c r="AB435" i="5"/>
  <c r="AB557" i="5"/>
  <c r="AB738" i="5"/>
  <c r="AB554" i="5"/>
  <c r="AB857" i="5"/>
  <c r="AB876" i="5"/>
  <c r="AA556" i="5"/>
  <c r="AA553" i="5"/>
  <c r="AA875" i="5"/>
  <c r="AK904" i="5"/>
  <c r="T904" i="5"/>
  <c r="N904" i="5" s="1"/>
  <c r="AK147" i="5"/>
  <c r="T147" i="5"/>
  <c r="N147" i="5" s="1"/>
  <c r="AK159" i="5"/>
  <c r="T159" i="5"/>
  <c r="N159" i="5" s="1"/>
  <c r="AK174" i="5"/>
  <c r="T174" i="5"/>
  <c r="N174" i="5" s="1"/>
  <c r="AK199" i="5"/>
  <c r="T199" i="5"/>
  <c r="N199" i="5" s="1"/>
  <c r="AK478" i="5"/>
  <c r="T478" i="5"/>
  <c r="N478" i="5" s="1"/>
  <c r="AK267" i="5"/>
  <c r="T267" i="5"/>
  <c r="N267" i="5" s="1"/>
  <c r="AK422" i="5"/>
  <c r="T422" i="5"/>
  <c r="N422" i="5" s="1"/>
  <c r="AK725" i="5"/>
  <c r="T725" i="5"/>
  <c r="N725" i="5" s="1"/>
  <c r="AK347" i="5"/>
  <c r="T347" i="5"/>
  <c r="N347" i="5" s="1"/>
  <c r="AK256" i="5"/>
  <c r="T256" i="5"/>
  <c r="N256" i="5" s="1"/>
  <c r="AB548" i="5"/>
  <c r="AA147" i="5"/>
  <c r="AA174" i="5"/>
  <c r="AA478" i="5"/>
  <c r="AA422" i="5"/>
  <c r="AA347" i="5"/>
  <c r="AB904" i="5"/>
  <c r="AB147" i="5"/>
  <c r="AB159" i="5"/>
  <c r="AB174" i="5"/>
  <c r="AB199" i="5"/>
  <c r="AB478" i="5"/>
  <c r="AB267" i="5"/>
  <c r="AB422" i="5"/>
  <c r="AB725" i="5"/>
  <c r="AB347" i="5"/>
  <c r="AB256" i="5"/>
  <c r="AA859" i="5"/>
  <c r="AA140" i="5"/>
  <c r="AA237" i="5"/>
  <c r="AA350" i="5"/>
  <c r="AA544" i="5"/>
  <c r="AA255" i="5"/>
  <c r="AB485" i="5"/>
  <c r="AB487" i="5"/>
  <c r="AB770" i="5"/>
  <c r="AB659" i="5"/>
  <c r="AB812" i="5"/>
  <c r="AK277" i="5"/>
  <c r="T277" i="5"/>
  <c r="N277" i="5" s="1"/>
  <c r="AK194" i="5"/>
  <c r="T194" i="5"/>
  <c r="N194" i="5" s="1"/>
  <c r="AK112" i="5"/>
  <c r="T112" i="5"/>
  <c r="N112" i="5" s="1"/>
  <c r="AK710" i="5"/>
  <c r="T710" i="5"/>
  <c r="N710" i="5" s="1"/>
  <c r="AK320" i="5"/>
  <c r="T320" i="5"/>
  <c r="N320" i="5" s="1"/>
  <c r="AA769" i="5"/>
  <c r="AA734" i="5"/>
  <c r="T465" i="5"/>
  <c r="N465" i="5" s="1"/>
  <c r="AK465" i="5"/>
  <c r="AB365" i="5"/>
  <c r="AB486" i="5"/>
  <c r="AB769" i="5"/>
  <c r="AB658" i="5"/>
  <c r="AB734" i="5"/>
  <c r="AB905" i="5"/>
  <c r="AA94" i="5"/>
  <c r="AA487" i="5"/>
  <c r="AA659" i="5"/>
  <c r="T89" i="5"/>
  <c r="N89" i="5" s="1"/>
  <c r="AK89" i="5"/>
  <c r="T514" i="5"/>
  <c r="N514" i="5" s="1"/>
  <c r="AK514" i="5"/>
  <c r="AK389" i="5"/>
  <c r="T389" i="5"/>
  <c r="N389" i="5" s="1"/>
  <c r="AA466" i="5"/>
  <c r="AA803" i="5"/>
  <c r="AA129" i="5"/>
  <c r="AA91" i="5"/>
  <c r="AA696" i="5"/>
  <c r="T131" i="5"/>
  <c r="N131" i="5" s="1"/>
  <c r="AK131" i="5"/>
  <c r="T793" i="5"/>
  <c r="N793" i="5" s="1"/>
  <c r="AK793" i="5"/>
  <c r="T97" i="5"/>
  <c r="N97" i="5" s="1"/>
  <c r="AK97" i="5"/>
  <c r="T327" i="5"/>
  <c r="N327" i="5" s="1"/>
  <c r="AK327" i="5"/>
  <c r="AK696" i="5"/>
  <c r="T696" i="5"/>
  <c r="N696" i="5" s="1"/>
  <c r="AK262" i="5"/>
  <c r="T262" i="5"/>
  <c r="N262" i="5" s="1"/>
  <c r="AK266" i="5"/>
  <c r="X266" i="5"/>
  <c r="R266" i="5" s="1"/>
  <c r="T266" i="5"/>
  <c r="N266" i="5" s="1"/>
  <c r="AK309" i="5"/>
  <c r="X309" i="5"/>
  <c r="R309" i="5" s="1"/>
  <c r="T309" i="5"/>
  <c r="N309" i="5" s="1"/>
  <c r="AK785" i="5"/>
  <c r="X785" i="5"/>
  <c r="R785" i="5" s="1"/>
  <c r="T785" i="5"/>
  <c r="N785" i="5" s="1"/>
  <c r="AK410" i="5"/>
  <c r="X410" i="5"/>
  <c r="R410" i="5" s="1"/>
  <c r="T410" i="5"/>
  <c r="N410" i="5" s="1"/>
  <c r="AK225" i="5"/>
  <c r="X225" i="5"/>
  <c r="R225" i="5" s="1"/>
  <c r="T225" i="5"/>
  <c r="N225" i="5" s="1"/>
  <c r="AA86" i="5"/>
  <c r="AA300" i="5"/>
  <c r="AA655" i="5"/>
  <c r="AA105" i="5"/>
  <c r="AA227" i="5"/>
  <c r="X166" i="5"/>
  <c r="R166" i="5" s="1"/>
  <c r="T166" i="5"/>
  <c r="N166" i="5" s="1"/>
  <c r="AK166" i="5"/>
  <c r="X200" i="5"/>
  <c r="R200" i="5" s="1"/>
  <c r="T200" i="5"/>
  <c r="N200" i="5" s="1"/>
  <c r="AK200" i="5"/>
  <c r="X642" i="5"/>
  <c r="R642" i="5" s="1"/>
  <c r="T642" i="5"/>
  <c r="N642" i="5" s="1"/>
  <c r="AK642" i="5"/>
  <c r="X730" i="5"/>
  <c r="R730" i="5" s="1"/>
  <c r="T730" i="5"/>
  <c r="N730" i="5" s="1"/>
  <c r="AK730" i="5"/>
  <c r="AK291" i="5"/>
  <c r="X291" i="5"/>
  <c r="R291" i="5" s="1"/>
  <c r="T291" i="5"/>
  <c r="N291" i="5" s="1"/>
  <c r="AK101" i="5"/>
  <c r="X101" i="5"/>
  <c r="R101" i="5" s="1"/>
  <c r="T101" i="5"/>
  <c r="N101" i="5" s="1"/>
  <c r="AK301" i="5"/>
  <c r="X301" i="5"/>
  <c r="R301" i="5" s="1"/>
  <c r="T301" i="5"/>
  <c r="N301" i="5" s="1"/>
  <c r="AK819" i="5"/>
  <c r="X819" i="5"/>
  <c r="R819" i="5" s="1"/>
  <c r="T819" i="5"/>
  <c r="N819" i="5" s="1"/>
  <c r="X574" i="5"/>
  <c r="U574" i="5"/>
  <c r="O574" i="5" s="1"/>
  <c r="T571" i="5"/>
  <c r="N571" i="5" s="1"/>
  <c r="AK571" i="5"/>
  <c r="T586" i="5"/>
  <c r="N586" i="5" s="1"/>
  <c r="AK586" i="5"/>
  <c r="X132" i="5"/>
  <c r="R132" i="5" s="1"/>
  <c r="T132" i="5"/>
  <c r="N132" i="5" s="1"/>
  <c r="AK132" i="5"/>
  <c r="X467" i="5"/>
  <c r="R467" i="5" s="1"/>
  <c r="T467" i="5"/>
  <c r="N467" i="5" s="1"/>
  <c r="AK467" i="5"/>
  <c r="X692" i="5"/>
  <c r="R692" i="5" s="1"/>
  <c r="T692" i="5"/>
  <c r="N692" i="5" s="1"/>
  <c r="AK692" i="5"/>
  <c r="X482" i="5"/>
  <c r="U482" i="5"/>
  <c r="O482" i="5" s="1"/>
  <c r="AK573" i="5"/>
  <c r="T573" i="5"/>
  <c r="N573" i="5" s="1"/>
  <c r="AK813" i="5"/>
  <c r="T813" i="5"/>
  <c r="N813" i="5" s="1"/>
  <c r="X587" i="5"/>
  <c r="U587" i="5"/>
  <c r="O587" i="5" s="1"/>
  <c r="X908" i="5"/>
  <c r="U908" i="5"/>
  <c r="O908" i="5" s="1"/>
  <c r="AK404" i="5"/>
  <c r="U404" i="5"/>
  <c r="T404" i="5"/>
  <c r="N404" i="5" s="1"/>
  <c r="X404" i="5"/>
  <c r="T814" i="5"/>
  <c r="N814" i="5" s="1"/>
  <c r="AK814" i="5"/>
  <c r="T686" i="5"/>
  <c r="N686" i="5" s="1"/>
  <c r="AK686" i="5"/>
  <c r="T568" i="5"/>
  <c r="N568" i="5" s="1"/>
  <c r="X568" i="5"/>
  <c r="AK568" i="5"/>
  <c r="U568" i="5"/>
  <c r="X814" i="5"/>
  <c r="U814" i="5"/>
  <c r="O814" i="5" s="1"/>
  <c r="X686" i="5"/>
  <c r="U686" i="5"/>
  <c r="O686" i="5" s="1"/>
  <c r="X510" i="5"/>
  <c r="AK510" i="5"/>
  <c r="U510" i="5"/>
  <c r="T510" i="5"/>
  <c r="N510" i="5" s="1"/>
  <c r="AK496" i="5"/>
  <c r="T496" i="5"/>
  <c r="N496" i="5" s="1"/>
  <c r="AK687" i="5"/>
  <c r="T687" i="5"/>
  <c r="N687" i="5" s="1"/>
  <c r="AK951" i="5"/>
  <c r="T951" i="5"/>
  <c r="N951" i="5" s="1"/>
  <c r="X827" i="5"/>
  <c r="T827" i="5"/>
  <c r="N827" i="5" s="1"/>
  <c r="AK827" i="5"/>
  <c r="U827" i="5"/>
  <c r="V827" i="5"/>
  <c r="X622" i="5"/>
  <c r="T622" i="5"/>
  <c r="N622" i="5" s="1"/>
  <c r="V622" i="5"/>
  <c r="AK622" i="5"/>
  <c r="U622" i="5"/>
  <c r="X205" i="5"/>
  <c r="T205" i="5"/>
  <c r="N205" i="5" s="1"/>
  <c r="V205" i="5"/>
  <c r="AK205" i="5"/>
  <c r="U205" i="5"/>
  <c r="O779" i="5"/>
  <c r="AA779" i="5"/>
  <c r="X843" i="5"/>
  <c r="T843" i="5"/>
  <c r="N843" i="5" s="1"/>
  <c r="AK843" i="5"/>
  <c r="V843" i="5"/>
  <c r="U843" i="5"/>
  <c r="AK494" i="5"/>
  <c r="T494" i="5"/>
  <c r="N494" i="5" s="1"/>
  <c r="AK531" i="5"/>
  <c r="X531" i="5"/>
  <c r="R531" i="5" s="1"/>
  <c r="T531" i="5"/>
  <c r="N531" i="5" s="1"/>
  <c r="X957" i="5"/>
  <c r="T957" i="5"/>
  <c r="N957" i="5" s="1"/>
  <c r="AK957" i="5"/>
  <c r="V957" i="5"/>
  <c r="U957" i="5"/>
  <c r="O898" i="5"/>
  <c r="AA898" i="5"/>
  <c r="O460" i="5"/>
  <c r="AA460" i="5"/>
  <c r="V513" i="5"/>
  <c r="AK513" i="5"/>
  <c r="U513" i="5"/>
  <c r="T513" i="5"/>
  <c r="N513" i="5" s="1"/>
  <c r="X513" i="5"/>
  <c r="V681" i="5"/>
  <c r="U681" i="5"/>
  <c r="T681" i="5"/>
  <c r="N681" i="5" s="1"/>
  <c r="AK681" i="5"/>
  <c r="X681" i="5"/>
  <c r="V920" i="5"/>
  <c r="U920" i="5"/>
  <c r="T920" i="5"/>
  <c r="N920" i="5" s="1"/>
  <c r="AK920" i="5"/>
  <c r="X920" i="5"/>
  <c r="O755" i="5"/>
  <c r="AA755" i="5"/>
  <c r="AK211" i="5"/>
  <c r="X211" i="5"/>
  <c r="R211" i="5" s="1"/>
  <c r="T211" i="5"/>
  <c r="N211" i="5" s="1"/>
  <c r="X469" i="5"/>
  <c r="R469" i="5" s="1"/>
  <c r="AK469" i="5"/>
  <c r="T469" i="5"/>
  <c r="N469" i="5" s="1"/>
  <c r="X233" i="5"/>
  <c r="R233" i="5" s="1"/>
  <c r="T233" i="5"/>
  <c r="N233" i="5" s="1"/>
  <c r="AK233" i="5"/>
  <c r="T567" i="5"/>
  <c r="N567" i="5" s="1"/>
  <c r="AK567" i="5"/>
  <c r="X567" i="5"/>
  <c r="R567" i="5" s="1"/>
  <c r="AK504" i="5"/>
  <c r="X504" i="5"/>
  <c r="R504" i="5" s="1"/>
  <c r="T504" i="5"/>
  <c r="N504" i="5" s="1"/>
  <c r="Q622" i="5"/>
  <c r="AC622" i="5"/>
  <c r="T801" i="5"/>
  <c r="N801" i="5" s="1"/>
  <c r="AK801" i="5"/>
  <c r="T104" i="5"/>
  <c r="N104" i="5" s="1"/>
  <c r="AK104" i="5"/>
  <c r="AA146" i="5"/>
  <c r="AA115" i="5"/>
  <c r="AK252" i="5"/>
  <c r="T252" i="5"/>
  <c r="N252" i="5" s="1"/>
  <c r="AA646" i="5"/>
  <c r="AA664" i="5"/>
  <c r="AA830" i="5"/>
  <c r="AB724" i="5"/>
  <c r="N735" i="5"/>
  <c r="Z735" i="5"/>
  <c r="S735" i="5"/>
  <c r="N704" i="5"/>
  <c r="M704" i="5" s="1"/>
  <c r="I704" i="5" s="1"/>
  <c r="Z704" i="5"/>
  <c r="S704" i="5"/>
  <c r="AB894" i="5"/>
  <c r="V930" i="5"/>
  <c r="P930" i="5" s="1"/>
  <c r="AK930" i="5"/>
  <c r="AB836" i="5"/>
  <c r="AK597" i="5"/>
  <c r="T597" i="5"/>
  <c r="N597" i="5" s="1"/>
  <c r="AK460" i="5"/>
  <c r="T460" i="5"/>
  <c r="N460" i="5" s="1"/>
  <c r="AK257" i="5"/>
  <c r="T257" i="5"/>
  <c r="N257" i="5" s="1"/>
  <c r="Q936" i="5"/>
  <c r="AC936" i="5"/>
  <c r="Q957" i="5"/>
  <c r="AC957" i="5"/>
  <c r="Q844" i="5"/>
  <c r="AC844" i="5"/>
  <c r="Q877" i="5"/>
  <c r="AC877" i="5"/>
  <c r="T93" i="5"/>
  <c r="N93" i="5" s="1"/>
  <c r="AK93" i="5"/>
  <c r="AA328" i="5"/>
  <c r="T99" i="5"/>
  <c r="N99" i="5" s="1"/>
  <c r="AK99" i="5"/>
  <c r="T114" i="5"/>
  <c r="N114" i="5" s="1"/>
  <c r="AK114" i="5"/>
  <c r="AA802" i="5"/>
  <c r="T345" i="5"/>
  <c r="N345" i="5" s="1"/>
  <c r="AK345" i="5"/>
  <c r="T80" i="5"/>
  <c r="N80" i="5" s="1"/>
  <c r="AK80" i="5"/>
  <c r="T897" i="5"/>
  <c r="N897" i="5" s="1"/>
  <c r="AK897" i="5"/>
  <c r="T235" i="5"/>
  <c r="N235" i="5" s="1"/>
  <c r="AK235" i="5"/>
  <c r="T109" i="5"/>
  <c r="N109" i="5" s="1"/>
  <c r="AK109" i="5"/>
  <c r="AA650" i="5"/>
  <c r="AA220" i="5"/>
  <c r="AA897" i="5"/>
  <c r="AA793" i="5"/>
  <c r="AA235" i="5"/>
  <c r="AA258" i="5"/>
  <c r="AA462" i="5"/>
  <c r="AK399" i="5"/>
  <c r="T399" i="5"/>
  <c r="N399" i="5" s="1"/>
  <c r="AK212" i="5"/>
  <c r="T212" i="5"/>
  <c r="N212" i="5" s="1"/>
  <c r="T122" i="5"/>
  <c r="N122" i="5" s="1"/>
  <c r="AK122" i="5"/>
  <c r="T149" i="5"/>
  <c r="N149" i="5" s="1"/>
  <c r="AK149" i="5"/>
  <c r="AK466" i="5"/>
  <c r="T466" i="5"/>
  <c r="N466" i="5" s="1"/>
  <c r="T139" i="5"/>
  <c r="N139" i="5" s="1"/>
  <c r="AK139" i="5"/>
  <c r="T155" i="5"/>
  <c r="N155" i="5" s="1"/>
  <c r="AK155" i="5"/>
  <c r="AA80" i="5"/>
  <c r="AK355" i="5"/>
  <c r="T355" i="5"/>
  <c r="N355" i="5" s="1"/>
  <c r="AA710" i="5"/>
  <c r="AB850" i="5"/>
  <c r="AB428" i="5"/>
  <c r="N794" i="5"/>
  <c r="Z794" i="5"/>
  <c r="S794" i="5"/>
  <c r="N593" i="5"/>
  <c r="Z593" i="5"/>
  <c r="S593" i="5"/>
  <c r="N517" i="5"/>
  <c r="Z517" i="5"/>
  <c r="S517" i="5"/>
  <c r="N618" i="5"/>
  <c r="Z618" i="5"/>
  <c r="S618" i="5"/>
  <c r="N558" i="5"/>
  <c r="Z558" i="5"/>
  <c r="S558" i="5"/>
  <c r="AB202" i="5"/>
  <c r="V170" i="5"/>
  <c r="P170" i="5" s="1"/>
  <c r="AB842" i="5"/>
  <c r="AB763" i="5"/>
  <c r="V679" i="5"/>
  <c r="P679" i="5" s="1"/>
  <c r="AB608" i="5"/>
  <c r="AB511" i="5"/>
  <c r="AB313" i="5"/>
  <c r="AB929" i="5"/>
  <c r="AB764" i="5"/>
  <c r="AB448" i="5"/>
  <c r="AB477" i="5"/>
  <c r="J189" i="5"/>
  <c r="V917" i="5"/>
  <c r="P917" i="5" s="1"/>
  <c r="AK917" i="5"/>
  <c r="V900" i="5"/>
  <c r="P900" i="5" s="1"/>
  <c r="AK900" i="5"/>
  <c r="AB613" i="5"/>
  <c r="AK836" i="5"/>
  <c r="V716" i="5"/>
  <c r="P716" i="5" s="1"/>
  <c r="AD374" i="5"/>
  <c r="AB821" i="5"/>
  <c r="AB459" i="5"/>
  <c r="AK488" i="5"/>
  <c r="T488" i="5"/>
  <c r="N488" i="5" s="1"/>
  <c r="AK570" i="5"/>
  <c r="T570" i="5"/>
  <c r="N570" i="5" s="1"/>
  <c r="AK712" i="5"/>
  <c r="T712" i="5"/>
  <c r="N712" i="5" s="1"/>
  <c r="AK390" i="5"/>
  <c r="T390" i="5"/>
  <c r="N390" i="5" s="1"/>
  <c r="X161" i="5"/>
  <c r="R161" i="5" s="1"/>
  <c r="T161" i="5"/>
  <c r="N161" i="5" s="1"/>
  <c r="AK161" i="5"/>
  <c r="T385" i="5"/>
  <c r="N385" i="5" s="1"/>
  <c r="AK385" i="5"/>
  <c r="AK594" i="5"/>
  <c r="T594" i="5"/>
  <c r="N594" i="5" s="1"/>
  <c r="AK489" i="5"/>
  <c r="T489" i="5"/>
  <c r="N489" i="5" s="1"/>
  <c r="AK602" i="5"/>
  <c r="T602" i="5"/>
  <c r="N602" i="5" s="1"/>
  <c r="AK775" i="5"/>
  <c r="T775" i="5"/>
  <c r="N775" i="5" s="1"/>
  <c r="T963" i="5"/>
  <c r="N963" i="5" s="1"/>
  <c r="AK963" i="5"/>
  <c r="X963" i="5"/>
  <c r="R963" i="5" s="1"/>
  <c r="AA353" i="5"/>
  <c r="AA774" i="5"/>
  <c r="AA333" i="5"/>
  <c r="AA781" i="5"/>
  <c r="AK408" i="5"/>
  <c r="T408" i="5"/>
  <c r="N408" i="5" s="1"/>
  <c r="AK525" i="5"/>
  <c r="T525" i="5"/>
  <c r="N525" i="5" s="1"/>
  <c r="AK505" i="5"/>
  <c r="T505" i="5"/>
  <c r="N505" i="5" s="1"/>
  <c r="AK198" i="5"/>
  <c r="T198" i="5"/>
  <c r="N198" i="5" s="1"/>
  <c r="AK193" i="5"/>
  <c r="T193" i="5"/>
  <c r="N193" i="5" s="1"/>
  <c r="AK218" i="5"/>
  <c r="T218" i="5"/>
  <c r="N218" i="5" s="1"/>
  <c r="AK271" i="5"/>
  <c r="T271" i="5"/>
  <c r="N271" i="5" s="1"/>
  <c r="AK604" i="5"/>
  <c r="T604" i="5"/>
  <c r="N604" i="5" s="1"/>
  <c r="AA288" i="5"/>
  <c r="AA816" i="5"/>
  <c r="AA656" i="5"/>
  <c r="AA954" i="5"/>
  <c r="T849" i="5"/>
  <c r="N849" i="5" s="1"/>
  <c r="AK849" i="5"/>
  <c r="T244" i="5"/>
  <c r="N244" i="5" s="1"/>
  <c r="AK244" i="5"/>
  <c r="T644" i="5"/>
  <c r="N644" i="5" s="1"/>
  <c r="AK644" i="5"/>
  <c r="X691" i="5"/>
  <c r="R691" i="5" s="1"/>
  <c r="T691" i="5"/>
  <c r="N691" i="5" s="1"/>
  <c r="AK691" i="5"/>
  <c r="X946" i="5"/>
  <c r="R946" i="5" s="1"/>
  <c r="T946" i="5"/>
  <c r="N946" i="5" s="1"/>
  <c r="AK946" i="5"/>
  <c r="X968" i="5"/>
  <c r="R968" i="5" s="1"/>
  <c r="T968" i="5"/>
  <c r="N968" i="5" s="1"/>
  <c r="AK968" i="5"/>
  <c r="X964" i="5"/>
  <c r="R964" i="5" s="1"/>
  <c r="T964" i="5"/>
  <c r="N964" i="5" s="1"/>
  <c r="AK964" i="5"/>
  <c r="T598" i="5"/>
  <c r="N598" i="5" s="1"/>
  <c r="AK598" i="5"/>
  <c r="T247" i="5"/>
  <c r="N247" i="5" s="1"/>
  <c r="AK247" i="5"/>
  <c r="T718" i="5"/>
  <c r="N718" i="5" s="1"/>
  <c r="AK718" i="5"/>
  <c r="T698" i="5"/>
  <c r="N698" i="5" s="1"/>
  <c r="AK698" i="5"/>
  <c r="T204" i="5"/>
  <c r="N204" i="5" s="1"/>
  <c r="AK204" i="5"/>
  <c r="T606" i="5"/>
  <c r="N606" i="5" s="1"/>
  <c r="AK606" i="5"/>
  <c r="T697" i="5"/>
  <c r="N697" i="5" s="1"/>
  <c r="AK697" i="5"/>
  <c r="T934" i="5"/>
  <c r="N934" i="5" s="1"/>
  <c r="AK934" i="5"/>
  <c r="AK426" i="5"/>
  <c r="T426" i="5"/>
  <c r="N426" i="5" s="1"/>
  <c r="AK369" i="5"/>
  <c r="T369" i="5"/>
  <c r="N369" i="5" s="1"/>
  <c r="AK856" i="5"/>
  <c r="T856" i="5"/>
  <c r="N856" i="5" s="1"/>
  <c r="AK181" i="5"/>
  <c r="T181" i="5"/>
  <c r="N181" i="5" s="1"/>
  <c r="AK164" i="5"/>
  <c r="T164" i="5"/>
  <c r="N164" i="5" s="1"/>
  <c r="AK249" i="5"/>
  <c r="T249" i="5"/>
  <c r="N249" i="5" s="1"/>
  <c r="AK471" i="5"/>
  <c r="T471" i="5"/>
  <c r="N471" i="5" s="1"/>
  <c r="AK529" i="5"/>
  <c r="T529" i="5"/>
  <c r="N529" i="5" s="1"/>
  <c r="AK364" i="5"/>
  <c r="T364" i="5"/>
  <c r="N364" i="5" s="1"/>
  <c r="T431" i="5"/>
  <c r="N431" i="5" s="1"/>
  <c r="AK431" i="5"/>
  <c r="T921" i="5"/>
  <c r="N921" i="5" s="1"/>
  <c r="AK921" i="5"/>
  <c r="T423" i="5"/>
  <c r="N423" i="5" s="1"/>
  <c r="AK423" i="5"/>
  <c r="AK268" i="5"/>
  <c r="T268" i="5"/>
  <c r="N268" i="5" s="1"/>
  <c r="AK760" i="5"/>
  <c r="T760" i="5"/>
  <c r="N760" i="5" s="1"/>
  <c r="AK632" i="5"/>
  <c r="T632" i="5"/>
  <c r="N632" i="5" s="1"/>
  <c r="AK872" i="5"/>
  <c r="T872" i="5"/>
  <c r="N872" i="5" s="1"/>
  <c r="T831" i="5"/>
  <c r="N831" i="5" s="1"/>
  <c r="AK831" i="5"/>
  <c r="X831" i="5"/>
  <c r="R831" i="5" s="1"/>
  <c r="T838" i="5"/>
  <c r="N838" i="5" s="1"/>
  <c r="AK838" i="5"/>
  <c r="X838" i="5"/>
  <c r="R838" i="5" s="1"/>
  <c r="T969" i="5"/>
  <c r="N969" i="5" s="1"/>
  <c r="AK969" i="5"/>
  <c r="X969" i="5"/>
  <c r="R969" i="5" s="1"/>
  <c r="T973" i="5"/>
  <c r="N973" i="5" s="1"/>
  <c r="AK973" i="5"/>
  <c r="X973" i="5"/>
  <c r="R973" i="5" s="1"/>
  <c r="AK635" i="5"/>
  <c r="T635" i="5"/>
  <c r="N635" i="5" s="1"/>
  <c r="AK437" i="5"/>
  <c r="T437" i="5"/>
  <c r="N437" i="5" s="1"/>
  <c r="AK676" i="5"/>
  <c r="T676" i="5"/>
  <c r="N676" i="5" s="1"/>
  <c r="AA740" i="5"/>
  <c r="O740" i="5"/>
  <c r="AK761" i="5"/>
  <c r="T761" i="5"/>
  <c r="N761" i="5" s="1"/>
  <c r="AK890" i="5"/>
  <c r="T890" i="5"/>
  <c r="N890" i="5" s="1"/>
  <c r="AA453" i="5"/>
  <c r="AA251" i="5"/>
  <c r="AA405" i="5"/>
  <c r="AA666" i="5"/>
  <c r="AA539" i="5"/>
  <c r="AA476" i="5"/>
  <c r="AA882" i="5"/>
  <c r="AA246" i="5"/>
  <c r="AA253" i="5"/>
  <c r="O253" i="5"/>
  <c r="X253" i="5"/>
  <c r="R253" i="5" s="1"/>
  <c r="AA804" i="5"/>
  <c r="O804" i="5"/>
  <c r="N745" i="5"/>
  <c r="AK745" i="5"/>
  <c r="T746" i="5"/>
  <c r="N746" i="5" s="1"/>
  <c r="AK746" i="5"/>
  <c r="T641" i="5"/>
  <c r="N641" i="5" s="1"/>
  <c r="AK641" i="5"/>
  <c r="T924" i="5"/>
  <c r="N924" i="5" s="1"/>
  <c r="AK924" i="5"/>
  <c r="T938" i="5"/>
  <c r="N938" i="5" s="1"/>
  <c r="AK938" i="5"/>
  <c r="N864" i="5"/>
  <c r="AK864" i="5"/>
  <c r="N799" i="5"/>
  <c r="AK799" i="5"/>
  <c r="T867" i="5"/>
  <c r="N867" i="5" s="1"/>
  <c r="AK867" i="5"/>
  <c r="T955" i="5"/>
  <c r="N955" i="5" s="1"/>
  <c r="AK955" i="5"/>
  <c r="T940" i="5"/>
  <c r="N940" i="5" s="1"/>
  <c r="AK940" i="5"/>
  <c r="T948" i="5"/>
  <c r="N948" i="5" s="1"/>
  <c r="AK948" i="5"/>
  <c r="T834" i="5"/>
  <c r="N834" i="5" s="1"/>
  <c r="U834" i="5"/>
  <c r="O834" i="5" s="1"/>
  <c r="T612" i="5"/>
  <c r="N612" i="5" s="1"/>
  <c r="U612" i="5"/>
  <c r="O612" i="5" s="1"/>
  <c r="T917" i="5"/>
  <c r="N917" i="5" s="1"/>
  <c r="U917" i="5"/>
  <c r="O917" i="5" s="1"/>
  <c r="T784" i="5"/>
  <c r="N784" i="5" s="1"/>
  <c r="AK784" i="5"/>
  <c r="U784" i="5"/>
  <c r="O784" i="5" s="1"/>
  <c r="AA250" i="5"/>
  <c r="AA222" i="5"/>
  <c r="AA653" i="5"/>
  <c r="AA452" i="5"/>
  <c r="AA335" i="5"/>
  <c r="AA305" i="5"/>
  <c r="AA766" i="5"/>
  <c r="AA667" i="5"/>
  <c r="AA600" i="5"/>
  <c r="AA318" i="5"/>
  <c r="AA364" i="5"/>
  <c r="O364" i="5"/>
  <c r="AA391" i="5"/>
  <c r="O391" i="5"/>
  <c r="U821" i="5"/>
  <c r="O821" i="5" s="1"/>
  <c r="T821" i="5"/>
  <c r="N821" i="5" s="1"/>
  <c r="U715" i="5"/>
  <c r="O715" i="5" s="1"/>
  <c r="T715" i="5"/>
  <c r="N715" i="5" s="1"/>
  <c r="U852" i="5"/>
  <c r="O852" i="5" s="1"/>
  <c r="T852" i="5"/>
  <c r="N852" i="5" s="1"/>
  <c r="U931" i="5"/>
  <c r="O931" i="5" s="1"/>
  <c r="T931" i="5"/>
  <c r="N931" i="5" s="1"/>
  <c r="T453" i="5"/>
  <c r="N453" i="5" s="1"/>
  <c r="AK453" i="5"/>
  <c r="T251" i="5"/>
  <c r="N251" i="5" s="1"/>
  <c r="AK251" i="5"/>
  <c r="T405" i="5"/>
  <c r="N405" i="5" s="1"/>
  <c r="AK405" i="5"/>
  <c r="AK519" i="5"/>
  <c r="T519" i="5"/>
  <c r="N519" i="5" s="1"/>
  <c r="AK726" i="5"/>
  <c r="T726" i="5"/>
  <c r="N726" i="5" s="1"/>
  <c r="AA343" i="5"/>
  <c r="AA670" i="5"/>
  <c r="AA790" i="5"/>
  <c r="AA894" i="5"/>
  <c r="AA173" i="5"/>
  <c r="AA230" i="5"/>
  <c r="AA703" i="5"/>
  <c r="AA393" i="5"/>
  <c r="AA340" i="5"/>
  <c r="AA815" i="5"/>
  <c r="AA910" i="5"/>
  <c r="T512" i="5"/>
  <c r="N512" i="5" s="1"/>
  <c r="AK512" i="5"/>
  <c r="T709" i="5"/>
  <c r="N709" i="5" s="1"/>
  <c r="AK709" i="5"/>
  <c r="T542" i="5"/>
  <c r="N542" i="5" s="1"/>
  <c r="AK542" i="5"/>
  <c r="T791" i="5"/>
  <c r="N791" i="5" s="1"/>
  <c r="AK791" i="5"/>
  <c r="T895" i="5"/>
  <c r="N895" i="5" s="1"/>
  <c r="AK895" i="5"/>
  <c r="T128" i="5"/>
  <c r="N128" i="5" s="1"/>
  <c r="AK128" i="5"/>
  <c r="T562" i="5"/>
  <c r="N562" i="5" s="1"/>
  <c r="AK562" i="5"/>
  <c r="AK620" i="5"/>
  <c r="T620" i="5"/>
  <c r="N620" i="5" s="1"/>
  <c r="AK433" i="5"/>
  <c r="T433" i="5"/>
  <c r="N433" i="5" s="1"/>
  <c r="AK723" i="5"/>
  <c r="T723" i="5"/>
  <c r="N723" i="5" s="1"/>
  <c r="AA189" i="5"/>
  <c r="AA736" i="5"/>
  <c r="AA870" i="5"/>
  <c r="AA633" i="5"/>
  <c r="AA914" i="5"/>
  <c r="AA207" i="5"/>
  <c r="AA151" i="5"/>
  <c r="AA620" i="5"/>
  <c r="U433" i="5"/>
  <c r="O433" i="5" s="1"/>
  <c r="V433" i="5"/>
  <c r="P433" i="5" s="1"/>
  <c r="AA723" i="5"/>
  <c r="AA893" i="5"/>
  <c r="AA474" i="5"/>
  <c r="AA669" i="5"/>
  <c r="AA675" i="5"/>
  <c r="AK272" i="5"/>
  <c r="T272" i="5"/>
  <c r="N272" i="5" s="1"/>
  <c r="AK377" i="5"/>
  <c r="T377" i="5"/>
  <c r="N377" i="5" s="1"/>
  <c r="AK579" i="5"/>
  <c r="T579" i="5"/>
  <c r="N579" i="5" s="1"/>
  <c r="AK543" i="5"/>
  <c r="T543" i="5"/>
  <c r="N543" i="5" s="1"/>
  <c r="AK913" i="5"/>
  <c r="T913" i="5"/>
  <c r="N913" i="5" s="1"/>
  <c r="AK952" i="5"/>
  <c r="T952" i="5"/>
  <c r="N952" i="5" s="1"/>
  <c r="AK206" i="5"/>
  <c r="T206" i="5"/>
  <c r="N206" i="5" s="1"/>
  <c r="AK789" i="5"/>
  <c r="T789" i="5"/>
  <c r="N789" i="5" s="1"/>
  <c r="AA297" i="5"/>
  <c r="AA342" i="5"/>
  <c r="AA409" i="5"/>
  <c r="AA845" i="5"/>
  <c r="AB296" i="5"/>
  <c r="AB156" i="5"/>
  <c r="AB286" i="5"/>
  <c r="AB384" i="5"/>
  <c r="AB283" i="5"/>
  <c r="AB638" i="5"/>
  <c r="AB673" i="5"/>
  <c r="AB671" i="5"/>
  <c r="AB434" i="5"/>
  <c r="AB556" i="5"/>
  <c r="AB737" i="5"/>
  <c r="AB553" i="5"/>
  <c r="AB702" i="5"/>
  <c r="AB875" i="5"/>
  <c r="AB797" i="5"/>
  <c r="AK376" i="5"/>
  <c r="T376" i="5"/>
  <c r="N376" i="5" s="1"/>
  <c r="AK363" i="5"/>
  <c r="T363" i="5"/>
  <c r="N363" i="5" s="1"/>
  <c r="AK824" i="5"/>
  <c r="T824" i="5"/>
  <c r="N824" i="5" s="1"/>
  <c r="AK922" i="5"/>
  <c r="T922" i="5"/>
  <c r="N922" i="5" s="1"/>
  <c r="AK527" i="5"/>
  <c r="AK596" i="5"/>
  <c r="AK493" i="5"/>
  <c r="AK563" i="5"/>
  <c r="AK649" i="5"/>
  <c r="AA260" i="5"/>
  <c r="AA395" i="5"/>
  <c r="AA522" i="5"/>
  <c r="AA719" i="5"/>
  <c r="AA435" i="5"/>
  <c r="AA738" i="5"/>
  <c r="AA857" i="5"/>
  <c r="AK903" i="5"/>
  <c r="T903" i="5"/>
  <c r="N903" i="5" s="1"/>
  <c r="AA432" i="5"/>
  <c r="AA428" i="5"/>
  <c r="AA850" i="5"/>
  <c r="AA558" i="5"/>
  <c r="O558" i="5"/>
  <c r="AA618" i="5"/>
  <c r="O618" i="5"/>
  <c r="AA517" i="5"/>
  <c r="O517" i="5"/>
  <c r="AA593" i="5"/>
  <c r="O593" i="5"/>
  <c r="AA794" i="5"/>
  <c r="O794" i="5"/>
  <c r="T296" i="5"/>
  <c r="N296" i="5" s="1"/>
  <c r="AK296" i="5"/>
  <c r="T156" i="5"/>
  <c r="N156" i="5" s="1"/>
  <c r="AK156" i="5"/>
  <c r="T286" i="5"/>
  <c r="N286" i="5" s="1"/>
  <c r="AK286" i="5"/>
  <c r="T384" i="5"/>
  <c r="N384" i="5" s="1"/>
  <c r="AK384" i="5"/>
  <c r="T283" i="5"/>
  <c r="N283" i="5" s="1"/>
  <c r="AK283" i="5"/>
  <c r="T638" i="5"/>
  <c r="N638" i="5" s="1"/>
  <c r="AK638" i="5"/>
  <c r="T673" i="5"/>
  <c r="N673" i="5" s="1"/>
  <c r="AK673" i="5"/>
  <c r="T671" i="5"/>
  <c r="N671" i="5" s="1"/>
  <c r="AK671" i="5"/>
  <c r="T434" i="5"/>
  <c r="N434" i="5" s="1"/>
  <c r="AK434" i="5"/>
  <c r="T556" i="5"/>
  <c r="N556" i="5" s="1"/>
  <c r="AK556" i="5"/>
  <c r="T737" i="5"/>
  <c r="N737" i="5" s="1"/>
  <c r="AK737" i="5"/>
  <c r="T553" i="5"/>
  <c r="N553" i="5" s="1"/>
  <c r="AK553" i="5"/>
  <c r="T702" i="5"/>
  <c r="N702" i="5" s="1"/>
  <c r="AK702" i="5"/>
  <c r="T875" i="5"/>
  <c r="N875" i="5" s="1"/>
  <c r="AK875" i="5"/>
  <c r="T797" i="5"/>
  <c r="N797" i="5" s="1"/>
  <c r="AK797" i="5"/>
  <c r="AA436" i="5"/>
  <c r="AA739" i="5"/>
  <c r="AA858" i="5"/>
  <c r="AB947" i="5"/>
  <c r="AB140" i="5"/>
  <c r="AB121" i="5"/>
  <c r="AB237" i="5"/>
  <c r="AB276" i="5"/>
  <c r="AB350" i="5"/>
  <c r="AB358" i="5"/>
  <c r="AB544" i="5"/>
  <c r="AB346" i="5"/>
  <c r="AB255" i="5"/>
  <c r="AB308" i="5"/>
  <c r="AA902" i="5"/>
  <c r="AA103" i="5"/>
  <c r="AA228" i="5"/>
  <c r="AA421" i="5"/>
  <c r="AA446" i="5"/>
  <c r="AA307" i="5"/>
  <c r="T947" i="5"/>
  <c r="N947" i="5" s="1"/>
  <c r="AK947" i="5"/>
  <c r="T140" i="5"/>
  <c r="N140" i="5" s="1"/>
  <c r="AK140" i="5"/>
  <c r="T121" i="5"/>
  <c r="N121" i="5" s="1"/>
  <c r="AK121" i="5"/>
  <c r="T237" i="5"/>
  <c r="N237" i="5" s="1"/>
  <c r="AK237" i="5"/>
  <c r="T276" i="5"/>
  <c r="N276" i="5" s="1"/>
  <c r="AK276" i="5"/>
  <c r="T350" i="5"/>
  <c r="N350" i="5" s="1"/>
  <c r="AK350" i="5"/>
  <c r="T358" i="5"/>
  <c r="N358" i="5" s="1"/>
  <c r="AK358" i="5"/>
  <c r="T544" i="5"/>
  <c r="N544" i="5" s="1"/>
  <c r="AK544" i="5"/>
  <c r="T346" i="5"/>
  <c r="N346" i="5" s="1"/>
  <c r="AK346" i="5"/>
  <c r="T255" i="5"/>
  <c r="N255" i="5" s="1"/>
  <c r="AK255" i="5"/>
  <c r="T308" i="5"/>
  <c r="N308" i="5" s="1"/>
  <c r="AK308" i="5"/>
  <c r="AA903" i="5"/>
  <c r="AA123" i="5"/>
  <c r="AA136" i="5"/>
  <c r="AA400" i="5"/>
  <c r="AA545" i="5"/>
  <c r="AA348" i="5"/>
  <c r="AK547" i="5"/>
  <c r="T547" i="5"/>
  <c r="N547" i="5" s="1"/>
  <c r="AK769" i="5"/>
  <c r="T769" i="5"/>
  <c r="N769" i="5" s="1"/>
  <c r="AK658" i="5"/>
  <c r="T658" i="5"/>
  <c r="N658" i="5" s="1"/>
  <c r="AK734" i="5"/>
  <c r="T734" i="5"/>
  <c r="N734" i="5" s="1"/>
  <c r="AK905" i="5"/>
  <c r="T905" i="5"/>
  <c r="N905" i="5" s="1"/>
  <c r="AA234" i="5"/>
  <c r="AA514" i="5"/>
  <c r="AA547" i="5"/>
  <c r="AA732" i="5"/>
  <c r="AA811" i="5"/>
  <c r="AA112" i="5"/>
  <c r="T485" i="5"/>
  <c r="N485" i="5" s="1"/>
  <c r="AK485" i="5"/>
  <c r="T548" i="5"/>
  <c r="N548" i="5" s="1"/>
  <c r="AK548" i="5"/>
  <c r="T657" i="5"/>
  <c r="N657" i="5" s="1"/>
  <c r="AK657" i="5"/>
  <c r="T733" i="5"/>
  <c r="N733" i="5" s="1"/>
  <c r="AK733" i="5"/>
  <c r="T810" i="5"/>
  <c r="N810" i="5" s="1"/>
  <c r="AK810" i="5"/>
  <c r="AK580" i="5"/>
  <c r="T580" i="5"/>
  <c r="N580" i="5" s="1"/>
  <c r="AA485" i="5"/>
  <c r="AA657" i="5"/>
  <c r="AA810" i="5"/>
  <c r="T126" i="5"/>
  <c r="N126" i="5" s="1"/>
  <c r="AK126" i="5"/>
  <c r="T515" i="5"/>
  <c r="N515" i="5" s="1"/>
  <c r="AK515" i="5"/>
  <c r="T115" i="5"/>
  <c r="N115" i="5" s="1"/>
  <c r="AK115" i="5"/>
  <c r="T664" i="5"/>
  <c r="N664" i="5" s="1"/>
  <c r="AK664" i="5"/>
  <c r="T941" i="5"/>
  <c r="N941" i="5" s="1"/>
  <c r="AK941" i="5"/>
  <c r="T124" i="5"/>
  <c r="N124" i="5" s="1"/>
  <c r="AK124" i="5"/>
  <c r="T102" i="5"/>
  <c r="N102" i="5" s="1"/>
  <c r="AK102" i="5"/>
  <c r="T111" i="5"/>
  <c r="N111" i="5" s="1"/>
  <c r="AK111" i="5"/>
  <c r="T398" i="5"/>
  <c r="N398" i="5" s="1"/>
  <c r="AK398" i="5"/>
  <c r="T896" i="5"/>
  <c r="N896" i="5" s="1"/>
  <c r="AK896" i="5"/>
  <c r="T145" i="5"/>
  <c r="N145" i="5" s="1"/>
  <c r="AK145" i="5"/>
  <c r="AK216" i="5"/>
  <c r="T216" i="5"/>
  <c r="N216" i="5" s="1"/>
  <c r="AK300" i="5"/>
  <c r="T300" i="5"/>
  <c r="N300" i="5" s="1"/>
  <c r="AK185" i="5"/>
  <c r="X185" i="5"/>
  <c r="R185" i="5" s="1"/>
  <c r="T185" i="5"/>
  <c r="N185" i="5" s="1"/>
  <c r="AK284" i="5"/>
  <c r="X284" i="5"/>
  <c r="R284" i="5" s="1"/>
  <c r="T284" i="5"/>
  <c r="N284" i="5" s="1"/>
  <c r="AK508" i="5"/>
  <c r="X508" i="5"/>
  <c r="R508" i="5" s="1"/>
  <c r="T508" i="5"/>
  <c r="N508" i="5" s="1"/>
  <c r="AK694" i="5"/>
  <c r="X694" i="5"/>
  <c r="R694" i="5" s="1"/>
  <c r="T694" i="5"/>
  <c r="N694" i="5" s="1"/>
  <c r="T217" i="5"/>
  <c r="N217" i="5" s="1"/>
  <c r="AK217" i="5"/>
  <c r="T92" i="5"/>
  <c r="N92" i="5" s="1"/>
  <c r="AK92" i="5"/>
  <c r="T463" i="5"/>
  <c r="N463" i="5" s="1"/>
  <c r="AK463" i="5"/>
  <c r="T888" i="5"/>
  <c r="N888" i="5" s="1"/>
  <c r="AK888" i="5"/>
  <c r="AA92" i="5"/>
  <c r="AA888" i="5"/>
  <c r="X242" i="5"/>
  <c r="R242" i="5" s="1"/>
  <c r="T242" i="5"/>
  <c r="N242" i="5" s="1"/>
  <c r="AK242" i="5"/>
  <c r="X344" i="5"/>
  <c r="R344" i="5" s="1"/>
  <c r="T344" i="5"/>
  <c r="N344" i="5" s="1"/>
  <c r="AK344" i="5"/>
  <c r="X325" i="5"/>
  <c r="R325" i="5" s="1"/>
  <c r="T325" i="5"/>
  <c r="N325" i="5" s="1"/>
  <c r="AK325" i="5"/>
  <c r="X349" i="5"/>
  <c r="R349" i="5" s="1"/>
  <c r="T349" i="5"/>
  <c r="N349" i="5" s="1"/>
  <c r="AK349" i="5"/>
  <c r="AK144" i="5"/>
  <c r="X144" i="5"/>
  <c r="R144" i="5" s="1"/>
  <c r="T144" i="5"/>
  <c r="N144" i="5" s="1"/>
  <c r="AK186" i="5"/>
  <c r="X186" i="5"/>
  <c r="R186" i="5" s="1"/>
  <c r="T186" i="5"/>
  <c r="N186" i="5" s="1"/>
  <c r="AK518" i="5"/>
  <c r="X518" i="5"/>
  <c r="R518" i="5" s="1"/>
  <c r="T518" i="5"/>
  <c r="N518" i="5" s="1"/>
  <c r="X573" i="5"/>
  <c r="U573" i="5"/>
  <c r="O573" i="5" s="1"/>
  <c r="X813" i="5"/>
  <c r="U813" i="5"/>
  <c r="O813" i="5" s="1"/>
  <c r="T482" i="5"/>
  <c r="N482" i="5" s="1"/>
  <c r="AK482" i="5"/>
  <c r="X110" i="5"/>
  <c r="R110" i="5" s="1"/>
  <c r="T110" i="5"/>
  <c r="N110" i="5" s="1"/>
  <c r="AK110" i="5"/>
  <c r="X137" i="5"/>
  <c r="R137" i="5" s="1"/>
  <c r="T137" i="5"/>
  <c r="N137" i="5" s="1"/>
  <c r="AK137" i="5"/>
  <c r="X440" i="5"/>
  <c r="R440" i="5" s="1"/>
  <c r="T440" i="5"/>
  <c r="N440" i="5" s="1"/>
  <c r="AK440" i="5"/>
  <c r="X583" i="5"/>
  <c r="R583" i="5" s="1"/>
  <c r="T583" i="5"/>
  <c r="N583" i="5" s="1"/>
  <c r="AK583" i="5"/>
  <c r="X751" i="5"/>
  <c r="U751" i="5"/>
  <c r="O751" i="5" s="1"/>
  <c r="AK662" i="5"/>
  <c r="T662" i="5"/>
  <c r="N662" i="5" s="1"/>
  <c r="AK584" i="5"/>
  <c r="T584" i="5"/>
  <c r="N584" i="5" s="1"/>
  <c r="X907" i="5"/>
  <c r="U907" i="5"/>
  <c r="O907" i="5" s="1"/>
  <c r="X768" i="5"/>
  <c r="U768" i="5"/>
  <c r="O768" i="5" s="1"/>
  <c r="AK352" i="5"/>
  <c r="U352" i="5"/>
  <c r="T352" i="5"/>
  <c r="N352" i="5" s="1"/>
  <c r="X352" i="5"/>
  <c r="T585" i="5"/>
  <c r="N585" i="5" s="1"/>
  <c r="AK585" i="5"/>
  <c r="T773" i="5"/>
  <c r="N773" i="5" s="1"/>
  <c r="AK773" i="5"/>
  <c r="T312" i="5"/>
  <c r="N312" i="5" s="1"/>
  <c r="X312" i="5"/>
  <c r="AK312" i="5"/>
  <c r="U312" i="5"/>
  <c r="X585" i="5"/>
  <c r="U585" i="5"/>
  <c r="O585" i="5" s="1"/>
  <c r="X773" i="5"/>
  <c r="U773" i="5"/>
  <c r="O773" i="5" s="1"/>
  <c r="X383" i="5"/>
  <c r="AK383" i="5"/>
  <c r="U383" i="5"/>
  <c r="T383" i="5"/>
  <c r="N383" i="5" s="1"/>
  <c r="AK587" i="5"/>
  <c r="T587" i="5"/>
  <c r="N587" i="5" s="1"/>
  <c r="AK908" i="5"/>
  <c r="T908" i="5"/>
  <c r="N908" i="5" s="1"/>
  <c r="X370" i="5"/>
  <c r="AK370" i="5"/>
  <c r="U370" i="5"/>
  <c r="T370" i="5"/>
  <c r="N370" i="5" s="1"/>
  <c r="X877" i="5"/>
  <c r="T877" i="5"/>
  <c r="N877" i="5" s="1"/>
  <c r="AK877" i="5"/>
  <c r="U877" i="5"/>
  <c r="V877" i="5"/>
  <c r="X280" i="5"/>
  <c r="T280" i="5"/>
  <c r="N280" i="5" s="1"/>
  <c r="V280" i="5"/>
  <c r="AK280" i="5"/>
  <c r="U280" i="5"/>
  <c r="X623" i="5"/>
  <c r="T623" i="5"/>
  <c r="N623" i="5" s="1"/>
  <c r="V623" i="5"/>
  <c r="AK623" i="5"/>
  <c r="U623" i="5"/>
  <c r="AK609" i="5"/>
  <c r="T609" i="5"/>
  <c r="N609" i="5" s="1"/>
  <c r="X828" i="5"/>
  <c r="T828" i="5"/>
  <c r="N828" i="5" s="1"/>
  <c r="AK828" i="5"/>
  <c r="V828" i="5"/>
  <c r="U828" i="5"/>
  <c r="O637" i="5"/>
  <c r="AA637" i="5"/>
  <c r="AK503" i="5"/>
  <c r="X503" i="5"/>
  <c r="R503" i="5" s="1"/>
  <c r="T503" i="5"/>
  <c r="N503" i="5" s="1"/>
  <c r="AK607" i="5"/>
  <c r="T607" i="5"/>
  <c r="N607" i="5" s="1"/>
  <c r="X575" i="5"/>
  <c r="T575" i="5"/>
  <c r="N575" i="5" s="1"/>
  <c r="AK575" i="5"/>
  <c r="V575" i="5"/>
  <c r="U575" i="5"/>
  <c r="AK243" i="5"/>
  <c r="X243" i="5"/>
  <c r="T243" i="5"/>
  <c r="N243" i="5" s="1"/>
  <c r="W243" i="5"/>
  <c r="V243" i="5"/>
  <c r="U243" i="5"/>
  <c r="V684" i="5"/>
  <c r="AK684" i="5"/>
  <c r="U684" i="5"/>
  <c r="T684" i="5"/>
  <c r="N684" i="5" s="1"/>
  <c r="X684" i="5"/>
  <c r="V682" i="5"/>
  <c r="X682" i="5"/>
  <c r="U682" i="5"/>
  <c r="T682" i="5"/>
  <c r="N682" i="5" s="1"/>
  <c r="AK682" i="5"/>
  <c r="AK755" i="5"/>
  <c r="T755" i="5"/>
  <c r="N755" i="5" s="1"/>
  <c r="O420" i="5"/>
  <c r="AA420" i="5"/>
  <c r="O380" i="5"/>
  <c r="AA380" i="5"/>
  <c r="T232" i="5"/>
  <c r="N232" i="5" s="1"/>
  <c r="AK232" i="5"/>
  <c r="X232" i="5"/>
  <c r="R232" i="5" s="1"/>
  <c r="X753" i="5"/>
  <c r="R753" i="5" s="1"/>
  <c r="T753" i="5"/>
  <c r="N753" i="5" s="1"/>
  <c r="AK753" i="5"/>
  <c r="T880" i="5"/>
  <c r="N880" i="5" s="1"/>
  <c r="AK880" i="5"/>
  <c r="X880" i="5"/>
  <c r="R880" i="5" s="1"/>
  <c r="Q682" i="5" l="1"/>
  <c r="AB432" i="5"/>
  <c r="Q827" i="5"/>
  <c r="AB680" i="5"/>
  <c r="AB246" i="5"/>
  <c r="AB173" i="5"/>
  <c r="Q315" i="5"/>
  <c r="AB611" i="5"/>
  <c r="P375" i="5"/>
  <c r="M375" i="5" s="1"/>
  <c r="I375" i="5" s="1"/>
  <c r="Q681" i="5"/>
  <c r="AC623" i="5"/>
  <c r="AB152" i="5"/>
  <c r="AB647" i="5"/>
  <c r="AB330" i="5"/>
  <c r="AB495" i="5"/>
  <c r="Q280" i="5"/>
  <c r="M493" i="5"/>
  <c r="I493" i="5" s="1"/>
  <c r="AB363" i="5"/>
  <c r="Y493" i="5"/>
  <c r="Y527" i="5"/>
  <c r="Y649" i="5"/>
  <c r="AB543" i="5"/>
  <c r="AB272" i="5"/>
  <c r="Q205" i="5"/>
  <c r="Y563" i="5"/>
  <c r="AB207" i="5"/>
  <c r="AB490" i="5"/>
  <c r="AB128" i="5"/>
  <c r="P648" i="5"/>
  <c r="M648" i="5" s="1"/>
  <c r="I648" i="5" s="1"/>
  <c r="P241" i="5"/>
  <c r="M241" i="5" s="1"/>
  <c r="I241" i="5" s="1"/>
  <c r="P279" i="5"/>
  <c r="M527" i="5"/>
  <c r="I527" i="5" s="1"/>
  <c r="M649" i="5"/>
  <c r="I649" i="5" s="1"/>
  <c r="Y735" i="5"/>
  <c r="M593" i="5"/>
  <c r="I593" i="5" s="1"/>
  <c r="Y660" i="5"/>
  <c r="Y415" i="5"/>
  <c r="M756" i="5"/>
  <c r="I756" i="5" s="1"/>
  <c r="Y630" i="5"/>
  <c r="M883" i="5"/>
  <c r="I883" i="5" s="1"/>
  <c r="Y618" i="5"/>
  <c r="M517" i="5"/>
  <c r="I517" i="5" s="1"/>
  <c r="M630" i="5"/>
  <c r="I630" i="5" s="1"/>
  <c r="AA682" i="5"/>
  <c r="O682" i="5"/>
  <c r="AA243" i="5"/>
  <c r="O243" i="5"/>
  <c r="AB280" i="5"/>
  <c r="P280" i="5"/>
  <c r="Z908" i="5"/>
  <c r="S908" i="5"/>
  <c r="AA773" i="5"/>
  <c r="AA768" i="5"/>
  <c r="AA751" i="5"/>
  <c r="AD186" i="5"/>
  <c r="Z344" i="5"/>
  <c r="S344" i="5"/>
  <c r="M463" i="5"/>
  <c r="I463" i="5" s="1"/>
  <c r="Z463" i="5"/>
  <c r="Y463" i="5" s="1"/>
  <c r="S463" i="5"/>
  <c r="AD284" i="5"/>
  <c r="M111" i="5"/>
  <c r="I111" i="5" s="1"/>
  <c r="Z111" i="5"/>
  <c r="Y111" i="5" s="1"/>
  <c r="S111" i="5"/>
  <c r="Z515" i="5"/>
  <c r="Y515" i="5" s="1"/>
  <c r="S515" i="5"/>
  <c r="M515" i="5"/>
  <c r="I515" i="5" s="1"/>
  <c r="Z810" i="5"/>
  <c r="W810" i="5"/>
  <c r="Z308" i="5"/>
  <c r="W308" i="5"/>
  <c r="Z276" i="5"/>
  <c r="W276" i="5"/>
  <c r="Z556" i="5"/>
  <c r="W556" i="5"/>
  <c r="W384" i="5"/>
  <c r="Q384" i="5" s="1"/>
  <c r="Z384" i="5"/>
  <c r="Z206" i="5"/>
  <c r="Y206" i="5" s="1"/>
  <c r="M206" i="5"/>
  <c r="I206" i="5" s="1"/>
  <c r="S206" i="5"/>
  <c r="Z579" i="5"/>
  <c r="Y579" i="5" s="1"/>
  <c r="M579" i="5"/>
  <c r="I579" i="5" s="1"/>
  <c r="S579" i="5"/>
  <c r="Z433" i="5"/>
  <c r="S433" i="5"/>
  <c r="M726" i="5"/>
  <c r="I726" i="5" s="1"/>
  <c r="Z726" i="5"/>
  <c r="Y726" i="5" s="1"/>
  <c r="S726" i="5"/>
  <c r="Z821" i="5"/>
  <c r="S821" i="5"/>
  <c r="S955" i="5"/>
  <c r="Z955" i="5"/>
  <c r="Y955" i="5" s="1"/>
  <c r="M955" i="5"/>
  <c r="I955" i="5" s="1"/>
  <c r="S641" i="5"/>
  <c r="Z641" i="5"/>
  <c r="Y641" i="5" s="1"/>
  <c r="M641" i="5"/>
  <c r="I641" i="5" s="1"/>
  <c r="Z635" i="5"/>
  <c r="Y635" i="5" s="1"/>
  <c r="M635" i="5"/>
  <c r="I635" i="5" s="1"/>
  <c r="S635" i="5"/>
  <c r="Z632" i="5"/>
  <c r="Y632" i="5" s="1"/>
  <c r="M632" i="5"/>
  <c r="I632" i="5" s="1"/>
  <c r="S632" i="5"/>
  <c r="S364" i="5"/>
  <c r="Z364" i="5"/>
  <c r="Y364" i="5" s="1"/>
  <c r="M364" i="5"/>
  <c r="I364" i="5" s="1"/>
  <c r="S856" i="5"/>
  <c r="Z856" i="5"/>
  <c r="Y856" i="5" s="1"/>
  <c r="M856" i="5"/>
  <c r="I856" i="5" s="1"/>
  <c r="Z691" i="5"/>
  <c r="S691" i="5"/>
  <c r="S604" i="5"/>
  <c r="Z604" i="5"/>
  <c r="Y604" i="5" s="1"/>
  <c r="M604" i="5"/>
  <c r="I604" i="5" s="1"/>
  <c r="S525" i="5"/>
  <c r="Z525" i="5"/>
  <c r="Y525" i="5" s="1"/>
  <c r="M525" i="5"/>
  <c r="I525" i="5" s="1"/>
  <c r="AD963" i="5"/>
  <c r="S390" i="5"/>
  <c r="Z390" i="5"/>
  <c r="Y390" i="5" s="1"/>
  <c r="M390" i="5"/>
  <c r="I390" i="5" s="1"/>
  <c r="Z466" i="5"/>
  <c r="Y466" i="5" s="1"/>
  <c r="S466" i="5"/>
  <c r="M466" i="5"/>
  <c r="I466" i="5" s="1"/>
  <c r="S597" i="5"/>
  <c r="Z597" i="5"/>
  <c r="Y597" i="5" s="1"/>
  <c r="M597" i="5"/>
  <c r="I597" i="5" s="1"/>
  <c r="Z252" i="5"/>
  <c r="Y252" i="5" s="1"/>
  <c r="S252" i="5"/>
  <c r="M252" i="5"/>
  <c r="I252" i="5" s="1"/>
  <c r="M211" i="5"/>
  <c r="I211" i="5" s="1"/>
  <c r="Z211" i="5"/>
  <c r="Y211" i="5" s="1"/>
  <c r="S211" i="5"/>
  <c r="S681" i="5"/>
  <c r="Z681" i="5"/>
  <c r="Z494" i="5"/>
  <c r="Y494" i="5" s="1"/>
  <c r="M494" i="5"/>
  <c r="I494" i="5" s="1"/>
  <c r="S494" i="5"/>
  <c r="S205" i="5"/>
  <c r="Z205" i="5"/>
  <c r="Z951" i="5"/>
  <c r="S951" i="5"/>
  <c r="AD568" i="5"/>
  <c r="R568" i="5"/>
  <c r="Z467" i="5"/>
  <c r="S467" i="5"/>
  <c r="AD819" i="5"/>
  <c r="Z730" i="5"/>
  <c r="S730" i="5"/>
  <c r="AD785" i="5"/>
  <c r="Z112" i="5"/>
  <c r="Y112" i="5" s="1"/>
  <c r="S112" i="5"/>
  <c r="M112" i="5"/>
  <c r="I112" i="5" s="1"/>
  <c r="W478" i="5"/>
  <c r="Z478" i="5"/>
  <c r="S850" i="5"/>
  <c r="M850" i="5"/>
  <c r="I850" i="5" s="1"/>
  <c r="Z850" i="5"/>
  <c r="Y850" i="5" s="1"/>
  <c r="W554" i="5"/>
  <c r="Z554" i="5"/>
  <c r="Z614" i="5"/>
  <c r="Y614" i="5" s="1"/>
  <c r="M614" i="5"/>
  <c r="I614" i="5" s="1"/>
  <c r="S614" i="5"/>
  <c r="AA611" i="5"/>
  <c r="Z910" i="5"/>
  <c r="Y910" i="5" s="1"/>
  <c r="S910" i="5"/>
  <c r="M910" i="5"/>
  <c r="I910" i="5" s="1"/>
  <c r="AA457" i="5"/>
  <c r="Z653" i="5"/>
  <c r="Y653" i="5" s="1"/>
  <c r="S653" i="5"/>
  <c r="M653" i="5"/>
  <c r="I653" i="5" s="1"/>
  <c r="Z532" i="5"/>
  <c r="Y532" i="5" s="1"/>
  <c r="M532" i="5"/>
  <c r="I532" i="5" s="1"/>
  <c r="S532" i="5"/>
  <c r="S603" i="5"/>
  <c r="Z603" i="5"/>
  <c r="Y603" i="5" s="1"/>
  <c r="M603" i="5"/>
  <c r="I603" i="5" s="1"/>
  <c r="S589" i="5"/>
  <c r="Z589" i="5"/>
  <c r="Y589" i="5" s="1"/>
  <c r="M589" i="5"/>
  <c r="I589" i="5" s="1"/>
  <c r="Z886" i="5"/>
  <c r="S886" i="5"/>
  <c r="S438" i="5"/>
  <c r="Z438" i="5"/>
  <c r="Y438" i="5" s="1"/>
  <c r="M438" i="5"/>
  <c r="I438" i="5" s="1"/>
  <c r="Z889" i="5"/>
  <c r="Y889" i="5" s="1"/>
  <c r="S889" i="5"/>
  <c r="M889" i="5"/>
  <c r="I889" i="5" s="1"/>
  <c r="S449" i="5"/>
  <c r="Z449" i="5"/>
  <c r="Y449" i="5" s="1"/>
  <c r="M449" i="5"/>
  <c r="I449" i="5" s="1"/>
  <c r="Z974" i="5"/>
  <c r="S974" i="5"/>
  <c r="M258" i="5"/>
  <c r="I258" i="5" s="1"/>
  <c r="S258" i="5"/>
  <c r="Z258" i="5"/>
  <c r="Y258" i="5" s="1"/>
  <c r="M220" i="5"/>
  <c r="I220" i="5" s="1"/>
  <c r="Z220" i="5"/>
  <c r="Y220" i="5" s="1"/>
  <c r="S220" i="5"/>
  <c r="Z196" i="5"/>
  <c r="Y196" i="5" s="1"/>
  <c r="S196" i="5"/>
  <c r="M196" i="5"/>
  <c r="I196" i="5" s="1"/>
  <c r="AA919" i="5"/>
  <c r="O919" i="5"/>
  <c r="S721" i="5"/>
  <c r="M721" i="5"/>
  <c r="I721" i="5" s="1"/>
  <c r="Z721" i="5"/>
  <c r="Y721" i="5" s="1"/>
  <c r="AB442" i="5"/>
  <c r="P442" i="5"/>
  <c r="AD652" i="5"/>
  <c r="R652" i="5"/>
  <c r="AD501" i="5"/>
  <c r="R501" i="5"/>
  <c r="AD586" i="5"/>
  <c r="R586" i="5"/>
  <c r="Z177" i="5"/>
  <c r="S177" i="5"/>
  <c r="Z354" i="5"/>
  <c r="S354" i="5"/>
  <c r="AD223" i="5"/>
  <c r="Z229" i="5"/>
  <c r="Y229" i="5" s="1"/>
  <c r="S229" i="5"/>
  <c r="M229" i="5"/>
  <c r="I229" i="5" s="1"/>
  <c r="M646" i="5"/>
  <c r="I646" i="5" s="1"/>
  <c r="Z646" i="5"/>
  <c r="Y646" i="5" s="1"/>
  <c r="S646" i="5"/>
  <c r="Z812" i="5"/>
  <c r="W812" i="5"/>
  <c r="Z366" i="5"/>
  <c r="W366" i="5"/>
  <c r="Z351" i="5"/>
  <c r="W351" i="5"/>
  <c r="Z275" i="5"/>
  <c r="W275" i="5"/>
  <c r="Z739" i="5"/>
  <c r="W739" i="5"/>
  <c r="W409" i="5"/>
  <c r="Q409" i="5" s="1"/>
  <c r="Z409" i="5"/>
  <c r="W297" i="5"/>
  <c r="Q297" i="5" s="1"/>
  <c r="Z297" i="5"/>
  <c r="Z241" i="5"/>
  <c r="Y241" i="5" s="1"/>
  <c r="S241" i="5"/>
  <c r="Z240" i="5"/>
  <c r="Y240" i="5" s="1"/>
  <c r="M240" i="5"/>
  <c r="I240" i="5" s="1"/>
  <c r="S240" i="5"/>
  <c r="S956" i="5"/>
  <c r="Z956" i="5"/>
  <c r="Y956" i="5" s="1"/>
  <c r="M956" i="5"/>
  <c r="I956" i="5" s="1"/>
  <c r="S901" i="5"/>
  <c r="Z901" i="5"/>
  <c r="Y901" i="5" s="1"/>
  <c r="M901" i="5"/>
  <c r="I901" i="5" s="1"/>
  <c r="S640" i="5"/>
  <c r="Z640" i="5"/>
  <c r="Y640" i="5" s="1"/>
  <c r="M640" i="5"/>
  <c r="I640" i="5" s="1"/>
  <c r="AD690" i="5"/>
  <c r="M918" i="5"/>
  <c r="I918" i="5" s="1"/>
  <c r="Z918" i="5"/>
  <c r="Y918" i="5" s="1"/>
  <c r="S918" i="5"/>
  <c r="S311" i="5"/>
  <c r="Z311" i="5"/>
  <c r="Y311" i="5" s="1"/>
  <c r="M311" i="5"/>
  <c r="I311" i="5" s="1"/>
  <c r="Z960" i="5"/>
  <c r="S960" i="5"/>
  <c r="S855" i="5"/>
  <c r="Z855" i="5"/>
  <c r="Y855" i="5" s="1"/>
  <c r="M855" i="5"/>
  <c r="I855" i="5" s="1"/>
  <c r="S269" i="5"/>
  <c r="Z269" i="5"/>
  <c r="Y269" i="5" s="1"/>
  <c r="M269" i="5"/>
  <c r="I269" i="5" s="1"/>
  <c r="Z414" i="5"/>
  <c r="S414" i="5"/>
  <c r="S860" i="5"/>
  <c r="Z860" i="5"/>
  <c r="Y860" i="5" s="1"/>
  <c r="M860" i="5"/>
  <c r="I860" i="5" s="1"/>
  <c r="S388" i="5"/>
  <c r="Z388" i="5"/>
  <c r="Y388" i="5" s="1"/>
  <c r="M388" i="5"/>
  <c r="I388" i="5" s="1"/>
  <c r="M84" i="5"/>
  <c r="I84" i="5" s="1"/>
  <c r="Z84" i="5"/>
  <c r="Y84" i="5" s="1"/>
  <c r="S84" i="5"/>
  <c r="M328" i="5"/>
  <c r="I328" i="5" s="1"/>
  <c r="Z328" i="5"/>
  <c r="Y328" i="5" s="1"/>
  <c r="S328" i="5"/>
  <c r="M530" i="5"/>
  <c r="I530" i="5" s="1"/>
  <c r="S530" i="5"/>
  <c r="Z530" i="5"/>
  <c r="Y530" i="5" s="1"/>
  <c r="AA315" i="5"/>
  <c r="O315" i="5"/>
  <c r="P685" i="5"/>
  <c r="AB685" i="5"/>
  <c r="S844" i="5"/>
  <c r="Z844" i="5"/>
  <c r="AA854" i="5"/>
  <c r="O854" i="5"/>
  <c r="AA441" i="5"/>
  <c r="O441" i="5"/>
  <c r="Z933" i="5"/>
  <c r="S933" i="5"/>
  <c r="AD683" i="5"/>
  <c r="R683" i="5"/>
  <c r="Z772" i="5"/>
  <c r="S772" i="5"/>
  <c r="AD750" i="5"/>
  <c r="R750" i="5"/>
  <c r="AA584" i="5"/>
  <c r="AD636" i="5"/>
  <c r="AD418" i="5"/>
  <c r="Z125" i="5"/>
  <c r="Y125" i="5" s="1"/>
  <c r="S125" i="5"/>
  <c r="M125" i="5"/>
  <c r="I125" i="5" s="1"/>
  <c r="Z100" i="5"/>
  <c r="Y100" i="5" s="1"/>
  <c r="S100" i="5"/>
  <c r="M100" i="5"/>
  <c r="I100" i="5" s="1"/>
  <c r="Z106" i="5"/>
  <c r="Y106" i="5" s="1"/>
  <c r="S106" i="5"/>
  <c r="M106" i="5"/>
  <c r="I106" i="5" s="1"/>
  <c r="W254" i="5"/>
  <c r="Z254" i="5"/>
  <c r="W175" i="5"/>
  <c r="Z175" i="5"/>
  <c r="W158" i="5"/>
  <c r="Z158" i="5"/>
  <c r="S625" i="5"/>
  <c r="Z625" i="5"/>
  <c r="Y625" i="5" s="1"/>
  <c r="M625" i="5"/>
  <c r="I625" i="5" s="1"/>
  <c r="W874" i="5"/>
  <c r="Z874" i="5"/>
  <c r="Z894" i="5"/>
  <c r="Y894" i="5" s="1"/>
  <c r="M894" i="5"/>
  <c r="I894" i="5" s="1"/>
  <c r="S894" i="5"/>
  <c r="Z279" i="5"/>
  <c r="Y279" i="5" s="1"/>
  <c r="M279" i="5"/>
  <c r="I279" i="5" s="1"/>
  <c r="S279" i="5"/>
  <c r="Z713" i="5"/>
  <c r="S713" i="5"/>
  <c r="M550" i="5"/>
  <c r="I550" i="5" s="1"/>
  <c r="Z550" i="5"/>
  <c r="Y550" i="5" s="1"/>
  <c r="S550" i="5"/>
  <c r="M305" i="5"/>
  <c r="I305" i="5" s="1"/>
  <c r="Z305" i="5"/>
  <c r="Y305" i="5" s="1"/>
  <c r="S305" i="5"/>
  <c r="Z610" i="5"/>
  <c r="S610" i="5"/>
  <c r="S708" i="5"/>
  <c r="Z708" i="5"/>
  <c r="Y708" i="5" s="1"/>
  <c r="M708" i="5"/>
  <c r="I708" i="5" s="1"/>
  <c r="S806" i="5"/>
  <c r="Z806" i="5"/>
  <c r="Y806" i="5" s="1"/>
  <c r="M806" i="5"/>
  <c r="I806" i="5" s="1"/>
  <c r="Z473" i="5"/>
  <c r="Y473" i="5" s="1"/>
  <c r="S473" i="5"/>
  <c r="M473" i="5"/>
  <c r="I473" i="5" s="1"/>
  <c r="Z302" i="5"/>
  <c r="Y302" i="5" s="1"/>
  <c r="S302" i="5"/>
  <c r="M302" i="5"/>
  <c r="I302" i="5" s="1"/>
  <c r="Z295" i="5"/>
  <c r="Y295" i="5" s="1"/>
  <c r="M295" i="5"/>
  <c r="I295" i="5" s="1"/>
  <c r="S295" i="5"/>
  <c r="Z959" i="5"/>
  <c r="S959" i="5"/>
  <c r="Z524" i="5"/>
  <c r="Y524" i="5" s="1"/>
  <c r="M524" i="5"/>
  <c r="I524" i="5" s="1"/>
  <c r="S524" i="5"/>
  <c r="S118" i="5"/>
  <c r="Z118" i="5"/>
  <c r="Y118" i="5" s="1"/>
  <c r="M118" i="5"/>
  <c r="I118" i="5" s="1"/>
  <c r="AD950" i="5"/>
  <c r="M826" i="5"/>
  <c r="I826" i="5" s="1"/>
  <c r="Z826" i="5"/>
  <c r="Y826" i="5" s="1"/>
  <c r="S826" i="5"/>
  <c r="S628" i="5"/>
  <c r="Z628" i="5"/>
  <c r="Y628" i="5" s="1"/>
  <c r="M628" i="5"/>
  <c r="I628" i="5" s="1"/>
  <c r="AB243" i="5"/>
  <c r="P243" i="5"/>
  <c r="M503" i="5"/>
  <c r="I503" i="5" s="1"/>
  <c r="Z503" i="5"/>
  <c r="Y503" i="5" s="1"/>
  <c r="S503" i="5"/>
  <c r="AA623" i="5"/>
  <c r="O623" i="5"/>
  <c r="AD773" i="5"/>
  <c r="R773" i="5"/>
  <c r="Z352" i="5"/>
  <c r="S352" i="5"/>
  <c r="AD110" i="5"/>
  <c r="AD344" i="5"/>
  <c r="Z300" i="5"/>
  <c r="Y300" i="5" s="1"/>
  <c r="S300" i="5"/>
  <c r="M300" i="5"/>
  <c r="I300" i="5" s="1"/>
  <c r="W658" i="5"/>
  <c r="Z658" i="5"/>
  <c r="Z895" i="5"/>
  <c r="Y895" i="5" s="1"/>
  <c r="M895" i="5"/>
  <c r="I895" i="5" s="1"/>
  <c r="S895" i="5"/>
  <c r="Z405" i="5"/>
  <c r="Y405" i="5" s="1"/>
  <c r="S405" i="5"/>
  <c r="M405" i="5"/>
  <c r="I405" i="5" s="1"/>
  <c r="AA821" i="5"/>
  <c r="AA917" i="5"/>
  <c r="Z921" i="5"/>
  <c r="Y921" i="5" s="1"/>
  <c r="S921" i="5"/>
  <c r="M921" i="5"/>
  <c r="I921" i="5" s="1"/>
  <c r="S598" i="5"/>
  <c r="Z598" i="5"/>
  <c r="Y598" i="5" s="1"/>
  <c r="M598" i="5"/>
  <c r="I598" i="5" s="1"/>
  <c r="M155" i="5"/>
  <c r="I155" i="5" s="1"/>
  <c r="Z155" i="5"/>
  <c r="Y155" i="5" s="1"/>
  <c r="S155" i="5"/>
  <c r="Z109" i="5"/>
  <c r="Y109" i="5" s="1"/>
  <c r="S109" i="5"/>
  <c r="M109" i="5"/>
  <c r="I109" i="5" s="1"/>
  <c r="M114" i="5"/>
  <c r="I114" i="5" s="1"/>
  <c r="S114" i="5"/>
  <c r="Z114" i="5"/>
  <c r="Y114" i="5" s="1"/>
  <c r="Z801" i="5"/>
  <c r="Y801" i="5" s="1"/>
  <c r="S801" i="5"/>
  <c r="M801" i="5"/>
  <c r="I801" i="5" s="1"/>
  <c r="Z567" i="5"/>
  <c r="Y567" i="5" s="1"/>
  <c r="S567" i="5"/>
  <c r="M567" i="5"/>
  <c r="I567" i="5" s="1"/>
  <c r="AD920" i="5"/>
  <c r="R920" i="5"/>
  <c r="AA681" i="5"/>
  <c r="O681" i="5"/>
  <c r="AB957" i="5"/>
  <c r="P957" i="5"/>
  <c r="Z843" i="5"/>
  <c r="S843" i="5"/>
  <c r="S622" i="5"/>
  <c r="Z622" i="5"/>
  <c r="AD814" i="5"/>
  <c r="R814" i="5"/>
  <c r="AD467" i="5"/>
  <c r="AD730" i="5"/>
  <c r="Z225" i="5"/>
  <c r="S225" i="5"/>
  <c r="Z266" i="5"/>
  <c r="S266" i="5"/>
  <c r="Z514" i="5"/>
  <c r="Y514" i="5" s="1"/>
  <c r="S514" i="5"/>
  <c r="M514" i="5"/>
  <c r="I514" i="5" s="1"/>
  <c r="Z590" i="5"/>
  <c r="W590" i="5"/>
  <c r="Q590" i="5" s="1"/>
  <c r="Z209" i="5"/>
  <c r="W209" i="5"/>
  <c r="Q209" i="5" s="1"/>
  <c r="AA491" i="5"/>
  <c r="Z151" i="5"/>
  <c r="Y151" i="5" s="1"/>
  <c r="M151" i="5"/>
  <c r="I151" i="5" s="1"/>
  <c r="S151" i="5"/>
  <c r="Z189" i="5"/>
  <c r="Y189" i="5" s="1"/>
  <c r="M189" i="5"/>
  <c r="I189" i="5" s="1"/>
  <c r="S189" i="5"/>
  <c r="AD392" i="5"/>
  <c r="M324" i="5"/>
  <c r="I324" i="5" s="1"/>
  <c r="Z324" i="5"/>
  <c r="Y324" i="5" s="1"/>
  <c r="S324" i="5"/>
  <c r="S962" i="5"/>
  <c r="Z962" i="5"/>
  <c r="Y962" i="5" s="1"/>
  <c r="M962" i="5"/>
  <c r="I962" i="5" s="1"/>
  <c r="S500" i="5"/>
  <c r="Z500" i="5"/>
  <c r="Y500" i="5" s="1"/>
  <c r="M500" i="5"/>
  <c r="I500" i="5" s="1"/>
  <c r="AD949" i="5"/>
  <c r="S386" i="5"/>
  <c r="Z386" i="5"/>
  <c r="Y386" i="5" s="1"/>
  <c r="M386" i="5"/>
  <c r="I386" i="5" s="1"/>
  <c r="Z862" i="5"/>
  <c r="S862" i="5"/>
  <c r="Z651" i="5"/>
  <c r="Y651" i="5" s="1"/>
  <c r="S651" i="5"/>
  <c r="M651" i="5"/>
  <c r="I651" i="5" s="1"/>
  <c r="AB674" i="5"/>
  <c r="P674" i="5"/>
  <c r="AB401" i="5"/>
  <c r="P401" i="5"/>
  <c r="M786" i="5"/>
  <c r="I786" i="5" s="1"/>
  <c r="Z786" i="5"/>
  <c r="Y786" i="5" s="1"/>
  <c r="S786" i="5"/>
  <c r="S442" i="5"/>
  <c r="Z442" i="5"/>
  <c r="Z652" i="5"/>
  <c r="S652" i="5"/>
  <c r="AD382" i="5"/>
  <c r="Z321" i="5"/>
  <c r="S321" i="5"/>
  <c r="AD135" i="5"/>
  <c r="AD354" i="5"/>
  <c r="M227" i="5"/>
  <c r="I227" i="5" s="1"/>
  <c r="Z227" i="5"/>
  <c r="Y227" i="5" s="1"/>
  <c r="S227" i="5"/>
  <c r="Z677" i="5"/>
  <c r="S677" i="5"/>
  <c r="AD265" i="5"/>
  <c r="Z86" i="5"/>
  <c r="Y86" i="5" s="1"/>
  <c r="S86" i="5"/>
  <c r="M86" i="5"/>
  <c r="I86" i="5" s="1"/>
  <c r="M528" i="5"/>
  <c r="I528" i="5" s="1"/>
  <c r="S528" i="5"/>
  <c r="Z528" i="5"/>
  <c r="Y528" i="5" s="1"/>
  <c r="M150" i="5"/>
  <c r="I150" i="5" s="1"/>
  <c r="Z150" i="5"/>
  <c r="Y150" i="5" s="1"/>
  <c r="S150" i="5"/>
  <c r="W771" i="5"/>
  <c r="Z771" i="5"/>
  <c r="W367" i="5"/>
  <c r="Z367" i="5"/>
  <c r="S724" i="5"/>
  <c r="Z724" i="5"/>
  <c r="Y724" i="5" s="1"/>
  <c r="M724" i="5"/>
  <c r="I724" i="5" s="1"/>
  <c r="S490" i="5"/>
  <c r="Z490" i="5"/>
  <c r="M490" i="5"/>
  <c r="I490" i="5" s="1"/>
  <c r="Z170" i="5"/>
  <c r="S170" i="5"/>
  <c r="Z763" i="5"/>
  <c r="Y763" i="5" s="1"/>
  <c r="M763" i="5"/>
  <c r="I763" i="5" s="1"/>
  <c r="S763" i="5"/>
  <c r="Z608" i="5"/>
  <c r="Y608" i="5" s="1"/>
  <c r="M608" i="5"/>
  <c r="I608" i="5" s="1"/>
  <c r="S608" i="5"/>
  <c r="Z851" i="5"/>
  <c r="Y851" i="5" s="1"/>
  <c r="M851" i="5"/>
  <c r="I851" i="5" s="1"/>
  <c r="S851" i="5"/>
  <c r="AB362" i="5"/>
  <c r="Z362" i="5"/>
  <c r="S362" i="5"/>
  <c r="M540" i="5"/>
  <c r="I540" i="5" s="1"/>
  <c r="Z540" i="5"/>
  <c r="Y540" i="5" s="1"/>
  <c r="S540" i="5"/>
  <c r="Z456" i="5"/>
  <c r="S456" i="5"/>
  <c r="AA899" i="5"/>
  <c r="Z645" i="5"/>
  <c r="S645" i="5"/>
  <c r="AA714" i="5"/>
  <c r="S549" i="5"/>
  <c r="Z549" i="5"/>
  <c r="Z184" i="5"/>
  <c r="Y184" i="5" s="1"/>
  <c r="M184" i="5"/>
  <c r="I184" i="5" s="1"/>
  <c r="S184" i="5"/>
  <c r="Z133" i="5"/>
  <c r="Y133" i="5" s="1"/>
  <c r="M133" i="5"/>
  <c r="I133" i="5" s="1"/>
  <c r="S133" i="5"/>
  <c r="Z927" i="5"/>
  <c r="S927" i="5"/>
  <c r="AD944" i="5"/>
  <c r="Z191" i="5"/>
  <c r="Y191" i="5" s="1"/>
  <c r="M191" i="5"/>
  <c r="I191" i="5" s="1"/>
  <c r="S191" i="5"/>
  <c r="S361" i="5"/>
  <c r="Z361" i="5"/>
  <c r="Y361" i="5" s="1"/>
  <c r="M361" i="5"/>
  <c r="I361" i="5" s="1"/>
  <c r="S777" i="5"/>
  <c r="Z777" i="5"/>
  <c r="Y777" i="5" s="1"/>
  <c r="M777" i="5"/>
  <c r="I777" i="5" s="1"/>
  <c r="S749" i="5"/>
  <c r="Z749" i="5"/>
  <c r="Y749" i="5" s="1"/>
  <c r="M749" i="5"/>
  <c r="I749" i="5" s="1"/>
  <c r="S245" i="5"/>
  <c r="Z245" i="5"/>
  <c r="Y245" i="5" s="1"/>
  <c r="M245" i="5"/>
  <c r="I245" i="5" s="1"/>
  <c r="S407" i="5"/>
  <c r="Z407" i="5"/>
  <c r="Y407" i="5" s="1"/>
  <c r="M407" i="5"/>
  <c r="I407" i="5" s="1"/>
  <c r="S564" i="5"/>
  <c r="Z564" i="5"/>
  <c r="Y564" i="5" s="1"/>
  <c r="M564" i="5"/>
  <c r="I564" i="5" s="1"/>
  <c r="AD960" i="5"/>
  <c r="Z885" i="5"/>
  <c r="S885" i="5"/>
  <c r="Z507" i="5"/>
  <c r="S507" i="5"/>
  <c r="S483" i="5"/>
  <c r="Z483" i="5"/>
  <c r="Y483" i="5" s="1"/>
  <c r="M483" i="5"/>
  <c r="I483" i="5" s="1"/>
  <c r="S871" i="5"/>
  <c r="Z871" i="5"/>
  <c r="Y871" i="5" s="1"/>
  <c r="M871" i="5"/>
  <c r="I871" i="5" s="1"/>
  <c r="S742" i="5"/>
  <c r="Z742" i="5"/>
  <c r="Y742" i="5" s="1"/>
  <c r="M742" i="5"/>
  <c r="I742" i="5" s="1"/>
  <c r="Z977" i="5"/>
  <c r="S977" i="5"/>
  <c r="S412" i="5"/>
  <c r="Z412" i="5"/>
  <c r="Y412" i="5" s="1"/>
  <c r="M412" i="5"/>
  <c r="I412" i="5" s="1"/>
  <c r="S416" i="5"/>
  <c r="Z416" i="5"/>
  <c r="Y416" i="5" s="1"/>
  <c r="M416" i="5"/>
  <c r="I416" i="5" s="1"/>
  <c r="AB713" i="5"/>
  <c r="AB820" i="5"/>
  <c r="AB835" i="5"/>
  <c r="Y654" i="5"/>
  <c r="M415" i="5"/>
  <c r="I415" i="5" s="1"/>
  <c r="Y731" i="5"/>
  <c r="Z94" i="5"/>
  <c r="Y94" i="5" s="1"/>
  <c r="S94" i="5"/>
  <c r="M94" i="5"/>
  <c r="I94" i="5" s="1"/>
  <c r="Z168" i="5"/>
  <c r="Y168" i="5" s="1"/>
  <c r="S168" i="5"/>
  <c r="M168" i="5"/>
  <c r="I168" i="5" s="1"/>
  <c r="Z91" i="5"/>
  <c r="Y91" i="5" s="1"/>
  <c r="S91" i="5"/>
  <c r="M91" i="5"/>
  <c r="I91" i="5" s="1"/>
  <c r="Z90" i="5"/>
  <c r="Y90" i="5" s="1"/>
  <c r="S90" i="5"/>
  <c r="M90" i="5"/>
  <c r="I90" i="5" s="1"/>
  <c r="Z695" i="5"/>
  <c r="Y695" i="5" s="1"/>
  <c r="M695" i="5"/>
  <c r="I695" i="5" s="1"/>
  <c r="S695" i="5"/>
  <c r="Z898" i="5"/>
  <c r="Y898" i="5" s="1"/>
  <c r="M898" i="5"/>
  <c r="I898" i="5" s="1"/>
  <c r="S898" i="5"/>
  <c r="AD315" i="5"/>
  <c r="R315" i="5"/>
  <c r="Z685" i="5"/>
  <c r="S685" i="5"/>
  <c r="AD817" i="5"/>
  <c r="R817" i="5"/>
  <c r="P817" i="5"/>
  <c r="AB817" i="5"/>
  <c r="S936" i="5"/>
  <c r="Z936" i="5"/>
  <c r="AA844" i="5"/>
  <c r="O844" i="5"/>
  <c r="R844" i="5"/>
  <c r="AD844" i="5"/>
  <c r="AB854" i="5"/>
  <c r="P854" i="5"/>
  <c r="AB624" i="5"/>
  <c r="P624" i="5"/>
  <c r="AA933" i="5"/>
  <c r="O933" i="5"/>
  <c r="Z373" i="5"/>
  <c r="S373" i="5"/>
  <c r="Z768" i="5"/>
  <c r="S768" i="5"/>
  <c r="S683" i="5"/>
  <c r="Z683" i="5"/>
  <c r="AA925" i="5"/>
  <c r="AA699" i="5"/>
  <c r="O699" i="5"/>
  <c r="AD861" i="5"/>
  <c r="R861" i="5"/>
  <c r="AA863" i="5"/>
  <c r="AA728" i="5"/>
  <c r="AA572" i="5"/>
  <c r="Z231" i="5"/>
  <c r="S231" i="5"/>
  <c r="AD183" i="5"/>
  <c r="AD584" i="5"/>
  <c r="R584" i="5"/>
  <c r="AD287" i="5"/>
  <c r="Z509" i="5"/>
  <c r="S509" i="5"/>
  <c r="AD182" i="5"/>
  <c r="Z424" i="5"/>
  <c r="S424" i="5"/>
  <c r="AD134" i="5"/>
  <c r="Z77" i="5"/>
  <c r="Y77" i="5" s="1"/>
  <c r="S77" i="5"/>
  <c r="M77" i="5"/>
  <c r="I77" i="5" s="1"/>
  <c r="Z163" i="5"/>
  <c r="Y163" i="5" s="1"/>
  <c r="S163" i="5"/>
  <c r="M163" i="5"/>
  <c r="I163" i="5" s="1"/>
  <c r="Z234" i="5"/>
  <c r="Y234" i="5" s="1"/>
  <c r="S234" i="5"/>
  <c r="M234" i="5"/>
  <c r="I234" i="5" s="1"/>
  <c r="Z555" i="5"/>
  <c r="W555" i="5"/>
  <c r="Z523" i="5"/>
  <c r="W523" i="5"/>
  <c r="Z396" i="5"/>
  <c r="W396" i="5"/>
  <c r="Z429" i="5"/>
  <c r="W429" i="5"/>
  <c r="Z208" i="5"/>
  <c r="W208" i="5"/>
  <c r="Z881" i="5"/>
  <c r="Y881" i="5" s="1"/>
  <c r="S881" i="5"/>
  <c r="M881" i="5"/>
  <c r="I881" i="5" s="1"/>
  <c r="Z538" i="5"/>
  <c r="Y538" i="5" s="1"/>
  <c r="S538" i="5"/>
  <c r="M538" i="5"/>
  <c r="I538" i="5" s="1"/>
  <c r="Z511" i="5"/>
  <c r="Y511" i="5" s="1"/>
  <c r="M511" i="5"/>
  <c r="I511" i="5" s="1"/>
  <c r="S511" i="5"/>
  <c r="Z929" i="5"/>
  <c r="Y929" i="5" s="1"/>
  <c r="M929" i="5"/>
  <c r="I929" i="5" s="1"/>
  <c r="S929" i="5"/>
  <c r="Z680" i="5"/>
  <c r="M680" i="5"/>
  <c r="I680" i="5" s="1"/>
  <c r="S680" i="5"/>
  <c r="Z477" i="5"/>
  <c r="Y477" i="5" s="1"/>
  <c r="M477" i="5"/>
  <c r="I477" i="5" s="1"/>
  <c r="S477" i="5"/>
  <c r="M882" i="5"/>
  <c r="I882" i="5" s="1"/>
  <c r="Z882" i="5"/>
  <c r="Y882" i="5" s="1"/>
  <c r="S882" i="5"/>
  <c r="M539" i="5"/>
  <c r="I539" i="5" s="1"/>
  <c r="Z539" i="5"/>
  <c r="Y539" i="5" s="1"/>
  <c r="S539" i="5"/>
  <c r="AA836" i="5"/>
  <c r="AA713" i="5"/>
  <c r="Z616" i="5"/>
  <c r="Y616" i="5" s="1"/>
  <c r="S616" i="5"/>
  <c r="M616" i="5"/>
  <c r="I616" i="5" s="1"/>
  <c r="AA853" i="5"/>
  <c r="Z716" i="5"/>
  <c r="S716" i="5"/>
  <c r="AD892" i="5"/>
  <c r="Z884" i="5"/>
  <c r="S884" i="5"/>
  <c r="S248" i="5"/>
  <c r="Z248" i="5"/>
  <c r="Y248" i="5" s="1"/>
  <c r="M248" i="5"/>
  <c r="I248" i="5" s="1"/>
  <c r="S180" i="5"/>
  <c r="Z180" i="5"/>
  <c r="Y180" i="5" s="1"/>
  <c r="M180" i="5"/>
  <c r="I180" i="5" s="1"/>
  <c r="Z832" i="5"/>
  <c r="S832" i="5"/>
  <c r="S406" i="5"/>
  <c r="Z406" i="5"/>
  <c r="Y406" i="5" s="1"/>
  <c r="M406" i="5"/>
  <c r="I406" i="5" s="1"/>
  <c r="S717" i="5"/>
  <c r="Z717" i="5"/>
  <c r="Y717" i="5" s="1"/>
  <c r="M717" i="5"/>
  <c r="I717" i="5" s="1"/>
  <c r="S758" i="5"/>
  <c r="Z758" i="5"/>
  <c r="Y758" i="5" s="1"/>
  <c r="M758" i="5"/>
  <c r="I758" i="5" s="1"/>
  <c r="S848" i="5"/>
  <c r="Z848" i="5"/>
  <c r="Y848" i="5" s="1"/>
  <c r="M848" i="5"/>
  <c r="I848" i="5" s="1"/>
  <c r="Z656" i="5"/>
  <c r="Y656" i="5" s="1"/>
  <c r="S656" i="5"/>
  <c r="M656" i="5"/>
  <c r="I656" i="5" s="1"/>
  <c r="Z288" i="5"/>
  <c r="Y288" i="5" s="1"/>
  <c r="S288" i="5"/>
  <c r="M288" i="5"/>
  <c r="I288" i="5" s="1"/>
  <c r="Z601" i="5"/>
  <c r="S601" i="5"/>
  <c r="Z972" i="5"/>
  <c r="S972" i="5"/>
  <c r="S521" i="5"/>
  <c r="Z521" i="5"/>
  <c r="Y521" i="5" s="1"/>
  <c r="M521" i="5"/>
  <c r="I521" i="5" s="1"/>
  <c r="S443" i="5"/>
  <c r="Z443" i="5"/>
  <c r="Y443" i="5" s="1"/>
  <c r="M443" i="5"/>
  <c r="I443" i="5" s="1"/>
  <c r="S830" i="5"/>
  <c r="Z830" i="5"/>
  <c r="Y830" i="5" s="1"/>
  <c r="M830" i="5"/>
  <c r="I830" i="5" s="1"/>
  <c r="M802" i="5"/>
  <c r="I802" i="5" s="1"/>
  <c r="Z802" i="5"/>
  <c r="Y802" i="5" s="1"/>
  <c r="S802" i="5"/>
  <c r="Z755" i="5"/>
  <c r="Y755" i="5" s="1"/>
  <c r="S755" i="5"/>
  <c r="M755" i="5"/>
  <c r="I755" i="5" s="1"/>
  <c r="Z684" i="5"/>
  <c r="S684" i="5"/>
  <c r="S623" i="5"/>
  <c r="Z623" i="5"/>
  <c r="Z370" i="5"/>
  <c r="S370" i="5"/>
  <c r="AA312" i="5"/>
  <c r="O312" i="5"/>
  <c r="Z584" i="5"/>
  <c r="S584" i="5"/>
  <c r="Z110" i="5"/>
  <c r="S110" i="5"/>
  <c r="AA813" i="5"/>
  <c r="Z508" i="5"/>
  <c r="S508" i="5"/>
  <c r="M124" i="5"/>
  <c r="I124" i="5" s="1"/>
  <c r="Z124" i="5"/>
  <c r="Y124" i="5" s="1"/>
  <c r="S124" i="5"/>
  <c r="Z657" i="5"/>
  <c r="W657" i="5"/>
  <c r="Z346" i="5"/>
  <c r="W346" i="5"/>
  <c r="Z947" i="5"/>
  <c r="W947" i="5"/>
  <c r="Z875" i="5"/>
  <c r="W875" i="5"/>
  <c r="W671" i="5"/>
  <c r="Q671" i="5" s="1"/>
  <c r="Z671" i="5"/>
  <c r="W156" i="5"/>
  <c r="Q156" i="5" s="1"/>
  <c r="Z156" i="5"/>
  <c r="S363" i="5"/>
  <c r="Z363" i="5"/>
  <c r="M363" i="5"/>
  <c r="I363" i="5" s="1"/>
  <c r="Z272" i="5"/>
  <c r="Y272" i="5" s="1"/>
  <c r="M272" i="5"/>
  <c r="I272" i="5" s="1"/>
  <c r="S272" i="5"/>
  <c r="AB433" i="5"/>
  <c r="Z784" i="5"/>
  <c r="S784" i="5"/>
  <c r="Z612" i="5"/>
  <c r="S612" i="5"/>
  <c r="S799" i="5"/>
  <c r="Z799" i="5"/>
  <c r="Y799" i="5" s="1"/>
  <c r="M799" i="5"/>
  <c r="I799" i="5" s="1"/>
  <c r="S745" i="5"/>
  <c r="Z745" i="5"/>
  <c r="Y745" i="5" s="1"/>
  <c r="M745" i="5"/>
  <c r="I745" i="5" s="1"/>
  <c r="Z676" i="5"/>
  <c r="Y676" i="5" s="1"/>
  <c r="M676" i="5"/>
  <c r="I676" i="5" s="1"/>
  <c r="S676" i="5"/>
  <c r="AD838" i="5"/>
  <c r="S471" i="5"/>
  <c r="Z471" i="5"/>
  <c r="Y471" i="5" s="1"/>
  <c r="M471" i="5"/>
  <c r="I471" i="5" s="1"/>
  <c r="S426" i="5"/>
  <c r="Z426" i="5"/>
  <c r="Y426" i="5" s="1"/>
  <c r="M426" i="5"/>
  <c r="I426" i="5" s="1"/>
  <c r="S218" i="5"/>
  <c r="Z218" i="5"/>
  <c r="Y218" i="5" s="1"/>
  <c r="M218" i="5"/>
  <c r="I218" i="5" s="1"/>
  <c r="M385" i="5"/>
  <c r="I385" i="5" s="1"/>
  <c r="Z385" i="5"/>
  <c r="Y385" i="5" s="1"/>
  <c r="S385" i="5"/>
  <c r="Y517" i="5"/>
  <c r="S257" i="5"/>
  <c r="Z257" i="5"/>
  <c r="Y257" i="5" s="1"/>
  <c r="M257" i="5"/>
  <c r="I257" i="5" s="1"/>
  <c r="Z504" i="5"/>
  <c r="Y504" i="5" s="1"/>
  <c r="S504" i="5"/>
  <c r="M504" i="5"/>
  <c r="I504" i="5" s="1"/>
  <c r="Z513" i="5"/>
  <c r="S513" i="5"/>
  <c r="AA957" i="5"/>
  <c r="O957" i="5"/>
  <c r="AB622" i="5"/>
  <c r="P622" i="5"/>
  <c r="Z496" i="5"/>
  <c r="S496" i="5"/>
  <c r="AA814" i="5"/>
  <c r="AA587" i="5"/>
  <c r="Z573" i="5"/>
  <c r="S573" i="5"/>
  <c r="Z571" i="5"/>
  <c r="S571" i="5"/>
  <c r="AD642" i="5"/>
  <c r="Z410" i="5"/>
  <c r="S410" i="5"/>
  <c r="M320" i="5"/>
  <c r="I320" i="5" s="1"/>
  <c r="Z320" i="5"/>
  <c r="Y320" i="5" s="1"/>
  <c r="S320" i="5"/>
  <c r="W347" i="5"/>
  <c r="Z347" i="5"/>
  <c r="W174" i="5"/>
  <c r="Z174" i="5"/>
  <c r="W876" i="5"/>
  <c r="Z876" i="5"/>
  <c r="Z152" i="5"/>
  <c r="M152" i="5"/>
  <c r="I152" i="5" s="1"/>
  <c r="S152" i="5"/>
  <c r="AB491" i="5"/>
  <c r="Z491" i="5"/>
  <c r="S491" i="5"/>
  <c r="M669" i="5"/>
  <c r="I669" i="5" s="1"/>
  <c r="Z669" i="5"/>
  <c r="Y669" i="5" s="1"/>
  <c r="S669" i="5"/>
  <c r="AA930" i="5"/>
  <c r="Z815" i="5"/>
  <c r="Y815" i="5" s="1"/>
  <c r="S815" i="5"/>
  <c r="M815" i="5"/>
  <c r="I815" i="5" s="1"/>
  <c r="Z250" i="5"/>
  <c r="Y250" i="5" s="1"/>
  <c r="S250" i="5"/>
  <c r="M250" i="5"/>
  <c r="I250" i="5" s="1"/>
  <c r="S391" i="5"/>
  <c r="Z391" i="5"/>
  <c r="Y391" i="5" s="1"/>
  <c r="M391" i="5"/>
  <c r="I391" i="5" s="1"/>
  <c r="Z971" i="5"/>
  <c r="S971" i="5"/>
  <c r="Z264" i="5"/>
  <c r="Y264" i="5" s="1"/>
  <c r="M264" i="5"/>
  <c r="I264" i="5" s="1"/>
  <c r="S264" i="5"/>
  <c r="S447" i="5"/>
  <c r="Z447" i="5"/>
  <c r="Y447" i="5" s="1"/>
  <c r="M447" i="5"/>
  <c r="I447" i="5" s="1"/>
  <c r="AD970" i="5"/>
  <c r="S153" i="5"/>
  <c r="Z153" i="5"/>
  <c r="Y153" i="5" s="1"/>
  <c r="M153" i="5"/>
  <c r="I153" i="5" s="1"/>
  <c r="Z661" i="5"/>
  <c r="Y661" i="5" s="1"/>
  <c r="S661" i="5"/>
  <c r="M661" i="5"/>
  <c r="I661" i="5" s="1"/>
  <c r="S689" i="5"/>
  <c r="Z689" i="5"/>
  <c r="Y689" i="5" s="1"/>
  <c r="M689" i="5"/>
  <c r="I689" i="5" s="1"/>
  <c r="S417" i="5"/>
  <c r="Z417" i="5"/>
  <c r="Y417" i="5" s="1"/>
  <c r="M417" i="5"/>
  <c r="I417" i="5" s="1"/>
  <c r="M116" i="5"/>
  <c r="I116" i="5" s="1"/>
  <c r="Z116" i="5"/>
  <c r="Y116" i="5" s="1"/>
  <c r="S116" i="5"/>
  <c r="AB919" i="5"/>
  <c r="P919" i="5"/>
  <c r="AA818" i="5"/>
  <c r="O818" i="5"/>
  <c r="Q621" i="5"/>
  <c r="AC621" i="5"/>
  <c r="AD926" i="5"/>
  <c r="R926" i="5"/>
  <c r="AD951" i="5"/>
  <c r="R951" i="5"/>
  <c r="Z382" i="5"/>
  <c r="S382" i="5"/>
  <c r="AD829" i="5"/>
  <c r="Z265" i="5"/>
  <c r="S265" i="5"/>
  <c r="M107" i="5"/>
  <c r="I107" i="5" s="1"/>
  <c r="Z107" i="5"/>
  <c r="Y107" i="5" s="1"/>
  <c r="S107" i="5"/>
  <c r="Z238" i="5"/>
  <c r="W238" i="5"/>
  <c r="Q238" i="5" s="1"/>
  <c r="W845" i="5"/>
  <c r="Z845" i="5"/>
  <c r="AA684" i="5"/>
  <c r="O684" i="5"/>
  <c r="S575" i="5"/>
  <c r="Z575" i="5"/>
  <c r="AD623" i="5"/>
  <c r="R623" i="5"/>
  <c r="AA370" i="5"/>
  <c r="O370" i="5"/>
  <c r="AD768" i="5"/>
  <c r="R768" i="5"/>
  <c r="Z137" i="5"/>
  <c r="S137" i="5"/>
  <c r="AD813" i="5"/>
  <c r="R813" i="5"/>
  <c r="AD508" i="5"/>
  <c r="W905" i="5"/>
  <c r="Z905" i="5"/>
  <c r="Z542" i="5"/>
  <c r="Y542" i="5" s="1"/>
  <c r="M542" i="5"/>
  <c r="I542" i="5" s="1"/>
  <c r="S542" i="5"/>
  <c r="AA852" i="5"/>
  <c r="Z831" i="5"/>
  <c r="S831" i="5"/>
  <c r="M697" i="5"/>
  <c r="I697" i="5" s="1"/>
  <c r="Z697" i="5"/>
  <c r="Y697" i="5" s="1"/>
  <c r="S697" i="5"/>
  <c r="M204" i="5"/>
  <c r="I204" i="5" s="1"/>
  <c r="Z204" i="5"/>
  <c r="Y204" i="5" s="1"/>
  <c r="S204" i="5"/>
  <c r="S602" i="5"/>
  <c r="Z602" i="5"/>
  <c r="Y602" i="5" s="1"/>
  <c r="M602" i="5"/>
  <c r="I602" i="5" s="1"/>
  <c r="AB679" i="5"/>
  <c r="M122" i="5"/>
  <c r="I122" i="5" s="1"/>
  <c r="Z122" i="5"/>
  <c r="Y122" i="5" s="1"/>
  <c r="S122" i="5"/>
  <c r="S345" i="5"/>
  <c r="Z345" i="5"/>
  <c r="Y345" i="5" s="1"/>
  <c r="M345" i="5"/>
  <c r="I345" i="5" s="1"/>
  <c r="M469" i="5"/>
  <c r="I469" i="5" s="1"/>
  <c r="S469" i="5"/>
  <c r="Z469" i="5"/>
  <c r="Y469" i="5" s="1"/>
  <c r="AD205" i="5"/>
  <c r="R205" i="5"/>
  <c r="AD510" i="5"/>
  <c r="R510" i="5"/>
  <c r="Z568" i="5"/>
  <c r="S568" i="5"/>
  <c r="Z692" i="5"/>
  <c r="S692" i="5"/>
  <c r="AA574" i="5"/>
  <c r="AD291" i="5"/>
  <c r="Z166" i="5"/>
  <c r="S166" i="5"/>
  <c r="Z793" i="5"/>
  <c r="Y793" i="5" s="1"/>
  <c r="S793" i="5"/>
  <c r="M793" i="5"/>
  <c r="I793" i="5" s="1"/>
  <c r="Z578" i="5"/>
  <c r="W578" i="5"/>
  <c r="Q578" i="5" s="1"/>
  <c r="S942" i="5"/>
  <c r="M942" i="5"/>
  <c r="I942" i="5" s="1"/>
  <c r="Z942" i="5"/>
  <c r="Y942" i="5" s="1"/>
  <c r="Z394" i="5"/>
  <c r="Y394" i="5" s="1"/>
  <c r="S394" i="5"/>
  <c r="M394" i="5"/>
  <c r="I394" i="5" s="1"/>
  <c r="Z914" i="5"/>
  <c r="Y914" i="5" s="1"/>
  <c r="M914" i="5"/>
  <c r="I914" i="5" s="1"/>
  <c r="S914" i="5"/>
  <c r="M782" i="5"/>
  <c r="I782" i="5" s="1"/>
  <c r="Z782" i="5"/>
  <c r="Y782" i="5" s="1"/>
  <c r="S782" i="5"/>
  <c r="Z833" i="5"/>
  <c r="S833" i="5"/>
  <c r="Z457" i="5"/>
  <c r="S457" i="5"/>
  <c r="S706" i="5"/>
  <c r="Z706" i="5"/>
  <c r="Y706" i="5" s="1"/>
  <c r="M706" i="5"/>
  <c r="I706" i="5" s="1"/>
  <c r="S497" i="5"/>
  <c r="Z497" i="5"/>
  <c r="Y497" i="5" s="1"/>
  <c r="M497" i="5"/>
  <c r="I497" i="5" s="1"/>
  <c r="Z887" i="5"/>
  <c r="S887" i="5"/>
  <c r="S776" i="5"/>
  <c r="Z776" i="5"/>
  <c r="Y776" i="5" s="1"/>
  <c r="M776" i="5"/>
  <c r="I776" i="5" s="1"/>
  <c r="Z837" i="5"/>
  <c r="S837" i="5"/>
  <c r="M847" i="5"/>
  <c r="I847" i="5" s="1"/>
  <c r="Z847" i="5"/>
  <c r="Y847" i="5" s="1"/>
  <c r="S847" i="5"/>
  <c r="AB457" i="5"/>
  <c r="M660" i="5"/>
  <c r="I660" i="5" s="1"/>
  <c r="Z752" i="5"/>
  <c r="Y752" i="5" s="1"/>
  <c r="S752" i="5"/>
  <c r="M752" i="5"/>
  <c r="I752" i="5" s="1"/>
  <c r="AD919" i="5"/>
  <c r="R919" i="5"/>
  <c r="S728" i="5"/>
  <c r="Z728" i="5"/>
  <c r="AA839" i="5"/>
  <c r="AA687" i="5"/>
  <c r="Z574" i="5"/>
  <c r="S574" i="5"/>
  <c r="AA571" i="5"/>
  <c r="Z572" i="5"/>
  <c r="S572" i="5"/>
  <c r="AD480" i="5"/>
  <c r="R480" i="5"/>
  <c r="AD177" i="5"/>
  <c r="Z201" i="5"/>
  <c r="S201" i="5"/>
  <c r="M105" i="5"/>
  <c r="I105" i="5" s="1"/>
  <c r="Z105" i="5"/>
  <c r="Y105" i="5" s="1"/>
  <c r="S105" i="5"/>
  <c r="AA828" i="5"/>
  <c r="O828" i="5"/>
  <c r="AA280" i="5"/>
  <c r="O280" i="5"/>
  <c r="AD312" i="5"/>
  <c r="R312" i="5"/>
  <c r="AA907" i="5"/>
  <c r="AD137" i="5"/>
  <c r="Z144" i="5"/>
  <c r="S144" i="5"/>
  <c r="M92" i="5"/>
  <c r="I92" i="5" s="1"/>
  <c r="Z92" i="5"/>
  <c r="Y92" i="5" s="1"/>
  <c r="S92" i="5"/>
  <c r="Z185" i="5"/>
  <c r="S185" i="5"/>
  <c r="Z398" i="5"/>
  <c r="Y398" i="5" s="1"/>
  <c r="S398" i="5"/>
  <c r="M398" i="5"/>
  <c r="I398" i="5" s="1"/>
  <c r="M941" i="5"/>
  <c r="I941" i="5" s="1"/>
  <c r="Z941" i="5"/>
  <c r="Y941" i="5" s="1"/>
  <c r="S941" i="5"/>
  <c r="Z126" i="5"/>
  <c r="Y126" i="5" s="1"/>
  <c r="S126" i="5"/>
  <c r="M126" i="5"/>
  <c r="I126" i="5" s="1"/>
  <c r="Z548" i="5"/>
  <c r="W548" i="5"/>
  <c r="Z544" i="5"/>
  <c r="W544" i="5"/>
  <c r="Z140" i="5"/>
  <c r="W140" i="5"/>
  <c r="Z702" i="5"/>
  <c r="W702" i="5"/>
  <c r="W434" i="5"/>
  <c r="Z434" i="5"/>
  <c r="W286" i="5"/>
  <c r="Z286" i="5"/>
  <c r="S824" i="5"/>
  <c r="Z824" i="5"/>
  <c r="Y824" i="5" s="1"/>
  <c r="M824" i="5"/>
  <c r="I824" i="5" s="1"/>
  <c r="Z789" i="5"/>
  <c r="Y789" i="5" s="1"/>
  <c r="M789" i="5"/>
  <c r="I789" i="5" s="1"/>
  <c r="S789" i="5"/>
  <c r="Z543" i="5"/>
  <c r="M543" i="5"/>
  <c r="I543" i="5" s="1"/>
  <c r="S543" i="5"/>
  <c r="Z723" i="5"/>
  <c r="Y723" i="5" s="1"/>
  <c r="M723" i="5"/>
  <c r="I723" i="5" s="1"/>
  <c r="S723" i="5"/>
  <c r="Z620" i="5"/>
  <c r="Y620" i="5" s="1"/>
  <c r="M620" i="5"/>
  <c r="I620" i="5" s="1"/>
  <c r="S620" i="5"/>
  <c r="M519" i="5"/>
  <c r="I519" i="5" s="1"/>
  <c r="Z519" i="5"/>
  <c r="Y519" i="5" s="1"/>
  <c r="S519" i="5"/>
  <c r="Z931" i="5"/>
  <c r="S931" i="5"/>
  <c r="Z715" i="5"/>
  <c r="S715" i="5"/>
  <c r="AA784" i="5"/>
  <c r="Z917" i="5"/>
  <c r="S917" i="5"/>
  <c r="Z834" i="5"/>
  <c r="S834" i="5"/>
  <c r="S940" i="5"/>
  <c r="Z940" i="5"/>
  <c r="Y940" i="5" s="1"/>
  <c r="M940" i="5"/>
  <c r="I940" i="5" s="1"/>
  <c r="S867" i="5"/>
  <c r="Z867" i="5"/>
  <c r="Y867" i="5" s="1"/>
  <c r="M867" i="5"/>
  <c r="I867" i="5" s="1"/>
  <c r="S864" i="5"/>
  <c r="Z864" i="5"/>
  <c r="Y864" i="5" s="1"/>
  <c r="M864" i="5"/>
  <c r="I864" i="5" s="1"/>
  <c r="S924" i="5"/>
  <c r="Z924" i="5"/>
  <c r="Y924" i="5" s="1"/>
  <c r="M924" i="5"/>
  <c r="I924" i="5" s="1"/>
  <c r="S746" i="5"/>
  <c r="Z746" i="5"/>
  <c r="Y746" i="5" s="1"/>
  <c r="M746" i="5"/>
  <c r="I746" i="5" s="1"/>
  <c r="Z890" i="5"/>
  <c r="Y890" i="5" s="1"/>
  <c r="M890" i="5"/>
  <c r="I890" i="5" s="1"/>
  <c r="S890" i="5"/>
  <c r="Z437" i="5"/>
  <c r="Y437" i="5" s="1"/>
  <c r="M437" i="5"/>
  <c r="I437" i="5" s="1"/>
  <c r="S437" i="5"/>
  <c r="AD973" i="5"/>
  <c r="Z838" i="5"/>
  <c r="S838" i="5"/>
  <c r="Z872" i="5"/>
  <c r="Y872" i="5" s="1"/>
  <c r="M872" i="5"/>
  <c r="I872" i="5" s="1"/>
  <c r="S872" i="5"/>
  <c r="Z760" i="5"/>
  <c r="Y760" i="5" s="1"/>
  <c r="M760" i="5"/>
  <c r="I760" i="5" s="1"/>
  <c r="S760" i="5"/>
  <c r="S529" i="5"/>
  <c r="Z529" i="5"/>
  <c r="Y529" i="5" s="1"/>
  <c r="M529" i="5"/>
  <c r="I529" i="5" s="1"/>
  <c r="S249" i="5"/>
  <c r="Z249" i="5"/>
  <c r="Y249" i="5" s="1"/>
  <c r="M249" i="5"/>
  <c r="I249" i="5" s="1"/>
  <c r="S181" i="5"/>
  <c r="Z181" i="5"/>
  <c r="Y181" i="5" s="1"/>
  <c r="M181" i="5"/>
  <c r="I181" i="5" s="1"/>
  <c r="S369" i="5"/>
  <c r="Z369" i="5"/>
  <c r="Y369" i="5" s="1"/>
  <c r="M369" i="5"/>
  <c r="I369" i="5" s="1"/>
  <c r="Z968" i="5"/>
  <c r="S968" i="5"/>
  <c r="M946" i="5"/>
  <c r="I946" i="5" s="1"/>
  <c r="AD946" i="5"/>
  <c r="S271" i="5"/>
  <c r="Z271" i="5"/>
  <c r="Y271" i="5" s="1"/>
  <c r="M271" i="5"/>
  <c r="I271" i="5" s="1"/>
  <c r="S193" i="5"/>
  <c r="Z193" i="5"/>
  <c r="Y193" i="5" s="1"/>
  <c r="M193" i="5"/>
  <c r="I193" i="5" s="1"/>
  <c r="S505" i="5"/>
  <c r="Z505" i="5"/>
  <c r="Y505" i="5" s="1"/>
  <c r="M505" i="5"/>
  <c r="I505" i="5" s="1"/>
  <c r="S408" i="5"/>
  <c r="Z408" i="5"/>
  <c r="Y408" i="5" s="1"/>
  <c r="M408" i="5"/>
  <c r="I408" i="5" s="1"/>
  <c r="Z963" i="5"/>
  <c r="S963" i="5"/>
  <c r="Z161" i="5"/>
  <c r="S161" i="5"/>
  <c r="S712" i="5"/>
  <c r="Z712" i="5"/>
  <c r="Y712" i="5" s="1"/>
  <c r="M712" i="5"/>
  <c r="I712" i="5" s="1"/>
  <c r="S488" i="5"/>
  <c r="Z488" i="5"/>
  <c r="Y488" i="5" s="1"/>
  <c r="M488" i="5"/>
  <c r="I488" i="5" s="1"/>
  <c r="AB716" i="5"/>
  <c r="AB170" i="5"/>
  <c r="Y558" i="5"/>
  <c r="M618" i="5"/>
  <c r="I618" i="5" s="1"/>
  <c r="Y794" i="5"/>
  <c r="M212" i="5"/>
  <c r="I212" i="5" s="1"/>
  <c r="S212" i="5"/>
  <c r="Z212" i="5"/>
  <c r="Y212" i="5" s="1"/>
  <c r="Z460" i="5"/>
  <c r="Y460" i="5" s="1"/>
  <c r="M460" i="5"/>
  <c r="I460" i="5" s="1"/>
  <c r="S460" i="5"/>
  <c r="AD681" i="5"/>
  <c r="R681" i="5"/>
  <c r="AB681" i="5"/>
  <c r="P681" i="5"/>
  <c r="AA843" i="5"/>
  <c r="O843" i="5"/>
  <c r="AD843" i="5"/>
  <c r="R843" i="5"/>
  <c r="AA622" i="5"/>
  <c r="O622" i="5"/>
  <c r="AD622" i="5"/>
  <c r="R622" i="5"/>
  <c r="S827" i="5"/>
  <c r="Z827" i="5"/>
  <c r="Z687" i="5"/>
  <c r="S687" i="5"/>
  <c r="S510" i="5"/>
  <c r="Z510" i="5"/>
  <c r="AA686" i="5"/>
  <c r="AA568" i="5"/>
  <c r="O568" i="5"/>
  <c r="AD404" i="5"/>
  <c r="R404" i="5"/>
  <c r="AA908" i="5"/>
  <c r="Z813" i="5"/>
  <c r="S813" i="5"/>
  <c r="AA482" i="5"/>
  <c r="AD692" i="5"/>
  <c r="Z586" i="5"/>
  <c r="S586" i="5"/>
  <c r="AD574" i="5"/>
  <c r="R574" i="5"/>
  <c r="Z301" i="5"/>
  <c r="S301" i="5"/>
  <c r="AD101" i="5"/>
  <c r="Z200" i="5"/>
  <c r="S200" i="5"/>
  <c r="AD166" i="5"/>
  <c r="AD225" i="5"/>
  <c r="Z309" i="5"/>
  <c r="S309" i="5"/>
  <c r="AD266" i="5"/>
  <c r="Z696" i="5"/>
  <c r="Y696" i="5" s="1"/>
  <c r="S696" i="5"/>
  <c r="M696" i="5"/>
  <c r="I696" i="5" s="1"/>
  <c r="S389" i="5"/>
  <c r="Z389" i="5"/>
  <c r="Y389" i="5" s="1"/>
  <c r="M389" i="5"/>
  <c r="I389" i="5" s="1"/>
  <c r="S710" i="5"/>
  <c r="Z710" i="5"/>
  <c r="Y710" i="5" s="1"/>
  <c r="M710" i="5"/>
  <c r="I710" i="5" s="1"/>
  <c r="Z194" i="5"/>
  <c r="Y194" i="5" s="1"/>
  <c r="S194" i="5"/>
  <c r="M194" i="5"/>
  <c r="I194" i="5" s="1"/>
  <c r="W256" i="5"/>
  <c r="Z256" i="5"/>
  <c r="W725" i="5"/>
  <c r="Z725" i="5"/>
  <c r="W267" i="5"/>
  <c r="Z267" i="5"/>
  <c r="W199" i="5"/>
  <c r="Z199" i="5"/>
  <c r="W159" i="5"/>
  <c r="Z159" i="5"/>
  <c r="W904" i="5"/>
  <c r="Z904" i="5"/>
  <c r="S428" i="5"/>
  <c r="Z428" i="5"/>
  <c r="Y428" i="5" s="1"/>
  <c r="M428" i="5"/>
  <c r="I428" i="5" s="1"/>
  <c r="W857" i="5"/>
  <c r="Z857" i="5"/>
  <c r="W738" i="5"/>
  <c r="Z738" i="5"/>
  <c r="W435" i="5"/>
  <c r="Z435" i="5"/>
  <c r="Z413" i="5"/>
  <c r="Y413" i="5" s="1"/>
  <c r="M413" i="5"/>
  <c r="I413" i="5" s="1"/>
  <c r="S413" i="5"/>
  <c r="Z928" i="5"/>
  <c r="Y928" i="5" s="1"/>
  <c r="M928" i="5"/>
  <c r="I928" i="5" s="1"/>
  <c r="S928" i="5"/>
  <c r="Z647" i="5"/>
  <c r="Y647" i="5" s="1"/>
  <c r="M647" i="5"/>
  <c r="I647" i="5" s="1"/>
  <c r="S647" i="5"/>
  <c r="Z318" i="5"/>
  <c r="Y318" i="5" s="1"/>
  <c r="M318" i="5"/>
  <c r="I318" i="5" s="1"/>
  <c r="S318" i="5"/>
  <c r="Z577" i="5"/>
  <c r="Y577" i="5" s="1"/>
  <c r="M577" i="5"/>
  <c r="I577" i="5" s="1"/>
  <c r="S577" i="5"/>
  <c r="Z298" i="5"/>
  <c r="Y298" i="5" s="1"/>
  <c r="M298" i="5"/>
  <c r="I298" i="5" s="1"/>
  <c r="S298" i="5"/>
  <c r="M893" i="5"/>
  <c r="I893" i="5" s="1"/>
  <c r="Z893" i="5"/>
  <c r="Y893" i="5" s="1"/>
  <c r="S893" i="5"/>
  <c r="Z495" i="5"/>
  <c r="S495" i="5"/>
  <c r="AA916" i="5"/>
  <c r="AA833" i="5"/>
  <c r="AA835" i="5"/>
  <c r="AA900" i="5"/>
  <c r="Z340" i="5"/>
  <c r="Y340" i="5" s="1"/>
  <c r="S340" i="5"/>
  <c r="M340" i="5"/>
  <c r="I340" i="5" s="1"/>
  <c r="Z703" i="5"/>
  <c r="Y703" i="5" s="1"/>
  <c r="S703" i="5"/>
  <c r="M703" i="5"/>
  <c r="I703" i="5" s="1"/>
  <c r="Z222" i="5"/>
  <c r="Y222" i="5" s="1"/>
  <c r="S222" i="5"/>
  <c r="M222" i="5"/>
  <c r="I222" i="5" s="1"/>
  <c r="S804" i="5"/>
  <c r="M804" i="5"/>
  <c r="I804" i="5" s="1"/>
  <c r="Z804" i="5"/>
  <c r="Y804" i="5" s="1"/>
  <c r="Z537" i="5"/>
  <c r="Y537" i="5" s="1"/>
  <c r="M537" i="5"/>
  <c r="I537" i="5" s="1"/>
  <c r="S537" i="5"/>
  <c r="Z316" i="5"/>
  <c r="Y316" i="5" s="1"/>
  <c r="M316" i="5"/>
  <c r="I316" i="5" s="1"/>
  <c r="S316" i="5"/>
  <c r="AD971" i="5"/>
  <c r="Z945" i="5"/>
  <c r="S945" i="5"/>
  <c r="Z778" i="5"/>
  <c r="Y778" i="5" s="1"/>
  <c r="M778" i="5"/>
  <c r="I778" i="5" s="1"/>
  <c r="S778" i="5"/>
  <c r="Z741" i="5"/>
  <c r="Y741" i="5" s="1"/>
  <c r="M741" i="5"/>
  <c r="I741" i="5" s="1"/>
  <c r="S741" i="5"/>
  <c r="S740" i="5"/>
  <c r="Z740" i="5"/>
  <c r="Y740" i="5" s="1"/>
  <c r="M740" i="5"/>
  <c r="I740" i="5" s="1"/>
  <c r="S294" i="5"/>
  <c r="Z294" i="5"/>
  <c r="Y294" i="5" s="1"/>
  <c r="M294" i="5"/>
  <c r="I294" i="5" s="1"/>
  <c r="S273" i="5"/>
  <c r="Z273" i="5"/>
  <c r="Y273" i="5" s="1"/>
  <c r="M273" i="5"/>
  <c r="I273" i="5" s="1"/>
  <c r="S190" i="5"/>
  <c r="Z190" i="5"/>
  <c r="Y190" i="5" s="1"/>
  <c r="M190" i="5"/>
  <c r="I190" i="5" s="1"/>
  <c r="Z967" i="5"/>
  <c r="S967" i="5"/>
  <c r="AD837" i="5"/>
  <c r="S310" i="5"/>
  <c r="Z310" i="5"/>
  <c r="Y310" i="5" s="1"/>
  <c r="M310" i="5"/>
  <c r="I310" i="5" s="1"/>
  <c r="S292" i="5"/>
  <c r="Z292" i="5"/>
  <c r="Y292" i="5" s="1"/>
  <c r="M292" i="5"/>
  <c r="I292" i="5" s="1"/>
  <c r="S484" i="5"/>
  <c r="Z484" i="5"/>
  <c r="Y484" i="5" s="1"/>
  <c r="M484" i="5"/>
  <c r="I484" i="5" s="1"/>
  <c r="S425" i="5"/>
  <c r="Z425" i="5"/>
  <c r="Y425" i="5" s="1"/>
  <c r="M425" i="5"/>
  <c r="I425" i="5" s="1"/>
  <c r="Z561" i="5"/>
  <c r="Y561" i="5" s="1"/>
  <c r="S561" i="5"/>
  <c r="M561" i="5"/>
  <c r="I561" i="5" s="1"/>
  <c r="AD932" i="5"/>
  <c r="S360" i="5"/>
  <c r="Z360" i="5"/>
  <c r="Y360" i="5" s="1"/>
  <c r="M360" i="5"/>
  <c r="I360" i="5" s="1"/>
  <c r="S569" i="5"/>
  <c r="Z569" i="5"/>
  <c r="Y569" i="5" s="1"/>
  <c r="M569" i="5"/>
  <c r="I569" i="5" s="1"/>
  <c r="AD862" i="5"/>
  <c r="S599" i="5"/>
  <c r="Z599" i="5"/>
  <c r="Y599" i="5" s="1"/>
  <c r="M599" i="5"/>
  <c r="I599" i="5" s="1"/>
  <c r="S359" i="5"/>
  <c r="Z359" i="5"/>
  <c r="Y359" i="5" s="1"/>
  <c r="M359" i="5"/>
  <c r="I359" i="5" s="1"/>
  <c r="AD507" i="5"/>
  <c r="Y596" i="5"/>
  <c r="M88" i="5"/>
  <c r="I88" i="5" s="1"/>
  <c r="Z88" i="5"/>
  <c r="Y88" i="5" s="1"/>
  <c r="S88" i="5"/>
  <c r="M319" i="5"/>
  <c r="I319" i="5" s="1"/>
  <c r="Z319" i="5"/>
  <c r="Y319" i="5" s="1"/>
  <c r="S319" i="5"/>
  <c r="Z169" i="5"/>
  <c r="Y169" i="5" s="1"/>
  <c r="S169" i="5"/>
  <c r="M169" i="5"/>
  <c r="I169" i="5" s="1"/>
  <c r="M78" i="5"/>
  <c r="I78" i="5" s="1"/>
  <c r="Z78" i="5"/>
  <c r="Y78" i="5" s="1"/>
  <c r="S78" i="5"/>
  <c r="Z141" i="5"/>
  <c r="Y141" i="5" s="1"/>
  <c r="S141" i="5"/>
  <c r="M141" i="5"/>
  <c r="I141" i="5" s="1"/>
  <c r="M650" i="5"/>
  <c r="I650" i="5" s="1"/>
  <c r="Z650" i="5"/>
  <c r="Y650" i="5" s="1"/>
  <c r="S650" i="5"/>
  <c r="AB714" i="5"/>
  <c r="AA401" i="5"/>
  <c r="O401" i="5"/>
  <c r="AD818" i="5"/>
  <c r="R818" i="5"/>
  <c r="P818" i="5"/>
  <c r="AB818" i="5"/>
  <c r="S439" i="5"/>
  <c r="Z439" i="5"/>
  <c r="AA442" i="5"/>
  <c r="O442" i="5"/>
  <c r="AD442" i="5"/>
  <c r="R442" i="5"/>
  <c r="AB621" i="5"/>
  <c r="P621" i="5"/>
  <c r="AA652" i="5"/>
  <c r="O652" i="5"/>
  <c r="AD839" i="5"/>
  <c r="R839" i="5"/>
  <c r="Z926" i="5"/>
  <c r="S926" i="5"/>
  <c r="Z501" i="5"/>
  <c r="S501" i="5"/>
  <c r="AD687" i="5"/>
  <c r="R687" i="5"/>
  <c r="AD571" i="5"/>
  <c r="R571" i="5"/>
  <c r="Z281" i="5"/>
  <c r="S281" i="5"/>
  <c r="Z502" i="5"/>
  <c r="S502" i="5"/>
  <c r="AD321" i="5"/>
  <c r="Z629" i="5"/>
  <c r="S629" i="5"/>
  <c r="AD201" i="5"/>
  <c r="Z203" i="5"/>
  <c r="S203" i="5"/>
  <c r="AD677" i="5"/>
  <c r="Z535" i="5"/>
  <c r="S535" i="5"/>
  <c r="Z83" i="5"/>
  <c r="Y83" i="5" s="1"/>
  <c r="S83" i="5"/>
  <c r="M83" i="5"/>
  <c r="I83" i="5" s="1"/>
  <c r="M76" i="5"/>
  <c r="I76" i="5" s="1"/>
  <c r="Z76" i="5"/>
  <c r="Y76" i="5" s="1"/>
  <c r="S76" i="5"/>
  <c r="M356" i="5"/>
  <c r="I356" i="5" s="1"/>
  <c r="Z356" i="5"/>
  <c r="Y356" i="5" s="1"/>
  <c r="S356" i="5"/>
  <c r="Z82" i="5"/>
  <c r="Y82" i="5" s="1"/>
  <c r="S82" i="5"/>
  <c r="M82" i="5"/>
  <c r="I82" i="5" s="1"/>
  <c r="Z659" i="5"/>
  <c r="W659" i="5"/>
  <c r="Z487" i="5"/>
  <c r="W487" i="5"/>
  <c r="Z348" i="5"/>
  <c r="W348" i="5"/>
  <c r="Z545" i="5"/>
  <c r="W545" i="5"/>
  <c r="Z400" i="5"/>
  <c r="W400" i="5"/>
  <c r="Z136" i="5"/>
  <c r="W136" i="5"/>
  <c r="Z123" i="5"/>
  <c r="W123" i="5"/>
  <c r="Z795" i="5"/>
  <c r="W795" i="5"/>
  <c r="Z700" i="5"/>
  <c r="W700" i="5"/>
  <c r="W591" i="5"/>
  <c r="Z591" i="5"/>
  <c r="W639" i="5"/>
  <c r="Z639" i="5"/>
  <c r="W672" i="5"/>
  <c r="Z672" i="5"/>
  <c r="W282" i="5"/>
  <c r="Z282" i="5"/>
  <c r="W285" i="5"/>
  <c r="Z285" i="5"/>
  <c r="AA362" i="5"/>
  <c r="Z290" i="5"/>
  <c r="Y290" i="5" s="1"/>
  <c r="M290" i="5"/>
  <c r="I290" i="5" s="1"/>
  <c r="S290" i="5"/>
  <c r="Z841" i="5"/>
  <c r="Y841" i="5" s="1"/>
  <c r="M841" i="5"/>
  <c r="I841" i="5" s="1"/>
  <c r="S841" i="5"/>
  <c r="Z780" i="5"/>
  <c r="Y780" i="5" s="1"/>
  <c r="M780" i="5"/>
  <c r="I780" i="5" s="1"/>
  <c r="S780" i="5"/>
  <c r="Z330" i="5"/>
  <c r="M330" i="5"/>
  <c r="I330" i="5" s="1"/>
  <c r="S330" i="5"/>
  <c r="Z765" i="5"/>
  <c r="Y765" i="5" s="1"/>
  <c r="S765" i="5"/>
  <c r="M765" i="5"/>
  <c r="I765" i="5" s="1"/>
  <c r="Z334" i="5"/>
  <c r="Y334" i="5" s="1"/>
  <c r="S334" i="5"/>
  <c r="M334" i="5"/>
  <c r="I334" i="5" s="1"/>
  <c r="Z613" i="5"/>
  <c r="S613" i="5"/>
  <c r="AA456" i="5"/>
  <c r="AD549" i="5"/>
  <c r="AA459" i="5"/>
  <c r="Z714" i="5"/>
  <c r="S714" i="5"/>
  <c r="S961" i="5"/>
  <c r="Z961" i="5"/>
  <c r="Y961" i="5" s="1"/>
  <c r="M961" i="5"/>
  <c r="I961" i="5" s="1"/>
  <c r="S800" i="5"/>
  <c r="Z800" i="5"/>
  <c r="Y800" i="5" s="1"/>
  <c r="M800" i="5"/>
  <c r="I800" i="5" s="1"/>
  <c r="S865" i="5"/>
  <c r="Z865" i="5"/>
  <c r="Y865" i="5" s="1"/>
  <c r="M865" i="5"/>
  <c r="I865" i="5" s="1"/>
  <c r="S873" i="5"/>
  <c r="Z873" i="5"/>
  <c r="Y873" i="5" s="1"/>
  <c r="M873" i="5"/>
  <c r="I873" i="5" s="1"/>
  <c r="S747" i="5"/>
  <c r="Z747" i="5"/>
  <c r="Y747" i="5" s="1"/>
  <c r="M747" i="5"/>
  <c r="I747" i="5" s="1"/>
  <c r="S744" i="5"/>
  <c r="Z744" i="5"/>
  <c r="Y744" i="5" s="1"/>
  <c r="M744" i="5"/>
  <c r="I744" i="5" s="1"/>
  <c r="AD966" i="5"/>
  <c r="Z690" i="5"/>
  <c r="Y690" i="5" s="1"/>
  <c r="S690" i="5"/>
  <c r="Z781" i="5"/>
  <c r="Y781" i="5" s="1"/>
  <c r="S781" i="5"/>
  <c r="M781" i="5"/>
  <c r="I781" i="5" s="1"/>
  <c r="Z774" i="5"/>
  <c r="Y774" i="5" s="1"/>
  <c r="S774" i="5"/>
  <c r="M774" i="5"/>
  <c r="I774" i="5" s="1"/>
  <c r="M605" i="5"/>
  <c r="I605" i="5" s="1"/>
  <c r="Z605" i="5"/>
  <c r="Y605" i="5" s="1"/>
  <c r="S605" i="5"/>
  <c r="S314" i="5"/>
  <c r="Z314" i="5"/>
  <c r="Y314" i="5" s="1"/>
  <c r="M314" i="5"/>
  <c r="I314" i="5" s="1"/>
  <c r="S154" i="5"/>
  <c r="Z154" i="5"/>
  <c r="Y154" i="5" s="1"/>
  <c r="M154" i="5"/>
  <c r="I154" i="5" s="1"/>
  <c r="Z943" i="5"/>
  <c r="S943" i="5"/>
  <c r="AD885" i="5"/>
  <c r="S368" i="5"/>
  <c r="Z368" i="5"/>
  <c r="Y368" i="5" s="1"/>
  <c r="M368" i="5"/>
  <c r="I368" i="5" s="1"/>
  <c r="AD414" i="5"/>
  <c r="R414" i="5"/>
  <c r="Z975" i="5"/>
  <c r="S975" i="5"/>
  <c r="S492" i="5"/>
  <c r="Z492" i="5"/>
  <c r="Y492" i="5" s="1"/>
  <c r="M492" i="5"/>
  <c r="I492" i="5" s="1"/>
  <c r="S559" i="5"/>
  <c r="Z559" i="5"/>
  <c r="Y559" i="5" s="1"/>
  <c r="M559" i="5"/>
  <c r="I559" i="5" s="1"/>
  <c r="Y729" i="5"/>
  <c r="M654" i="5"/>
  <c r="I654" i="5" s="1"/>
  <c r="Y678" i="5"/>
  <c r="M731" i="5"/>
  <c r="I731" i="5" s="1"/>
  <c r="M195" i="5"/>
  <c r="I195" i="5" s="1"/>
  <c r="Z195" i="5"/>
  <c r="Y195" i="5" s="1"/>
  <c r="S195" i="5"/>
  <c r="M329" i="5"/>
  <c r="I329" i="5" s="1"/>
  <c r="Z329" i="5"/>
  <c r="Y329" i="5" s="1"/>
  <c r="S329" i="5"/>
  <c r="M792" i="5"/>
  <c r="I792" i="5" s="1"/>
  <c r="Z792" i="5"/>
  <c r="Y792" i="5" s="1"/>
  <c r="S792" i="5"/>
  <c r="M462" i="5"/>
  <c r="I462" i="5" s="1"/>
  <c r="Z462" i="5"/>
  <c r="Y462" i="5" s="1"/>
  <c r="S462" i="5"/>
  <c r="M157" i="5"/>
  <c r="I157" i="5" s="1"/>
  <c r="Z157" i="5"/>
  <c r="Y157" i="5" s="1"/>
  <c r="S157" i="5"/>
  <c r="S879" i="5"/>
  <c r="Z879" i="5"/>
  <c r="Y879" i="5" s="1"/>
  <c r="M879" i="5"/>
  <c r="I879" i="5" s="1"/>
  <c r="AB612" i="5"/>
  <c r="M81" i="5"/>
  <c r="I81" i="5" s="1"/>
  <c r="Z81" i="5"/>
  <c r="Y81" i="5" s="1"/>
  <c r="S81" i="5"/>
  <c r="Z261" i="5"/>
  <c r="Y261" i="5" s="1"/>
  <c r="S261" i="5"/>
  <c r="M261" i="5"/>
  <c r="I261" i="5" s="1"/>
  <c r="Z722" i="5"/>
  <c r="Y722" i="5" s="1"/>
  <c r="S722" i="5"/>
  <c r="M722" i="5"/>
  <c r="I722" i="5" s="1"/>
  <c r="AA685" i="5"/>
  <c r="O685" i="5"/>
  <c r="Z817" i="5"/>
  <c r="S817" i="5"/>
  <c r="AA936" i="5"/>
  <c r="O936" i="5"/>
  <c r="R936" i="5"/>
  <c r="AD936" i="5"/>
  <c r="AB844" i="5"/>
  <c r="P844" i="5"/>
  <c r="S326" i="5"/>
  <c r="M326" i="5"/>
  <c r="I326" i="5" s="1"/>
  <c r="Z326" i="5"/>
  <c r="Y326" i="5" s="1"/>
  <c r="S624" i="5"/>
  <c r="Z624" i="5"/>
  <c r="AB441" i="5"/>
  <c r="P441" i="5"/>
  <c r="AA373" i="5"/>
  <c r="O373" i="5"/>
  <c r="AA683" i="5"/>
  <c r="O683" i="5"/>
  <c r="AD925" i="5"/>
  <c r="R925" i="5"/>
  <c r="Z925" i="5"/>
  <c r="S925" i="5"/>
  <c r="Z861" i="5"/>
  <c r="S861" i="5"/>
  <c r="AD863" i="5"/>
  <c r="R863" i="5"/>
  <c r="AD728" i="5"/>
  <c r="R728" i="5"/>
  <c r="AD572" i="5"/>
  <c r="R572" i="5"/>
  <c r="Z215" i="5"/>
  <c r="S215" i="5"/>
  <c r="AD231" i="5"/>
  <c r="AA662" i="5"/>
  <c r="Z214" i="5"/>
  <c r="S214" i="5"/>
  <c r="Z160" i="5"/>
  <c r="S160" i="5"/>
  <c r="AD509" i="5"/>
  <c r="Z289" i="5"/>
  <c r="S289" i="5"/>
  <c r="Z906" i="5"/>
  <c r="S906" i="5"/>
  <c r="AD424" i="5"/>
  <c r="Z226" i="5"/>
  <c r="Y226" i="5" s="1"/>
  <c r="S226" i="5"/>
  <c r="M226" i="5"/>
  <c r="I226" i="5" s="1"/>
  <c r="M87" i="5"/>
  <c r="I87" i="5" s="1"/>
  <c r="Z87" i="5"/>
  <c r="Y87" i="5" s="1"/>
  <c r="S87" i="5"/>
  <c r="Z96" i="5"/>
  <c r="Y96" i="5" s="1"/>
  <c r="S96" i="5"/>
  <c r="M96" i="5"/>
  <c r="I96" i="5" s="1"/>
  <c r="Z381" i="5"/>
  <c r="Y381" i="5" s="1"/>
  <c r="S381" i="5"/>
  <c r="M381" i="5"/>
  <c r="I381" i="5" s="1"/>
  <c r="Z85" i="5"/>
  <c r="Y85" i="5" s="1"/>
  <c r="S85" i="5"/>
  <c r="M85" i="5"/>
  <c r="I85" i="5" s="1"/>
  <c r="W307" i="5"/>
  <c r="Z307" i="5"/>
  <c r="W446" i="5"/>
  <c r="Z446" i="5"/>
  <c r="W421" i="5"/>
  <c r="Z421" i="5"/>
  <c r="W228" i="5"/>
  <c r="Z228" i="5"/>
  <c r="W103" i="5"/>
  <c r="Z103" i="5"/>
  <c r="S788" i="5"/>
  <c r="Z788" i="5"/>
  <c r="Y788" i="5" s="1"/>
  <c r="M788" i="5"/>
  <c r="I788" i="5" s="1"/>
  <c r="S472" i="5"/>
  <c r="Z472" i="5"/>
  <c r="Y472" i="5" s="1"/>
  <c r="M472" i="5"/>
  <c r="I472" i="5" s="1"/>
  <c r="W796" i="5"/>
  <c r="Q796" i="5" s="1"/>
  <c r="Z796" i="5"/>
  <c r="W701" i="5"/>
  <c r="Q701" i="5" s="1"/>
  <c r="Z701" i="5"/>
  <c r="W592" i="5"/>
  <c r="Q592" i="5" s="1"/>
  <c r="Z592" i="5"/>
  <c r="Z173" i="5"/>
  <c r="M173" i="5"/>
  <c r="I173" i="5" s="1"/>
  <c r="S173" i="5"/>
  <c r="Z790" i="5"/>
  <c r="Y790" i="5" s="1"/>
  <c r="M790" i="5"/>
  <c r="I790" i="5" s="1"/>
  <c r="S790" i="5"/>
  <c r="Z343" i="5"/>
  <c r="Y343" i="5" s="1"/>
  <c r="M343" i="5"/>
  <c r="I343" i="5" s="1"/>
  <c r="S343" i="5"/>
  <c r="Z825" i="5"/>
  <c r="Y825" i="5" s="1"/>
  <c r="M825" i="5"/>
  <c r="I825" i="5" s="1"/>
  <c r="S825" i="5"/>
  <c r="Z762" i="5"/>
  <c r="Y762" i="5" s="1"/>
  <c r="M762" i="5"/>
  <c r="I762" i="5" s="1"/>
  <c r="S762" i="5"/>
  <c r="M474" i="5"/>
  <c r="I474" i="5" s="1"/>
  <c r="Z474" i="5"/>
  <c r="Y474" i="5" s="1"/>
  <c r="S474" i="5"/>
  <c r="Z953" i="5"/>
  <c r="S953" i="5"/>
  <c r="Z458" i="5"/>
  <c r="S458" i="5"/>
  <c r="M336" i="5"/>
  <c r="I336" i="5" s="1"/>
  <c r="Z336" i="5"/>
  <c r="Y336" i="5" s="1"/>
  <c r="S336" i="5"/>
  <c r="M766" i="5"/>
  <c r="I766" i="5" s="1"/>
  <c r="Z766" i="5"/>
  <c r="Y766" i="5" s="1"/>
  <c r="S766" i="5"/>
  <c r="M335" i="5"/>
  <c r="I335" i="5" s="1"/>
  <c r="Z335" i="5"/>
  <c r="Y335" i="5" s="1"/>
  <c r="S335" i="5"/>
  <c r="Z853" i="5"/>
  <c r="S853" i="5"/>
  <c r="AA610" i="5"/>
  <c r="S965" i="5"/>
  <c r="Z965" i="5"/>
  <c r="Y965" i="5" s="1"/>
  <c r="M965" i="5"/>
  <c r="I965" i="5" s="1"/>
  <c r="S911" i="5"/>
  <c r="Z911" i="5"/>
  <c r="Y911" i="5" s="1"/>
  <c r="M911" i="5"/>
  <c r="I911" i="5" s="1"/>
  <c r="S581" i="5"/>
  <c r="Z581" i="5"/>
  <c r="Y581" i="5" s="1"/>
  <c r="M581" i="5"/>
  <c r="I581" i="5" s="1"/>
  <c r="S939" i="5"/>
  <c r="Z939" i="5"/>
  <c r="Y939" i="5" s="1"/>
  <c r="M939" i="5"/>
  <c r="I939" i="5" s="1"/>
  <c r="S379" i="5"/>
  <c r="Z379" i="5"/>
  <c r="Y379" i="5" s="1"/>
  <c r="M379" i="5"/>
  <c r="I379" i="5" s="1"/>
  <c r="S498" i="5"/>
  <c r="Z498" i="5"/>
  <c r="Y498" i="5" s="1"/>
  <c r="M498" i="5"/>
  <c r="I498" i="5" s="1"/>
  <c r="Z727" i="5"/>
  <c r="Y727" i="5" s="1"/>
  <c r="S727" i="5"/>
  <c r="M727" i="5"/>
  <c r="I727" i="5" s="1"/>
  <c r="Z668" i="5"/>
  <c r="Y668" i="5" s="1"/>
  <c r="S668" i="5"/>
  <c r="M668" i="5"/>
  <c r="I668" i="5" s="1"/>
  <c r="Z551" i="5"/>
  <c r="Y551" i="5" s="1"/>
  <c r="S551" i="5"/>
  <c r="M551" i="5"/>
  <c r="I551" i="5" s="1"/>
  <c r="Z454" i="5"/>
  <c r="Y454" i="5" s="1"/>
  <c r="S454" i="5"/>
  <c r="M454" i="5"/>
  <c r="I454" i="5" s="1"/>
  <c r="S565" i="5"/>
  <c r="M565" i="5"/>
  <c r="I565" i="5" s="1"/>
  <c r="Z565" i="5"/>
  <c r="Y565" i="5" s="1"/>
  <c r="Z270" i="5"/>
  <c r="Y270" i="5" s="1"/>
  <c r="M270" i="5"/>
  <c r="I270" i="5" s="1"/>
  <c r="S270" i="5"/>
  <c r="Z192" i="5"/>
  <c r="Y192" i="5" s="1"/>
  <c r="M192" i="5"/>
  <c r="I192" i="5" s="1"/>
  <c r="S192" i="5"/>
  <c r="AD959" i="5"/>
  <c r="Z619" i="5"/>
  <c r="S619" i="5"/>
  <c r="Z176" i="5"/>
  <c r="Y176" i="5" s="1"/>
  <c r="M176" i="5"/>
  <c r="I176" i="5" s="1"/>
  <c r="S176" i="5"/>
  <c r="Z187" i="5"/>
  <c r="Y187" i="5" s="1"/>
  <c r="M187" i="5"/>
  <c r="I187" i="5" s="1"/>
  <c r="S187" i="5"/>
  <c r="S259" i="5"/>
  <c r="Z259" i="5"/>
  <c r="Y259" i="5" s="1"/>
  <c r="M259" i="5"/>
  <c r="I259" i="5" s="1"/>
  <c r="S236" i="5"/>
  <c r="Z236" i="5"/>
  <c r="Y236" i="5" s="1"/>
  <c r="M236" i="5"/>
  <c r="I236" i="5" s="1"/>
  <c r="S213" i="5"/>
  <c r="Z213" i="5"/>
  <c r="Y213" i="5" s="1"/>
  <c r="M213" i="5"/>
  <c r="I213" i="5" s="1"/>
  <c r="S372" i="5"/>
  <c r="Z372" i="5"/>
  <c r="Y372" i="5" s="1"/>
  <c r="M372" i="5"/>
  <c r="I372" i="5" s="1"/>
  <c r="S759" i="5"/>
  <c r="Z759" i="5"/>
  <c r="Y759" i="5" s="1"/>
  <c r="M759" i="5"/>
  <c r="I759" i="5" s="1"/>
  <c r="Z891" i="5"/>
  <c r="S891" i="5"/>
  <c r="AD832" i="5"/>
  <c r="S451" i="5"/>
  <c r="Z451" i="5"/>
  <c r="Y451" i="5" s="1"/>
  <c r="M451" i="5"/>
  <c r="I451" i="5" s="1"/>
  <c r="M371" i="5"/>
  <c r="I371" i="5" s="1"/>
  <c r="Z371" i="5"/>
  <c r="Y371" i="5" s="1"/>
  <c r="S371" i="5"/>
  <c r="S665" i="5"/>
  <c r="Z665" i="5"/>
  <c r="Y665" i="5" s="1"/>
  <c r="M665" i="5"/>
  <c r="I665" i="5" s="1"/>
  <c r="S444" i="5"/>
  <c r="Z444" i="5"/>
  <c r="Y444" i="5" s="1"/>
  <c r="M444" i="5"/>
  <c r="I444" i="5" s="1"/>
  <c r="AD972" i="5"/>
  <c r="Y397" i="5"/>
  <c r="Z79" i="5"/>
  <c r="Y79" i="5" s="1"/>
  <c r="S79" i="5"/>
  <c r="M79" i="5"/>
  <c r="I79" i="5" s="1"/>
  <c r="Z643" i="5"/>
  <c r="Y643" i="5" s="1"/>
  <c r="M643" i="5"/>
  <c r="I643" i="5" s="1"/>
  <c r="S643" i="5"/>
  <c r="AD243" i="5"/>
  <c r="R243" i="5"/>
  <c r="AA877" i="5"/>
  <c r="O877" i="5"/>
  <c r="S383" i="5"/>
  <c r="Z383" i="5"/>
  <c r="AD352" i="5"/>
  <c r="R352" i="5"/>
  <c r="AD583" i="5"/>
  <c r="Z518" i="5"/>
  <c r="S518" i="5"/>
  <c r="AD242" i="5"/>
  <c r="M217" i="5"/>
  <c r="I217" i="5" s="1"/>
  <c r="Z217" i="5"/>
  <c r="Y217" i="5" s="1"/>
  <c r="S217" i="5"/>
  <c r="Z896" i="5"/>
  <c r="Y896" i="5" s="1"/>
  <c r="S896" i="5"/>
  <c r="M896" i="5"/>
  <c r="I896" i="5" s="1"/>
  <c r="M664" i="5"/>
  <c r="I664" i="5" s="1"/>
  <c r="Z664" i="5"/>
  <c r="Y664" i="5" s="1"/>
  <c r="S664" i="5"/>
  <c r="Z485" i="5"/>
  <c r="W485" i="5"/>
  <c r="Q485" i="5" s="1"/>
  <c r="Z358" i="5"/>
  <c r="W358" i="5"/>
  <c r="Z121" i="5"/>
  <c r="W121" i="5"/>
  <c r="Z553" i="5"/>
  <c r="W553" i="5"/>
  <c r="W638" i="5"/>
  <c r="Z638" i="5"/>
  <c r="S922" i="5"/>
  <c r="Z922" i="5"/>
  <c r="Y922" i="5" s="1"/>
  <c r="M922" i="5"/>
  <c r="I922" i="5" s="1"/>
  <c r="Z913" i="5"/>
  <c r="Y913" i="5" s="1"/>
  <c r="M913" i="5"/>
  <c r="I913" i="5" s="1"/>
  <c r="S913" i="5"/>
  <c r="Z852" i="5"/>
  <c r="S852" i="5"/>
  <c r="S948" i="5"/>
  <c r="Z948" i="5"/>
  <c r="Y948" i="5" s="1"/>
  <c r="M948" i="5"/>
  <c r="I948" i="5" s="1"/>
  <c r="S938" i="5"/>
  <c r="Z938" i="5"/>
  <c r="Y938" i="5" s="1"/>
  <c r="M938" i="5"/>
  <c r="I938" i="5" s="1"/>
  <c r="S761" i="5"/>
  <c r="Z761" i="5"/>
  <c r="Y761" i="5" s="1"/>
  <c r="M761" i="5"/>
  <c r="I761" i="5" s="1"/>
  <c r="Z973" i="5"/>
  <c r="S973" i="5"/>
  <c r="M973" i="5"/>
  <c r="I973" i="5" s="1"/>
  <c r="Z268" i="5"/>
  <c r="Y268" i="5" s="1"/>
  <c r="M268" i="5"/>
  <c r="I268" i="5" s="1"/>
  <c r="S268" i="5"/>
  <c r="S164" i="5"/>
  <c r="Z164" i="5"/>
  <c r="Y164" i="5" s="1"/>
  <c r="M164" i="5"/>
  <c r="I164" i="5" s="1"/>
  <c r="AD964" i="5"/>
  <c r="S198" i="5"/>
  <c r="Z198" i="5"/>
  <c r="Y198" i="5" s="1"/>
  <c r="M198" i="5"/>
  <c r="I198" i="5" s="1"/>
  <c r="S570" i="5"/>
  <c r="Z570" i="5"/>
  <c r="Y570" i="5" s="1"/>
  <c r="M570" i="5"/>
  <c r="I570" i="5" s="1"/>
  <c r="Z355" i="5"/>
  <c r="Y355" i="5" s="1"/>
  <c r="S355" i="5"/>
  <c r="M355" i="5"/>
  <c r="I355" i="5" s="1"/>
  <c r="Z399" i="5"/>
  <c r="Y399" i="5" s="1"/>
  <c r="S399" i="5"/>
  <c r="M399" i="5"/>
  <c r="I399" i="5" s="1"/>
  <c r="AA920" i="5"/>
  <c r="O920" i="5"/>
  <c r="R957" i="5"/>
  <c r="AD957" i="5"/>
  <c r="AA827" i="5"/>
  <c r="O827" i="5"/>
  <c r="AA404" i="5"/>
  <c r="O404" i="5"/>
  <c r="AD132" i="5"/>
  <c r="Z291" i="5"/>
  <c r="S291" i="5"/>
  <c r="Z262" i="5"/>
  <c r="Y262" i="5" s="1"/>
  <c r="S262" i="5"/>
  <c r="M262" i="5"/>
  <c r="I262" i="5" s="1"/>
  <c r="Z277" i="5"/>
  <c r="Y277" i="5" s="1"/>
  <c r="S277" i="5"/>
  <c r="M277" i="5"/>
  <c r="I277" i="5" s="1"/>
  <c r="W422" i="5"/>
  <c r="Q422" i="5" s="1"/>
  <c r="Z422" i="5"/>
  <c r="W147" i="5"/>
  <c r="Q147" i="5" s="1"/>
  <c r="Z147" i="5"/>
  <c r="S432" i="5"/>
  <c r="Z432" i="5"/>
  <c r="M432" i="5"/>
  <c r="I432" i="5" s="1"/>
  <c r="W557" i="5"/>
  <c r="Z557" i="5"/>
  <c r="Z634" i="5"/>
  <c r="Y634" i="5" s="1"/>
  <c r="M634" i="5"/>
  <c r="I634" i="5" s="1"/>
  <c r="S634" i="5"/>
  <c r="Z393" i="5"/>
  <c r="Y393" i="5" s="1"/>
  <c r="S393" i="5"/>
  <c r="M393" i="5"/>
  <c r="I393" i="5" s="1"/>
  <c r="Z869" i="5"/>
  <c r="Y869" i="5" s="1"/>
  <c r="M869" i="5"/>
  <c r="I869" i="5" s="1"/>
  <c r="S869" i="5"/>
  <c r="AD945" i="5"/>
  <c r="S392" i="5"/>
  <c r="Z392" i="5"/>
  <c r="S322" i="5"/>
  <c r="Z322" i="5"/>
  <c r="Y322" i="5" s="1"/>
  <c r="M322" i="5"/>
  <c r="I322" i="5" s="1"/>
  <c r="S627" i="5"/>
  <c r="Z627" i="5"/>
  <c r="Y627" i="5" s="1"/>
  <c r="M627" i="5"/>
  <c r="I627" i="5" s="1"/>
  <c r="S341" i="5"/>
  <c r="Z341" i="5"/>
  <c r="S937" i="5"/>
  <c r="Z937" i="5"/>
  <c r="Y937" i="5" s="1"/>
  <c r="M937" i="5"/>
  <c r="I937" i="5" s="1"/>
  <c r="Z932" i="5"/>
  <c r="S932" i="5"/>
  <c r="S688" i="5"/>
  <c r="M688" i="5"/>
  <c r="I688" i="5" s="1"/>
  <c r="Z688" i="5"/>
  <c r="Y688" i="5" s="1"/>
  <c r="M98" i="5"/>
  <c r="I98" i="5" s="1"/>
  <c r="Z98" i="5"/>
  <c r="Y98" i="5" s="1"/>
  <c r="S98" i="5"/>
  <c r="S178" i="5"/>
  <c r="Z178" i="5"/>
  <c r="Y178" i="5" s="1"/>
  <c r="M178" i="5"/>
  <c r="I178" i="5" s="1"/>
  <c r="Z566" i="5"/>
  <c r="Y566" i="5" s="1"/>
  <c r="S566" i="5"/>
  <c r="M566" i="5"/>
  <c r="I566" i="5" s="1"/>
  <c r="O674" i="5"/>
  <c r="AA674" i="5"/>
  <c r="S401" i="5"/>
  <c r="Z401" i="5"/>
  <c r="AB439" i="5"/>
  <c r="P439" i="5"/>
  <c r="AD621" i="5"/>
  <c r="R621" i="5"/>
  <c r="Z839" i="5"/>
  <c r="S839" i="5"/>
  <c r="AD496" i="5"/>
  <c r="R496" i="5"/>
  <c r="AD119" i="5"/>
  <c r="AA480" i="5"/>
  <c r="Z135" i="5"/>
  <c r="S135" i="5"/>
  <c r="Z338" i="5"/>
  <c r="Y338" i="5" s="1"/>
  <c r="S338" i="5"/>
  <c r="M338" i="5"/>
  <c r="I338" i="5" s="1"/>
  <c r="M299" i="5"/>
  <c r="I299" i="5" s="1"/>
  <c r="Z299" i="5"/>
  <c r="Y299" i="5" s="1"/>
  <c r="S299" i="5"/>
  <c r="Z171" i="5"/>
  <c r="Y171" i="5" s="1"/>
  <c r="S171" i="5"/>
  <c r="M171" i="5"/>
  <c r="I171" i="5" s="1"/>
  <c r="Z770" i="5"/>
  <c r="W770" i="5"/>
  <c r="Z306" i="5"/>
  <c r="W306" i="5"/>
  <c r="Z120" i="5"/>
  <c r="W120" i="5"/>
  <c r="Z858" i="5"/>
  <c r="W858" i="5"/>
  <c r="Z436" i="5"/>
  <c r="W436" i="5"/>
  <c r="W342" i="5"/>
  <c r="Q342" i="5" s="1"/>
  <c r="Z342" i="5"/>
  <c r="Z648" i="5"/>
  <c r="Y648" i="5" s="1"/>
  <c r="S648" i="5"/>
  <c r="Z304" i="5"/>
  <c r="Y304" i="5" s="1"/>
  <c r="S304" i="5"/>
  <c r="M304" i="5"/>
  <c r="I304" i="5" s="1"/>
  <c r="AA743" i="5"/>
  <c r="Z899" i="5"/>
  <c r="S899" i="5"/>
  <c r="Z459" i="5"/>
  <c r="S459" i="5"/>
  <c r="Z820" i="5"/>
  <c r="S820" i="5"/>
  <c r="S866" i="5"/>
  <c r="Z866" i="5"/>
  <c r="Y866" i="5" s="1"/>
  <c r="M866" i="5"/>
  <c r="I866" i="5" s="1"/>
  <c r="S923" i="5"/>
  <c r="Z923" i="5"/>
  <c r="Y923" i="5" s="1"/>
  <c r="M923" i="5"/>
  <c r="I923" i="5" s="1"/>
  <c r="Z966" i="5"/>
  <c r="S966" i="5"/>
  <c r="Z333" i="5"/>
  <c r="Y333" i="5" s="1"/>
  <c r="S333" i="5"/>
  <c r="M333" i="5"/>
  <c r="I333" i="5" s="1"/>
  <c r="M263" i="5"/>
  <c r="I263" i="5" s="1"/>
  <c r="Z263" i="5"/>
  <c r="Y263" i="5" s="1"/>
  <c r="S263" i="5"/>
  <c r="S293" i="5"/>
  <c r="Z293" i="5"/>
  <c r="Y293" i="5" s="1"/>
  <c r="M293" i="5"/>
  <c r="I293" i="5" s="1"/>
  <c r="AD754" i="5"/>
  <c r="Z224" i="5"/>
  <c r="Y224" i="5" s="1"/>
  <c r="S224" i="5"/>
  <c r="M224" i="5"/>
  <c r="I224" i="5" s="1"/>
  <c r="M95" i="5"/>
  <c r="I95" i="5" s="1"/>
  <c r="Z95" i="5"/>
  <c r="Y95" i="5" s="1"/>
  <c r="S95" i="5"/>
  <c r="M117" i="5"/>
  <c r="I117" i="5" s="1"/>
  <c r="Z117" i="5"/>
  <c r="Y117" i="5" s="1"/>
  <c r="S117" i="5"/>
  <c r="AD685" i="5"/>
  <c r="R685" i="5"/>
  <c r="R854" i="5"/>
  <c r="AD854" i="5"/>
  <c r="AD441" i="5"/>
  <c r="R441" i="5"/>
  <c r="AD373" i="5"/>
  <c r="R373" i="5"/>
  <c r="AD772" i="5"/>
  <c r="R772" i="5"/>
  <c r="Z699" i="5"/>
  <c r="S699" i="5"/>
  <c r="AD767" i="5"/>
  <c r="R767" i="5"/>
  <c r="Z183" i="5"/>
  <c r="S183" i="5"/>
  <c r="Z287" i="5"/>
  <c r="S287" i="5"/>
  <c r="Z182" i="5"/>
  <c r="S182" i="5"/>
  <c r="Z134" i="5"/>
  <c r="S134" i="5"/>
  <c r="M134" i="5"/>
  <c r="I134" i="5" s="1"/>
  <c r="AD419" i="5"/>
  <c r="Z278" i="5"/>
  <c r="Y278" i="5" s="1"/>
  <c r="S278" i="5"/>
  <c r="M278" i="5"/>
  <c r="I278" i="5" s="1"/>
  <c r="S172" i="5"/>
  <c r="Z172" i="5"/>
  <c r="Y172" i="5" s="1"/>
  <c r="M172" i="5"/>
  <c r="I172" i="5" s="1"/>
  <c r="Z162" i="5"/>
  <c r="Y162" i="5" s="1"/>
  <c r="S162" i="5"/>
  <c r="M162" i="5"/>
  <c r="I162" i="5" s="1"/>
  <c r="W486" i="5"/>
  <c r="Q486" i="5" s="1"/>
  <c r="Z486" i="5"/>
  <c r="W546" i="5"/>
  <c r="Q546" i="5" s="1"/>
  <c r="Z546" i="5"/>
  <c r="W479" i="5"/>
  <c r="Q479" i="5" s="1"/>
  <c r="Z479" i="5"/>
  <c r="W148" i="5"/>
  <c r="Q148" i="5" s="1"/>
  <c r="Z148" i="5"/>
  <c r="W552" i="5"/>
  <c r="Q552" i="5" s="1"/>
  <c r="Z552" i="5"/>
  <c r="Z230" i="5"/>
  <c r="Y230" i="5" s="1"/>
  <c r="M230" i="5"/>
  <c r="I230" i="5" s="1"/>
  <c r="S230" i="5"/>
  <c r="Z670" i="5"/>
  <c r="Y670" i="5" s="1"/>
  <c r="M670" i="5"/>
  <c r="I670" i="5" s="1"/>
  <c r="S670" i="5"/>
  <c r="Z427" i="5"/>
  <c r="Y427" i="5" s="1"/>
  <c r="M427" i="5"/>
  <c r="I427" i="5" s="1"/>
  <c r="S427" i="5"/>
  <c r="M675" i="5"/>
  <c r="I675" i="5" s="1"/>
  <c r="Z675" i="5"/>
  <c r="Y675" i="5" s="1"/>
  <c r="S675" i="5"/>
  <c r="Z836" i="5"/>
  <c r="S836" i="5"/>
  <c r="M323" i="5"/>
  <c r="I323" i="5" s="1"/>
  <c r="Z323" i="5"/>
  <c r="Y323" i="5" s="1"/>
  <c r="S323" i="5"/>
  <c r="M452" i="5"/>
  <c r="I452" i="5" s="1"/>
  <c r="Z452" i="5"/>
  <c r="Y452" i="5" s="1"/>
  <c r="S452" i="5"/>
  <c r="S846" i="5"/>
  <c r="Z846" i="5"/>
  <c r="Y846" i="5" s="1"/>
  <c r="M846" i="5"/>
  <c r="I846" i="5" s="1"/>
  <c r="S705" i="5"/>
  <c r="Z705" i="5"/>
  <c r="Y705" i="5" s="1"/>
  <c r="M705" i="5"/>
  <c r="I705" i="5" s="1"/>
  <c r="S499" i="5"/>
  <c r="Z499" i="5"/>
  <c r="Y499" i="5" s="1"/>
  <c r="M499" i="5"/>
  <c r="I499" i="5" s="1"/>
  <c r="Z541" i="5"/>
  <c r="Y541" i="5" s="1"/>
  <c r="S541" i="5"/>
  <c r="M541" i="5"/>
  <c r="I541" i="5" s="1"/>
  <c r="Z337" i="5"/>
  <c r="Y337" i="5" s="1"/>
  <c r="S337" i="5"/>
  <c r="M337" i="5"/>
  <c r="I337" i="5" s="1"/>
  <c r="Z274" i="5"/>
  <c r="Y274" i="5" s="1"/>
  <c r="M274" i="5"/>
  <c r="I274" i="5" s="1"/>
  <c r="S274" i="5"/>
  <c r="AD619" i="5"/>
  <c r="Z526" i="5"/>
  <c r="Y526" i="5" s="1"/>
  <c r="M526" i="5"/>
  <c r="I526" i="5" s="1"/>
  <c r="S526" i="5"/>
  <c r="S868" i="5"/>
  <c r="Z868" i="5"/>
  <c r="Y868" i="5" s="1"/>
  <c r="M868" i="5"/>
  <c r="I868" i="5" s="1"/>
  <c r="S631" i="5"/>
  <c r="Z631" i="5"/>
  <c r="Y631" i="5" s="1"/>
  <c r="M631" i="5"/>
  <c r="I631" i="5" s="1"/>
  <c r="S935" i="5"/>
  <c r="Z935" i="5"/>
  <c r="Y935" i="5" s="1"/>
  <c r="M935" i="5"/>
  <c r="I935" i="5" s="1"/>
  <c r="M823" i="5"/>
  <c r="I823" i="5" s="1"/>
  <c r="Z823" i="5"/>
  <c r="Y823" i="5" s="1"/>
  <c r="S823" i="5"/>
  <c r="S387" i="5"/>
  <c r="Z387" i="5"/>
  <c r="Y387" i="5" s="1"/>
  <c r="M387" i="5"/>
  <c r="I387" i="5" s="1"/>
  <c r="Z880" i="5"/>
  <c r="Y880" i="5" s="1"/>
  <c r="S880" i="5"/>
  <c r="M880" i="5"/>
  <c r="I880" i="5" s="1"/>
  <c r="AD682" i="5"/>
  <c r="R682" i="5"/>
  <c r="S828" i="5"/>
  <c r="Z828" i="5"/>
  <c r="S280" i="5"/>
  <c r="Z280" i="5"/>
  <c r="AA383" i="5"/>
  <c r="O383" i="5"/>
  <c r="Z773" i="5"/>
  <c r="S773" i="5"/>
  <c r="AD751" i="5"/>
  <c r="R751" i="5"/>
  <c r="AD518" i="5"/>
  <c r="Z325" i="5"/>
  <c r="S325" i="5"/>
  <c r="Z694" i="5"/>
  <c r="S694" i="5"/>
  <c r="Z580" i="5"/>
  <c r="Y580" i="5" s="1"/>
  <c r="S580" i="5"/>
  <c r="M580" i="5"/>
  <c r="I580" i="5" s="1"/>
  <c r="W547" i="5"/>
  <c r="Q547" i="5" s="1"/>
  <c r="Z547" i="5"/>
  <c r="AA433" i="5"/>
  <c r="Z562" i="5"/>
  <c r="Y562" i="5" s="1"/>
  <c r="M562" i="5"/>
  <c r="I562" i="5" s="1"/>
  <c r="S562" i="5"/>
  <c r="Z512" i="5"/>
  <c r="Y512" i="5" s="1"/>
  <c r="M512" i="5"/>
  <c r="I512" i="5" s="1"/>
  <c r="S512" i="5"/>
  <c r="Z453" i="5"/>
  <c r="Y453" i="5" s="1"/>
  <c r="S453" i="5"/>
  <c r="M453" i="5"/>
  <c r="I453" i="5" s="1"/>
  <c r="AA834" i="5"/>
  <c r="AD969" i="5"/>
  <c r="S718" i="5"/>
  <c r="Z718" i="5"/>
  <c r="Y718" i="5" s="1"/>
  <c r="M718" i="5"/>
  <c r="I718" i="5" s="1"/>
  <c r="Z946" i="5"/>
  <c r="S946" i="5"/>
  <c r="AD691" i="5"/>
  <c r="S244" i="5"/>
  <c r="Z244" i="5"/>
  <c r="Y244" i="5" s="1"/>
  <c r="M244" i="5"/>
  <c r="I244" i="5" s="1"/>
  <c r="S594" i="5"/>
  <c r="Z594" i="5"/>
  <c r="Y594" i="5" s="1"/>
  <c r="M594" i="5"/>
  <c r="I594" i="5" s="1"/>
  <c r="AB900" i="5"/>
  <c r="M897" i="5"/>
  <c r="I897" i="5" s="1"/>
  <c r="Z897" i="5"/>
  <c r="Y897" i="5" s="1"/>
  <c r="S897" i="5"/>
  <c r="AB930" i="5"/>
  <c r="AB920" i="5"/>
  <c r="P920" i="5"/>
  <c r="AA513" i="5"/>
  <c r="O513" i="5"/>
  <c r="S531" i="5"/>
  <c r="M531" i="5"/>
  <c r="I531" i="5" s="1"/>
  <c r="Z531" i="5"/>
  <c r="Y531" i="5" s="1"/>
  <c r="AA205" i="5"/>
  <c r="O205" i="5"/>
  <c r="Z814" i="5"/>
  <c r="S814" i="5"/>
  <c r="AD587" i="5"/>
  <c r="R587" i="5"/>
  <c r="Z101" i="5"/>
  <c r="S101" i="5"/>
  <c r="AD410" i="5"/>
  <c r="Z327" i="5"/>
  <c r="Y327" i="5" s="1"/>
  <c r="S327" i="5"/>
  <c r="M327" i="5"/>
  <c r="I327" i="5" s="1"/>
  <c r="Z430" i="5"/>
  <c r="W430" i="5"/>
  <c r="Z809" i="5"/>
  <c r="Y809" i="5" s="1"/>
  <c r="S809" i="5"/>
  <c r="M809" i="5"/>
  <c r="I809" i="5" s="1"/>
  <c r="Z870" i="5"/>
  <c r="Y870" i="5" s="1"/>
  <c r="M870" i="5"/>
  <c r="I870" i="5" s="1"/>
  <c r="S870" i="5"/>
  <c r="M339" i="5"/>
  <c r="I339" i="5" s="1"/>
  <c r="Z339" i="5"/>
  <c r="Y339" i="5" s="1"/>
  <c r="S339" i="5"/>
  <c r="Z916" i="5"/>
  <c r="S916" i="5"/>
  <c r="M455" i="5"/>
  <c r="I455" i="5" s="1"/>
  <c r="Z455" i="5"/>
  <c r="Y455" i="5" s="1"/>
  <c r="S455" i="5"/>
  <c r="Z930" i="5"/>
  <c r="S930" i="5"/>
  <c r="S582" i="5"/>
  <c r="Z582" i="5"/>
  <c r="Y582" i="5" s="1"/>
  <c r="M582" i="5"/>
  <c r="I582" i="5" s="1"/>
  <c r="S711" i="5"/>
  <c r="Z711" i="5"/>
  <c r="Y711" i="5" s="1"/>
  <c r="M711" i="5"/>
  <c r="I711" i="5" s="1"/>
  <c r="S748" i="5"/>
  <c r="Z748" i="5"/>
  <c r="Y748" i="5" s="1"/>
  <c r="M748" i="5"/>
  <c r="I748" i="5" s="1"/>
  <c r="AD886" i="5"/>
  <c r="M915" i="5"/>
  <c r="I915" i="5" s="1"/>
  <c r="Z915" i="5"/>
  <c r="Y915" i="5" s="1"/>
  <c r="S915" i="5"/>
  <c r="AD976" i="5"/>
  <c r="AD974" i="5"/>
  <c r="M563" i="5"/>
  <c r="I563" i="5" s="1"/>
  <c r="Z822" i="5"/>
  <c r="Y822" i="5" s="1"/>
  <c r="M822" i="5"/>
  <c r="I822" i="5" s="1"/>
  <c r="S822" i="5"/>
  <c r="M663" i="5"/>
  <c r="I663" i="5" s="1"/>
  <c r="Z663" i="5"/>
  <c r="Y663" i="5" s="1"/>
  <c r="S663" i="5"/>
  <c r="Z331" i="5"/>
  <c r="Y331" i="5" s="1"/>
  <c r="S331" i="5"/>
  <c r="M331" i="5"/>
  <c r="I331" i="5" s="1"/>
  <c r="AD401" i="5"/>
  <c r="R401" i="5"/>
  <c r="Z863" i="5"/>
  <c r="S863" i="5"/>
  <c r="P682" i="5"/>
  <c r="AB682" i="5"/>
  <c r="AC243" i="5"/>
  <c r="Q243" i="5"/>
  <c r="AA575" i="5"/>
  <c r="O575" i="5"/>
  <c r="R575" i="5"/>
  <c r="AD575" i="5"/>
  <c r="R828" i="5"/>
  <c r="AD828" i="5"/>
  <c r="AD280" i="5"/>
  <c r="R280" i="5"/>
  <c r="S877" i="5"/>
  <c r="Z877" i="5"/>
  <c r="Z587" i="5"/>
  <c r="S587" i="5"/>
  <c r="AA585" i="5"/>
  <c r="AA352" i="5"/>
  <c r="O352" i="5"/>
  <c r="Z662" i="5"/>
  <c r="S662" i="5"/>
  <c r="Z440" i="5"/>
  <c r="S440" i="5"/>
  <c r="AA573" i="5"/>
  <c r="Z349" i="5"/>
  <c r="S349" i="5"/>
  <c r="AD325" i="5"/>
  <c r="M888" i="5"/>
  <c r="I888" i="5" s="1"/>
  <c r="Z888" i="5"/>
  <c r="Y888" i="5" s="1"/>
  <c r="S888" i="5"/>
  <c r="AD694" i="5"/>
  <c r="Z145" i="5"/>
  <c r="Y145" i="5" s="1"/>
  <c r="S145" i="5"/>
  <c r="M145" i="5"/>
  <c r="I145" i="5" s="1"/>
  <c r="M102" i="5"/>
  <c r="I102" i="5" s="1"/>
  <c r="Z102" i="5"/>
  <c r="Y102" i="5" s="1"/>
  <c r="S102" i="5"/>
  <c r="M115" i="5"/>
  <c r="I115" i="5" s="1"/>
  <c r="Z115" i="5"/>
  <c r="Y115" i="5" s="1"/>
  <c r="S115" i="5"/>
  <c r="Z733" i="5"/>
  <c r="W733" i="5"/>
  <c r="Z255" i="5"/>
  <c r="W255" i="5"/>
  <c r="Z350" i="5"/>
  <c r="W350" i="5"/>
  <c r="Z237" i="5"/>
  <c r="W237" i="5"/>
  <c r="Z797" i="5"/>
  <c r="W797" i="5"/>
  <c r="Z737" i="5"/>
  <c r="W737" i="5"/>
  <c r="W673" i="5"/>
  <c r="Q673" i="5" s="1"/>
  <c r="Z673" i="5"/>
  <c r="W283" i="5"/>
  <c r="Q283" i="5" s="1"/>
  <c r="Z283" i="5"/>
  <c r="W296" i="5"/>
  <c r="Q296" i="5" s="1"/>
  <c r="Z296" i="5"/>
  <c r="S376" i="5"/>
  <c r="Z376" i="5"/>
  <c r="Y376" i="5" s="1"/>
  <c r="M376" i="5"/>
  <c r="I376" i="5" s="1"/>
  <c r="Z952" i="5"/>
  <c r="Y952" i="5" s="1"/>
  <c r="M952" i="5"/>
  <c r="I952" i="5" s="1"/>
  <c r="S952" i="5"/>
  <c r="Z377" i="5"/>
  <c r="Y377" i="5" s="1"/>
  <c r="M377" i="5"/>
  <c r="I377" i="5" s="1"/>
  <c r="S377" i="5"/>
  <c r="M753" i="5"/>
  <c r="I753" i="5" s="1"/>
  <c r="Z753" i="5"/>
  <c r="Y753" i="5" s="1"/>
  <c r="S753" i="5"/>
  <c r="S232" i="5"/>
  <c r="Z232" i="5"/>
  <c r="Y232" i="5" s="1"/>
  <c r="M232" i="5"/>
  <c r="I232" i="5" s="1"/>
  <c r="S682" i="5"/>
  <c r="Z682" i="5"/>
  <c r="AD684" i="5"/>
  <c r="R684" i="5"/>
  <c r="P684" i="5"/>
  <c r="AB684" i="5"/>
  <c r="S243" i="5"/>
  <c r="Z243" i="5"/>
  <c r="AB575" i="5"/>
  <c r="P575" i="5"/>
  <c r="Z607" i="5"/>
  <c r="Y607" i="5" s="1"/>
  <c r="S607" i="5"/>
  <c r="M607" i="5"/>
  <c r="I607" i="5" s="1"/>
  <c r="AB828" i="5"/>
  <c r="P828" i="5"/>
  <c r="Z609" i="5"/>
  <c r="Y609" i="5" s="1"/>
  <c r="S609" i="5"/>
  <c r="M609" i="5"/>
  <c r="I609" i="5" s="1"/>
  <c r="AB623" i="5"/>
  <c r="P623" i="5"/>
  <c r="AB877" i="5"/>
  <c r="P877" i="5"/>
  <c r="R877" i="5"/>
  <c r="AD877" i="5"/>
  <c r="AD370" i="5"/>
  <c r="R370" i="5"/>
  <c r="AD383" i="5"/>
  <c r="R383" i="5"/>
  <c r="AD585" i="5"/>
  <c r="R585" i="5"/>
  <c r="Z312" i="5"/>
  <c r="S312" i="5"/>
  <c r="Z585" i="5"/>
  <c r="S585" i="5"/>
  <c r="AD907" i="5"/>
  <c r="R907" i="5"/>
  <c r="Z583" i="5"/>
  <c r="S583" i="5"/>
  <c r="AD440" i="5"/>
  <c r="Z482" i="5"/>
  <c r="S482" i="5"/>
  <c r="AD573" i="5"/>
  <c r="R573" i="5"/>
  <c r="Z186" i="5"/>
  <c r="S186" i="5"/>
  <c r="AD144" i="5"/>
  <c r="AD349" i="5"/>
  <c r="Z242" i="5"/>
  <c r="S242" i="5"/>
  <c r="Z284" i="5"/>
  <c r="S284" i="5"/>
  <c r="AD185" i="5"/>
  <c r="Z216" i="5"/>
  <c r="Y216" i="5" s="1"/>
  <c r="S216" i="5"/>
  <c r="M216" i="5"/>
  <c r="I216" i="5" s="1"/>
  <c r="W734" i="5"/>
  <c r="Z734" i="5"/>
  <c r="W769" i="5"/>
  <c r="Z769" i="5"/>
  <c r="Z903" i="5"/>
  <c r="W903" i="5"/>
  <c r="Q903" i="5" s="1"/>
  <c r="Z128" i="5"/>
  <c r="M128" i="5"/>
  <c r="I128" i="5" s="1"/>
  <c r="S128" i="5"/>
  <c r="Z791" i="5"/>
  <c r="Y791" i="5" s="1"/>
  <c r="M791" i="5"/>
  <c r="I791" i="5" s="1"/>
  <c r="S791" i="5"/>
  <c r="Z709" i="5"/>
  <c r="Y709" i="5" s="1"/>
  <c r="M709" i="5"/>
  <c r="I709" i="5" s="1"/>
  <c r="S709" i="5"/>
  <c r="Z251" i="5"/>
  <c r="Y251" i="5" s="1"/>
  <c r="S251" i="5"/>
  <c r="M251" i="5"/>
  <c r="I251" i="5" s="1"/>
  <c r="AA931" i="5"/>
  <c r="AA715" i="5"/>
  <c r="AA612" i="5"/>
  <c r="AD253" i="5"/>
  <c r="Z969" i="5"/>
  <c r="S969" i="5"/>
  <c r="M969" i="5"/>
  <c r="I969" i="5" s="1"/>
  <c r="AD831" i="5"/>
  <c r="Z423" i="5"/>
  <c r="Y423" i="5" s="1"/>
  <c r="S423" i="5"/>
  <c r="M423" i="5"/>
  <c r="I423" i="5" s="1"/>
  <c r="Z431" i="5"/>
  <c r="Y431" i="5" s="1"/>
  <c r="S431" i="5"/>
  <c r="M431" i="5"/>
  <c r="I431" i="5" s="1"/>
  <c r="M934" i="5"/>
  <c r="I934" i="5" s="1"/>
  <c r="Z934" i="5"/>
  <c r="Y934" i="5" s="1"/>
  <c r="S934" i="5"/>
  <c r="M606" i="5"/>
  <c r="I606" i="5" s="1"/>
  <c r="Z606" i="5"/>
  <c r="Y606" i="5" s="1"/>
  <c r="S606" i="5"/>
  <c r="S698" i="5"/>
  <c r="Z698" i="5"/>
  <c r="Y698" i="5" s="1"/>
  <c r="M698" i="5"/>
  <c r="I698" i="5" s="1"/>
  <c r="S247" i="5"/>
  <c r="Z247" i="5"/>
  <c r="Y247" i="5" s="1"/>
  <c r="M247" i="5"/>
  <c r="I247" i="5" s="1"/>
  <c r="Z964" i="5"/>
  <c r="S964" i="5"/>
  <c r="AD968" i="5"/>
  <c r="S644" i="5"/>
  <c r="Z644" i="5"/>
  <c r="Y644" i="5" s="1"/>
  <c r="M644" i="5"/>
  <c r="I644" i="5" s="1"/>
  <c r="S849" i="5"/>
  <c r="Z849" i="5"/>
  <c r="Y849" i="5" s="1"/>
  <c r="M849" i="5"/>
  <c r="I849" i="5" s="1"/>
  <c r="S775" i="5"/>
  <c r="Z775" i="5"/>
  <c r="Y775" i="5" s="1"/>
  <c r="M775" i="5"/>
  <c r="I775" i="5" s="1"/>
  <c r="S489" i="5"/>
  <c r="Z489" i="5"/>
  <c r="Y489" i="5" s="1"/>
  <c r="M489" i="5"/>
  <c r="I489" i="5" s="1"/>
  <c r="AD161" i="5"/>
  <c r="AB917" i="5"/>
  <c r="M558" i="5"/>
  <c r="I558" i="5" s="1"/>
  <c r="Y593" i="5"/>
  <c r="M794" i="5"/>
  <c r="I794" i="5" s="1"/>
  <c r="M139" i="5"/>
  <c r="I139" i="5" s="1"/>
  <c r="Z139" i="5"/>
  <c r="Y139" i="5" s="1"/>
  <c r="S139" i="5"/>
  <c r="M149" i="5"/>
  <c r="I149" i="5" s="1"/>
  <c r="Z149" i="5"/>
  <c r="Y149" i="5" s="1"/>
  <c r="S149" i="5"/>
  <c r="M235" i="5"/>
  <c r="I235" i="5" s="1"/>
  <c r="Z235" i="5"/>
  <c r="Y235" i="5" s="1"/>
  <c r="S235" i="5"/>
  <c r="M80" i="5"/>
  <c r="I80" i="5" s="1"/>
  <c r="Z80" i="5"/>
  <c r="Y80" i="5" s="1"/>
  <c r="S80" i="5"/>
  <c r="Z99" i="5"/>
  <c r="Y99" i="5" s="1"/>
  <c r="S99" i="5"/>
  <c r="M99" i="5"/>
  <c r="I99" i="5" s="1"/>
  <c r="M93" i="5"/>
  <c r="I93" i="5" s="1"/>
  <c r="Z93" i="5"/>
  <c r="Y93" i="5" s="1"/>
  <c r="S93" i="5"/>
  <c r="Y704" i="5"/>
  <c r="M735" i="5"/>
  <c r="I735" i="5" s="1"/>
  <c r="M104" i="5"/>
  <c r="I104" i="5" s="1"/>
  <c r="Z104" i="5"/>
  <c r="Y104" i="5" s="1"/>
  <c r="S104" i="5"/>
  <c r="M233" i="5"/>
  <c r="I233" i="5" s="1"/>
  <c r="Z233" i="5"/>
  <c r="Y233" i="5" s="1"/>
  <c r="S233" i="5"/>
  <c r="S920" i="5"/>
  <c r="Z920" i="5"/>
  <c r="AD513" i="5"/>
  <c r="R513" i="5"/>
  <c r="P513" i="5"/>
  <c r="AB513" i="5"/>
  <c r="S957" i="5"/>
  <c r="Z957" i="5"/>
  <c r="AB843" i="5"/>
  <c r="P843" i="5"/>
  <c r="AB205" i="5"/>
  <c r="P205" i="5"/>
  <c r="AB827" i="5"/>
  <c r="P827" i="5"/>
  <c r="R827" i="5"/>
  <c r="AD827" i="5"/>
  <c r="AA510" i="5"/>
  <c r="O510" i="5"/>
  <c r="AD686" i="5"/>
  <c r="R686" i="5"/>
  <c r="Z686" i="5"/>
  <c r="S686" i="5"/>
  <c r="Z404" i="5"/>
  <c r="S404" i="5"/>
  <c r="AD908" i="5"/>
  <c r="R908" i="5"/>
  <c r="AD482" i="5"/>
  <c r="R482" i="5"/>
  <c r="Z132" i="5"/>
  <c r="S132" i="5"/>
  <c r="Z819" i="5"/>
  <c r="S819" i="5"/>
  <c r="AD301" i="5"/>
  <c r="Z642" i="5"/>
  <c r="S642" i="5"/>
  <c r="AD200" i="5"/>
  <c r="Z785" i="5"/>
  <c r="S785" i="5"/>
  <c r="AD309" i="5"/>
  <c r="Z97" i="5"/>
  <c r="Y97" i="5" s="1"/>
  <c r="S97" i="5"/>
  <c r="M97" i="5"/>
  <c r="I97" i="5" s="1"/>
  <c r="Z131" i="5"/>
  <c r="Y131" i="5" s="1"/>
  <c r="S131" i="5"/>
  <c r="M131" i="5"/>
  <c r="I131" i="5" s="1"/>
  <c r="Z89" i="5"/>
  <c r="Y89" i="5" s="1"/>
  <c r="S89" i="5"/>
  <c r="M89" i="5"/>
  <c r="I89" i="5" s="1"/>
  <c r="M465" i="5"/>
  <c r="I465" i="5" s="1"/>
  <c r="Z465" i="5"/>
  <c r="Y465" i="5" s="1"/>
  <c r="S465" i="5"/>
  <c r="Z411" i="5"/>
  <c r="Y411" i="5" s="1"/>
  <c r="M411" i="5"/>
  <c r="I411" i="5" s="1"/>
  <c r="S411" i="5"/>
  <c r="Z719" i="5"/>
  <c r="W719" i="5"/>
  <c r="Q719" i="5" s="1"/>
  <c r="Z522" i="5"/>
  <c r="W522" i="5"/>
  <c r="Z395" i="5"/>
  <c r="W395" i="5"/>
  <c r="Q395" i="5" s="1"/>
  <c r="Z260" i="5"/>
  <c r="W260" i="5"/>
  <c r="Z600" i="5"/>
  <c r="Y600" i="5" s="1"/>
  <c r="S600" i="5"/>
  <c r="M600" i="5"/>
  <c r="I600" i="5" s="1"/>
  <c r="Z667" i="5"/>
  <c r="Y667" i="5" s="1"/>
  <c r="S667" i="5"/>
  <c r="M667" i="5"/>
  <c r="I667" i="5" s="1"/>
  <c r="Z207" i="5"/>
  <c r="M207" i="5"/>
  <c r="I207" i="5" s="1"/>
  <c r="S207" i="5"/>
  <c r="Z633" i="5"/>
  <c r="Y633" i="5" s="1"/>
  <c r="M633" i="5"/>
  <c r="I633" i="5" s="1"/>
  <c r="S633" i="5"/>
  <c r="Z736" i="5"/>
  <c r="Y736" i="5" s="1"/>
  <c r="M736" i="5"/>
  <c r="I736" i="5" s="1"/>
  <c r="S736" i="5"/>
  <c r="M840" i="5"/>
  <c r="I840" i="5" s="1"/>
  <c r="Z840" i="5"/>
  <c r="Y840" i="5" s="1"/>
  <c r="S840" i="5"/>
  <c r="M520" i="5"/>
  <c r="I520" i="5" s="1"/>
  <c r="Z520" i="5"/>
  <c r="Y520" i="5" s="1"/>
  <c r="S520" i="5"/>
  <c r="M808" i="5"/>
  <c r="I808" i="5" s="1"/>
  <c r="Z808" i="5"/>
  <c r="Y808" i="5" s="1"/>
  <c r="S808" i="5"/>
  <c r="AA495" i="5"/>
  <c r="Z611" i="5"/>
  <c r="S611" i="5"/>
  <c r="M461" i="5"/>
  <c r="I461" i="5" s="1"/>
  <c r="Z461" i="5"/>
  <c r="Y461" i="5" s="1"/>
  <c r="S461" i="5"/>
  <c r="M303" i="5"/>
  <c r="I303" i="5" s="1"/>
  <c r="Z303" i="5"/>
  <c r="Y303" i="5" s="1"/>
  <c r="S303" i="5"/>
  <c r="M615" i="5"/>
  <c r="I615" i="5" s="1"/>
  <c r="Z615" i="5"/>
  <c r="Y615" i="5" s="1"/>
  <c r="S615" i="5"/>
  <c r="M221" i="5"/>
  <c r="I221" i="5" s="1"/>
  <c r="Z221" i="5"/>
  <c r="Y221" i="5" s="1"/>
  <c r="S221" i="5"/>
  <c r="Z835" i="5"/>
  <c r="S835" i="5"/>
  <c r="Z900" i="5"/>
  <c r="S900" i="5"/>
  <c r="S912" i="5"/>
  <c r="Z912" i="5"/>
  <c r="Y912" i="5" s="1"/>
  <c r="M912" i="5"/>
  <c r="I912" i="5" s="1"/>
  <c r="S707" i="5"/>
  <c r="Z707" i="5"/>
  <c r="Y707" i="5" s="1"/>
  <c r="M707" i="5"/>
  <c r="I707" i="5" s="1"/>
  <c r="S958" i="5"/>
  <c r="Z958" i="5"/>
  <c r="Y958" i="5" s="1"/>
  <c r="M958" i="5"/>
  <c r="I958" i="5" s="1"/>
  <c r="S805" i="5"/>
  <c r="Z805" i="5"/>
  <c r="Y805" i="5" s="1"/>
  <c r="M805" i="5"/>
  <c r="I805" i="5" s="1"/>
  <c r="S378" i="5"/>
  <c r="Z378" i="5"/>
  <c r="Y378" i="5" s="1"/>
  <c r="M378" i="5"/>
  <c r="I378" i="5" s="1"/>
  <c r="Z949" i="5"/>
  <c r="S949" i="5"/>
  <c r="AD887" i="5"/>
  <c r="S197" i="5"/>
  <c r="Z197" i="5"/>
  <c r="Y197" i="5" s="1"/>
  <c r="M197" i="5"/>
  <c r="I197" i="5" s="1"/>
  <c r="S142" i="5"/>
  <c r="Z142" i="5"/>
  <c r="Y142" i="5" s="1"/>
  <c r="M142" i="5"/>
  <c r="I142" i="5" s="1"/>
  <c r="Z970" i="5"/>
  <c r="S970" i="5"/>
  <c r="AD967" i="5"/>
  <c r="S506" i="5"/>
  <c r="Z506" i="5"/>
  <c r="Y506" i="5" s="1"/>
  <c r="M506" i="5"/>
  <c r="I506" i="5" s="1"/>
  <c r="S188" i="5"/>
  <c r="Z188" i="5"/>
  <c r="Y188" i="5" s="1"/>
  <c r="M188" i="5"/>
  <c r="I188" i="5" s="1"/>
  <c r="M464" i="5"/>
  <c r="I464" i="5" s="1"/>
  <c r="Z464" i="5"/>
  <c r="Y464" i="5" s="1"/>
  <c r="S464" i="5"/>
  <c r="M481" i="5"/>
  <c r="I481" i="5" s="1"/>
  <c r="Z481" i="5"/>
  <c r="Y481" i="5" s="1"/>
  <c r="S481" i="5"/>
  <c r="Z976" i="5"/>
  <c r="S976" i="5"/>
  <c r="M976" i="5"/>
  <c r="I976" i="5" s="1"/>
  <c r="AB458" i="5"/>
  <c r="P458" i="5"/>
  <c r="M596" i="5"/>
  <c r="I596" i="5" s="1"/>
  <c r="M534" i="5"/>
  <c r="I534" i="5" s="1"/>
  <c r="S534" i="5"/>
  <c r="Z534" i="5"/>
  <c r="Y534" i="5" s="1"/>
  <c r="Z779" i="5"/>
  <c r="Y779" i="5" s="1"/>
  <c r="M779" i="5"/>
  <c r="I779" i="5" s="1"/>
  <c r="S779" i="5"/>
  <c r="S130" i="5"/>
  <c r="M130" i="5"/>
  <c r="I130" i="5" s="1"/>
  <c r="Z130" i="5"/>
  <c r="Y130" i="5" s="1"/>
  <c r="M516" i="5"/>
  <c r="I516" i="5" s="1"/>
  <c r="Z516" i="5"/>
  <c r="Y516" i="5" s="1"/>
  <c r="S516" i="5"/>
  <c r="M146" i="5"/>
  <c r="I146" i="5" s="1"/>
  <c r="Z146" i="5"/>
  <c r="Y146" i="5" s="1"/>
  <c r="S146" i="5"/>
  <c r="S380" i="5"/>
  <c r="M380" i="5"/>
  <c r="I380" i="5" s="1"/>
  <c r="Z380" i="5"/>
  <c r="Y380" i="5" s="1"/>
  <c r="M210" i="5"/>
  <c r="I210" i="5" s="1"/>
  <c r="Z210" i="5"/>
  <c r="Y210" i="5" s="1"/>
  <c r="S210" i="5"/>
  <c r="S468" i="5"/>
  <c r="Z468" i="5"/>
  <c r="Y468" i="5" s="1"/>
  <c r="M468" i="5"/>
  <c r="I468" i="5" s="1"/>
  <c r="S674" i="5"/>
  <c r="Z674" i="5"/>
  <c r="R674" i="5"/>
  <c r="AD674" i="5"/>
  <c r="S919" i="5"/>
  <c r="Z919" i="5"/>
  <c r="Z818" i="5"/>
  <c r="S818" i="5"/>
  <c r="AA439" i="5"/>
  <c r="O439" i="5"/>
  <c r="R439" i="5"/>
  <c r="AD439" i="5"/>
  <c r="AA621" i="5"/>
  <c r="O621" i="5"/>
  <c r="Z621" i="5"/>
  <c r="S621" i="5"/>
  <c r="Z767" i="5"/>
  <c r="S767" i="5"/>
  <c r="AA926" i="5"/>
  <c r="AA501" i="5"/>
  <c r="AA951" i="5"/>
  <c r="AA496" i="5"/>
  <c r="AA586" i="5"/>
  <c r="Z119" i="5"/>
  <c r="S119" i="5"/>
  <c r="AD281" i="5"/>
  <c r="Z750" i="5"/>
  <c r="S750" i="5"/>
  <c r="AD502" i="5"/>
  <c r="Z829" i="5"/>
  <c r="Y829" i="5" s="1"/>
  <c r="S829" i="5"/>
  <c r="AD629" i="5"/>
  <c r="M445" i="5"/>
  <c r="I445" i="5" s="1"/>
  <c r="Z445" i="5"/>
  <c r="Y445" i="5" s="1"/>
  <c r="S445" i="5"/>
  <c r="AD203" i="5"/>
  <c r="Z223" i="5"/>
  <c r="S223" i="5"/>
  <c r="M223" i="5"/>
  <c r="I223" i="5" s="1"/>
  <c r="R535" i="5"/>
  <c r="AD535" i="5"/>
  <c r="W811" i="5"/>
  <c r="Z811" i="5"/>
  <c r="W732" i="5"/>
  <c r="Z732" i="5"/>
  <c r="W365" i="5"/>
  <c r="Z365" i="5"/>
  <c r="W859" i="5"/>
  <c r="Z859" i="5"/>
  <c r="S576" i="5"/>
  <c r="Z576" i="5"/>
  <c r="Y576" i="5" s="1"/>
  <c r="M576" i="5"/>
  <c r="I576" i="5" s="1"/>
  <c r="W902" i="5"/>
  <c r="Z902" i="5"/>
  <c r="Z202" i="5"/>
  <c r="Y202" i="5" s="1"/>
  <c r="M202" i="5"/>
  <c r="I202" i="5" s="1"/>
  <c r="S202" i="5"/>
  <c r="Z842" i="5"/>
  <c r="Y842" i="5" s="1"/>
  <c r="M842" i="5"/>
  <c r="I842" i="5" s="1"/>
  <c r="S842" i="5"/>
  <c r="Z679" i="5"/>
  <c r="S679" i="5"/>
  <c r="Z246" i="5"/>
  <c r="Y246" i="5" s="1"/>
  <c r="M246" i="5"/>
  <c r="I246" i="5" s="1"/>
  <c r="S246" i="5"/>
  <c r="Z626" i="5"/>
  <c r="Y626" i="5" s="1"/>
  <c r="M626" i="5"/>
  <c r="I626" i="5" s="1"/>
  <c r="S626" i="5"/>
  <c r="M909" i="5"/>
  <c r="I909" i="5" s="1"/>
  <c r="Z909" i="5"/>
  <c r="Y909" i="5" s="1"/>
  <c r="S909" i="5"/>
  <c r="Z743" i="5"/>
  <c r="S743" i="5"/>
  <c r="AA613" i="5"/>
  <c r="AA645" i="5"/>
  <c r="AA820" i="5"/>
  <c r="S374" i="5"/>
  <c r="Z374" i="5"/>
  <c r="Y374" i="5" s="1"/>
  <c r="M374" i="5"/>
  <c r="I374" i="5" s="1"/>
  <c r="Z357" i="5"/>
  <c r="Y357" i="5" s="1"/>
  <c r="M357" i="5"/>
  <c r="I357" i="5" s="1"/>
  <c r="S357" i="5"/>
  <c r="Z165" i="5"/>
  <c r="Y165" i="5" s="1"/>
  <c r="M165" i="5"/>
  <c r="I165" i="5" s="1"/>
  <c r="S165" i="5"/>
  <c r="AD927" i="5"/>
  <c r="Z944" i="5"/>
  <c r="S944" i="5"/>
  <c r="Z757" i="5"/>
  <c r="Y757" i="5" s="1"/>
  <c r="M757" i="5"/>
  <c r="I757" i="5" s="1"/>
  <c r="S757" i="5"/>
  <c r="Z179" i="5"/>
  <c r="Y179" i="5" s="1"/>
  <c r="M179" i="5"/>
  <c r="I179" i="5" s="1"/>
  <c r="S179" i="5"/>
  <c r="Z353" i="5"/>
  <c r="Y353" i="5" s="1"/>
  <c r="S353" i="5"/>
  <c r="M353" i="5"/>
  <c r="I353" i="5" s="1"/>
  <c r="S403" i="5"/>
  <c r="Z403" i="5"/>
  <c r="Y403" i="5" s="1"/>
  <c r="M403" i="5"/>
  <c r="I403" i="5" s="1"/>
  <c r="S317" i="5"/>
  <c r="Z317" i="5"/>
  <c r="Y317" i="5" s="1"/>
  <c r="M317" i="5"/>
  <c r="I317" i="5" s="1"/>
  <c r="S798" i="5"/>
  <c r="Z798" i="5"/>
  <c r="Y798" i="5" s="1"/>
  <c r="M798" i="5"/>
  <c r="I798" i="5" s="1"/>
  <c r="S878" i="5"/>
  <c r="Z878" i="5"/>
  <c r="Y878" i="5" s="1"/>
  <c r="M878" i="5"/>
  <c r="I878" i="5" s="1"/>
  <c r="Z754" i="5"/>
  <c r="S754" i="5"/>
  <c r="AD943" i="5"/>
  <c r="S253" i="5"/>
  <c r="Z253" i="5"/>
  <c r="S807" i="5"/>
  <c r="Z807" i="5"/>
  <c r="Y807" i="5" s="1"/>
  <c r="M807" i="5"/>
  <c r="I807" i="5" s="1"/>
  <c r="S533" i="5"/>
  <c r="Z533" i="5"/>
  <c r="Y533" i="5" s="1"/>
  <c r="M533" i="5"/>
  <c r="I533" i="5" s="1"/>
  <c r="S450" i="5"/>
  <c r="Z450" i="5"/>
  <c r="Y450" i="5" s="1"/>
  <c r="M450" i="5"/>
  <c r="I450" i="5" s="1"/>
  <c r="S588" i="5"/>
  <c r="Z588" i="5"/>
  <c r="Y588" i="5" s="1"/>
  <c r="M588" i="5"/>
  <c r="I588" i="5" s="1"/>
  <c r="AD977" i="5"/>
  <c r="S560" i="5"/>
  <c r="Z560" i="5"/>
  <c r="Y560" i="5" s="1"/>
  <c r="M560" i="5"/>
  <c r="I560" i="5" s="1"/>
  <c r="AD975" i="5"/>
  <c r="AB834" i="5"/>
  <c r="AB853" i="5"/>
  <c r="M729" i="5"/>
  <c r="I729" i="5" s="1"/>
  <c r="Y756" i="5"/>
  <c r="M678" i="5"/>
  <c r="I678" i="5" s="1"/>
  <c r="Z129" i="5"/>
  <c r="Y129" i="5" s="1"/>
  <c r="S129" i="5"/>
  <c r="M129" i="5"/>
  <c r="I129" i="5" s="1"/>
  <c r="Z803" i="5"/>
  <c r="Y803" i="5" s="1"/>
  <c r="S803" i="5"/>
  <c r="M803" i="5"/>
  <c r="I803" i="5" s="1"/>
  <c r="Z108" i="5"/>
  <c r="Y108" i="5" s="1"/>
  <c r="S108" i="5"/>
  <c r="M108" i="5"/>
  <c r="I108" i="5" s="1"/>
  <c r="Z655" i="5"/>
  <c r="Y655" i="5" s="1"/>
  <c r="S655" i="5"/>
  <c r="M655" i="5"/>
  <c r="I655" i="5" s="1"/>
  <c r="Z637" i="5"/>
  <c r="Y637" i="5" s="1"/>
  <c r="M637" i="5"/>
  <c r="I637" i="5" s="1"/>
  <c r="S637" i="5"/>
  <c r="Z420" i="5"/>
  <c r="Y420" i="5" s="1"/>
  <c r="S420" i="5"/>
  <c r="M420" i="5"/>
  <c r="I420" i="5" s="1"/>
  <c r="Y883" i="5"/>
  <c r="Z332" i="5"/>
  <c r="Y332" i="5" s="1"/>
  <c r="S332" i="5"/>
  <c r="M332" i="5"/>
  <c r="I332" i="5" s="1"/>
  <c r="M787" i="5"/>
  <c r="I787" i="5" s="1"/>
  <c r="Z787" i="5"/>
  <c r="Y787" i="5" s="1"/>
  <c r="S787" i="5"/>
  <c r="S315" i="5"/>
  <c r="Z315" i="5"/>
  <c r="P315" i="5"/>
  <c r="AB315" i="5"/>
  <c r="AA817" i="5"/>
  <c r="O817" i="5"/>
  <c r="AB936" i="5"/>
  <c r="P936" i="5"/>
  <c r="S854" i="5"/>
  <c r="Z854" i="5"/>
  <c r="AA624" i="5"/>
  <c r="O624" i="5"/>
  <c r="AD624" i="5"/>
  <c r="R624" i="5"/>
  <c r="S441" i="5"/>
  <c r="Z441" i="5"/>
  <c r="AD933" i="5"/>
  <c r="R933" i="5"/>
  <c r="Z907" i="5"/>
  <c r="S907" i="5"/>
  <c r="AA772" i="5"/>
  <c r="AD699" i="5"/>
  <c r="R699" i="5"/>
  <c r="AA861" i="5"/>
  <c r="O861" i="5"/>
  <c r="AA767" i="5"/>
  <c r="Z480" i="5"/>
  <c r="S480" i="5"/>
  <c r="AA750" i="5"/>
  <c r="O750" i="5"/>
  <c r="AD215" i="5"/>
  <c r="Z751" i="5"/>
  <c r="S751" i="5"/>
  <c r="AD662" i="5"/>
  <c r="R662" i="5"/>
  <c r="Z636" i="5"/>
  <c r="S636" i="5"/>
  <c r="AD214" i="5"/>
  <c r="AD160" i="5"/>
  <c r="M418" i="5"/>
  <c r="I418" i="5" s="1"/>
  <c r="Z418" i="5"/>
  <c r="S418" i="5"/>
  <c r="AD289" i="5"/>
  <c r="AD906" i="5"/>
  <c r="Z419" i="5"/>
  <c r="S419" i="5"/>
  <c r="M419" i="5"/>
  <c r="I419" i="5" s="1"/>
  <c r="Z113" i="5"/>
  <c r="Y113" i="5" s="1"/>
  <c r="S113" i="5"/>
  <c r="M113" i="5"/>
  <c r="I113" i="5" s="1"/>
  <c r="M167" i="5"/>
  <c r="I167" i="5" s="1"/>
  <c r="Z167" i="5"/>
  <c r="Y167" i="5" s="1"/>
  <c r="S167" i="5"/>
  <c r="Z720" i="5"/>
  <c r="W720" i="5"/>
  <c r="Z617" i="5"/>
  <c r="W617" i="5"/>
  <c r="Z219" i="5"/>
  <c r="W219" i="5"/>
  <c r="Z239" i="5"/>
  <c r="W239" i="5"/>
  <c r="Z783" i="5"/>
  <c r="Y783" i="5" s="1"/>
  <c r="S783" i="5"/>
  <c r="M783" i="5"/>
  <c r="I783" i="5" s="1"/>
  <c r="Z475" i="5"/>
  <c r="Y475" i="5" s="1"/>
  <c r="S475" i="5"/>
  <c r="M475" i="5"/>
  <c r="I475" i="5" s="1"/>
  <c r="Z313" i="5"/>
  <c r="Y313" i="5" s="1"/>
  <c r="M313" i="5"/>
  <c r="I313" i="5" s="1"/>
  <c r="S313" i="5"/>
  <c r="Z764" i="5"/>
  <c r="Y764" i="5" s="1"/>
  <c r="M764" i="5"/>
  <c r="I764" i="5" s="1"/>
  <c r="S764" i="5"/>
  <c r="Z448" i="5"/>
  <c r="Y448" i="5" s="1"/>
  <c r="M448" i="5"/>
  <c r="I448" i="5" s="1"/>
  <c r="S448" i="5"/>
  <c r="Z375" i="5"/>
  <c r="Y375" i="5" s="1"/>
  <c r="S375" i="5"/>
  <c r="M476" i="5"/>
  <c r="I476" i="5" s="1"/>
  <c r="Z476" i="5"/>
  <c r="Y476" i="5" s="1"/>
  <c r="S476" i="5"/>
  <c r="M666" i="5"/>
  <c r="I666" i="5" s="1"/>
  <c r="Z666" i="5"/>
  <c r="Y666" i="5" s="1"/>
  <c r="S666" i="5"/>
  <c r="AA953" i="5"/>
  <c r="AA458" i="5"/>
  <c r="O458" i="5"/>
  <c r="AA716" i="5"/>
  <c r="AD341" i="5"/>
  <c r="Z892" i="5"/>
  <c r="S892" i="5"/>
  <c r="AD884" i="5"/>
  <c r="S470" i="5"/>
  <c r="Z470" i="5"/>
  <c r="Y470" i="5" s="1"/>
  <c r="M470" i="5"/>
  <c r="I470" i="5" s="1"/>
  <c r="S402" i="5"/>
  <c r="Z402" i="5"/>
  <c r="Y402" i="5" s="1"/>
  <c r="M402" i="5"/>
  <c r="I402" i="5" s="1"/>
  <c r="Z950" i="5"/>
  <c r="S950" i="5"/>
  <c r="AD891" i="5"/>
  <c r="S536" i="5"/>
  <c r="Z536" i="5"/>
  <c r="Y536" i="5" s="1"/>
  <c r="M536" i="5"/>
  <c r="I536" i="5" s="1"/>
  <c r="S127" i="5"/>
  <c r="Z127" i="5"/>
  <c r="Y127" i="5" s="1"/>
  <c r="M127" i="5"/>
  <c r="I127" i="5" s="1"/>
  <c r="S138" i="5"/>
  <c r="Z138" i="5"/>
  <c r="Y138" i="5" s="1"/>
  <c r="M138" i="5"/>
  <c r="I138" i="5" s="1"/>
  <c r="Z954" i="5"/>
  <c r="Y954" i="5" s="1"/>
  <c r="S954" i="5"/>
  <c r="M954" i="5"/>
  <c r="I954" i="5" s="1"/>
  <c r="Z816" i="5"/>
  <c r="Y816" i="5" s="1"/>
  <c r="S816" i="5"/>
  <c r="M816" i="5"/>
  <c r="I816" i="5" s="1"/>
  <c r="AD601" i="5"/>
  <c r="S693" i="5"/>
  <c r="Z693" i="5"/>
  <c r="Y693" i="5" s="1"/>
  <c r="M693" i="5"/>
  <c r="I693" i="5" s="1"/>
  <c r="S595" i="5"/>
  <c r="Z595" i="5"/>
  <c r="Y595" i="5" s="1"/>
  <c r="M595" i="5"/>
  <c r="I595" i="5" s="1"/>
  <c r="M397" i="5"/>
  <c r="I397" i="5" s="1"/>
  <c r="Z143" i="5"/>
  <c r="Y143" i="5" s="1"/>
  <c r="S143" i="5"/>
  <c r="M143" i="5"/>
  <c r="I143" i="5" s="1"/>
  <c r="Y432" i="5" l="1"/>
  <c r="Y680" i="5"/>
  <c r="Y950" i="5"/>
  <c r="Y101" i="5"/>
  <c r="Y173" i="5"/>
  <c r="Y330" i="5"/>
  <c r="Y418" i="5"/>
  <c r="Y363" i="5"/>
  <c r="Y543" i="5"/>
  <c r="Y182" i="5"/>
  <c r="Y490" i="5"/>
  <c r="Y128" i="5"/>
  <c r="Y152" i="5"/>
  <c r="Y207" i="5"/>
  <c r="Y132" i="5"/>
  <c r="Y183" i="5"/>
  <c r="Y287" i="5"/>
  <c r="Y284" i="5"/>
  <c r="S769" i="5"/>
  <c r="Q769" i="5"/>
  <c r="M769" i="5" s="1"/>
  <c r="I769" i="5" s="1"/>
  <c r="S430" i="5"/>
  <c r="Q430" i="5"/>
  <c r="M430" i="5" s="1"/>
  <c r="I430" i="5" s="1"/>
  <c r="S358" i="5"/>
  <c r="Q358" i="5"/>
  <c r="M358" i="5" s="1"/>
  <c r="I358" i="5" s="1"/>
  <c r="S591" i="5"/>
  <c r="Q591" i="5"/>
  <c r="M591" i="5" s="1"/>
  <c r="I591" i="5" s="1"/>
  <c r="S875" i="5"/>
  <c r="Q875" i="5"/>
  <c r="M875" i="5" s="1"/>
  <c r="I875" i="5" s="1"/>
  <c r="S523" i="5"/>
  <c r="Q523" i="5"/>
  <c r="M523" i="5" s="1"/>
  <c r="I523" i="5" s="1"/>
  <c r="S365" i="5"/>
  <c r="Q365" i="5"/>
  <c r="S811" i="5"/>
  <c r="Q811" i="5"/>
  <c r="M811" i="5" s="1"/>
  <c r="I811" i="5" s="1"/>
  <c r="S797" i="5"/>
  <c r="Q797" i="5"/>
  <c r="M797" i="5" s="1"/>
  <c r="I797" i="5" s="1"/>
  <c r="S350" i="5"/>
  <c r="Q350" i="5"/>
  <c r="M350" i="5" s="1"/>
  <c r="I350" i="5" s="1"/>
  <c r="S733" i="5"/>
  <c r="Q733" i="5"/>
  <c r="M733" i="5" s="1"/>
  <c r="I733" i="5" s="1"/>
  <c r="S436" i="5"/>
  <c r="Q436" i="5"/>
  <c r="M436" i="5" s="1"/>
  <c r="I436" i="5" s="1"/>
  <c r="S120" i="5"/>
  <c r="Q120" i="5"/>
  <c r="S770" i="5"/>
  <c r="Q770" i="5"/>
  <c r="M770" i="5" s="1"/>
  <c r="I770" i="5" s="1"/>
  <c r="S700" i="5"/>
  <c r="Q700" i="5"/>
  <c r="M700" i="5" s="1"/>
  <c r="I700" i="5" s="1"/>
  <c r="S123" i="5"/>
  <c r="Q123" i="5"/>
  <c r="M123" i="5" s="1"/>
  <c r="I123" i="5" s="1"/>
  <c r="S400" i="5"/>
  <c r="Q400" i="5"/>
  <c r="M400" i="5" s="1"/>
  <c r="I400" i="5" s="1"/>
  <c r="S348" i="5"/>
  <c r="Q348" i="5"/>
  <c r="M348" i="5" s="1"/>
  <c r="I348" i="5" s="1"/>
  <c r="S659" i="5"/>
  <c r="Q659" i="5"/>
  <c r="M659" i="5" s="1"/>
  <c r="I659" i="5" s="1"/>
  <c r="S159" i="5"/>
  <c r="Q159" i="5"/>
  <c r="M159" i="5" s="1"/>
  <c r="I159" i="5" s="1"/>
  <c r="S267" i="5"/>
  <c r="Q267" i="5"/>
  <c r="M267" i="5" s="1"/>
  <c r="I267" i="5" s="1"/>
  <c r="S256" i="5"/>
  <c r="Q256" i="5"/>
  <c r="M256" i="5" s="1"/>
  <c r="I256" i="5" s="1"/>
  <c r="S434" i="5"/>
  <c r="Q434" i="5"/>
  <c r="S905" i="5"/>
  <c r="Q905" i="5"/>
  <c r="M905" i="5" s="1"/>
  <c r="I905" i="5" s="1"/>
  <c r="S174" i="5"/>
  <c r="Q174" i="5"/>
  <c r="M174" i="5" s="1"/>
  <c r="I174" i="5" s="1"/>
  <c r="S771" i="5"/>
  <c r="Q771" i="5"/>
  <c r="M771" i="5" s="1"/>
  <c r="I771" i="5" s="1"/>
  <c r="S175" i="5"/>
  <c r="Q175" i="5"/>
  <c r="M175" i="5" s="1"/>
  <c r="I175" i="5" s="1"/>
  <c r="S739" i="5"/>
  <c r="Q739" i="5"/>
  <c r="M739" i="5" s="1"/>
  <c r="I739" i="5" s="1"/>
  <c r="S351" i="5"/>
  <c r="Q351" i="5"/>
  <c r="M351" i="5" s="1"/>
  <c r="I351" i="5" s="1"/>
  <c r="S812" i="5"/>
  <c r="Q812" i="5"/>
  <c r="M812" i="5" s="1"/>
  <c r="I812" i="5" s="1"/>
  <c r="S556" i="5"/>
  <c r="Q556" i="5"/>
  <c r="M556" i="5" s="1"/>
  <c r="I556" i="5" s="1"/>
  <c r="S308" i="5"/>
  <c r="Q308" i="5"/>
  <c r="M308" i="5" s="1"/>
  <c r="I308" i="5" s="1"/>
  <c r="S446" i="5"/>
  <c r="Q446" i="5"/>
  <c r="M446" i="5" s="1"/>
  <c r="I446" i="5" s="1"/>
  <c r="S672" i="5"/>
  <c r="Q672" i="5"/>
  <c r="M672" i="5" s="1"/>
  <c r="I672" i="5" s="1"/>
  <c r="S140" i="5"/>
  <c r="Q140" i="5"/>
  <c r="M140" i="5" s="1"/>
  <c r="I140" i="5" s="1"/>
  <c r="S346" i="5"/>
  <c r="Q346" i="5"/>
  <c r="M346" i="5" s="1"/>
  <c r="I346" i="5" s="1"/>
  <c r="S617" i="5"/>
  <c r="Q617" i="5"/>
  <c r="S902" i="5"/>
  <c r="Q902" i="5"/>
  <c r="M902" i="5" s="1"/>
  <c r="I902" i="5" s="1"/>
  <c r="S734" i="5"/>
  <c r="Q734" i="5"/>
  <c r="M734" i="5" s="1"/>
  <c r="I734" i="5" s="1"/>
  <c r="S557" i="5"/>
  <c r="Q557" i="5"/>
  <c r="M557" i="5" s="1"/>
  <c r="I557" i="5" s="1"/>
  <c r="S121" i="5"/>
  <c r="Q121" i="5"/>
  <c r="M121" i="5" s="1"/>
  <c r="I121" i="5" s="1"/>
  <c r="S103" i="5"/>
  <c r="Q103" i="5"/>
  <c r="M103" i="5" s="1"/>
  <c r="I103" i="5" s="1"/>
  <c r="S421" i="5"/>
  <c r="Q421" i="5"/>
  <c r="M421" i="5" s="1"/>
  <c r="I421" i="5" s="1"/>
  <c r="S307" i="5"/>
  <c r="Q307" i="5"/>
  <c r="M307" i="5" s="1"/>
  <c r="I307" i="5" s="1"/>
  <c r="S282" i="5"/>
  <c r="Q282" i="5"/>
  <c r="M282" i="5" s="1"/>
  <c r="I282" i="5" s="1"/>
  <c r="S639" i="5"/>
  <c r="Q639" i="5"/>
  <c r="M639" i="5" s="1"/>
  <c r="I639" i="5" s="1"/>
  <c r="S435" i="5"/>
  <c r="Q435" i="5"/>
  <c r="M435" i="5" s="1"/>
  <c r="I435" i="5" s="1"/>
  <c r="S857" i="5"/>
  <c r="Q857" i="5"/>
  <c r="M857" i="5" s="1"/>
  <c r="I857" i="5" s="1"/>
  <c r="S702" i="5"/>
  <c r="Q702" i="5"/>
  <c r="M702" i="5" s="1"/>
  <c r="I702" i="5" s="1"/>
  <c r="S544" i="5"/>
  <c r="Q544" i="5"/>
  <c r="M544" i="5" s="1"/>
  <c r="I544" i="5" s="1"/>
  <c r="S845" i="5"/>
  <c r="Q845" i="5"/>
  <c r="M845" i="5" s="1"/>
  <c r="I845" i="5" s="1"/>
  <c r="S947" i="5"/>
  <c r="Q947" i="5"/>
  <c r="M947" i="5" s="1"/>
  <c r="I947" i="5" s="1"/>
  <c r="S657" i="5"/>
  <c r="Q657" i="5"/>
  <c r="M657" i="5" s="1"/>
  <c r="I657" i="5" s="1"/>
  <c r="S208" i="5"/>
  <c r="Q208" i="5"/>
  <c r="M208" i="5" s="1"/>
  <c r="I208" i="5" s="1"/>
  <c r="S396" i="5"/>
  <c r="Q396" i="5"/>
  <c r="M396" i="5" s="1"/>
  <c r="I396" i="5" s="1"/>
  <c r="S555" i="5"/>
  <c r="Q555" i="5"/>
  <c r="M555" i="5" s="1"/>
  <c r="I555" i="5" s="1"/>
  <c r="S658" i="5"/>
  <c r="Q658" i="5"/>
  <c r="M658" i="5" s="1"/>
  <c r="I658" i="5" s="1"/>
  <c r="S874" i="5"/>
  <c r="Q874" i="5"/>
  <c r="M874" i="5" s="1"/>
  <c r="I874" i="5" s="1"/>
  <c r="S554" i="5"/>
  <c r="Q554" i="5"/>
  <c r="M554" i="5" s="1"/>
  <c r="I554" i="5" s="1"/>
  <c r="S553" i="5"/>
  <c r="Q553" i="5"/>
  <c r="M553" i="5" s="1"/>
  <c r="I553" i="5" s="1"/>
  <c r="S228" i="5"/>
  <c r="Q228" i="5"/>
  <c r="M228" i="5" s="1"/>
  <c r="I228" i="5" s="1"/>
  <c r="S285" i="5"/>
  <c r="Q285" i="5"/>
  <c r="M285" i="5" s="1"/>
  <c r="I285" i="5" s="1"/>
  <c r="S738" i="5"/>
  <c r="Q738" i="5"/>
  <c r="S548" i="5"/>
  <c r="Q548" i="5"/>
  <c r="M548" i="5" s="1"/>
  <c r="I548" i="5" s="1"/>
  <c r="S429" i="5"/>
  <c r="Q429" i="5"/>
  <c r="M429" i="5" s="1"/>
  <c r="I429" i="5" s="1"/>
  <c r="S239" i="5"/>
  <c r="Q239" i="5"/>
  <c r="M239" i="5" s="1"/>
  <c r="I239" i="5" s="1"/>
  <c r="S219" i="5"/>
  <c r="Q219" i="5"/>
  <c r="M219" i="5" s="1"/>
  <c r="I219" i="5" s="1"/>
  <c r="S720" i="5"/>
  <c r="Q720" i="5"/>
  <c r="M720" i="5" s="1"/>
  <c r="I720" i="5" s="1"/>
  <c r="S859" i="5"/>
  <c r="Q859" i="5"/>
  <c r="M859" i="5" s="1"/>
  <c r="I859" i="5" s="1"/>
  <c r="S732" i="5"/>
  <c r="Q732" i="5"/>
  <c r="M732" i="5" s="1"/>
  <c r="I732" i="5" s="1"/>
  <c r="S260" i="5"/>
  <c r="Q260" i="5"/>
  <c r="M260" i="5" s="1"/>
  <c r="I260" i="5" s="1"/>
  <c r="S522" i="5"/>
  <c r="Q522" i="5"/>
  <c r="M522" i="5" s="1"/>
  <c r="I522" i="5" s="1"/>
  <c r="S737" i="5"/>
  <c r="Q737" i="5"/>
  <c r="M737" i="5" s="1"/>
  <c r="I737" i="5" s="1"/>
  <c r="S237" i="5"/>
  <c r="Q237" i="5"/>
  <c r="M237" i="5" s="1"/>
  <c r="I237" i="5" s="1"/>
  <c r="S255" i="5"/>
  <c r="Q255" i="5"/>
  <c r="M255" i="5" s="1"/>
  <c r="I255" i="5" s="1"/>
  <c r="S858" i="5"/>
  <c r="Q858" i="5"/>
  <c r="M858" i="5" s="1"/>
  <c r="I858" i="5" s="1"/>
  <c r="S306" i="5"/>
  <c r="Q306" i="5"/>
  <c r="M306" i="5" s="1"/>
  <c r="I306" i="5" s="1"/>
  <c r="S638" i="5"/>
  <c r="Q638" i="5"/>
  <c r="M638" i="5" s="1"/>
  <c r="I638" i="5" s="1"/>
  <c r="S795" i="5"/>
  <c r="Q795" i="5"/>
  <c r="M795" i="5" s="1"/>
  <c r="I795" i="5" s="1"/>
  <c r="S136" i="5"/>
  <c r="Q136" i="5"/>
  <c r="M136" i="5" s="1"/>
  <c r="I136" i="5" s="1"/>
  <c r="S545" i="5"/>
  <c r="Q545" i="5"/>
  <c r="M545" i="5" s="1"/>
  <c r="I545" i="5" s="1"/>
  <c r="S487" i="5"/>
  <c r="Q487" i="5"/>
  <c r="M487" i="5" s="1"/>
  <c r="I487" i="5" s="1"/>
  <c r="S904" i="5"/>
  <c r="Q904" i="5"/>
  <c r="M904" i="5" s="1"/>
  <c r="I904" i="5" s="1"/>
  <c r="S199" i="5"/>
  <c r="Q199" i="5"/>
  <c r="M199" i="5" s="1"/>
  <c r="I199" i="5" s="1"/>
  <c r="S725" i="5"/>
  <c r="Q725" i="5"/>
  <c r="M725" i="5" s="1"/>
  <c r="I725" i="5" s="1"/>
  <c r="S286" i="5"/>
  <c r="Q286" i="5"/>
  <c r="M286" i="5" s="1"/>
  <c r="I286" i="5" s="1"/>
  <c r="S876" i="5"/>
  <c r="Q876" i="5"/>
  <c r="M876" i="5" s="1"/>
  <c r="I876" i="5" s="1"/>
  <c r="S347" i="5"/>
  <c r="Q347" i="5"/>
  <c r="M347" i="5" s="1"/>
  <c r="I347" i="5" s="1"/>
  <c r="S367" i="5"/>
  <c r="Q367" i="5"/>
  <c r="M367" i="5" s="1"/>
  <c r="I367" i="5" s="1"/>
  <c r="S158" i="5"/>
  <c r="Q158" i="5"/>
  <c r="M158" i="5" s="1"/>
  <c r="I158" i="5" s="1"/>
  <c r="S254" i="5"/>
  <c r="Q254" i="5"/>
  <c r="M254" i="5" s="1"/>
  <c r="I254" i="5" s="1"/>
  <c r="S275" i="5"/>
  <c r="Q275" i="5"/>
  <c r="M275" i="5" s="1"/>
  <c r="I275" i="5" s="1"/>
  <c r="S366" i="5"/>
  <c r="Q366" i="5"/>
  <c r="M366" i="5" s="1"/>
  <c r="I366" i="5" s="1"/>
  <c r="S478" i="5"/>
  <c r="Q478" i="5"/>
  <c r="M478" i="5" s="1"/>
  <c r="I478" i="5" s="1"/>
  <c r="S276" i="5"/>
  <c r="Q276" i="5"/>
  <c r="M276" i="5" s="1"/>
  <c r="I276" i="5" s="1"/>
  <c r="S810" i="5"/>
  <c r="Q810" i="5"/>
  <c r="M810" i="5" s="1"/>
  <c r="I810" i="5" s="1"/>
  <c r="M642" i="5"/>
  <c r="I642" i="5" s="1"/>
  <c r="M242" i="5"/>
  <c r="I242" i="5" s="1"/>
  <c r="M583" i="5"/>
  <c r="I583" i="5" s="1"/>
  <c r="M287" i="5"/>
  <c r="I287" i="5" s="1"/>
  <c r="M813" i="5"/>
  <c r="I813" i="5" s="1"/>
  <c r="M944" i="5"/>
  <c r="I944" i="5" s="1"/>
  <c r="M949" i="5"/>
  <c r="I949" i="5" s="1"/>
  <c r="M636" i="5"/>
  <c r="I636" i="5" s="1"/>
  <c r="Y611" i="5"/>
  <c r="Y754" i="5"/>
  <c r="M284" i="5"/>
  <c r="I284" i="5" s="1"/>
  <c r="Y949" i="5"/>
  <c r="M785" i="5"/>
  <c r="I785" i="5" s="1"/>
  <c r="Y819" i="5"/>
  <c r="Y223" i="5"/>
  <c r="M186" i="5"/>
  <c r="I186" i="5" s="1"/>
  <c r="M690" i="5"/>
  <c r="I690" i="5" s="1"/>
  <c r="Y134" i="5"/>
  <c r="Y963" i="5"/>
  <c r="Y785" i="5"/>
  <c r="M814" i="5"/>
  <c r="I814" i="5" s="1"/>
  <c r="Y899" i="5"/>
  <c r="Y818" i="5"/>
  <c r="Y854" i="5"/>
  <c r="M679" i="5"/>
  <c r="I679" i="5" s="1"/>
  <c r="M829" i="5"/>
  <c r="I829" i="5" s="1"/>
  <c r="Y957" i="5"/>
  <c r="Y186" i="5"/>
  <c r="Y135" i="5"/>
  <c r="Y392" i="5"/>
  <c r="Y110" i="5"/>
  <c r="M892" i="5"/>
  <c r="I892" i="5" s="1"/>
  <c r="M754" i="5"/>
  <c r="I754" i="5" s="1"/>
  <c r="Y835" i="5"/>
  <c r="Y916" i="5"/>
  <c r="Y907" i="5"/>
  <c r="Y969" i="5"/>
  <c r="Y836" i="5"/>
  <c r="Y892" i="5"/>
  <c r="Y587" i="5"/>
  <c r="Y973" i="5"/>
  <c r="Y852" i="5"/>
  <c r="Y419" i="5"/>
  <c r="Y642" i="5"/>
  <c r="Y404" i="5"/>
  <c r="M480" i="5"/>
  <c r="I480" i="5" s="1"/>
  <c r="M970" i="5"/>
  <c r="I970" i="5" s="1"/>
  <c r="M964" i="5"/>
  <c r="I964" i="5" s="1"/>
  <c r="M899" i="5"/>
  <c r="I899" i="5" s="1"/>
  <c r="M957" i="5"/>
  <c r="I957" i="5" s="1"/>
  <c r="M392" i="5"/>
  <c r="I392" i="5" s="1"/>
  <c r="M963" i="5"/>
  <c r="I963" i="5" s="1"/>
  <c r="M751" i="5"/>
  <c r="I751" i="5" s="1"/>
  <c r="M101" i="5"/>
  <c r="I101" i="5" s="1"/>
  <c r="M852" i="5"/>
  <c r="I852" i="5" s="1"/>
  <c r="M119" i="5"/>
  <c r="I119" i="5" s="1"/>
  <c r="M818" i="5"/>
  <c r="I818" i="5" s="1"/>
  <c r="M920" i="5"/>
  <c r="I920" i="5" s="1"/>
  <c r="M183" i="5"/>
  <c r="I183" i="5" s="1"/>
  <c r="M950" i="5"/>
  <c r="I950" i="5" s="1"/>
  <c r="M441" i="5"/>
  <c r="I441" i="5" s="1"/>
  <c r="M743" i="5"/>
  <c r="I743" i="5" s="1"/>
  <c r="M819" i="5"/>
  <c r="I819" i="5" s="1"/>
  <c r="M773" i="5"/>
  <c r="I773" i="5" s="1"/>
  <c r="M836" i="5"/>
  <c r="I836" i="5" s="1"/>
  <c r="M291" i="5"/>
  <c r="I291" i="5" s="1"/>
  <c r="M265" i="5"/>
  <c r="I265" i="5" s="1"/>
  <c r="Y900" i="5"/>
  <c r="Y253" i="5"/>
  <c r="Y312" i="5"/>
  <c r="Y243" i="5"/>
  <c r="Y932" i="5"/>
  <c r="Y944" i="5"/>
  <c r="Y679" i="5"/>
  <c r="M919" i="5"/>
  <c r="I919" i="5" s="1"/>
  <c r="M611" i="5"/>
  <c r="I611" i="5" s="1"/>
  <c r="Y773" i="5"/>
  <c r="M182" i="5"/>
  <c r="I182" i="5" s="1"/>
  <c r="Y636" i="5"/>
  <c r="Y480" i="5"/>
  <c r="M835" i="5"/>
  <c r="I835" i="5" s="1"/>
  <c r="Y583" i="5"/>
  <c r="M312" i="5"/>
  <c r="I312" i="5" s="1"/>
  <c r="M135" i="5"/>
  <c r="I135" i="5" s="1"/>
  <c r="Y291" i="5"/>
  <c r="Y584" i="5"/>
  <c r="M253" i="5"/>
  <c r="I253" i="5" s="1"/>
  <c r="M863" i="5"/>
  <c r="I863" i="5" s="1"/>
  <c r="Y714" i="5"/>
  <c r="Y838" i="5"/>
  <c r="M132" i="5"/>
  <c r="I132" i="5" s="1"/>
  <c r="Y242" i="5"/>
  <c r="Y966" i="5"/>
  <c r="M932" i="5"/>
  <c r="I932" i="5" s="1"/>
  <c r="Y682" i="5"/>
  <c r="M839" i="5"/>
  <c r="I839" i="5" s="1"/>
  <c r="Y265" i="5"/>
  <c r="Y382" i="5"/>
  <c r="M854" i="5"/>
  <c r="I854" i="5" s="1"/>
  <c r="M907" i="5"/>
  <c r="I907" i="5" s="1"/>
  <c r="M315" i="5"/>
  <c r="I315" i="5" s="1"/>
  <c r="M587" i="5"/>
  <c r="I587" i="5" s="1"/>
  <c r="M585" i="5"/>
  <c r="I585" i="5" s="1"/>
  <c r="M900" i="5"/>
  <c r="I900" i="5" s="1"/>
  <c r="M916" i="5"/>
  <c r="I916" i="5" s="1"/>
  <c r="M750" i="5"/>
  <c r="I750" i="5" s="1"/>
  <c r="M925" i="5"/>
  <c r="I925" i="5" s="1"/>
  <c r="Y574" i="5"/>
  <c r="Y837" i="5"/>
  <c r="Y457" i="5"/>
  <c r="M382" i="5"/>
  <c r="I382" i="5" s="1"/>
  <c r="Y441" i="5"/>
  <c r="Y315" i="5"/>
  <c r="Y743" i="5"/>
  <c r="Y119" i="5"/>
  <c r="Y919" i="5"/>
  <c r="Y970" i="5"/>
  <c r="Y964" i="5"/>
  <c r="Y946" i="5"/>
  <c r="Y518" i="5"/>
  <c r="Y925" i="5"/>
  <c r="M682" i="5"/>
  <c r="I682" i="5" s="1"/>
  <c r="M440" i="5"/>
  <c r="I440" i="5" s="1"/>
  <c r="Y863" i="5"/>
  <c r="M930" i="5"/>
  <c r="I930" i="5" s="1"/>
  <c r="M459" i="5"/>
  <c r="I459" i="5" s="1"/>
  <c r="M714" i="5"/>
  <c r="I714" i="5" s="1"/>
  <c r="M687" i="5"/>
  <c r="I687" i="5" s="1"/>
  <c r="Y971" i="5"/>
  <c r="M491" i="5"/>
  <c r="I491" i="5" s="1"/>
  <c r="Y784" i="5"/>
  <c r="M404" i="5"/>
  <c r="I404" i="5" s="1"/>
  <c r="Y751" i="5"/>
  <c r="Y920" i="5"/>
  <c r="Y482" i="5"/>
  <c r="M243" i="5"/>
  <c r="I243" i="5" s="1"/>
  <c r="Y814" i="5"/>
  <c r="M694" i="5"/>
  <c r="I694" i="5" s="1"/>
  <c r="Y280" i="5"/>
  <c r="Y166" i="5"/>
  <c r="M692" i="5"/>
  <c r="I692" i="5" s="1"/>
  <c r="M713" i="5"/>
  <c r="I713" i="5" s="1"/>
  <c r="M508" i="5"/>
  <c r="I508" i="5" s="1"/>
  <c r="Y960" i="5"/>
  <c r="AC395" i="5"/>
  <c r="Y395" i="5" s="1"/>
  <c r="M903" i="5"/>
  <c r="I903" i="5" s="1"/>
  <c r="AC903" i="5"/>
  <c r="Y903" i="5" s="1"/>
  <c r="AC296" i="5"/>
  <c r="Y296" i="5" s="1"/>
  <c r="M296" i="5"/>
  <c r="I296" i="5" s="1"/>
  <c r="AC283" i="5"/>
  <c r="Y283" i="5" s="1"/>
  <c r="M283" i="5"/>
  <c r="I283" i="5" s="1"/>
  <c r="AC673" i="5"/>
  <c r="Y673" i="5" s="1"/>
  <c r="M673" i="5"/>
  <c r="I673" i="5" s="1"/>
  <c r="Y877" i="5"/>
  <c r="M547" i="5"/>
  <c r="I547" i="5" s="1"/>
  <c r="AC547" i="5"/>
  <c r="Y547" i="5" s="1"/>
  <c r="Y325" i="5"/>
  <c r="M552" i="5"/>
  <c r="I552" i="5" s="1"/>
  <c r="AC552" i="5"/>
  <c r="Y552" i="5" s="1"/>
  <c r="M148" i="5"/>
  <c r="I148" i="5" s="1"/>
  <c r="AC148" i="5"/>
  <c r="Y148" i="5" s="1"/>
  <c r="M479" i="5"/>
  <c r="I479" i="5" s="1"/>
  <c r="AC479" i="5"/>
  <c r="Y479" i="5" s="1"/>
  <c r="M546" i="5"/>
  <c r="I546" i="5" s="1"/>
  <c r="AC546" i="5"/>
  <c r="Y546" i="5" s="1"/>
  <c r="M486" i="5"/>
  <c r="I486" i="5" s="1"/>
  <c r="AC486" i="5"/>
  <c r="Y486" i="5" s="1"/>
  <c r="Y699" i="5"/>
  <c r="AC342" i="5"/>
  <c r="Y342" i="5" s="1"/>
  <c r="M342" i="5"/>
  <c r="I342" i="5" s="1"/>
  <c r="Y341" i="5"/>
  <c r="M147" i="5"/>
  <c r="I147" i="5" s="1"/>
  <c r="AC147" i="5"/>
  <c r="Y147" i="5" s="1"/>
  <c r="M422" i="5"/>
  <c r="I422" i="5" s="1"/>
  <c r="AC422" i="5"/>
  <c r="Y422" i="5" s="1"/>
  <c r="AC485" i="5"/>
  <c r="Y485" i="5" s="1"/>
  <c r="M485" i="5"/>
  <c r="I485" i="5" s="1"/>
  <c r="Y891" i="5"/>
  <c r="M592" i="5"/>
  <c r="I592" i="5" s="1"/>
  <c r="AC592" i="5"/>
  <c r="Y592" i="5" s="1"/>
  <c r="M701" i="5"/>
  <c r="I701" i="5" s="1"/>
  <c r="AC701" i="5"/>
  <c r="Y701" i="5" s="1"/>
  <c r="M796" i="5"/>
  <c r="I796" i="5" s="1"/>
  <c r="AC796" i="5"/>
  <c r="Y796" i="5" s="1"/>
  <c r="M906" i="5"/>
  <c r="I906" i="5" s="1"/>
  <c r="Y289" i="5"/>
  <c r="M215" i="5"/>
  <c r="I215" i="5" s="1"/>
  <c r="M861" i="5"/>
  <c r="I861" i="5" s="1"/>
  <c r="Y943" i="5"/>
  <c r="M535" i="5"/>
  <c r="I535" i="5" s="1"/>
  <c r="M629" i="5"/>
  <c r="I629" i="5" s="1"/>
  <c r="M281" i="5"/>
  <c r="I281" i="5" s="1"/>
  <c r="Y586" i="5"/>
  <c r="M510" i="5"/>
  <c r="I510" i="5" s="1"/>
  <c r="M834" i="5"/>
  <c r="I834" i="5" s="1"/>
  <c r="Y917" i="5"/>
  <c r="M715" i="5"/>
  <c r="I715" i="5" s="1"/>
  <c r="Y931" i="5"/>
  <c r="M185" i="5"/>
  <c r="I185" i="5" s="1"/>
  <c r="Y144" i="5"/>
  <c r="M201" i="5"/>
  <c r="I201" i="5" s="1"/>
  <c r="M578" i="5"/>
  <c r="I578" i="5" s="1"/>
  <c r="AC578" i="5"/>
  <c r="Y578" i="5" s="1"/>
  <c r="M831" i="5"/>
  <c r="I831" i="5" s="1"/>
  <c r="AC238" i="5"/>
  <c r="Y238" i="5" s="1"/>
  <c r="M238" i="5"/>
  <c r="I238" i="5" s="1"/>
  <c r="Y410" i="5"/>
  <c r="M571" i="5"/>
  <c r="I571" i="5" s="1"/>
  <c r="Y573" i="5"/>
  <c r="M612" i="5"/>
  <c r="I612" i="5" s="1"/>
  <c r="AC156" i="5"/>
  <c r="Y156" i="5" s="1"/>
  <c r="M156" i="5"/>
  <c r="I156" i="5" s="1"/>
  <c r="AC671" i="5"/>
  <c r="Y671" i="5" s="1"/>
  <c r="M671" i="5"/>
  <c r="I671" i="5" s="1"/>
  <c r="M623" i="5"/>
  <c r="I623" i="5" s="1"/>
  <c r="M684" i="5"/>
  <c r="I684" i="5" s="1"/>
  <c r="M601" i="5"/>
  <c r="I601" i="5" s="1"/>
  <c r="Y884" i="5"/>
  <c r="M716" i="5"/>
  <c r="I716" i="5" s="1"/>
  <c r="Y424" i="5"/>
  <c r="Y509" i="5"/>
  <c r="Y683" i="5"/>
  <c r="Y768" i="5"/>
  <c r="M927" i="5"/>
  <c r="I927" i="5" s="1"/>
  <c r="Y645" i="5"/>
  <c r="M456" i="5"/>
  <c r="I456" i="5" s="1"/>
  <c r="M170" i="5"/>
  <c r="I170" i="5" s="1"/>
  <c r="Y652" i="5"/>
  <c r="M862" i="5"/>
  <c r="I862" i="5" s="1"/>
  <c r="M266" i="5"/>
  <c r="I266" i="5" s="1"/>
  <c r="M622" i="5"/>
  <c r="I622" i="5" s="1"/>
  <c r="Y352" i="5"/>
  <c r="M959" i="5"/>
  <c r="I959" i="5" s="1"/>
  <c r="Y610" i="5"/>
  <c r="M844" i="5"/>
  <c r="I844" i="5" s="1"/>
  <c r="Y414" i="5"/>
  <c r="AC297" i="5"/>
  <c r="Y297" i="5" s="1"/>
  <c r="M297" i="5"/>
  <c r="I297" i="5" s="1"/>
  <c r="AC409" i="5"/>
  <c r="Y409" i="5" s="1"/>
  <c r="M409" i="5"/>
  <c r="I409" i="5" s="1"/>
  <c r="M177" i="5"/>
  <c r="I177" i="5" s="1"/>
  <c r="Y974" i="5"/>
  <c r="Y886" i="5"/>
  <c r="Y951" i="5"/>
  <c r="Y681" i="5"/>
  <c r="Y821" i="5"/>
  <c r="AC384" i="5"/>
  <c r="Y384" i="5" s="1"/>
  <c r="M384" i="5"/>
  <c r="I384" i="5" s="1"/>
  <c r="M908" i="5"/>
  <c r="I908" i="5" s="1"/>
  <c r="M719" i="5"/>
  <c r="I719" i="5" s="1"/>
  <c r="AC719" i="5"/>
  <c r="Y719" i="5" s="1"/>
  <c r="AC859" i="5"/>
  <c r="Y859" i="5" s="1"/>
  <c r="M365" i="5"/>
  <c r="I365" i="5" s="1"/>
  <c r="AC365" i="5"/>
  <c r="Y365" i="5" s="1"/>
  <c r="AC732" i="5"/>
  <c r="Y732" i="5" s="1"/>
  <c r="AC811" i="5"/>
  <c r="Y811" i="5" s="1"/>
  <c r="Y750" i="5"/>
  <c r="M621" i="5"/>
  <c r="I621" i="5" s="1"/>
  <c r="Y674" i="5"/>
  <c r="Y976" i="5"/>
  <c r="M395" i="5"/>
  <c r="I395" i="5" s="1"/>
  <c r="M686" i="5"/>
  <c r="I686" i="5" s="1"/>
  <c r="AC769" i="5"/>
  <c r="Y769" i="5" s="1"/>
  <c r="AC734" i="5"/>
  <c r="Y734" i="5" s="1"/>
  <c r="Y930" i="5"/>
  <c r="AC430" i="5"/>
  <c r="Y430" i="5" s="1"/>
  <c r="M325" i="5"/>
  <c r="I325" i="5" s="1"/>
  <c r="M820" i="5"/>
  <c r="I820" i="5" s="1"/>
  <c r="Y459" i="5"/>
  <c r="Y839" i="5"/>
  <c r="AC557" i="5"/>
  <c r="Y557" i="5" s="1"/>
  <c r="AC553" i="5"/>
  <c r="Y553" i="5" s="1"/>
  <c r="AC121" i="5"/>
  <c r="Y121" i="5" s="1"/>
  <c r="AC358" i="5"/>
  <c r="Y358" i="5" s="1"/>
  <c r="S485" i="5"/>
  <c r="M383" i="5"/>
  <c r="I383" i="5" s="1"/>
  <c r="M891" i="5"/>
  <c r="I891" i="5" s="1"/>
  <c r="Y619" i="5"/>
  <c r="M953" i="5"/>
  <c r="I953" i="5" s="1"/>
  <c r="M289" i="5"/>
  <c r="I289" i="5" s="1"/>
  <c r="Y160" i="5"/>
  <c r="Y214" i="5"/>
  <c r="Y861" i="5"/>
  <c r="M624" i="5"/>
  <c r="I624" i="5" s="1"/>
  <c r="M943" i="5"/>
  <c r="I943" i="5" s="1"/>
  <c r="M203" i="5"/>
  <c r="I203" i="5" s="1"/>
  <c r="Y502" i="5"/>
  <c r="M926" i="5"/>
  <c r="I926" i="5" s="1"/>
  <c r="M439" i="5"/>
  <c r="I439" i="5" s="1"/>
  <c r="Y967" i="5"/>
  <c r="M945" i="5"/>
  <c r="I945" i="5" s="1"/>
  <c r="M495" i="5"/>
  <c r="I495" i="5" s="1"/>
  <c r="M309" i="5"/>
  <c r="I309" i="5" s="1"/>
  <c r="Y200" i="5"/>
  <c r="M301" i="5"/>
  <c r="I301" i="5" s="1"/>
  <c r="Y510" i="5"/>
  <c r="Y687" i="5"/>
  <c r="Y161" i="5"/>
  <c r="Y968" i="5"/>
  <c r="M838" i="5"/>
  <c r="I838" i="5" s="1"/>
  <c r="Y834" i="5"/>
  <c r="Y715" i="5"/>
  <c r="AC702" i="5"/>
  <c r="Y702" i="5" s="1"/>
  <c r="AC140" i="5"/>
  <c r="Y140" i="5" s="1"/>
  <c r="AC544" i="5"/>
  <c r="Y544" i="5" s="1"/>
  <c r="AC548" i="5"/>
  <c r="Y548" i="5" s="1"/>
  <c r="Y728" i="5"/>
  <c r="M837" i="5"/>
  <c r="I837" i="5" s="1"/>
  <c r="M887" i="5"/>
  <c r="I887" i="5" s="1"/>
  <c r="M166" i="5"/>
  <c r="I166" i="5" s="1"/>
  <c r="Y137" i="5"/>
  <c r="M575" i="5"/>
  <c r="I575" i="5" s="1"/>
  <c r="AC845" i="5"/>
  <c r="Y845" i="5" s="1"/>
  <c r="Y491" i="5"/>
  <c r="Y571" i="5"/>
  <c r="M513" i="5"/>
  <c r="I513" i="5" s="1"/>
  <c r="Y612" i="5"/>
  <c r="M584" i="5"/>
  <c r="I584" i="5" s="1"/>
  <c r="Y623" i="5"/>
  <c r="Y684" i="5"/>
  <c r="Y716" i="5"/>
  <c r="M509" i="5"/>
  <c r="I509" i="5" s="1"/>
  <c r="Y231" i="5"/>
  <c r="M977" i="5"/>
  <c r="I977" i="5" s="1"/>
  <c r="Y885" i="5"/>
  <c r="M549" i="5"/>
  <c r="I549" i="5" s="1"/>
  <c r="Y456" i="5"/>
  <c r="Y170" i="5"/>
  <c r="Y677" i="5"/>
  <c r="M321" i="5"/>
  <c r="I321" i="5" s="1"/>
  <c r="M442" i="5"/>
  <c r="I442" i="5" s="1"/>
  <c r="M209" i="5"/>
  <c r="I209" i="5" s="1"/>
  <c r="AC209" i="5"/>
  <c r="Y209" i="5" s="1"/>
  <c r="M590" i="5"/>
  <c r="I590" i="5" s="1"/>
  <c r="AC590" i="5"/>
  <c r="Y590" i="5" s="1"/>
  <c r="Y225" i="5"/>
  <c r="Y622" i="5"/>
  <c r="Y843" i="5"/>
  <c r="Y713" i="5"/>
  <c r="M772" i="5"/>
  <c r="I772" i="5" s="1"/>
  <c r="Y844" i="5"/>
  <c r="M960" i="5"/>
  <c r="I960" i="5" s="1"/>
  <c r="M974" i="5"/>
  <c r="I974" i="5" s="1"/>
  <c r="M886" i="5"/>
  <c r="I886" i="5" s="1"/>
  <c r="Y730" i="5"/>
  <c r="M205" i="5"/>
  <c r="I205" i="5" s="1"/>
  <c r="M433" i="5"/>
  <c r="I433" i="5" s="1"/>
  <c r="Y344" i="5"/>
  <c r="Y908" i="5"/>
  <c r="AC902" i="5"/>
  <c r="Y902" i="5" s="1"/>
  <c r="M767" i="5"/>
  <c r="I767" i="5" s="1"/>
  <c r="Y621" i="5"/>
  <c r="M674" i="5"/>
  <c r="I674" i="5" s="1"/>
  <c r="S395" i="5"/>
  <c r="S719" i="5"/>
  <c r="Y686" i="5"/>
  <c r="Y585" i="5"/>
  <c r="Y349" i="5"/>
  <c r="M662" i="5"/>
  <c r="I662" i="5" s="1"/>
  <c r="Y694" i="5"/>
  <c r="M828" i="5"/>
  <c r="I828" i="5" s="1"/>
  <c r="Y820" i="5"/>
  <c r="M401" i="5"/>
  <c r="I401" i="5" s="1"/>
  <c r="AC638" i="5"/>
  <c r="Y638" i="5" s="1"/>
  <c r="M518" i="5"/>
  <c r="I518" i="5" s="1"/>
  <c r="Y383" i="5"/>
  <c r="M853" i="5"/>
  <c r="I853" i="5" s="1"/>
  <c r="M458" i="5"/>
  <c r="I458" i="5" s="1"/>
  <c r="Y953" i="5"/>
  <c r="AC103" i="5"/>
  <c r="Y103" i="5" s="1"/>
  <c r="AC228" i="5"/>
  <c r="Y228" i="5" s="1"/>
  <c r="AC421" i="5"/>
  <c r="Y421" i="5" s="1"/>
  <c r="AC446" i="5"/>
  <c r="Y446" i="5" s="1"/>
  <c r="AC307" i="5"/>
  <c r="Y307" i="5" s="1"/>
  <c r="Y906" i="5"/>
  <c r="M160" i="5"/>
  <c r="I160" i="5" s="1"/>
  <c r="Y624" i="5"/>
  <c r="M817" i="5"/>
  <c r="I817" i="5" s="1"/>
  <c r="Y975" i="5"/>
  <c r="M613" i="5"/>
  <c r="I613" i="5" s="1"/>
  <c r="AC700" i="5"/>
  <c r="Y700" i="5" s="1"/>
  <c r="AC795" i="5"/>
  <c r="Y795" i="5" s="1"/>
  <c r="AC123" i="5"/>
  <c r="Y123" i="5" s="1"/>
  <c r="AC136" i="5"/>
  <c r="Y136" i="5" s="1"/>
  <c r="AC400" i="5"/>
  <c r="Y400" i="5" s="1"/>
  <c r="AC545" i="5"/>
  <c r="Y545" i="5" s="1"/>
  <c r="AC348" i="5"/>
  <c r="Y348" i="5" s="1"/>
  <c r="AC487" i="5"/>
  <c r="Y487" i="5" s="1"/>
  <c r="AC659" i="5"/>
  <c r="Y659" i="5" s="1"/>
  <c r="Y535" i="5"/>
  <c r="M501" i="5"/>
  <c r="I501" i="5" s="1"/>
  <c r="Y926" i="5"/>
  <c r="Y439" i="5"/>
  <c r="M967" i="5"/>
  <c r="I967" i="5" s="1"/>
  <c r="Y495" i="5"/>
  <c r="AC904" i="5"/>
  <c r="Y904" i="5" s="1"/>
  <c r="AC159" i="5"/>
  <c r="Y159" i="5" s="1"/>
  <c r="AC199" i="5"/>
  <c r="Y199" i="5" s="1"/>
  <c r="AC267" i="5"/>
  <c r="Y267" i="5" s="1"/>
  <c r="AC725" i="5"/>
  <c r="Y725" i="5" s="1"/>
  <c r="AC256" i="5"/>
  <c r="Y256" i="5" s="1"/>
  <c r="M200" i="5"/>
  <c r="I200" i="5" s="1"/>
  <c r="M827" i="5"/>
  <c r="I827" i="5" s="1"/>
  <c r="M161" i="5"/>
  <c r="I161" i="5" s="1"/>
  <c r="M968" i="5"/>
  <c r="I968" i="5" s="1"/>
  <c r="AC286" i="5"/>
  <c r="Y286" i="5" s="1"/>
  <c r="AC434" i="5"/>
  <c r="Y434" i="5" s="1"/>
  <c r="M434" i="5"/>
  <c r="I434" i="5" s="1"/>
  <c r="Y185" i="5"/>
  <c r="M144" i="5"/>
  <c r="I144" i="5" s="1"/>
  <c r="M572" i="5"/>
  <c r="I572" i="5" s="1"/>
  <c r="M728" i="5"/>
  <c r="I728" i="5" s="1"/>
  <c r="M833" i="5"/>
  <c r="I833" i="5" s="1"/>
  <c r="S578" i="5"/>
  <c r="M568" i="5"/>
  <c r="I568" i="5" s="1"/>
  <c r="Y831" i="5"/>
  <c r="M137" i="5"/>
  <c r="I137" i="5" s="1"/>
  <c r="Y575" i="5"/>
  <c r="M971" i="5"/>
  <c r="I971" i="5" s="1"/>
  <c r="AC876" i="5"/>
  <c r="Y876" i="5" s="1"/>
  <c r="AC174" i="5"/>
  <c r="Y174" i="5" s="1"/>
  <c r="AC347" i="5"/>
  <c r="Y347" i="5" s="1"/>
  <c r="M410" i="5"/>
  <c r="I410" i="5" s="1"/>
  <c r="M496" i="5"/>
  <c r="I496" i="5" s="1"/>
  <c r="Y513" i="5"/>
  <c r="Y508" i="5"/>
  <c r="M370" i="5"/>
  <c r="I370" i="5" s="1"/>
  <c r="Y972" i="5"/>
  <c r="Y601" i="5"/>
  <c r="Y832" i="5"/>
  <c r="M884" i="5"/>
  <c r="I884" i="5" s="1"/>
  <c r="M424" i="5"/>
  <c r="I424" i="5" s="1"/>
  <c r="M231" i="5"/>
  <c r="I231" i="5" s="1"/>
  <c r="M373" i="5"/>
  <c r="I373" i="5" s="1"/>
  <c r="M936" i="5"/>
  <c r="I936" i="5" s="1"/>
  <c r="M685" i="5"/>
  <c r="I685" i="5" s="1"/>
  <c r="M507" i="5"/>
  <c r="I507" i="5" s="1"/>
  <c r="M885" i="5"/>
  <c r="I885" i="5" s="1"/>
  <c r="Y927" i="5"/>
  <c r="Y549" i="5"/>
  <c r="M362" i="5"/>
  <c r="I362" i="5" s="1"/>
  <c r="Y442" i="5"/>
  <c r="Y266" i="5"/>
  <c r="AC658" i="5"/>
  <c r="Y658" i="5" s="1"/>
  <c r="Y959" i="5"/>
  <c r="AC158" i="5"/>
  <c r="Y158" i="5" s="1"/>
  <c r="AC175" i="5"/>
  <c r="Y175" i="5" s="1"/>
  <c r="AC254" i="5"/>
  <c r="Y254" i="5" s="1"/>
  <c r="Y772" i="5"/>
  <c r="M933" i="5"/>
  <c r="I933" i="5" s="1"/>
  <c r="M414" i="5"/>
  <c r="I414" i="5" s="1"/>
  <c r="Y354" i="5"/>
  <c r="Y177" i="5"/>
  <c r="AC478" i="5"/>
  <c r="Y478" i="5" s="1"/>
  <c r="M730" i="5"/>
  <c r="I730" i="5" s="1"/>
  <c r="Y467" i="5"/>
  <c r="Y205" i="5"/>
  <c r="Y691" i="5"/>
  <c r="Y433" i="5"/>
  <c r="M344" i="5"/>
  <c r="I344" i="5" s="1"/>
  <c r="AC260" i="5"/>
  <c r="Y260" i="5" s="1"/>
  <c r="AC522" i="5"/>
  <c r="Y522" i="5" s="1"/>
  <c r="AC239" i="5"/>
  <c r="Y239" i="5" s="1"/>
  <c r="AC219" i="5"/>
  <c r="Y219" i="5" s="1"/>
  <c r="M617" i="5"/>
  <c r="I617" i="5" s="1"/>
  <c r="AC617" i="5"/>
  <c r="Y617" i="5" s="1"/>
  <c r="AC720" i="5"/>
  <c r="Y720" i="5" s="1"/>
  <c r="Y767" i="5"/>
  <c r="S903" i="5"/>
  <c r="M482" i="5"/>
  <c r="I482" i="5" s="1"/>
  <c r="S296" i="5"/>
  <c r="S283" i="5"/>
  <c r="S673" i="5"/>
  <c r="AC737" i="5"/>
  <c r="Y737" i="5" s="1"/>
  <c r="AC797" i="5"/>
  <c r="Y797" i="5" s="1"/>
  <c r="AC237" i="5"/>
  <c r="Y237" i="5" s="1"/>
  <c r="AC350" i="5"/>
  <c r="Y350" i="5" s="1"/>
  <c r="AC255" i="5"/>
  <c r="Y255" i="5" s="1"/>
  <c r="AC733" i="5"/>
  <c r="Y733" i="5" s="1"/>
  <c r="M349" i="5"/>
  <c r="I349" i="5" s="1"/>
  <c r="Y440" i="5"/>
  <c r="Y662" i="5"/>
  <c r="M877" i="5"/>
  <c r="I877" i="5" s="1"/>
  <c r="S547" i="5"/>
  <c r="M280" i="5"/>
  <c r="I280" i="5" s="1"/>
  <c r="Y828" i="5"/>
  <c r="S552" i="5"/>
  <c r="S148" i="5"/>
  <c r="S479" i="5"/>
  <c r="S546" i="5"/>
  <c r="S486" i="5"/>
  <c r="M699" i="5"/>
  <c r="I699" i="5" s="1"/>
  <c r="M966" i="5"/>
  <c r="I966" i="5" s="1"/>
  <c r="S342" i="5"/>
  <c r="AC436" i="5"/>
  <c r="Y436" i="5" s="1"/>
  <c r="AC858" i="5"/>
  <c r="Y858" i="5" s="1"/>
  <c r="AC120" i="5"/>
  <c r="Y120" i="5" s="1"/>
  <c r="M120" i="5"/>
  <c r="I120" i="5" s="1"/>
  <c r="AC306" i="5"/>
  <c r="Y306" i="5" s="1"/>
  <c r="AC770" i="5"/>
  <c r="Y770" i="5" s="1"/>
  <c r="Y401" i="5"/>
  <c r="M341" i="5"/>
  <c r="I341" i="5" s="1"/>
  <c r="S147" i="5"/>
  <c r="S422" i="5"/>
  <c r="M619" i="5"/>
  <c r="I619" i="5" s="1"/>
  <c r="Y853" i="5"/>
  <c r="Y458" i="5"/>
  <c r="S592" i="5"/>
  <c r="S701" i="5"/>
  <c r="S796" i="5"/>
  <c r="M214" i="5"/>
  <c r="I214" i="5" s="1"/>
  <c r="Y215" i="5"/>
  <c r="Y817" i="5"/>
  <c r="M975" i="5"/>
  <c r="I975" i="5" s="1"/>
  <c r="Y613" i="5"/>
  <c r="AC285" i="5"/>
  <c r="Y285" i="5" s="1"/>
  <c r="AC282" i="5"/>
  <c r="Y282" i="5" s="1"/>
  <c r="AC672" i="5"/>
  <c r="Y672" i="5" s="1"/>
  <c r="AC639" i="5"/>
  <c r="Y639" i="5" s="1"/>
  <c r="AC591" i="5"/>
  <c r="Y591" i="5" s="1"/>
  <c r="Y203" i="5"/>
  <c r="Y629" i="5"/>
  <c r="M502" i="5"/>
  <c r="I502" i="5" s="1"/>
  <c r="Y281" i="5"/>
  <c r="Y501" i="5"/>
  <c r="Y945" i="5"/>
  <c r="AC435" i="5"/>
  <c r="Y435" i="5" s="1"/>
  <c r="M738" i="5"/>
  <c r="I738" i="5" s="1"/>
  <c r="AC738" i="5"/>
  <c r="Y738" i="5" s="1"/>
  <c r="AC857" i="5"/>
  <c r="Y857" i="5" s="1"/>
  <c r="Y309" i="5"/>
  <c r="Y301" i="5"/>
  <c r="M586" i="5"/>
  <c r="I586" i="5" s="1"/>
  <c r="Y813" i="5"/>
  <c r="Y827" i="5"/>
  <c r="M917" i="5"/>
  <c r="I917" i="5" s="1"/>
  <c r="M931" i="5"/>
  <c r="I931" i="5" s="1"/>
  <c r="Y201" i="5"/>
  <c r="Y572" i="5"/>
  <c r="M574" i="5"/>
  <c r="I574" i="5" s="1"/>
  <c r="Y887" i="5"/>
  <c r="M457" i="5"/>
  <c r="I457" i="5" s="1"/>
  <c r="Y833" i="5"/>
  <c r="Y692" i="5"/>
  <c r="Y568" i="5"/>
  <c r="AC905" i="5"/>
  <c r="Y905" i="5" s="1"/>
  <c r="S238" i="5"/>
  <c r="M573" i="5"/>
  <c r="I573" i="5" s="1"/>
  <c r="Y496" i="5"/>
  <c r="M784" i="5"/>
  <c r="I784" i="5" s="1"/>
  <c r="S156" i="5"/>
  <c r="S671" i="5"/>
  <c r="AC875" i="5"/>
  <c r="Y875" i="5" s="1"/>
  <c r="AC947" i="5"/>
  <c r="Y947" i="5" s="1"/>
  <c r="AC346" i="5"/>
  <c r="Y346" i="5" s="1"/>
  <c r="AC657" i="5"/>
  <c r="Y657" i="5" s="1"/>
  <c r="M110" i="5"/>
  <c r="I110" i="5" s="1"/>
  <c r="Y370" i="5"/>
  <c r="M972" i="5"/>
  <c r="I972" i="5" s="1"/>
  <c r="M832" i="5"/>
  <c r="I832" i="5" s="1"/>
  <c r="AC208" i="5"/>
  <c r="Y208" i="5" s="1"/>
  <c r="AC429" i="5"/>
  <c r="Y429" i="5" s="1"/>
  <c r="AC396" i="5"/>
  <c r="Y396" i="5" s="1"/>
  <c r="AC523" i="5"/>
  <c r="Y523" i="5" s="1"/>
  <c r="AC555" i="5"/>
  <c r="Y555" i="5" s="1"/>
  <c r="M683" i="5"/>
  <c r="I683" i="5" s="1"/>
  <c r="M768" i="5"/>
  <c r="I768" i="5" s="1"/>
  <c r="Y373" i="5"/>
  <c r="Y936" i="5"/>
  <c r="Y685" i="5"/>
  <c r="Y977" i="5"/>
  <c r="Y507" i="5"/>
  <c r="M645" i="5"/>
  <c r="I645" i="5" s="1"/>
  <c r="Y362" i="5"/>
  <c r="AC367" i="5"/>
  <c r="Y367" i="5" s="1"/>
  <c r="AC771" i="5"/>
  <c r="Y771" i="5" s="1"/>
  <c r="M677" i="5"/>
  <c r="I677" i="5" s="1"/>
  <c r="Y321" i="5"/>
  <c r="M652" i="5"/>
  <c r="I652" i="5" s="1"/>
  <c r="Y862" i="5"/>
  <c r="S209" i="5"/>
  <c r="S590" i="5"/>
  <c r="M225" i="5"/>
  <c r="I225" i="5" s="1"/>
  <c r="M843" i="5"/>
  <c r="I843" i="5" s="1"/>
  <c r="M352" i="5"/>
  <c r="I352" i="5" s="1"/>
  <c r="M610" i="5"/>
  <c r="I610" i="5" s="1"/>
  <c r="AC874" i="5"/>
  <c r="Y874" i="5" s="1"/>
  <c r="Y933" i="5"/>
  <c r="S297" i="5"/>
  <c r="S409" i="5"/>
  <c r="AC739" i="5"/>
  <c r="Y739" i="5" s="1"/>
  <c r="AC275" i="5"/>
  <c r="Y275" i="5" s="1"/>
  <c r="AC351" i="5"/>
  <c r="Y351" i="5" s="1"/>
  <c r="AC366" i="5"/>
  <c r="Y366" i="5" s="1"/>
  <c r="AC812" i="5"/>
  <c r="Y812" i="5" s="1"/>
  <c r="M354" i="5"/>
  <c r="I354" i="5" s="1"/>
  <c r="AC554" i="5"/>
  <c r="Y554" i="5" s="1"/>
  <c r="M467" i="5"/>
  <c r="I467" i="5" s="1"/>
  <c r="M951" i="5"/>
  <c r="I951" i="5" s="1"/>
  <c r="M681" i="5"/>
  <c r="I681" i="5" s="1"/>
  <c r="M691" i="5"/>
  <c r="I691" i="5" s="1"/>
  <c r="M821" i="5"/>
  <c r="I821" i="5" s="1"/>
  <c r="S384" i="5"/>
  <c r="AC556" i="5"/>
  <c r="Y556" i="5" s="1"/>
  <c r="AC276" i="5"/>
  <c r="Y276" i="5" s="1"/>
  <c r="AC308" i="5"/>
  <c r="Y308" i="5" s="1"/>
  <c r="AC810" i="5"/>
  <c r="Y810" i="5" s="1"/>
  <c r="L688" i="5" l="1"/>
  <c r="L364" i="5"/>
  <c r="L653" i="5"/>
  <c r="L525" i="5"/>
  <c r="K632" i="5"/>
  <c r="L468" i="5"/>
  <c r="L950" i="5"/>
  <c r="L812" i="5"/>
  <c r="K812" i="5"/>
  <c r="L739" i="5"/>
  <c r="K739" i="5"/>
  <c r="L947" i="5"/>
  <c r="K947" i="5"/>
  <c r="L237" i="5"/>
  <c r="K237" i="5"/>
  <c r="L256" i="5"/>
  <c r="K256" i="5"/>
  <c r="L267" i="5"/>
  <c r="K267" i="5"/>
  <c r="L228" i="5"/>
  <c r="K228" i="5"/>
  <c r="L556" i="5"/>
  <c r="K556" i="5"/>
  <c r="L554" i="5"/>
  <c r="K554" i="5"/>
  <c r="L429" i="5"/>
  <c r="K429" i="5"/>
  <c r="K708" i="5"/>
  <c r="L366" i="5"/>
  <c r="K366" i="5"/>
  <c r="L275" i="5"/>
  <c r="K275" i="5"/>
  <c r="L771" i="5"/>
  <c r="K771" i="5"/>
  <c r="L346" i="5"/>
  <c r="K346" i="5"/>
  <c r="L875" i="5"/>
  <c r="K875" i="5"/>
  <c r="L733" i="5"/>
  <c r="K733" i="5"/>
  <c r="L350" i="5"/>
  <c r="K350" i="5"/>
  <c r="L797" i="5"/>
  <c r="K797" i="5"/>
  <c r="L478" i="5"/>
  <c r="K478" i="5"/>
  <c r="L658" i="5"/>
  <c r="K658" i="5"/>
  <c r="L725" i="5"/>
  <c r="K725" i="5"/>
  <c r="L199" i="5"/>
  <c r="K199" i="5"/>
  <c r="L904" i="5"/>
  <c r="K904" i="5"/>
  <c r="L307" i="5"/>
  <c r="K307" i="5"/>
  <c r="L421" i="5"/>
  <c r="K421" i="5"/>
  <c r="L103" i="5"/>
  <c r="K103" i="5"/>
  <c r="L663" i="5"/>
  <c r="L810" i="5"/>
  <c r="K810" i="5"/>
  <c r="L276" i="5"/>
  <c r="K276" i="5"/>
  <c r="L555" i="5"/>
  <c r="K555" i="5"/>
  <c r="L396" i="5"/>
  <c r="K396" i="5"/>
  <c r="L208" i="5"/>
  <c r="K208" i="5"/>
  <c r="L150" i="5"/>
  <c r="L155" i="5"/>
  <c r="L894" i="5"/>
  <c r="L100" i="5"/>
  <c r="L313" i="5"/>
  <c r="L678" i="5"/>
  <c r="L679" i="5"/>
  <c r="L735" i="5"/>
  <c r="L149" i="5"/>
  <c r="L230" i="5"/>
  <c r="L883" i="5"/>
  <c r="L217" i="5"/>
  <c r="L173" i="5"/>
  <c r="L226" i="5"/>
  <c r="L704" i="5"/>
  <c r="L802" i="5"/>
  <c r="L511" i="5"/>
  <c r="L234" i="5"/>
  <c r="L84" i="5"/>
  <c r="L112" i="5"/>
  <c r="K206" i="5"/>
  <c r="L630" i="5"/>
  <c r="L490" i="5"/>
  <c r="L86" i="5"/>
  <c r="L649" i="5"/>
  <c r="L284" i="5"/>
  <c r="L183" i="5"/>
  <c r="L648" i="5"/>
  <c r="L355" i="5"/>
  <c r="L79" i="5"/>
  <c r="L731" i="5"/>
  <c r="L330" i="5"/>
  <c r="L493" i="5"/>
  <c r="L928" i="5"/>
  <c r="L124" i="5"/>
  <c r="L94" i="5"/>
  <c r="L801" i="5"/>
  <c r="L106" i="5"/>
  <c r="L646" i="5"/>
  <c r="L466" i="5"/>
  <c r="L463" i="5"/>
  <c r="L189" i="5"/>
  <c r="L614" i="5"/>
  <c r="L246" i="5"/>
  <c r="L397" i="5"/>
  <c r="L636" i="5"/>
  <c r="L655" i="5"/>
  <c r="L445" i="5"/>
  <c r="L146" i="5"/>
  <c r="L819" i="5"/>
  <c r="L93" i="5"/>
  <c r="L794" i="5"/>
  <c r="L115" i="5"/>
  <c r="L338" i="5"/>
  <c r="L85" i="5"/>
  <c r="L543" i="5"/>
  <c r="L126" i="5"/>
  <c r="L851" i="5"/>
  <c r="L651" i="5"/>
  <c r="L300" i="5"/>
  <c r="L279" i="5"/>
  <c r="L241" i="5"/>
  <c r="L415" i="5"/>
  <c r="L206" i="5"/>
  <c r="L477" i="5"/>
  <c r="L608" i="5"/>
  <c r="L111" i="5"/>
  <c r="L576" i="5"/>
  <c r="L534" i="5"/>
  <c r="L145" i="5"/>
  <c r="L897" i="5"/>
  <c r="L278" i="5"/>
  <c r="L98" i="5"/>
  <c r="L291" i="5"/>
  <c r="L593" i="5"/>
  <c r="L762" i="5"/>
  <c r="L329" i="5"/>
  <c r="L141" i="5"/>
  <c r="L298" i="5"/>
  <c r="L194" i="5"/>
  <c r="L345" i="5"/>
  <c r="K955" i="5"/>
  <c r="L905" i="5"/>
  <c r="K905" i="5"/>
  <c r="L738" i="5"/>
  <c r="K738" i="5"/>
  <c r="K639" i="5"/>
  <c r="L639" i="5"/>
  <c r="K282" i="5"/>
  <c r="L282" i="5"/>
  <c r="L306" i="5"/>
  <c r="K306" i="5"/>
  <c r="L858" i="5"/>
  <c r="K858" i="5"/>
  <c r="L720" i="5"/>
  <c r="K720" i="5"/>
  <c r="L219" i="5"/>
  <c r="K219" i="5"/>
  <c r="L522" i="5"/>
  <c r="K522" i="5"/>
  <c r="K704" i="5"/>
  <c r="L254" i="5"/>
  <c r="K254" i="5"/>
  <c r="L158" i="5"/>
  <c r="K158" i="5"/>
  <c r="L428" i="5"/>
  <c r="L174" i="5"/>
  <c r="K174" i="5"/>
  <c r="K434" i="5"/>
  <c r="L434" i="5"/>
  <c r="L487" i="5"/>
  <c r="K487" i="5"/>
  <c r="L545" i="5"/>
  <c r="K545" i="5"/>
  <c r="L136" i="5"/>
  <c r="K136" i="5"/>
  <c r="L795" i="5"/>
  <c r="K795" i="5"/>
  <c r="K638" i="5"/>
  <c r="L638" i="5"/>
  <c r="L902" i="5"/>
  <c r="K902" i="5"/>
  <c r="L351" i="5"/>
  <c r="K351" i="5"/>
  <c r="L367" i="5"/>
  <c r="K367" i="5"/>
  <c r="L657" i="5"/>
  <c r="K657" i="5"/>
  <c r="L255" i="5"/>
  <c r="K255" i="5"/>
  <c r="L737" i="5"/>
  <c r="K737" i="5"/>
  <c r="L159" i="5"/>
  <c r="K159" i="5"/>
  <c r="L446" i="5"/>
  <c r="K446" i="5"/>
  <c r="L308" i="5"/>
  <c r="K308" i="5"/>
  <c r="L874" i="5"/>
  <c r="K874" i="5"/>
  <c r="L523" i="5"/>
  <c r="K523" i="5"/>
  <c r="L857" i="5"/>
  <c r="K857" i="5"/>
  <c r="L435" i="5"/>
  <c r="K435" i="5"/>
  <c r="K591" i="5"/>
  <c r="L591" i="5"/>
  <c r="K672" i="5"/>
  <c r="L672" i="5"/>
  <c r="K285" i="5"/>
  <c r="L285" i="5"/>
  <c r="L770" i="5"/>
  <c r="K770" i="5"/>
  <c r="L120" i="5"/>
  <c r="K120" i="5"/>
  <c r="L436" i="5"/>
  <c r="K436" i="5"/>
  <c r="L617" i="5"/>
  <c r="K617" i="5"/>
  <c r="L239" i="5"/>
  <c r="K239" i="5"/>
  <c r="L260" i="5"/>
  <c r="K260" i="5"/>
  <c r="L175" i="5"/>
  <c r="K175" i="5"/>
  <c r="L347" i="5"/>
  <c r="K347" i="5"/>
  <c r="L876" i="5"/>
  <c r="K876" i="5"/>
  <c r="K286" i="5"/>
  <c r="L286" i="5"/>
  <c r="L659" i="5"/>
  <c r="K659" i="5"/>
  <c r="L348" i="5"/>
  <c r="K348" i="5"/>
  <c r="L400" i="5"/>
  <c r="K400" i="5"/>
  <c r="L123" i="5"/>
  <c r="K123" i="5"/>
  <c r="L700" i="5"/>
  <c r="K700" i="5"/>
  <c r="L860" i="5"/>
  <c r="K826" i="5"/>
  <c r="L598" i="5"/>
  <c r="L225" i="5"/>
  <c r="K225" i="5"/>
  <c r="K245" i="5"/>
  <c r="K898" i="5"/>
  <c r="L768" i="5"/>
  <c r="K768" i="5"/>
  <c r="K248" i="5"/>
  <c r="L717" i="5"/>
  <c r="L443" i="5"/>
  <c r="L676" i="5"/>
  <c r="K504" i="5"/>
  <c r="L815" i="5"/>
  <c r="K845" i="5"/>
  <c r="L845" i="5"/>
  <c r="L697" i="5"/>
  <c r="K126" i="5"/>
  <c r="L140" i="5"/>
  <c r="K140" i="5"/>
  <c r="K543" i="5"/>
  <c r="L931" i="5"/>
  <c r="K931" i="5"/>
  <c r="K437" i="5"/>
  <c r="L369" i="5"/>
  <c r="K963" i="5"/>
  <c r="L586" i="5"/>
  <c r="K586" i="5"/>
  <c r="L316" i="5"/>
  <c r="L190" i="5"/>
  <c r="K561" i="5"/>
  <c r="L359" i="5"/>
  <c r="L765" i="5"/>
  <c r="K774" i="5"/>
  <c r="K559" i="5"/>
  <c r="K85" i="5"/>
  <c r="K939" i="5"/>
  <c r="L565" i="5"/>
  <c r="K236" i="5"/>
  <c r="K217" i="5"/>
  <c r="L553" i="5"/>
  <c r="K553" i="5"/>
  <c r="K948" i="5"/>
  <c r="K341" i="5"/>
  <c r="L341" i="5"/>
  <c r="K338" i="5"/>
  <c r="L304" i="5"/>
  <c r="K263" i="5"/>
  <c r="L699" i="5"/>
  <c r="K699" i="5"/>
  <c r="K675" i="5"/>
  <c r="K499" i="5"/>
  <c r="L631" i="5"/>
  <c r="K880" i="5"/>
  <c r="K773" i="5"/>
  <c r="L718" i="5"/>
  <c r="K331" i="5"/>
  <c r="L682" i="5"/>
  <c r="L482" i="5"/>
  <c r="K482" i="5"/>
  <c r="L769" i="5"/>
  <c r="K769" i="5"/>
  <c r="K431" i="5"/>
  <c r="K247" i="5"/>
  <c r="K794" i="5"/>
  <c r="K93" i="5"/>
  <c r="K233" i="5"/>
  <c r="K819" i="5"/>
  <c r="K707" i="5"/>
  <c r="K142" i="5"/>
  <c r="L464" i="5"/>
  <c r="K146" i="5"/>
  <c r="L732" i="5"/>
  <c r="K732" i="5"/>
  <c r="K909" i="5"/>
  <c r="K357" i="5"/>
  <c r="K533" i="5"/>
  <c r="K655" i="5"/>
  <c r="K441" i="5"/>
  <c r="K636" i="5"/>
  <c r="K470" i="5"/>
  <c r="K954" i="5"/>
  <c r="K397" i="5"/>
  <c r="L481" i="5"/>
  <c r="K246" i="5"/>
  <c r="K787" i="5"/>
  <c r="K476" i="5"/>
  <c r="K635" i="5"/>
  <c r="K604" i="5"/>
  <c r="K614" i="5"/>
  <c r="K449" i="5"/>
  <c r="L640" i="5"/>
  <c r="L933" i="5"/>
  <c r="K933" i="5"/>
  <c r="K550" i="5"/>
  <c r="K118" i="5"/>
  <c r="K155" i="5"/>
  <c r="K189" i="5"/>
  <c r="K500" i="5"/>
  <c r="K150" i="5"/>
  <c r="L749" i="5"/>
  <c r="K483" i="5"/>
  <c r="K90" i="5"/>
  <c r="L936" i="5"/>
  <c r="K936" i="5"/>
  <c r="K163" i="5"/>
  <c r="K406" i="5"/>
  <c r="L755" i="5"/>
  <c r="K156" i="5"/>
  <c r="L156" i="5"/>
  <c r="K426" i="5"/>
  <c r="L496" i="5"/>
  <c r="K496" i="5"/>
  <c r="K669" i="5"/>
  <c r="K417" i="5"/>
  <c r="L137" i="5"/>
  <c r="K137" i="5"/>
  <c r="L469" i="5"/>
  <c r="L942" i="5"/>
  <c r="L782" i="5"/>
  <c r="L776" i="5"/>
  <c r="L752" i="5"/>
  <c r="L864" i="5"/>
  <c r="K181" i="5"/>
  <c r="K161" i="5"/>
  <c r="L161" i="5"/>
  <c r="K212" i="5"/>
  <c r="K813" i="5"/>
  <c r="K710" i="5"/>
  <c r="K577" i="5"/>
  <c r="K537" i="5"/>
  <c r="K967" i="5"/>
  <c r="L967" i="5"/>
  <c r="L360" i="5"/>
  <c r="L319" i="5"/>
  <c r="L613" i="5"/>
  <c r="K613" i="5"/>
  <c r="L744" i="5"/>
  <c r="L605" i="5"/>
  <c r="L368" i="5"/>
  <c r="L195" i="5"/>
  <c r="L81" i="5"/>
  <c r="K817" i="5"/>
  <c r="L817" i="5"/>
  <c r="L87" i="5"/>
  <c r="L592" i="5"/>
  <c r="K592" i="5"/>
  <c r="L458" i="5"/>
  <c r="K458" i="5"/>
  <c r="K581" i="5"/>
  <c r="K187" i="5"/>
  <c r="L759" i="5"/>
  <c r="K973" i="5"/>
  <c r="L147" i="5"/>
  <c r="K147" i="5"/>
  <c r="K869" i="5"/>
  <c r="K178" i="5"/>
  <c r="K299" i="5"/>
  <c r="L923" i="5"/>
  <c r="L95" i="5"/>
  <c r="L486" i="5"/>
  <c r="K486" i="5"/>
  <c r="L552" i="5"/>
  <c r="K552" i="5"/>
  <c r="L705" i="5"/>
  <c r="K868" i="5"/>
  <c r="K453" i="5"/>
  <c r="K101" i="5"/>
  <c r="K809" i="5"/>
  <c r="L916" i="5"/>
  <c r="K822" i="5"/>
  <c r="K888" i="5"/>
  <c r="K283" i="5"/>
  <c r="L283" i="5"/>
  <c r="L232" i="5"/>
  <c r="K251" i="5"/>
  <c r="K934" i="5"/>
  <c r="L964" i="5"/>
  <c r="L139" i="5"/>
  <c r="L920" i="5"/>
  <c r="K404" i="5"/>
  <c r="L736" i="5"/>
  <c r="L461" i="5"/>
  <c r="L912" i="5"/>
  <c r="L197" i="5"/>
  <c r="L516" i="5"/>
  <c r="K944" i="5"/>
  <c r="K807" i="5"/>
  <c r="K854" i="5"/>
  <c r="K113" i="5"/>
  <c r="K138" i="5"/>
  <c r="K611" i="5"/>
  <c r="L919" i="5"/>
  <c r="K450" i="5"/>
  <c r="L892" i="5"/>
  <c r="K433" i="5"/>
  <c r="L433" i="5"/>
  <c r="K494" i="5"/>
  <c r="L850" i="5"/>
  <c r="L603" i="5"/>
  <c r="L889" i="5"/>
  <c r="L220" i="5"/>
  <c r="K901" i="5"/>
  <c r="L269" i="5"/>
  <c r="L772" i="5"/>
  <c r="K772" i="5"/>
  <c r="L895" i="5"/>
  <c r="L109" i="5"/>
  <c r="K514" i="5"/>
  <c r="K962" i="5"/>
  <c r="L442" i="5"/>
  <c r="K442" i="5"/>
  <c r="K528" i="5"/>
  <c r="L724" i="5"/>
  <c r="L564" i="5"/>
  <c r="K91" i="5"/>
  <c r="L509" i="5"/>
  <c r="K509" i="5"/>
  <c r="K538" i="5"/>
  <c r="K539" i="5"/>
  <c r="L471" i="5"/>
  <c r="K320" i="5"/>
  <c r="L689" i="5"/>
  <c r="L265" i="5"/>
  <c r="L575" i="5"/>
  <c r="K575" i="5"/>
  <c r="L578" i="5"/>
  <c r="K578" i="5"/>
  <c r="L660" i="5"/>
  <c r="L92" i="5"/>
  <c r="L620" i="5"/>
  <c r="K867" i="5"/>
  <c r="K249" i="5"/>
  <c r="L389" i="5"/>
  <c r="L893" i="5"/>
  <c r="L804" i="5"/>
  <c r="K294" i="5"/>
  <c r="K88" i="5"/>
  <c r="L439" i="5"/>
  <c r="K439" i="5"/>
  <c r="K83" i="5"/>
  <c r="L714" i="5"/>
  <c r="L747" i="5"/>
  <c r="L314" i="5"/>
  <c r="K462" i="5"/>
  <c r="K261" i="5"/>
  <c r="L624" i="5"/>
  <c r="K624" i="5"/>
  <c r="L289" i="5"/>
  <c r="K289" i="5"/>
  <c r="L472" i="5"/>
  <c r="K343" i="5"/>
  <c r="L953" i="5"/>
  <c r="K953" i="5"/>
  <c r="L911" i="5"/>
  <c r="L454" i="5"/>
  <c r="K176" i="5"/>
  <c r="K891" i="5"/>
  <c r="L891" i="5"/>
  <c r="L444" i="5"/>
  <c r="L664" i="5"/>
  <c r="L277" i="5"/>
  <c r="L932" i="5"/>
  <c r="K866" i="5"/>
  <c r="K117" i="5"/>
  <c r="K162" i="5"/>
  <c r="K427" i="5"/>
  <c r="L846" i="5"/>
  <c r="K580" i="5"/>
  <c r="L562" i="5"/>
  <c r="K327" i="5"/>
  <c r="L587" i="5"/>
  <c r="K585" i="5"/>
  <c r="K186" i="5"/>
  <c r="L791" i="5"/>
  <c r="L558" i="5"/>
  <c r="K785" i="5"/>
  <c r="L465" i="5"/>
  <c r="L719" i="5"/>
  <c r="K719" i="5"/>
  <c r="L600" i="5"/>
  <c r="L520" i="5"/>
  <c r="K835" i="5"/>
  <c r="L621" i="5"/>
  <c r="K621" i="5"/>
  <c r="L626" i="5"/>
  <c r="K179" i="5"/>
  <c r="L878" i="5"/>
  <c r="K588" i="5"/>
  <c r="K803" i="5"/>
  <c r="K420" i="5"/>
  <c r="K751" i="5"/>
  <c r="L167" i="5"/>
  <c r="K448" i="5"/>
  <c r="K127" i="5"/>
  <c r="K188" i="5"/>
  <c r="K757" i="5"/>
  <c r="K560" i="5"/>
  <c r="L816" i="5"/>
  <c r="K579" i="5"/>
  <c r="L641" i="5"/>
  <c r="L597" i="5"/>
  <c r="L910" i="5"/>
  <c r="K196" i="5"/>
  <c r="K229" i="5"/>
  <c r="L240" i="5"/>
  <c r="L855" i="5"/>
  <c r="K328" i="5"/>
  <c r="K806" i="5"/>
  <c r="L959" i="5"/>
  <c r="K959" i="5"/>
  <c r="K114" i="5"/>
  <c r="L266" i="5"/>
  <c r="K266" i="5"/>
  <c r="L456" i="5"/>
  <c r="K456" i="5"/>
  <c r="L927" i="5"/>
  <c r="K927" i="5"/>
  <c r="K361" i="5"/>
  <c r="L742" i="5"/>
  <c r="K695" i="5"/>
  <c r="K929" i="5"/>
  <c r="K616" i="5"/>
  <c r="K180" i="5"/>
  <c r="L601" i="5"/>
  <c r="K601" i="5"/>
  <c r="L623" i="5"/>
  <c r="K623" i="5"/>
  <c r="L272" i="5"/>
  <c r="L257" i="5"/>
  <c r="L491" i="5"/>
  <c r="K264" i="5"/>
  <c r="K661" i="5"/>
  <c r="L107" i="5"/>
  <c r="K122" i="5"/>
  <c r="K793" i="5"/>
  <c r="K914" i="5"/>
  <c r="L201" i="5"/>
  <c r="K201" i="5"/>
  <c r="K941" i="5"/>
  <c r="L824" i="5"/>
  <c r="L715" i="5"/>
  <c r="K715" i="5"/>
  <c r="L940" i="5"/>
  <c r="L760" i="5"/>
  <c r="L193" i="5"/>
  <c r="L687" i="5"/>
  <c r="L696" i="5"/>
  <c r="K647" i="5"/>
  <c r="K740" i="5"/>
  <c r="K78" i="5"/>
  <c r="L535" i="5"/>
  <c r="K535" i="5"/>
  <c r="L82" i="5"/>
  <c r="L290" i="5"/>
  <c r="L873" i="5"/>
  <c r="K861" i="5"/>
  <c r="L861" i="5"/>
  <c r="L336" i="5"/>
  <c r="L379" i="5"/>
  <c r="L270" i="5"/>
  <c r="K665" i="5"/>
  <c r="L938" i="5"/>
  <c r="K164" i="5"/>
  <c r="L399" i="5"/>
  <c r="L634" i="5"/>
  <c r="K392" i="5"/>
  <c r="K527" i="5"/>
  <c r="L135" i="5"/>
  <c r="K459" i="5"/>
  <c r="L756" i="5"/>
  <c r="L172" i="5"/>
  <c r="K670" i="5"/>
  <c r="K935" i="5"/>
  <c r="L694" i="5"/>
  <c r="L594" i="5"/>
  <c r="L455" i="5"/>
  <c r="L582" i="5"/>
  <c r="K952" i="5"/>
  <c r="K312" i="5"/>
  <c r="K849" i="5"/>
  <c r="K132" i="5"/>
  <c r="K596" i="5"/>
  <c r="K829" i="5"/>
  <c r="K754" i="5"/>
  <c r="L595" i="5"/>
  <c r="L951" i="5"/>
  <c r="K951" i="5"/>
  <c r="K241" i="5"/>
  <c r="K279" i="5"/>
  <c r="L610" i="5"/>
  <c r="K610" i="5"/>
  <c r="K300" i="5"/>
  <c r="K651" i="5"/>
  <c r="L677" i="5"/>
  <c r="K677" i="5"/>
  <c r="L645" i="5"/>
  <c r="K645" i="5"/>
  <c r="K463" i="5"/>
  <c r="K726" i="5"/>
  <c r="L955" i="5"/>
  <c r="K364" i="5"/>
  <c r="K466" i="5"/>
  <c r="L467" i="5"/>
  <c r="K467" i="5"/>
  <c r="L354" i="5"/>
  <c r="K354" i="5"/>
  <c r="K860" i="5"/>
  <c r="K106" i="5"/>
  <c r="L503" i="5"/>
  <c r="K801" i="5"/>
  <c r="K184" i="5"/>
  <c r="K416" i="5"/>
  <c r="K94" i="5"/>
  <c r="L683" i="5"/>
  <c r="K683" i="5"/>
  <c r="L248" i="5"/>
  <c r="K288" i="5"/>
  <c r="K443" i="5"/>
  <c r="K110" i="5"/>
  <c r="L110" i="5"/>
  <c r="K218" i="5"/>
  <c r="L504" i="5"/>
  <c r="K153" i="5"/>
  <c r="K602" i="5"/>
  <c r="L457" i="5"/>
  <c r="K457" i="5"/>
  <c r="L574" i="5"/>
  <c r="K574" i="5"/>
  <c r="L702" i="5"/>
  <c r="K702" i="5"/>
  <c r="L917" i="5"/>
  <c r="K917" i="5"/>
  <c r="L437" i="5"/>
  <c r="K369" i="5"/>
  <c r="L963" i="5"/>
  <c r="K928" i="5"/>
  <c r="K222" i="5"/>
  <c r="K190" i="5"/>
  <c r="L561" i="5"/>
  <c r="K359" i="5"/>
  <c r="K330" i="5"/>
  <c r="L774" i="5"/>
  <c r="K731" i="5"/>
  <c r="L214" i="5"/>
  <c r="K214" i="5"/>
  <c r="K762" i="5"/>
  <c r="L939" i="5"/>
  <c r="K565" i="5"/>
  <c r="K79" i="5"/>
  <c r="L485" i="5"/>
  <c r="K485" i="5"/>
  <c r="L948" i="5"/>
  <c r="K355" i="5"/>
  <c r="K566" i="5"/>
  <c r="K648" i="5"/>
  <c r="K899" i="5"/>
  <c r="L263" i="5"/>
  <c r="K183" i="5"/>
  <c r="L675" i="5"/>
  <c r="L499" i="5"/>
  <c r="K631" i="5"/>
  <c r="L880" i="5"/>
  <c r="L773" i="5"/>
  <c r="K244" i="5"/>
  <c r="L915" i="5"/>
  <c r="K863" i="5"/>
  <c r="K682" i="5"/>
  <c r="K284" i="5"/>
  <c r="L431" i="5"/>
  <c r="L247" i="5"/>
  <c r="L233" i="5"/>
  <c r="L707" i="5"/>
  <c r="L142" i="5"/>
  <c r="K464" i="5"/>
  <c r="K534" i="5"/>
  <c r="L365" i="5"/>
  <c r="K365" i="5"/>
  <c r="L909" i="5"/>
  <c r="L357" i="5"/>
  <c r="L533" i="5"/>
  <c r="L441" i="5"/>
  <c r="L470" i="5"/>
  <c r="L954" i="5"/>
  <c r="K481" i="5"/>
  <c r="L787" i="5"/>
  <c r="K536" i="5"/>
  <c r="K111" i="5"/>
  <c r="L635" i="5"/>
  <c r="L390" i="5"/>
  <c r="L730" i="5"/>
  <c r="K730" i="5"/>
  <c r="L449" i="5"/>
  <c r="K409" i="5"/>
  <c r="L409" i="5"/>
  <c r="K311" i="5"/>
  <c r="L550" i="5"/>
  <c r="K524" i="5"/>
  <c r="K628" i="5"/>
  <c r="K921" i="5"/>
  <c r="L500" i="5"/>
  <c r="K86" i="5"/>
  <c r="K490" i="5"/>
  <c r="K362" i="5"/>
  <c r="L362" i="5"/>
  <c r="K749" i="5"/>
  <c r="L483" i="5"/>
  <c r="L90" i="5"/>
  <c r="L373" i="5"/>
  <c r="K373" i="5"/>
  <c r="L163" i="5"/>
  <c r="L884" i="5"/>
  <c r="K884" i="5"/>
  <c r="K656" i="5"/>
  <c r="L521" i="5"/>
  <c r="L370" i="5"/>
  <c r="K370" i="5"/>
  <c r="K363" i="5"/>
  <c r="L385" i="5"/>
  <c r="L410" i="5"/>
  <c r="K410" i="5"/>
  <c r="L669" i="5"/>
  <c r="L238" i="5"/>
  <c r="K238" i="5"/>
  <c r="K542" i="5"/>
  <c r="K469" i="5"/>
  <c r="K942" i="5"/>
  <c r="K782" i="5"/>
  <c r="L847" i="5"/>
  <c r="K728" i="5"/>
  <c r="L728" i="5"/>
  <c r="L789" i="5"/>
  <c r="L890" i="5"/>
  <c r="K968" i="5"/>
  <c r="L968" i="5"/>
  <c r="L488" i="5"/>
  <c r="L460" i="5"/>
  <c r="L813" i="5"/>
  <c r="K413" i="5"/>
  <c r="L537" i="5"/>
  <c r="K425" i="5"/>
  <c r="L599" i="5"/>
  <c r="K319" i="5"/>
  <c r="K800" i="5"/>
  <c r="K781" i="5"/>
  <c r="K154" i="5"/>
  <c r="K195" i="5"/>
  <c r="K81" i="5"/>
  <c r="K87" i="5"/>
  <c r="L825" i="5"/>
  <c r="L335" i="5"/>
  <c r="L581" i="5"/>
  <c r="L187" i="5"/>
  <c r="K759" i="5"/>
  <c r="L518" i="5"/>
  <c r="K518" i="5"/>
  <c r="L973" i="5"/>
  <c r="K432" i="5"/>
  <c r="L869" i="5"/>
  <c r="L178" i="5"/>
  <c r="K342" i="5"/>
  <c r="L342" i="5"/>
  <c r="K293" i="5"/>
  <c r="K883" i="5"/>
  <c r="L546" i="5"/>
  <c r="K546" i="5"/>
  <c r="L452" i="5"/>
  <c r="L526" i="5"/>
  <c r="K387" i="5"/>
  <c r="L547" i="5"/>
  <c r="K547" i="5"/>
  <c r="L453" i="5"/>
  <c r="L101" i="5"/>
  <c r="L339" i="5"/>
  <c r="K748" i="5"/>
  <c r="L662" i="5"/>
  <c r="K662" i="5"/>
  <c r="L102" i="5"/>
  <c r="K296" i="5"/>
  <c r="L296" i="5"/>
  <c r="K232" i="5"/>
  <c r="K216" i="5"/>
  <c r="L903" i="5"/>
  <c r="K903" i="5"/>
  <c r="L251" i="5"/>
  <c r="L934" i="5"/>
  <c r="K964" i="5"/>
  <c r="K139" i="5"/>
  <c r="K920" i="5"/>
  <c r="K89" i="5"/>
  <c r="L667" i="5"/>
  <c r="L808" i="5"/>
  <c r="K900" i="5"/>
  <c r="K378" i="5"/>
  <c r="L970" i="5"/>
  <c r="K674" i="5"/>
  <c r="L674" i="5"/>
  <c r="L767" i="5"/>
  <c r="K767" i="5"/>
  <c r="L944" i="5"/>
  <c r="L807" i="5"/>
  <c r="L854" i="5"/>
  <c r="L113" i="5"/>
  <c r="L138" i="5"/>
  <c r="L611" i="5"/>
  <c r="K919" i="5"/>
  <c r="L450" i="5"/>
  <c r="K764" i="5"/>
  <c r="K143" i="5"/>
  <c r="K515" i="5"/>
  <c r="K252" i="5"/>
  <c r="L205" i="5"/>
  <c r="K205" i="5"/>
  <c r="K603" i="5"/>
  <c r="K974" i="5"/>
  <c r="L974" i="5"/>
  <c r="L901" i="5"/>
  <c r="L530" i="5"/>
  <c r="K125" i="5"/>
  <c r="K473" i="5"/>
  <c r="K405" i="5"/>
  <c r="L514" i="5"/>
  <c r="L962" i="5"/>
  <c r="L321" i="5"/>
  <c r="K321" i="5"/>
  <c r="K549" i="5"/>
  <c r="L549" i="5"/>
  <c r="K564" i="5"/>
  <c r="L91" i="5"/>
  <c r="K77" i="5"/>
  <c r="K680" i="5"/>
  <c r="K471" i="5"/>
  <c r="L320" i="5"/>
  <c r="L391" i="5"/>
  <c r="K116" i="5"/>
  <c r="L887" i="5"/>
  <c r="K887" i="5"/>
  <c r="K92" i="5"/>
  <c r="K620" i="5"/>
  <c r="L867" i="5"/>
  <c r="L712" i="5"/>
  <c r="L301" i="5"/>
  <c r="K301" i="5"/>
  <c r="K389" i="5"/>
  <c r="K318" i="5"/>
  <c r="L495" i="5"/>
  <c r="K495" i="5"/>
  <c r="K804" i="5"/>
  <c r="L88" i="5"/>
  <c r="L926" i="5"/>
  <c r="K926" i="5"/>
  <c r="L83" i="5"/>
  <c r="K841" i="5"/>
  <c r="K961" i="5"/>
  <c r="K690" i="5"/>
  <c r="K943" i="5"/>
  <c r="L943" i="5"/>
  <c r="L462" i="5"/>
  <c r="L261" i="5"/>
  <c r="K96" i="5"/>
  <c r="L343" i="5"/>
  <c r="L766" i="5"/>
  <c r="K498" i="5"/>
  <c r="K192" i="5"/>
  <c r="L176" i="5"/>
  <c r="L371" i="5"/>
  <c r="L643" i="5"/>
  <c r="K664" i="5"/>
  <c r="L761" i="5"/>
  <c r="L322" i="5"/>
  <c r="L866" i="5"/>
  <c r="L117" i="5"/>
  <c r="L162" i="5"/>
  <c r="K323" i="5"/>
  <c r="K337" i="5"/>
  <c r="L580" i="5"/>
  <c r="L517" i="5"/>
  <c r="L327" i="5"/>
  <c r="K711" i="5"/>
  <c r="L585" i="5"/>
  <c r="L186" i="5"/>
  <c r="K775" i="5"/>
  <c r="K80" i="5"/>
  <c r="L785" i="5"/>
  <c r="K465" i="5"/>
  <c r="K600" i="5"/>
  <c r="K520" i="5"/>
  <c r="L835" i="5"/>
  <c r="K210" i="5"/>
  <c r="K626" i="5"/>
  <c r="L179" i="5"/>
  <c r="K878" i="5"/>
  <c r="L588" i="5"/>
  <c r="L803" i="5"/>
  <c r="L420" i="5"/>
  <c r="L751" i="5"/>
  <c r="K167" i="5"/>
  <c r="L448" i="5"/>
  <c r="L127" i="5"/>
  <c r="L188" i="5"/>
  <c r="L757" i="5"/>
  <c r="L560" i="5"/>
  <c r="L783" i="5"/>
  <c r="L908" i="5"/>
  <c r="K908" i="5"/>
  <c r="L579" i="5"/>
  <c r="L856" i="5"/>
  <c r="L211" i="5"/>
  <c r="L258" i="5"/>
  <c r="L721" i="5"/>
  <c r="L229" i="5"/>
  <c r="K956" i="5"/>
  <c r="L328" i="5"/>
  <c r="K713" i="5"/>
  <c r="L806" i="5"/>
  <c r="K567" i="5"/>
  <c r="L227" i="5"/>
  <c r="L170" i="5"/>
  <c r="K170" i="5"/>
  <c r="K191" i="5"/>
  <c r="L407" i="5"/>
  <c r="K168" i="5"/>
  <c r="L929" i="5"/>
  <c r="L616" i="5"/>
  <c r="L180" i="5"/>
  <c r="K830" i="5"/>
  <c r="K508" i="5"/>
  <c r="L612" i="5"/>
  <c r="K612" i="5"/>
  <c r="K257" i="5"/>
  <c r="K491" i="5"/>
  <c r="L264" i="5"/>
  <c r="L661" i="5"/>
  <c r="K107" i="5"/>
  <c r="L831" i="5"/>
  <c r="K831" i="5"/>
  <c r="L122" i="5"/>
  <c r="L793" i="5"/>
  <c r="L914" i="5"/>
  <c r="L723" i="5"/>
  <c r="K746" i="5"/>
  <c r="K529" i="5"/>
  <c r="K618" i="5"/>
  <c r="L510" i="5"/>
  <c r="K510" i="5"/>
  <c r="L647" i="5"/>
  <c r="L740" i="5"/>
  <c r="L78" i="5"/>
  <c r="L76" i="5"/>
  <c r="K334" i="5"/>
  <c r="L215" i="5"/>
  <c r="K215" i="5"/>
  <c r="K788" i="5"/>
  <c r="K790" i="5"/>
  <c r="K965" i="5"/>
  <c r="K551" i="5"/>
  <c r="L213" i="5"/>
  <c r="L665" i="5"/>
  <c r="K922" i="5"/>
  <c r="K268" i="5"/>
  <c r="L570" i="5"/>
  <c r="K262" i="5"/>
  <c r="K393" i="5"/>
  <c r="K839" i="5"/>
  <c r="L459" i="5"/>
  <c r="K172" i="5"/>
  <c r="L670" i="5"/>
  <c r="L935" i="5"/>
  <c r="K517" i="5"/>
  <c r="K870" i="5"/>
  <c r="K930" i="5"/>
  <c r="K563" i="5"/>
  <c r="L952" i="5"/>
  <c r="L312" i="5"/>
  <c r="L849" i="5"/>
  <c r="L132" i="5"/>
  <c r="L596" i="5"/>
  <c r="L829" i="5"/>
  <c r="K595" i="5"/>
  <c r="L726" i="5"/>
  <c r="K691" i="5"/>
  <c r="L691" i="5"/>
  <c r="K112" i="5"/>
  <c r="K918" i="5"/>
  <c r="K84" i="5"/>
  <c r="L305" i="5"/>
  <c r="L708" i="5"/>
  <c r="K503" i="5"/>
  <c r="L652" i="5"/>
  <c r="K652" i="5"/>
  <c r="K851" i="5"/>
  <c r="L184" i="5"/>
  <c r="K871" i="5"/>
  <c r="L416" i="5"/>
  <c r="K234" i="5"/>
  <c r="K511" i="5"/>
  <c r="K832" i="5"/>
  <c r="L832" i="5"/>
  <c r="L288" i="5"/>
  <c r="K802" i="5"/>
  <c r="L784" i="5"/>
  <c r="K784" i="5"/>
  <c r="L218" i="5"/>
  <c r="L153" i="5"/>
  <c r="L602" i="5"/>
  <c r="K706" i="5"/>
  <c r="L548" i="5"/>
  <c r="K548" i="5"/>
  <c r="K519" i="5"/>
  <c r="K924" i="5"/>
  <c r="K872" i="5"/>
  <c r="K271" i="5"/>
  <c r="L222" i="5"/>
  <c r="K778" i="5"/>
  <c r="K310" i="5"/>
  <c r="K569" i="5"/>
  <c r="K865" i="5"/>
  <c r="K975" i="5"/>
  <c r="L975" i="5"/>
  <c r="K925" i="5"/>
  <c r="K226" i="5"/>
  <c r="K173" i="5"/>
  <c r="K668" i="5"/>
  <c r="L619" i="5"/>
  <c r="K619" i="5"/>
  <c r="L358" i="5"/>
  <c r="K358" i="5"/>
  <c r="K852" i="5"/>
  <c r="K198" i="5"/>
  <c r="K688" i="5"/>
  <c r="L566" i="5"/>
  <c r="L899" i="5"/>
  <c r="K756" i="5"/>
  <c r="K230" i="5"/>
  <c r="K836" i="5"/>
  <c r="K274" i="5"/>
  <c r="L823" i="5"/>
  <c r="L244" i="5"/>
  <c r="K915" i="5"/>
  <c r="L863" i="5"/>
  <c r="L349" i="5"/>
  <c r="K349" i="5"/>
  <c r="K115" i="5"/>
  <c r="K753" i="5"/>
  <c r="K607" i="5"/>
  <c r="K969" i="5"/>
  <c r="K606" i="5"/>
  <c r="K644" i="5"/>
  <c r="K149" i="5"/>
  <c r="K735" i="5"/>
  <c r="K957" i="5"/>
  <c r="K303" i="5"/>
  <c r="K949" i="5"/>
  <c r="K506" i="5"/>
  <c r="K976" i="5"/>
  <c r="L779" i="5"/>
  <c r="L380" i="5"/>
  <c r="K445" i="5"/>
  <c r="L859" i="5"/>
  <c r="K859" i="5"/>
  <c r="K679" i="5"/>
  <c r="K743" i="5"/>
  <c r="L317" i="5"/>
  <c r="K678" i="5"/>
  <c r="L315" i="5"/>
  <c r="K907" i="5"/>
  <c r="K313" i="5"/>
  <c r="L693" i="5"/>
  <c r="L615" i="5"/>
  <c r="K750" i="5"/>
  <c r="K165" i="5"/>
  <c r="L536" i="5"/>
  <c r="K384" i="5"/>
  <c r="L384" i="5"/>
  <c r="K390" i="5"/>
  <c r="L589" i="5"/>
  <c r="K297" i="5"/>
  <c r="L297" i="5"/>
  <c r="L311" i="5"/>
  <c r="K100" i="5"/>
  <c r="K894" i="5"/>
  <c r="K302" i="5"/>
  <c r="L524" i="5"/>
  <c r="L628" i="5"/>
  <c r="L921" i="5"/>
  <c r="L590" i="5"/>
  <c r="K590" i="5"/>
  <c r="L324" i="5"/>
  <c r="L786" i="5"/>
  <c r="K885" i="5"/>
  <c r="L885" i="5"/>
  <c r="K412" i="5"/>
  <c r="L231" i="5"/>
  <c r="K231" i="5"/>
  <c r="L656" i="5"/>
  <c r="K521" i="5"/>
  <c r="L363" i="5"/>
  <c r="K385" i="5"/>
  <c r="L971" i="5"/>
  <c r="K971" i="5"/>
  <c r="L542" i="5"/>
  <c r="L568" i="5"/>
  <c r="K568" i="5"/>
  <c r="L394" i="5"/>
  <c r="L833" i="5"/>
  <c r="K833" i="5"/>
  <c r="K847" i="5"/>
  <c r="L572" i="5"/>
  <c r="K572" i="5"/>
  <c r="K789" i="5"/>
  <c r="K890" i="5"/>
  <c r="K408" i="5"/>
  <c r="K488" i="5"/>
  <c r="K460" i="5"/>
  <c r="L200" i="5"/>
  <c r="K200" i="5"/>
  <c r="L413" i="5"/>
  <c r="K703" i="5"/>
  <c r="L273" i="5"/>
  <c r="L425" i="5"/>
  <c r="K599" i="5"/>
  <c r="K650" i="5"/>
  <c r="L501" i="5"/>
  <c r="K501" i="5"/>
  <c r="K780" i="5"/>
  <c r="L800" i="5"/>
  <c r="L781" i="5"/>
  <c r="L154" i="5"/>
  <c r="L492" i="5"/>
  <c r="K157" i="5"/>
  <c r="K722" i="5"/>
  <c r="L160" i="5"/>
  <c r="K160" i="5"/>
  <c r="K381" i="5"/>
  <c r="L796" i="5"/>
  <c r="K796" i="5"/>
  <c r="K825" i="5"/>
  <c r="K335" i="5"/>
  <c r="K727" i="5"/>
  <c r="L259" i="5"/>
  <c r="K451" i="5"/>
  <c r="K896" i="5"/>
  <c r="K913" i="5"/>
  <c r="K593" i="5"/>
  <c r="L432" i="5"/>
  <c r="L627" i="5"/>
  <c r="K401" i="5"/>
  <c r="L401" i="5"/>
  <c r="L293" i="5"/>
  <c r="K287" i="5"/>
  <c r="L479" i="5"/>
  <c r="K479" i="5"/>
  <c r="K452" i="5"/>
  <c r="K526" i="5"/>
  <c r="L387" i="5"/>
  <c r="K512" i="5"/>
  <c r="L946" i="5"/>
  <c r="L430" i="5"/>
  <c r="K430" i="5"/>
  <c r="K339" i="5"/>
  <c r="L748" i="5"/>
  <c r="K102" i="5"/>
  <c r="K376" i="5"/>
  <c r="K609" i="5"/>
  <c r="L216" i="5"/>
  <c r="K709" i="5"/>
  <c r="K423" i="5"/>
  <c r="K698" i="5"/>
  <c r="K489" i="5"/>
  <c r="K104" i="5"/>
  <c r="L89" i="5"/>
  <c r="K667" i="5"/>
  <c r="K808" i="5"/>
  <c r="L900" i="5"/>
  <c r="L378" i="5"/>
  <c r="K970" i="5"/>
  <c r="L818" i="5"/>
  <c r="K119" i="5"/>
  <c r="K842" i="5"/>
  <c r="L403" i="5"/>
  <c r="K108" i="5"/>
  <c r="K418" i="5"/>
  <c r="K375" i="5"/>
  <c r="K97" i="5"/>
  <c r="K958" i="5"/>
  <c r="K223" i="5"/>
  <c r="K129" i="5"/>
  <c r="L764" i="5"/>
  <c r="L143" i="5"/>
  <c r="L515" i="5"/>
  <c r="L252" i="5"/>
  <c r="K532" i="5"/>
  <c r="K886" i="5"/>
  <c r="L886" i="5"/>
  <c r="K649" i="5"/>
  <c r="K960" i="5"/>
  <c r="L960" i="5"/>
  <c r="K530" i="5"/>
  <c r="L125" i="5"/>
  <c r="L473" i="5"/>
  <c r="L405" i="5"/>
  <c r="K151" i="5"/>
  <c r="K386" i="5"/>
  <c r="K763" i="5"/>
  <c r="L777" i="5"/>
  <c r="K630" i="5"/>
  <c r="L77" i="5"/>
  <c r="L680" i="5"/>
  <c r="K848" i="5"/>
  <c r="L584" i="5"/>
  <c r="K584" i="5"/>
  <c r="K745" i="5"/>
  <c r="K513" i="5"/>
  <c r="L513" i="5"/>
  <c r="K152" i="5"/>
  <c r="K391" i="5"/>
  <c r="L116" i="5"/>
  <c r="K837" i="5"/>
  <c r="L837" i="5"/>
  <c r="L105" i="5"/>
  <c r="K398" i="5"/>
  <c r="L838" i="5"/>
  <c r="K838" i="5"/>
  <c r="K505" i="5"/>
  <c r="K712" i="5"/>
  <c r="L318" i="5"/>
  <c r="K340" i="5"/>
  <c r="L945" i="5"/>
  <c r="K945" i="5"/>
  <c r="K484" i="5"/>
  <c r="K169" i="5"/>
  <c r="L356" i="5"/>
  <c r="L841" i="5"/>
  <c r="L961" i="5"/>
  <c r="L690" i="5"/>
  <c r="K654" i="5"/>
  <c r="K879" i="5"/>
  <c r="L326" i="5"/>
  <c r="L96" i="5"/>
  <c r="K474" i="5"/>
  <c r="K766" i="5"/>
  <c r="L498" i="5"/>
  <c r="L192" i="5"/>
  <c r="L372" i="5"/>
  <c r="K371" i="5"/>
  <c r="K643" i="5"/>
  <c r="K761" i="5"/>
  <c r="K322" i="5"/>
  <c r="K171" i="5"/>
  <c r="K224" i="5"/>
  <c r="K182" i="5"/>
  <c r="L323" i="5"/>
  <c r="L337" i="5"/>
  <c r="L531" i="5"/>
  <c r="L711" i="5"/>
  <c r="K377" i="5"/>
  <c r="K583" i="5"/>
  <c r="L775" i="5"/>
  <c r="L80" i="5"/>
  <c r="K131" i="5"/>
  <c r="K411" i="5"/>
  <c r="L395" i="5"/>
  <c r="K395" i="5"/>
  <c r="K633" i="5"/>
  <c r="L221" i="5"/>
  <c r="K805" i="5"/>
  <c r="L210" i="5"/>
  <c r="K202" i="5"/>
  <c r="L374" i="5"/>
  <c r="K353" i="5"/>
  <c r="L253" i="5"/>
  <c r="K729" i="5"/>
  <c r="L637" i="5"/>
  <c r="K332" i="5"/>
  <c r="K419" i="5"/>
  <c r="L475" i="5"/>
  <c r="L666" i="5"/>
  <c r="K99" i="5"/>
  <c r="L840" i="5"/>
  <c r="L130" i="5"/>
  <c r="L798" i="5"/>
  <c r="K480" i="5"/>
  <c r="K783" i="5"/>
  <c r="K856" i="5"/>
  <c r="K211" i="5"/>
  <c r="K438" i="5"/>
  <c r="K258" i="5"/>
  <c r="K721" i="5"/>
  <c r="L956" i="5"/>
  <c r="L388" i="5"/>
  <c r="L844" i="5"/>
  <c r="K844" i="5"/>
  <c r="K625" i="5"/>
  <c r="L713" i="5"/>
  <c r="K295" i="5"/>
  <c r="L567" i="5"/>
  <c r="K227" i="5"/>
  <c r="K540" i="5"/>
  <c r="K133" i="5"/>
  <c r="L191" i="5"/>
  <c r="K407" i="5"/>
  <c r="L168" i="5"/>
  <c r="L881" i="5"/>
  <c r="L882" i="5"/>
  <c r="L716" i="5"/>
  <c r="K716" i="5"/>
  <c r="K758" i="5"/>
  <c r="L830" i="5"/>
  <c r="L508" i="5"/>
  <c r="K799" i="5"/>
  <c r="K250" i="5"/>
  <c r="L447" i="5"/>
  <c r="K382" i="5"/>
  <c r="K204" i="5"/>
  <c r="K692" i="5"/>
  <c r="K497" i="5"/>
  <c r="L185" i="5"/>
  <c r="K185" i="5"/>
  <c r="K723" i="5"/>
  <c r="L834" i="5"/>
  <c r="K834" i="5"/>
  <c r="L746" i="5"/>
  <c r="L529" i="5"/>
  <c r="L618" i="5"/>
  <c r="K741" i="5"/>
  <c r="K292" i="5"/>
  <c r="L281" i="5"/>
  <c r="K281" i="5"/>
  <c r="K76" i="5"/>
  <c r="L334" i="5"/>
  <c r="K792" i="5"/>
  <c r="L788" i="5"/>
  <c r="L790" i="5"/>
  <c r="L965" i="5"/>
  <c r="L551" i="5"/>
  <c r="K213" i="5"/>
  <c r="L922" i="5"/>
  <c r="L268" i="5"/>
  <c r="K570" i="5"/>
  <c r="L262" i="5"/>
  <c r="L393" i="5"/>
  <c r="K937" i="5"/>
  <c r="L839" i="5"/>
  <c r="K333" i="5"/>
  <c r="K134" i="5"/>
  <c r="K541" i="5"/>
  <c r="K814" i="5"/>
  <c r="L870" i="5"/>
  <c r="L930" i="5"/>
  <c r="L563" i="5"/>
  <c r="K440" i="5"/>
  <c r="K243" i="5"/>
  <c r="K242" i="5"/>
  <c r="K128" i="5"/>
  <c r="K235" i="5"/>
  <c r="K642" i="5"/>
  <c r="K207" i="5"/>
  <c r="K402" i="5"/>
  <c r="L821" i="5"/>
  <c r="K821" i="5"/>
  <c r="L632" i="5"/>
  <c r="K525" i="5"/>
  <c r="K681" i="5"/>
  <c r="L681" i="5"/>
  <c r="K653" i="5"/>
  <c r="K646" i="5"/>
  <c r="L918" i="5"/>
  <c r="K305" i="5"/>
  <c r="L826" i="5"/>
  <c r="K352" i="5"/>
  <c r="L352" i="5"/>
  <c r="K598" i="5"/>
  <c r="L843" i="5"/>
  <c r="K843" i="5"/>
  <c r="L245" i="5"/>
  <c r="L871" i="5"/>
  <c r="K415" i="5"/>
  <c r="L898" i="5"/>
  <c r="K717" i="5"/>
  <c r="K972" i="5"/>
  <c r="L972" i="5"/>
  <c r="K124" i="5"/>
  <c r="K676" i="5"/>
  <c r="L573" i="5"/>
  <c r="K573" i="5"/>
  <c r="K815" i="5"/>
  <c r="K697" i="5"/>
  <c r="K345" i="5"/>
  <c r="L706" i="5"/>
  <c r="L544" i="5"/>
  <c r="K544" i="5"/>
  <c r="L519" i="5"/>
  <c r="L924" i="5"/>
  <c r="L872" i="5"/>
  <c r="L271" i="5"/>
  <c r="K194" i="5"/>
  <c r="K298" i="5"/>
  <c r="K316" i="5"/>
  <c r="L778" i="5"/>
  <c r="L310" i="5"/>
  <c r="L569" i="5"/>
  <c r="K141" i="5"/>
  <c r="L502" i="5"/>
  <c r="K502" i="5"/>
  <c r="K765" i="5"/>
  <c r="L865" i="5"/>
  <c r="L559" i="5"/>
  <c r="K329" i="5"/>
  <c r="L925" i="5"/>
  <c r="L668" i="5"/>
  <c r="L236" i="5"/>
  <c r="L121" i="5"/>
  <c r="K121" i="5"/>
  <c r="L852" i="5"/>
  <c r="L198" i="5"/>
  <c r="K291" i="5"/>
  <c r="L557" i="5"/>
  <c r="K557" i="5"/>
  <c r="K98" i="5"/>
  <c r="K304" i="5"/>
  <c r="L966" i="5"/>
  <c r="K966" i="5"/>
  <c r="K278" i="5"/>
  <c r="L836" i="5"/>
  <c r="L274" i="5"/>
  <c r="K823" i="5"/>
  <c r="L280" i="5"/>
  <c r="K280" i="5"/>
  <c r="K718" i="5"/>
  <c r="K897" i="5"/>
  <c r="L331" i="5"/>
  <c r="L877" i="5"/>
  <c r="K877" i="5"/>
  <c r="K145" i="5"/>
  <c r="L753" i="5"/>
  <c r="L607" i="5"/>
  <c r="L734" i="5"/>
  <c r="K734" i="5"/>
  <c r="L969" i="5"/>
  <c r="L606" i="5"/>
  <c r="L644" i="5"/>
  <c r="L957" i="5"/>
  <c r="L303" i="5"/>
  <c r="L949" i="5"/>
  <c r="L506" i="5"/>
  <c r="L976" i="5"/>
  <c r="K779" i="5"/>
  <c r="K380" i="5"/>
  <c r="L811" i="5"/>
  <c r="K811" i="5"/>
  <c r="K576" i="5"/>
  <c r="L743" i="5"/>
  <c r="K317" i="5"/>
  <c r="K315" i="5"/>
  <c r="L907" i="5"/>
  <c r="K950" i="5"/>
  <c r="K693" i="5"/>
  <c r="K615" i="5"/>
  <c r="L750" i="5"/>
  <c r="L165" i="5"/>
  <c r="L476" i="5"/>
  <c r="L344" i="5"/>
  <c r="K344" i="5"/>
  <c r="L604" i="5"/>
  <c r="K589" i="5"/>
  <c r="K640" i="5"/>
  <c r="L414" i="5"/>
  <c r="K414" i="5"/>
  <c r="L302" i="5"/>
  <c r="L118" i="5"/>
  <c r="L209" i="5"/>
  <c r="K209" i="5"/>
  <c r="K324" i="5"/>
  <c r="K786" i="5"/>
  <c r="K608" i="5"/>
  <c r="K507" i="5"/>
  <c r="L507" i="5"/>
  <c r="L412" i="5"/>
  <c r="K685" i="5"/>
  <c r="L685" i="5"/>
  <c r="L424" i="5"/>
  <c r="K424" i="5"/>
  <c r="K477" i="5"/>
  <c r="L406" i="5"/>
  <c r="K755" i="5"/>
  <c r="K671" i="5"/>
  <c r="L671" i="5"/>
  <c r="L426" i="5"/>
  <c r="L417" i="5"/>
  <c r="K394" i="5"/>
  <c r="K776" i="5"/>
  <c r="K752" i="5"/>
  <c r="L144" i="5"/>
  <c r="K144" i="5"/>
  <c r="K864" i="5"/>
  <c r="L181" i="5"/>
  <c r="L408" i="5"/>
  <c r="L212" i="5"/>
  <c r="L827" i="5"/>
  <c r="K827" i="5"/>
  <c r="L710" i="5"/>
  <c r="L577" i="5"/>
  <c r="L703" i="5"/>
  <c r="K273" i="5"/>
  <c r="K360" i="5"/>
  <c r="K493" i="5"/>
  <c r="L650" i="5"/>
  <c r="L780" i="5"/>
  <c r="K744" i="5"/>
  <c r="K605" i="5"/>
  <c r="K368" i="5"/>
  <c r="K492" i="5"/>
  <c r="L157" i="5"/>
  <c r="L722" i="5"/>
  <c r="L381" i="5"/>
  <c r="L701" i="5"/>
  <c r="K701" i="5"/>
  <c r="L853" i="5"/>
  <c r="K853" i="5"/>
  <c r="L727" i="5"/>
  <c r="K259" i="5"/>
  <c r="L451" i="5"/>
  <c r="L896" i="5"/>
  <c r="L913" i="5"/>
  <c r="L422" i="5"/>
  <c r="K422" i="5"/>
  <c r="K627" i="5"/>
  <c r="L299" i="5"/>
  <c r="K923" i="5"/>
  <c r="K95" i="5"/>
  <c r="L287" i="5"/>
  <c r="L148" i="5"/>
  <c r="K148" i="5"/>
  <c r="K705" i="5"/>
  <c r="L868" i="5"/>
  <c r="L828" i="5"/>
  <c r="K828" i="5"/>
  <c r="L512" i="5"/>
  <c r="K946" i="5"/>
  <c r="L809" i="5"/>
  <c r="K916" i="5"/>
  <c r="L822" i="5"/>
  <c r="L888" i="5"/>
  <c r="K673" i="5"/>
  <c r="L673" i="5"/>
  <c r="L376" i="5"/>
  <c r="L609" i="5"/>
  <c r="L709" i="5"/>
  <c r="L423" i="5"/>
  <c r="L698" i="5"/>
  <c r="L489" i="5"/>
  <c r="L104" i="5"/>
  <c r="L404" i="5"/>
  <c r="K736" i="5"/>
  <c r="K461" i="5"/>
  <c r="K912" i="5"/>
  <c r="K197" i="5"/>
  <c r="K516" i="5"/>
  <c r="K818" i="5"/>
  <c r="L119" i="5"/>
  <c r="L842" i="5"/>
  <c r="K403" i="5"/>
  <c r="L108" i="5"/>
  <c r="L418" i="5"/>
  <c r="L375" i="5"/>
  <c r="L97" i="5"/>
  <c r="L958" i="5"/>
  <c r="L223" i="5"/>
  <c r="L129" i="5"/>
  <c r="K892" i="5"/>
  <c r="L494" i="5"/>
  <c r="K850" i="5"/>
  <c r="L532" i="5"/>
  <c r="K889" i="5"/>
  <c r="K220" i="5"/>
  <c r="K269" i="5"/>
  <c r="K895" i="5"/>
  <c r="K109" i="5"/>
  <c r="L151" i="5"/>
  <c r="L386" i="5"/>
  <c r="L528" i="5"/>
  <c r="K724" i="5"/>
  <c r="L763" i="5"/>
  <c r="K777" i="5"/>
  <c r="L977" i="5"/>
  <c r="K977" i="5"/>
  <c r="L538" i="5"/>
  <c r="L539" i="5"/>
  <c r="L848" i="5"/>
  <c r="L745" i="5"/>
  <c r="L152" i="5"/>
  <c r="K689" i="5"/>
  <c r="K265" i="5"/>
  <c r="L166" i="5"/>
  <c r="K166" i="5"/>
  <c r="K660" i="5"/>
  <c r="K105" i="5"/>
  <c r="L398" i="5"/>
  <c r="L249" i="5"/>
  <c r="L505" i="5"/>
  <c r="L309" i="5"/>
  <c r="K309" i="5"/>
  <c r="K893" i="5"/>
  <c r="L340" i="5"/>
  <c r="L294" i="5"/>
  <c r="L484" i="5"/>
  <c r="L169" i="5"/>
  <c r="L203" i="5"/>
  <c r="K203" i="5"/>
  <c r="K356" i="5"/>
  <c r="K714" i="5"/>
  <c r="K747" i="5"/>
  <c r="K314" i="5"/>
  <c r="L654" i="5"/>
  <c r="L879" i="5"/>
  <c r="K326" i="5"/>
  <c r="K472" i="5"/>
  <c r="L474" i="5"/>
  <c r="K911" i="5"/>
  <c r="K454" i="5"/>
  <c r="K372" i="5"/>
  <c r="K444" i="5"/>
  <c r="L383" i="5"/>
  <c r="K383" i="5"/>
  <c r="K277" i="5"/>
  <c r="K932" i="5"/>
  <c r="L171" i="5"/>
  <c r="L820" i="5"/>
  <c r="K820" i="5"/>
  <c r="L224" i="5"/>
  <c r="L182" i="5"/>
  <c r="L427" i="5"/>
  <c r="K846" i="5"/>
  <c r="L325" i="5"/>
  <c r="K325" i="5"/>
  <c r="K562" i="5"/>
  <c r="K531" i="5"/>
  <c r="K587" i="5"/>
  <c r="L377" i="5"/>
  <c r="L583" i="5"/>
  <c r="K791" i="5"/>
  <c r="K558" i="5"/>
  <c r="L686" i="5"/>
  <c r="K686" i="5"/>
  <c r="L131" i="5"/>
  <c r="L411" i="5"/>
  <c r="L633" i="5"/>
  <c r="K221" i="5"/>
  <c r="L805" i="5"/>
  <c r="L202" i="5"/>
  <c r="K374" i="5"/>
  <c r="L353" i="5"/>
  <c r="K253" i="5"/>
  <c r="L729" i="5"/>
  <c r="K637" i="5"/>
  <c r="L332" i="5"/>
  <c r="L419" i="5"/>
  <c r="K475" i="5"/>
  <c r="K666" i="5"/>
  <c r="L99" i="5"/>
  <c r="K840" i="5"/>
  <c r="K130" i="5"/>
  <c r="K798" i="5"/>
  <c r="L480" i="5"/>
  <c r="K816" i="5"/>
  <c r="K641" i="5"/>
  <c r="K597" i="5"/>
  <c r="K910" i="5"/>
  <c r="L438" i="5"/>
  <c r="L196" i="5"/>
  <c r="L177" i="5"/>
  <c r="K177" i="5"/>
  <c r="K240" i="5"/>
  <c r="K855" i="5"/>
  <c r="K388" i="5"/>
  <c r="L625" i="5"/>
  <c r="L295" i="5"/>
  <c r="L114" i="5"/>
  <c r="L622" i="5"/>
  <c r="K622" i="5"/>
  <c r="K862" i="5"/>
  <c r="L862" i="5"/>
  <c r="L540" i="5"/>
  <c r="L133" i="5"/>
  <c r="L361" i="5"/>
  <c r="K742" i="5"/>
  <c r="L695" i="5"/>
  <c r="K881" i="5"/>
  <c r="K882" i="5"/>
  <c r="L758" i="5"/>
  <c r="K684" i="5"/>
  <c r="L684" i="5"/>
  <c r="K272" i="5"/>
  <c r="L799" i="5"/>
  <c r="L571" i="5"/>
  <c r="K571" i="5"/>
  <c r="L250" i="5"/>
  <c r="K447" i="5"/>
  <c r="L382" i="5"/>
  <c r="L204" i="5"/>
  <c r="L692" i="5"/>
  <c r="L497" i="5"/>
  <c r="L941" i="5"/>
  <c r="K824" i="5"/>
  <c r="K940" i="5"/>
  <c r="K760" i="5"/>
  <c r="K193" i="5"/>
  <c r="K687" i="5"/>
  <c r="K696" i="5"/>
  <c r="K428" i="5"/>
  <c r="L741" i="5"/>
  <c r="L292" i="5"/>
  <c r="L629" i="5"/>
  <c r="K629" i="5"/>
  <c r="K82" i="5"/>
  <c r="K290" i="5"/>
  <c r="K873" i="5"/>
  <c r="L792" i="5"/>
  <c r="L906" i="5"/>
  <c r="K906" i="5"/>
  <c r="K336" i="5"/>
  <c r="K379" i="5"/>
  <c r="K270" i="5"/>
  <c r="K938" i="5"/>
  <c r="L164" i="5"/>
  <c r="K399" i="5"/>
  <c r="K634" i="5"/>
  <c r="L392" i="5"/>
  <c r="L937" i="5"/>
  <c r="K135" i="5"/>
  <c r="L333" i="5"/>
  <c r="L134" i="5"/>
  <c r="L541" i="5"/>
  <c r="K694" i="5"/>
  <c r="K594" i="5"/>
  <c r="L814" i="5"/>
  <c r="K455" i="5"/>
  <c r="K582" i="5"/>
  <c r="K663" i="5"/>
  <c r="L440" i="5"/>
  <c r="L243" i="5"/>
  <c r="L242" i="5"/>
  <c r="L128" i="5"/>
  <c r="L235" i="5"/>
  <c r="L642" i="5"/>
  <c r="L207" i="5"/>
  <c r="K468" i="5"/>
  <c r="L754" i="5"/>
  <c r="L402" i="5"/>
  <c r="L527" i="5"/>
  <c r="AY977" i="2" l="1"/>
  <c r="AG977" i="2" s="1"/>
  <c r="AX977" i="2"/>
  <c r="AW977" i="2"/>
  <c r="AV977" i="2"/>
  <c r="AF977" i="2" s="1"/>
  <c r="AU977" i="2"/>
  <c r="AT977" i="2"/>
  <c r="AS977" i="2"/>
  <c r="AR977" i="2"/>
  <c r="AQ977" i="2"/>
  <c r="AL977" i="2"/>
  <c r="X977" i="2" s="1"/>
  <c r="AJ977" i="2"/>
  <c r="AI977" i="2"/>
  <c r="AE977" i="2"/>
  <c r="AY976" i="2"/>
  <c r="AX976" i="2"/>
  <c r="AW976" i="2"/>
  <c r="AV976" i="2"/>
  <c r="AF976" i="2" s="1"/>
  <c r="AU976" i="2"/>
  <c r="AT976" i="2"/>
  <c r="AS976" i="2"/>
  <c r="AR976" i="2"/>
  <c r="AH976" i="2" s="1"/>
  <c r="AQ976" i="2"/>
  <c r="AL976" i="2"/>
  <c r="AJ976" i="2"/>
  <c r="AI976" i="2"/>
  <c r="AG976" i="2"/>
  <c r="AE976" i="2"/>
  <c r="AY975" i="2"/>
  <c r="AX975" i="2"/>
  <c r="AW975" i="2"/>
  <c r="AV975" i="2"/>
  <c r="AF975" i="2" s="1"/>
  <c r="AU975" i="2"/>
  <c r="AT975" i="2"/>
  <c r="AS975" i="2"/>
  <c r="AR975" i="2"/>
  <c r="AQ975" i="2"/>
  <c r="AL975" i="2"/>
  <c r="X975" i="2" s="1"/>
  <c r="AJ975" i="2"/>
  <c r="AI975" i="2"/>
  <c r="AG975" i="2"/>
  <c r="AE975" i="2"/>
  <c r="AY974" i="2"/>
  <c r="AG974" i="2" s="1"/>
  <c r="AX974" i="2"/>
  <c r="AW974" i="2"/>
  <c r="AV974" i="2"/>
  <c r="AU974" i="2"/>
  <c r="AT974" i="2"/>
  <c r="AS974" i="2"/>
  <c r="AR974" i="2"/>
  <c r="AQ974" i="2"/>
  <c r="AL974" i="2"/>
  <c r="AJ974" i="2"/>
  <c r="AI974" i="2"/>
  <c r="AH974" i="2"/>
  <c r="J974" i="2" s="1"/>
  <c r="AF974" i="2"/>
  <c r="AE974" i="2"/>
  <c r="AY973" i="2"/>
  <c r="AG973" i="2" s="1"/>
  <c r="AX973" i="2"/>
  <c r="AW973" i="2"/>
  <c r="AV973" i="2"/>
  <c r="AU973" i="2"/>
  <c r="AT973" i="2"/>
  <c r="AS973" i="2"/>
  <c r="AR973" i="2"/>
  <c r="AQ973" i="2"/>
  <c r="AH973" i="2" s="1"/>
  <c r="AL973" i="2"/>
  <c r="AK973" i="2" s="1"/>
  <c r="AJ973" i="2"/>
  <c r="AI973" i="2"/>
  <c r="AF973" i="2"/>
  <c r="AE973" i="2"/>
  <c r="AY972" i="2"/>
  <c r="AX972" i="2"/>
  <c r="AW972" i="2"/>
  <c r="AV972" i="2"/>
  <c r="AF972" i="2" s="1"/>
  <c r="AU972" i="2"/>
  <c r="AT972" i="2"/>
  <c r="AS972" i="2"/>
  <c r="AR972" i="2"/>
  <c r="AQ972" i="2"/>
  <c r="AL972" i="2"/>
  <c r="AJ972" i="2"/>
  <c r="AI972" i="2"/>
  <c r="AG972" i="2"/>
  <c r="AE972" i="2"/>
  <c r="AY971" i="2"/>
  <c r="AX971" i="2"/>
  <c r="AW971" i="2"/>
  <c r="AV971" i="2"/>
  <c r="AU971" i="2"/>
  <c r="AT971" i="2"/>
  <c r="AS971" i="2"/>
  <c r="AR971" i="2"/>
  <c r="AQ971" i="2"/>
  <c r="AH971" i="2" s="1"/>
  <c r="AL971" i="2"/>
  <c r="AK971" i="2" s="1"/>
  <c r="AJ971" i="2"/>
  <c r="AI971" i="2"/>
  <c r="AG971" i="2"/>
  <c r="AF971" i="2"/>
  <c r="AE971" i="2"/>
  <c r="AY970" i="2"/>
  <c r="AX970" i="2"/>
  <c r="AW970" i="2"/>
  <c r="AV970" i="2"/>
  <c r="AF970" i="2" s="1"/>
  <c r="AU970" i="2"/>
  <c r="AT970" i="2"/>
  <c r="AS970" i="2"/>
  <c r="AR970" i="2"/>
  <c r="AH970" i="2" s="1"/>
  <c r="J970" i="2" s="1"/>
  <c r="AQ970" i="2"/>
  <c r="AL970" i="2"/>
  <c r="AJ970" i="2"/>
  <c r="AI970" i="2"/>
  <c r="AG970" i="2"/>
  <c r="AE970" i="2"/>
  <c r="AY969" i="2"/>
  <c r="AG969" i="2" s="1"/>
  <c r="AX969" i="2"/>
  <c r="AW969" i="2"/>
  <c r="AV969" i="2"/>
  <c r="AF969" i="2" s="1"/>
  <c r="AU969" i="2"/>
  <c r="AT969" i="2"/>
  <c r="AS969" i="2"/>
  <c r="AR969" i="2"/>
  <c r="AQ969" i="2"/>
  <c r="AL969" i="2"/>
  <c r="AK969" i="2" s="1"/>
  <c r="AJ969" i="2"/>
  <c r="AI969" i="2"/>
  <c r="AE969" i="2"/>
  <c r="AY968" i="2"/>
  <c r="AX968" i="2"/>
  <c r="AW968" i="2"/>
  <c r="AV968" i="2"/>
  <c r="AF968" i="2" s="1"/>
  <c r="AU968" i="2"/>
  <c r="AT968" i="2"/>
  <c r="AS968" i="2"/>
  <c r="AR968" i="2"/>
  <c r="AH968" i="2" s="1"/>
  <c r="J968" i="2" s="1"/>
  <c r="AQ968" i="2"/>
  <c r="AL968" i="2"/>
  <c r="T968" i="2" s="1"/>
  <c r="AJ968" i="2"/>
  <c r="AI968" i="2"/>
  <c r="AG968" i="2"/>
  <c r="AE968" i="2"/>
  <c r="AY967" i="2"/>
  <c r="AX967" i="2"/>
  <c r="AW967" i="2"/>
  <c r="AV967" i="2"/>
  <c r="AF967" i="2" s="1"/>
  <c r="AU967" i="2"/>
  <c r="AT967" i="2"/>
  <c r="AS967" i="2"/>
  <c r="AR967" i="2"/>
  <c r="AQ967" i="2"/>
  <c r="AL967" i="2"/>
  <c r="AJ967" i="2"/>
  <c r="AI967" i="2"/>
  <c r="AG967" i="2"/>
  <c r="AE967" i="2"/>
  <c r="AY966" i="2"/>
  <c r="AG966" i="2" s="1"/>
  <c r="AX966" i="2"/>
  <c r="AW966" i="2"/>
  <c r="AV966" i="2"/>
  <c r="AU966" i="2"/>
  <c r="AT966" i="2"/>
  <c r="AS966" i="2"/>
  <c r="AR966" i="2"/>
  <c r="AQ966" i="2"/>
  <c r="AL966" i="2"/>
  <c r="AJ966" i="2"/>
  <c r="AI966" i="2"/>
  <c r="AH966" i="2"/>
  <c r="J966" i="2" s="1"/>
  <c r="AF966" i="2"/>
  <c r="AE966" i="2"/>
  <c r="AY965" i="2"/>
  <c r="AG965" i="2" s="1"/>
  <c r="AX965" i="2"/>
  <c r="AW965" i="2"/>
  <c r="AV965" i="2"/>
  <c r="AU965" i="2"/>
  <c r="AT965" i="2"/>
  <c r="AS965" i="2"/>
  <c r="AR965" i="2"/>
  <c r="AQ965" i="2"/>
  <c r="AH965" i="2" s="1"/>
  <c r="J965" i="2" s="1"/>
  <c r="AL965" i="2"/>
  <c r="AK965" i="2" s="1"/>
  <c r="AJ965" i="2"/>
  <c r="AI965" i="2"/>
  <c r="AF965" i="2"/>
  <c r="AE965" i="2"/>
  <c r="AY964" i="2"/>
  <c r="AX964" i="2"/>
  <c r="AW964" i="2"/>
  <c r="AV964" i="2"/>
  <c r="AF964" i="2" s="1"/>
  <c r="AU964" i="2"/>
  <c r="AT964" i="2"/>
  <c r="AS964" i="2"/>
  <c r="AR964" i="2"/>
  <c r="AQ964" i="2"/>
  <c r="AL964" i="2"/>
  <c r="AJ964" i="2"/>
  <c r="AI964" i="2"/>
  <c r="AG964" i="2"/>
  <c r="AE964" i="2"/>
  <c r="AY963" i="2"/>
  <c r="AX963" i="2"/>
  <c r="AW963" i="2"/>
  <c r="AV963" i="2"/>
  <c r="AF963" i="2" s="1"/>
  <c r="AU963" i="2"/>
  <c r="AT963" i="2"/>
  <c r="AS963" i="2"/>
  <c r="AR963" i="2"/>
  <c r="AQ963" i="2"/>
  <c r="AH963" i="2" s="1"/>
  <c r="AL963" i="2"/>
  <c r="AK963" i="2" s="1"/>
  <c r="AJ963" i="2"/>
  <c r="AI963" i="2"/>
  <c r="AG963" i="2"/>
  <c r="AE963" i="2"/>
  <c r="AY962" i="2"/>
  <c r="AG962" i="2" s="1"/>
  <c r="AX962" i="2"/>
  <c r="AW962" i="2"/>
  <c r="AV962" i="2"/>
  <c r="AF962" i="2" s="1"/>
  <c r="AU962" i="2"/>
  <c r="AT962" i="2"/>
  <c r="AS962" i="2"/>
  <c r="AR962" i="2"/>
  <c r="AH962" i="2" s="1"/>
  <c r="J962" i="2" s="1"/>
  <c r="AQ962" i="2"/>
  <c r="AL962" i="2"/>
  <c r="AJ962" i="2"/>
  <c r="AI962" i="2"/>
  <c r="AE962" i="2"/>
  <c r="AY961" i="2"/>
  <c r="AG961" i="2" s="1"/>
  <c r="AX961" i="2"/>
  <c r="AW961" i="2"/>
  <c r="AV961" i="2"/>
  <c r="AU961" i="2"/>
  <c r="AT961" i="2"/>
  <c r="AS961" i="2"/>
  <c r="AR961" i="2"/>
  <c r="AQ961" i="2"/>
  <c r="AH961" i="2" s="1"/>
  <c r="AL961" i="2"/>
  <c r="AK961" i="2" s="1"/>
  <c r="AJ961" i="2"/>
  <c r="AI961" i="2"/>
  <c r="AF961" i="2"/>
  <c r="AE961" i="2"/>
  <c r="AY960" i="2"/>
  <c r="AX960" i="2"/>
  <c r="AW960" i="2"/>
  <c r="AV960" i="2"/>
  <c r="AF960" i="2" s="1"/>
  <c r="AU960" i="2"/>
  <c r="AT960" i="2"/>
  <c r="AS960" i="2"/>
  <c r="AR960" i="2"/>
  <c r="AQ960" i="2"/>
  <c r="AL960" i="2"/>
  <c r="AJ960" i="2"/>
  <c r="AI960" i="2"/>
  <c r="AG960" i="2"/>
  <c r="AE960" i="2"/>
  <c r="AY959" i="2"/>
  <c r="AG959" i="2" s="1"/>
  <c r="AX959" i="2"/>
  <c r="AW959" i="2"/>
  <c r="AV959" i="2"/>
  <c r="AU959" i="2"/>
  <c r="AT959" i="2"/>
  <c r="AS959" i="2"/>
  <c r="AR959" i="2"/>
  <c r="AQ959" i="2"/>
  <c r="AL959" i="2"/>
  <c r="AK959" i="2" s="1"/>
  <c r="AJ959" i="2"/>
  <c r="AI959" i="2"/>
  <c r="AH959" i="2"/>
  <c r="J959" i="2" s="1"/>
  <c r="AF959" i="2"/>
  <c r="AE959" i="2"/>
  <c r="AY958" i="2"/>
  <c r="AG958" i="2" s="1"/>
  <c r="AX958" i="2"/>
  <c r="AW958" i="2"/>
  <c r="AV958" i="2"/>
  <c r="AU958" i="2"/>
  <c r="AT958" i="2"/>
  <c r="AS958" i="2"/>
  <c r="AR958" i="2"/>
  <c r="AQ958" i="2"/>
  <c r="AL958" i="2"/>
  <c r="AJ958" i="2"/>
  <c r="AI958" i="2"/>
  <c r="AH958" i="2"/>
  <c r="AF958" i="2"/>
  <c r="AE958" i="2"/>
  <c r="AY957" i="2"/>
  <c r="AG957" i="2" s="1"/>
  <c r="AX957" i="2"/>
  <c r="AW957" i="2"/>
  <c r="AV957" i="2"/>
  <c r="AF957" i="2" s="1"/>
  <c r="AU957" i="2"/>
  <c r="AT957" i="2"/>
  <c r="AS957" i="2"/>
  <c r="AR957" i="2"/>
  <c r="AQ957" i="2"/>
  <c r="AL957" i="2"/>
  <c r="X957" i="2" s="1"/>
  <c r="AJ957" i="2"/>
  <c r="AI957" i="2"/>
  <c r="AE957" i="2"/>
  <c r="AY956" i="2"/>
  <c r="AJ956" i="2" s="1"/>
  <c r="AX956" i="2"/>
  <c r="AW956" i="2"/>
  <c r="AV956" i="2"/>
  <c r="AU956" i="2"/>
  <c r="AT956" i="2"/>
  <c r="AS956" i="2"/>
  <c r="AR956" i="2"/>
  <c r="AQ956" i="2"/>
  <c r="AM956" i="2"/>
  <c r="U956" i="2" s="1"/>
  <c r="AA956" i="2" s="1"/>
  <c r="AI956" i="2"/>
  <c r="AH956" i="2"/>
  <c r="AG956" i="2"/>
  <c r="AF956" i="2"/>
  <c r="AE956" i="2"/>
  <c r="H956" i="2"/>
  <c r="AL956" i="2" s="1"/>
  <c r="AY955" i="2"/>
  <c r="AX955" i="2"/>
  <c r="AW955" i="2"/>
  <c r="AV955" i="2"/>
  <c r="AU955" i="2"/>
  <c r="AT955" i="2"/>
  <c r="AS955" i="2"/>
  <c r="AR955" i="2"/>
  <c r="AQ955" i="2"/>
  <c r="AM955" i="2"/>
  <c r="AJ955" i="2"/>
  <c r="AI955" i="2"/>
  <c r="AH955" i="2"/>
  <c r="J955" i="2" s="1"/>
  <c r="AG955" i="2"/>
  <c r="AF955" i="2"/>
  <c r="AE955" i="2"/>
  <c r="H955" i="2"/>
  <c r="AL955" i="2" s="1"/>
  <c r="AY954" i="2"/>
  <c r="AX954" i="2"/>
  <c r="AJ954" i="2" s="1"/>
  <c r="AW954" i="2"/>
  <c r="AV954" i="2"/>
  <c r="AU954" i="2"/>
  <c r="AT954" i="2"/>
  <c r="AG954" i="2" s="1"/>
  <c r="AS954" i="2"/>
  <c r="AR954" i="2"/>
  <c r="AQ954" i="2"/>
  <c r="AM954" i="2"/>
  <c r="U954" i="2" s="1"/>
  <c r="AA954" i="2" s="1"/>
  <c r="AI954" i="2"/>
  <c r="AH954" i="2"/>
  <c r="J954" i="2" s="1"/>
  <c r="AF954" i="2"/>
  <c r="AE954" i="2"/>
  <c r="T954" i="2"/>
  <c r="Z954" i="2" s="1"/>
  <c r="H954" i="2"/>
  <c r="AL954" i="2" s="1"/>
  <c r="AY953" i="2"/>
  <c r="AX953" i="2"/>
  <c r="AW953" i="2"/>
  <c r="AV953" i="2"/>
  <c r="AU953" i="2"/>
  <c r="AT953" i="2"/>
  <c r="AG953" i="2" s="1"/>
  <c r="AS953" i="2"/>
  <c r="AR953" i="2"/>
  <c r="AQ953" i="2"/>
  <c r="AM953" i="2"/>
  <c r="U953" i="2" s="1"/>
  <c r="O953" i="2" s="1"/>
  <c r="AJ953" i="2"/>
  <c r="AI953" i="2"/>
  <c r="AH953" i="2"/>
  <c r="J953" i="2" s="1"/>
  <c r="AF953" i="2"/>
  <c r="AE953" i="2"/>
  <c r="H953" i="2"/>
  <c r="AL953" i="2" s="1"/>
  <c r="AY952" i="2"/>
  <c r="AX952" i="2"/>
  <c r="AJ952" i="2" s="1"/>
  <c r="AW952" i="2"/>
  <c r="AV952" i="2"/>
  <c r="AU952" i="2"/>
  <c r="AT952" i="2"/>
  <c r="AG952" i="2" s="1"/>
  <c r="AS952" i="2"/>
  <c r="AR952" i="2"/>
  <c r="AQ952" i="2"/>
  <c r="AM952" i="2"/>
  <c r="U952" i="2" s="1"/>
  <c r="AI952" i="2"/>
  <c r="AH952" i="2"/>
  <c r="J952" i="2" s="1"/>
  <c r="AF952" i="2"/>
  <c r="AE952" i="2"/>
  <c r="H952" i="2"/>
  <c r="AL952" i="2" s="1"/>
  <c r="T952" i="2" s="1"/>
  <c r="N952" i="2" s="1"/>
  <c r="AY951" i="2"/>
  <c r="H951" i="2" s="1"/>
  <c r="AL951" i="2" s="1"/>
  <c r="AX951" i="2"/>
  <c r="AW951" i="2"/>
  <c r="AV951" i="2"/>
  <c r="AU951" i="2"/>
  <c r="AT951" i="2"/>
  <c r="AG951" i="2" s="1"/>
  <c r="AS951" i="2"/>
  <c r="AR951" i="2"/>
  <c r="AQ951" i="2"/>
  <c r="AH951" i="2" s="1"/>
  <c r="J951" i="2" s="1"/>
  <c r="AM951" i="2"/>
  <c r="AI951" i="2"/>
  <c r="AF951" i="2"/>
  <c r="AE951" i="2"/>
  <c r="AY950" i="2"/>
  <c r="H950" i="2" s="1"/>
  <c r="AL950" i="2" s="1"/>
  <c r="AX950" i="2"/>
  <c r="AW950" i="2"/>
  <c r="AV950" i="2"/>
  <c r="AU950" i="2"/>
  <c r="AT950" i="2"/>
  <c r="AG950" i="2" s="1"/>
  <c r="AS950" i="2"/>
  <c r="AR950" i="2"/>
  <c r="AQ950" i="2"/>
  <c r="AH950" i="2" s="1"/>
  <c r="J950" i="2" s="1"/>
  <c r="AM950" i="2"/>
  <c r="AI950" i="2"/>
  <c r="AF950" i="2"/>
  <c r="AE950" i="2"/>
  <c r="AY949" i="2"/>
  <c r="AX949" i="2"/>
  <c r="AW949" i="2"/>
  <c r="AV949" i="2"/>
  <c r="AU949" i="2"/>
  <c r="AT949" i="2"/>
  <c r="AG949" i="2" s="1"/>
  <c r="AS949" i="2"/>
  <c r="AR949" i="2"/>
  <c r="AQ949" i="2"/>
  <c r="AM949" i="2"/>
  <c r="AI949" i="2"/>
  <c r="AH949" i="2"/>
  <c r="J949" i="2" s="1"/>
  <c r="AF949" i="2"/>
  <c r="AE949" i="2"/>
  <c r="AY948" i="2"/>
  <c r="H948" i="2" s="1"/>
  <c r="AL948" i="2" s="1"/>
  <c r="AX948" i="2"/>
  <c r="AW948" i="2"/>
  <c r="AV948" i="2"/>
  <c r="AU948" i="2"/>
  <c r="AT948" i="2"/>
  <c r="AG948" i="2" s="1"/>
  <c r="AS948" i="2"/>
  <c r="AR948" i="2"/>
  <c r="AQ948" i="2"/>
  <c r="AM948" i="2"/>
  <c r="U948" i="2" s="1"/>
  <c r="AA948" i="2" s="1"/>
  <c r="AJ948" i="2"/>
  <c r="AI948" i="2"/>
  <c r="AH948" i="2"/>
  <c r="J948" i="2" s="1"/>
  <c r="AF948" i="2"/>
  <c r="AE948" i="2"/>
  <c r="AY947" i="2"/>
  <c r="H947" i="2" s="1"/>
  <c r="AL947" i="2" s="1"/>
  <c r="AX947" i="2"/>
  <c r="AW947" i="2"/>
  <c r="AV947" i="2"/>
  <c r="AU947" i="2"/>
  <c r="AT947" i="2"/>
  <c r="AG947" i="2" s="1"/>
  <c r="AS947" i="2"/>
  <c r="AR947" i="2"/>
  <c r="AQ947" i="2"/>
  <c r="AM947" i="2"/>
  <c r="AJ947" i="2"/>
  <c r="AI947" i="2"/>
  <c r="AH947" i="2"/>
  <c r="AF947" i="2"/>
  <c r="AE947" i="2"/>
  <c r="AY946" i="2"/>
  <c r="H946" i="2" s="1"/>
  <c r="AL946" i="2" s="1"/>
  <c r="AX946" i="2"/>
  <c r="AW946" i="2"/>
  <c r="AV946" i="2"/>
  <c r="AU946" i="2"/>
  <c r="AT946" i="2"/>
  <c r="AG946" i="2" s="1"/>
  <c r="AS946" i="2"/>
  <c r="AR946" i="2"/>
  <c r="AQ946" i="2"/>
  <c r="AM946" i="2"/>
  <c r="U946" i="2" s="1"/>
  <c r="AJ946" i="2"/>
  <c r="AI946" i="2"/>
  <c r="AH946" i="2"/>
  <c r="AF946" i="2"/>
  <c r="AE946" i="2"/>
  <c r="AY945" i="2"/>
  <c r="H945" i="2" s="1"/>
  <c r="AL945" i="2" s="1"/>
  <c r="AX945" i="2"/>
  <c r="AW945" i="2"/>
  <c r="AV945" i="2"/>
  <c r="AU945" i="2"/>
  <c r="AT945" i="2"/>
  <c r="AG945" i="2" s="1"/>
  <c r="AS945" i="2"/>
  <c r="AR945" i="2"/>
  <c r="AQ945" i="2"/>
  <c r="AH945" i="2" s="1"/>
  <c r="J945" i="2" s="1"/>
  <c r="AM945" i="2"/>
  <c r="AI945" i="2"/>
  <c r="AF945" i="2"/>
  <c r="AE945" i="2"/>
  <c r="AY944" i="2"/>
  <c r="AJ944" i="2" s="1"/>
  <c r="AX944" i="2"/>
  <c r="AW944" i="2"/>
  <c r="AV944" i="2"/>
  <c r="AU944" i="2"/>
  <c r="AT944" i="2"/>
  <c r="AG944" i="2" s="1"/>
  <c r="AS944" i="2"/>
  <c r="AR944" i="2"/>
  <c r="AQ944" i="2"/>
  <c r="AH944" i="2" s="1"/>
  <c r="J944" i="2" s="1"/>
  <c r="AM944" i="2"/>
  <c r="AI944" i="2"/>
  <c r="AF944" i="2"/>
  <c r="AE944" i="2"/>
  <c r="AY943" i="2"/>
  <c r="AJ943" i="2" s="1"/>
  <c r="AX943" i="2"/>
  <c r="AW943" i="2"/>
  <c r="AV943" i="2"/>
  <c r="AU943" i="2"/>
  <c r="AT943" i="2"/>
  <c r="AG943" i="2" s="1"/>
  <c r="AS943" i="2"/>
  <c r="AR943" i="2"/>
  <c r="AQ943" i="2"/>
  <c r="AH943" i="2" s="1"/>
  <c r="J943" i="2" s="1"/>
  <c r="AM943" i="2"/>
  <c r="AI943" i="2"/>
  <c r="AF943" i="2"/>
  <c r="AE943" i="2"/>
  <c r="H943" i="2"/>
  <c r="AL943" i="2" s="1"/>
  <c r="AY942" i="2"/>
  <c r="AJ942" i="2" s="1"/>
  <c r="AX942" i="2"/>
  <c r="AW942" i="2"/>
  <c r="AV942" i="2"/>
  <c r="AU942" i="2"/>
  <c r="AT942" i="2"/>
  <c r="AG942" i="2" s="1"/>
  <c r="AS942" i="2"/>
  <c r="AR942" i="2"/>
  <c r="AQ942" i="2"/>
  <c r="AH942" i="2" s="1"/>
  <c r="J942" i="2" s="1"/>
  <c r="AM942" i="2"/>
  <c r="AI942" i="2"/>
  <c r="AF942" i="2"/>
  <c r="AE942" i="2"/>
  <c r="H942" i="2"/>
  <c r="AL942" i="2" s="1"/>
  <c r="AY941" i="2"/>
  <c r="AX941" i="2"/>
  <c r="AG941" i="2" s="1"/>
  <c r="AW941" i="2"/>
  <c r="AV941" i="2"/>
  <c r="AU941" i="2"/>
  <c r="AT941" i="2"/>
  <c r="AS941" i="2"/>
  <c r="AR941" i="2"/>
  <c r="AQ941" i="2"/>
  <c r="AH941" i="2" s="1"/>
  <c r="AL941" i="2"/>
  <c r="AK941" i="2" s="1"/>
  <c r="AI941" i="2"/>
  <c r="AF941" i="2"/>
  <c r="AE941" i="2"/>
  <c r="AY940" i="2"/>
  <c r="AX940" i="2"/>
  <c r="H940" i="2" s="1"/>
  <c r="AW940" i="2"/>
  <c r="AV940" i="2"/>
  <c r="AU940" i="2"/>
  <c r="AJ940" i="2" s="1"/>
  <c r="AT940" i="2"/>
  <c r="AS940" i="2"/>
  <c r="AR940" i="2"/>
  <c r="AQ940" i="2"/>
  <c r="AH940" i="2" s="1"/>
  <c r="J940" i="2" s="1"/>
  <c r="AL940" i="2"/>
  <c r="AK940" i="2" s="1"/>
  <c r="AI940" i="2"/>
  <c r="AG940" i="2"/>
  <c r="AF940" i="2"/>
  <c r="AE940" i="2"/>
  <c r="AY939" i="2"/>
  <c r="AX939" i="2"/>
  <c r="AG939" i="2" s="1"/>
  <c r="AW939" i="2"/>
  <c r="AV939" i="2"/>
  <c r="AU939" i="2"/>
  <c r="AJ939" i="2" s="1"/>
  <c r="AT939" i="2"/>
  <c r="AS939" i="2"/>
  <c r="AR939" i="2"/>
  <c r="AQ939" i="2"/>
  <c r="AL939" i="2"/>
  <c r="AK939" i="2" s="1"/>
  <c r="AI939" i="2"/>
  <c r="AH939" i="2"/>
  <c r="J939" i="2" s="1"/>
  <c r="AF939" i="2"/>
  <c r="AE939" i="2"/>
  <c r="H939" i="2"/>
  <c r="AY938" i="2"/>
  <c r="AX938" i="2"/>
  <c r="AW938" i="2"/>
  <c r="AV938" i="2"/>
  <c r="AU938" i="2"/>
  <c r="AT938" i="2"/>
  <c r="AS938" i="2"/>
  <c r="AR938" i="2"/>
  <c r="AQ938" i="2"/>
  <c r="AL938" i="2"/>
  <c r="AK938" i="2" s="1"/>
  <c r="AI938" i="2"/>
  <c r="AH938" i="2"/>
  <c r="AF938" i="2"/>
  <c r="AE938" i="2"/>
  <c r="J938" i="2"/>
  <c r="AY937" i="2"/>
  <c r="AX937" i="2"/>
  <c r="AG937" i="2" s="1"/>
  <c r="AW937" i="2"/>
  <c r="AV937" i="2"/>
  <c r="AU937" i="2"/>
  <c r="AT937" i="2"/>
  <c r="AS937" i="2"/>
  <c r="AR937" i="2"/>
  <c r="AQ937" i="2"/>
  <c r="AL937" i="2"/>
  <c r="AK937" i="2" s="1"/>
  <c r="AJ937" i="2"/>
  <c r="AI937" i="2"/>
  <c r="AH937" i="2"/>
  <c r="AF937" i="2"/>
  <c r="AE937" i="2"/>
  <c r="H937" i="2"/>
  <c r="AY936" i="2"/>
  <c r="AX936" i="2"/>
  <c r="AW936" i="2"/>
  <c r="AV936" i="2"/>
  <c r="AU936" i="2"/>
  <c r="AT936" i="2"/>
  <c r="AJ936" i="2" s="1"/>
  <c r="AS936" i="2"/>
  <c r="AR936" i="2"/>
  <c r="AQ936" i="2"/>
  <c r="AL936" i="2"/>
  <c r="AK936" i="2" s="1"/>
  <c r="AI936" i="2"/>
  <c r="AH936" i="2"/>
  <c r="AF936" i="2"/>
  <c r="AE936" i="2"/>
  <c r="J936" i="2"/>
  <c r="AY935" i="2"/>
  <c r="AX935" i="2"/>
  <c r="AG935" i="2" s="1"/>
  <c r="AW935" i="2"/>
  <c r="AV935" i="2"/>
  <c r="AU935" i="2"/>
  <c r="AT935" i="2"/>
  <c r="AS935" i="2"/>
  <c r="AR935" i="2"/>
  <c r="AQ935" i="2"/>
  <c r="AL935" i="2"/>
  <c r="AJ935" i="2"/>
  <c r="AI935" i="2"/>
  <c r="AH935" i="2"/>
  <c r="AF935" i="2"/>
  <c r="AE935" i="2"/>
  <c r="H935" i="2"/>
  <c r="AY934" i="2"/>
  <c r="AX934" i="2"/>
  <c r="AG934" i="2" s="1"/>
  <c r="AW934" i="2"/>
  <c r="AV934" i="2"/>
  <c r="AU934" i="2"/>
  <c r="AT934" i="2"/>
  <c r="AJ934" i="2" s="1"/>
  <c r="AS934" i="2"/>
  <c r="AR934" i="2"/>
  <c r="AQ934" i="2"/>
  <c r="AL934" i="2"/>
  <c r="AI934" i="2"/>
  <c r="AH934" i="2"/>
  <c r="J934" i="2" s="1"/>
  <c r="AF934" i="2"/>
  <c r="AE934" i="2"/>
  <c r="H934" i="2"/>
  <c r="W934" i="2" s="1"/>
  <c r="AY933" i="2"/>
  <c r="AX933" i="2"/>
  <c r="AG933" i="2" s="1"/>
  <c r="AW933" i="2"/>
  <c r="AV933" i="2"/>
  <c r="AU933" i="2"/>
  <c r="AT933" i="2"/>
  <c r="AS933" i="2"/>
  <c r="AR933" i="2"/>
  <c r="AQ933" i="2"/>
  <c r="AL933" i="2"/>
  <c r="AK933" i="2" s="1"/>
  <c r="AI933" i="2"/>
  <c r="AH933" i="2"/>
  <c r="J933" i="2" s="1"/>
  <c r="AF933" i="2"/>
  <c r="AE933" i="2"/>
  <c r="AY932" i="2"/>
  <c r="AX932" i="2"/>
  <c r="AG932" i="2" s="1"/>
  <c r="AW932" i="2"/>
  <c r="AV932" i="2"/>
  <c r="AU932" i="2"/>
  <c r="AT932" i="2"/>
  <c r="AS932" i="2"/>
  <c r="AR932" i="2"/>
  <c r="AQ932" i="2"/>
  <c r="AH932" i="2" s="1"/>
  <c r="AL932" i="2"/>
  <c r="AK932" i="2" s="1"/>
  <c r="AI932" i="2"/>
  <c r="AF932" i="2"/>
  <c r="AE932" i="2"/>
  <c r="H932" i="2"/>
  <c r="W932" i="2" s="1"/>
  <c r="AC932" i="2" s="1"/>
  <c r="AY931" i="2"/>
  <c r="AX931" i="2"/>
  <c r="AW931" i="2"/>
  <c r="AV931" i="2"/>
  <c r="AU931" i="2"/>
  <c r="AT931" i="2"/>
  <c r="AS931" i="2"/>
  <c r="AR931" i="2"/>
  <c r="AQ931" i="2"/>
  <c r="AH931" i="2" s="1"/>
  <c r="AL931" i="2"/>
  <c r="AK931" i="2" s="1"/>
  <c r="AI931" i="2"/>
  <c r="AG931" i="2"/>
  <c r="AF931" i="2"/>
  <c r="AE931" i="2"/>
  <c r="H931" i="2"/>
  <c r="W931" i="2" s="1"/>
  <c r="AC931" i="2" s="1"/>
  <c r="AY930" i="2"/>
  <c r="AX930" i="2"/>
  <c r="AW930" i="2"/>
  <c r="AV930" i="2"/>
  <c r="AU930" i="2"/>
  <c r="AT930" i="2"/>
  <c r="AS930" i="2"/>
  <c r="AR930" i="2"/>
  <c r="AQ930" i="2"/>
  <c r="AH930" i="2" s="1"/>
  <c r="AL930" i="2"/>
  <c r="AK930" i="2" s="1"/>
  <c r="AI930" i="2"/>
  <c r="AG930" i="2"/>
  <c r="AF930" i="2"/>
  <c r="AE930" i="2"/>
  <c r="H930" i="2"/>
  <c r="W930" i="2" s="1"/>
  <c r="AC930" i="2" s="1"/>
  <c r="AY929" i="2"/>
  <c r="AX929" i="2"/>
  <c r="AW929" i="2"/>
  <c r="AV929" i="2"/>
  <c r="AU929" i="2"/>
  <c r="AT929" i="2"/>
  <c r="AS929" i="2"/>
  <c r="AR929" i="2"/>
  <c r="AQ929" i="2"/>
  <c r="AH929" i="2" s="1"/>
  <c r="AL929" i="2"/>
  <c r="AK929" i="2" s="1"/>
  <c r="AI929" i="2"/>
  <c r="AF929" i="2"/>
  <c r="AE929" i="2"/>
  <c r="AY928" i="2"/>
  <c r="AX928" i="2"/>
  <c r="AG928" i="2" s="1"/>
  <c r="AW928" i="2"/>
  <c r="AV928" i="2"/>
  <c r="AU928" i="2"/>
  <c r="AT928" i="2"/>
  <c r="AS928" i="2"/>
  <c r="AR928" i="2"/>
  <c r="AQ928" i="2"/>
  <c r="AH928" i="2" s="1"/>
  <c r="AL928" i="2"/>
  <c r="AI928" i="2"/>
  <c r="AF928" i="2"/>
  <c r="AE928" i="2"/>
  <c r="AY927" i="2"/>
  <c r="AX927" i="2"/>
  <c r="AW927" i="2"/>
  <c r="AV927" i="2"/>
  <c r="AU927" i="2"/>
  <c r="AJ927" i="2" s="1"/>
  <c r="AT927" i="2"/>
  <c r="AS927" i="2"/>
  <c r="AR927" i="2"/>
  <c r="AQ927" i="2"/>
  <c r="AH927" i="2" s="1"/>
  <c r="J927" i="2" s="1"/>
  <c r="AL927" i="2"/>
  <c r="AI927" i="2"/>
  <c r="AG927" i="2"/>
  <c r="AF927" i="2"/>
  <c r="AE927" i="2"/>
  <c r="H927" i="2"/>
  <c r="AY926" i="2"/>
  <c r="AX926" i="2"/>
  <c r="AW926" i="2"/>
  <c r="AV926" i="2"/>
  <c r="AU926" i="2"/>
  <c r="AT926" i="2"/>
  <c r="AS926" i="2"/>
  <c r="AR926" i="2"/>
  <c r="AQ926" i="2"/>
  <c r="AH926" i="2" s="1"/>
  <c r="AL926" i="2"/>
  <c r="AI926" i="2"/>
  <c r="AF926" i="2"/>
  <c r="AE926" i="2"/>
  <c r="AY925" i="2"/>
  <c r="AX925" i="2"/>
  <c r="AW925" i="2"/>
  <c r="AV925" i="2"/>
  <c r="AU925" i="2"/>
  <c r="AJ925" i="2" s="1"/>
  <c r="AT925" i="2"/>
  <c r="AS925" i="2"/>
  <c r="AR925" i="2"/>
  <c r="AQ925" i="2"/>
  <c r="AH925" i="2" s="1"/>
  <c r="J925" i="2" s="1"/>
  <c r="AL925" i="2"/>
  <c r="AI925" i="2"/>
  <c r="AG925" i="2"/>
  <c r="AF925" i="2"/>
  <c r="AE925" i="2"/>
  <c r="W925" i="2"/>
  <c r="AC925" i="2" s="1"/>
  <c r="H925" i="2"/>
  <c r="AY924" i="2"/>
  <c r="AX924" i="2"/>
  <c r="AW924" i="2"/>
  <c r="AV924" i="2"/>
  <c r="AU924" i="2"/>
  <c r="AJ924" i="2" s="1"/>
  <c r="AT924" i="2"/>
  <c r="AS924" i="2"/>
  <c r="AR924" i="2"/>
  <c r="AQ924" i="2"/>
  <c r="AH924" i="2" s="1"/>
  <c r="J924" i="2" s="1"/>
  <c r="AL924" i="2"/>
  <c r="AI924" i="2"/>
  <c r="AG924" i="2"/>
  <c r="AF924" i="2"/>
  <c r="AE924" i="2"/>
  <c r="W924" i="2"/>
  <c r="H924" i="2"/>
  <c r="AY923" i="2"/>
  <c r="AX923" i="2"/>
  <c r="AW923" i="2"/>
  <c r="AV923" i="2"/>
  <c r="AU923" i="2"/>
  <c r="AJ923" i="2" s="1"/>
  <c r="AT923" i="2"/>
  <c r="AS923" i="2"/>
  <c r="AR923" i="2"/>
  <c r="AQ923" i="2"/>
  <c r="AH923" i="2" s="1"/>
  <c r="J923" i="2" s="1"/>
  <c r="AL923" i="2"/>
  <c r="AI923" i="2"/>
  <c r="AG923" i="2"/>
  <c r="AF923" i="2"/>
  <c r="AE923" i="2"/>
  <c r="W923" i="2"/>
  <c r="AC923" i="2" s="1"/>
  <c r="H923" i="2"/>
  <c r="AY922" i="2"/>
  <c r="AX922" i="2"/>
  <c r="AW922" i="2"/>
  <c r="AV922" i="2"/>
  <c r="AU922" i="2"/>
  <c r="AJ922" i="2" s="1"/>
  <c r="AT922" i="2"/>
  <c r="H922" i="2" s="1"/>
  <c r="AS922" i="2"/>
  <c r="AR922" i="2"/>
  <c r="AQ922" i="2"/>
  <c r="AH922" i="2" s="1"/>
  <c r="J922" i="2" s="1"/>
  <c r="AL922" i="2"/>
  <c r="AI922" i="2"/>
  <c r="AG922" i="2"/>
  <c r="AF922" i="2"/>
  <c r="AE922" i="2"/>
  <c r="W922" i="2"/>
  <c r="AC922" i="2" s="1"/>
  <c r="AY921" i="2"/>
  <c r="AX921" i="2"/>
  <c r="AG921" i="2" s="1"/>
  <c r="AW921" i="2"/>
  <c r="AV921" i="2"/>
  <c r="AU921" i="2"/>
  <c r="AJ921" i="2" s="1"/>
  <c r="AT921" i="2"/>
  <c r="H921" i="2" s="1"/>
  <c r="W921" i="2" s="1"/>
  <c r="AS921" i="2"/>
  <c r="AR921" i="2"/>
  <c r="AQ921" i="2"/>
  <c r="AH921" i="2" s="1"/>
  <c r="J921" i="2" s="1"/>
  <c r="AL921" i="2"/>
  <c r="AI921" i="2"/>
  <c r="AF921" i="2"/>
  <c r="AE921" i="2"/>
  <c r="AY920" i="2"/>
  <c r="AX920" i="2"/>
  <c r="AW920" i="2"/>
  <c r="AV920" i="2"/>
  <c r="AU920" i="2"/>
  <c r="AJ920" i="2" s="1"/>
  <c r="AT920" i="2"/>
  <c r="AS920" i="2"/>
  <c r="AR920" i="2"/>
  <c r="AQ920" i="2"/>
  <c r="AH920" i="2" s="1"/>
  <c r="J920" i="2" s="1"/>
  <c r="AL920" i="2"/>
  <c r="AI920" i="2"/>
  <c r="AG920" i="2"/>
  <c r="AF920" i="2"/>
  <c r="AE920" i="2"/>
  <c r="W920" i="2"/>
  <c r="Q920" i="2" s="1"/>
  <c r="H920" i="2"/>
  <c r="AY919" i="2"/>
  <c r="AX919" i="2"/>
  <c r="AW919" i="2"/>
  <c r="AV919" i="2"/>
  <c r="AU919" i="2"/>
  <c r="AJ919" i="2" s="1"/>
  <c r="AT919" i="2"/>
  <c r="AS919" i="2"/>
  <c r="AR919" i="2"/>
  <c r="AQ919" i="2"/>
  <c r="AH919" i="2" s="1"/>
  <c r="J919" i="2" s="1"/>
  <c r="AL919" i="2"/>
  <c r="AI919" i="2"/>
  <c r="AG919" i="2"/>
  <c r="AF919" i="2"/>
  <c r="AE919" i="2"/>
  <c r="H919" i="2"/>
  <c r="AY918" i="2"/>
  <c r="AX918" i="2"/>
  <c r="H918" i="2" s="1"/>
  <c r="AW918" i="2"/>
  <c r="AV918" i="2"/>
  <c r="AU918" i="2"/>
  <c r="AT918" i="2"/>
  <c r="AS918" i="2"/>
  <c r="AR918" i="2"/>
  <c r="AQ918" i="2"/>
  <c r="AH918" i="2" s="1"/>
  <c r="AL918" i="2"/>
  <c r="AI918" i="2"/>
  <c r="AG918" i="2"/>
  <c r="AF918" i="2"/>
  <c r="AE918" i="2"/>
  <c r="AY917" i="2"/>
  <c r="AX917" i="2"/>
  <c r="AG917" i="2" s="1"/>
  <c r="AW917" i="2"/>
  <c r="AV917" i="2"/>
  <c r="AU917" i="2"/>
  <c r="AT917" i="2"/>
  <c r="H917" i="2" s="1"/>
  <c r="AS917" i="2"/>
  <c r="AR917" i="2"/>
  <c r="AQ917" i="2"/>
  <c r="AL917" i="2"/>
  <c r="AI917" i="2"/>
  <c r="AH917" i="2"/>
  <c r="AF917" i="2"/>
  <c r="AE917" i="2"/>
  <c r="J917" i="2" s="1"/>
  <c r="AY916" i="2"/>
  <c r="AX916" i="2"/>
  <c r="AW916" i="2"/>
  <c r="AV916" i="2"/>
  <c r="AU916" i="2"/>
  <c r="AJ916" i="2" s="1"/>
  <c r="AT916" i="2"/>
  <c r="AS916" i="2"/>
  <c r="AR916" i="2"/>
  <c r="AQ916" i="2"/>
  <c r="AH916" i="2" s="1"/>
  <c r="AL916" i="2"/>
  <c r="AI916" i="2"/>
  <c r="AG916" i="2"/>
  <c r="AF916" i="2"/>
  <c r="AE916" i="2"/>
  <c r="AY915" i="2"/>
  <c r="AX915" i="2"/>
  <c r="AW915" i="2"/>
  <c r="AV915" i="2"/>
  <c r="AU915" i="2"/>
  <c r="AJ915" i="2" s="1"/>
  <c r="AT915" i="2"/>
  <c r="AS915" i="2"/>
  <c r="AR915" i="2"/>
  <c r="AQ915" i="2"/>
  <c r="AH915" i="2" s="1"/>
  <c r="J915" i="2" s="1"/>
  <c r="AL915" i="2"/>
  <c r="AI915" i="2"/>
  <c r="AG915" i="2"/>
  <c r="AF915" i="2"/>
  <c r="AE915" i="2"/>
  <c r="AY914" i="2"/>
  <c r="AX914" i="2"/>
  <c r="AW914" i="2"/>
  <c r="AV914" i="2"/>
  <c r="AU914" i="2"/>
  <c r="AJ914" i="2" s="1"/>
  <c r="AT914" i="2"/>
  <c r="AS914" i="2"/>
  <c r="AR914" i="2"/>
  <c r="AQ914" i="2"/>
  <c r="AH914" i="2" s="1"/>
  <c r="AL914" i="2"/>
  <c r="AI914" i="2"/>
  <c r="AG914" i="2"/>
  <c r="AF914" i="2"/>
  <c r="AE914" i="2"/>
  <c r="AY913" i="2"/>
  <c r="AX913" i="2"/>
  <c r="AW913" i="2"/>
  <c r="AV913" i="2"/>
  <c r="AU913" i="2"/>
  <c r="AJ913" i="2" s="1"/>
  <c r="AT913" i="2"/>
  <c r="AS913" i="2"/>
  <c r="AR913" i="2"/>
  <c r="AQ913" i="2"/>
  <c r="AH913" i="2" s="1"/>
  <c r="J913" i="2" s="1"/>
  <c r="AL913" i="2"/>
  <c r="AI913" i="2"/>
  <c r="AG913" i="2"/>
  <c r="AF913" i="2"/>
  <c r="AE913" i="2"/>
  <c r="AY912" i="2"/>
  <c r="AX912" i="2"/>
  <c r="AW912" i="2"/>
  <c r="AV912" i="2"/>
  <c r="AU912" i="2"/>
  <c r="AJ912" i="2" s="1"/>
  <c r="AT912" i="2"/>
  <c r="AS912" i="2"/>
  <c r="AR912" i="2"/>
  <c r="AQ912" i="2"/>
  <c r="AH912" i="2" s="1"/>
  <c r="AL912" i="2"/>
  <c r="AI912" i="2"/>
  <c r="AG912" i="2"/>
  <c r="AF912" i="2"/>
  <c r="AE912" i="2"/>
  <c r="AY911" i="2"/>
  <c r="AX911" i="2"/>
  <c r="AW911" i="2"/>
  <c r="AV911" i="2"/>
  <c r="AU911" i="2"/>
  <c r="AJ911" i="2" s="1"/>
  <c r="AT911" i="2"/>
  <c r="AS911" i="2"/>
  <c r="AR911" i="2"/>
  <c r="AQ911" i="2"/>
  <c r="AH911" i="2" s="1"/>
  <c r="J911" i="2" s="1"/>
  <c r="AL911" i="2"/>
  <c r="AI911" i="2"/>
  <c r="AG911" i="2"/>
  <c r="AF911" i="2"/>
  <c r="AE911" i="2"/>
  <c r="AY910" i="2"/>
  <c r="AX910" i="2"/>
  <c r="AW910" i="2"/>
  <c r="AV910" i="2"/>
  <c r="AU910" i="2"/>
  <c r="AT910" i="2"/>
  <c r="AS910" i="2"/>
  <c r="AR910" i="2"/>
  <c r="AQ910" i="2"/>
  <c r="AL910" i="2"/>
  <c r="AK910" i="2" s="1"/>
  <c r="AJ910" i="2"/>
  <c r="AI910" i="2"/>
  <c r="AH910" i="2"/>
  <c r="J910" i="2" s="1"/>
  <c r="AG910" i="2"/>
  <c r="AF910" i="2"/>
  <c r="AE910" i="2"/>
  <c r="AY909" i="2"/>
  <c r="AX909" i="2"/>
  <c r="AW909" i="2"/>
  <c r="AV909" i="2"/>
  <c r="AG909" i="2" s="1"/>
  <c r="AU909" i="2"/>
  <c r="AT909" i="2"/>
  <c r="AS909" i="2"/>
  <c r="AR909" i="2"/>
  <c r="AQ909" i="2"/>
  <c r="AL909" i="2"/>
  <c r="AK909" i="2" s="1"/>
  <c r="AJ909" i="2"/>
  <c r="AI909" i="2"/>
  <c r="AH909" i="2"/>
  <c r="AF909" i="2"/>
  <c r="AE909" i="2"/>
  <c r="AY908" i="2"/>
  <c r="AX908" i="2"/>
  <c r="AW908" i="2"/>
  <c r="AV908" i="2"/>
  <c r="AG908" i="2" s="1"/>
  <c r="AU908" i="2"/>
  <c r="AT908" i="2"/>
  <c r="AS908" i="2"/>
  <c r="AR908" i="2"/>
  <c r="AQ908" i="2"/>
  <c r="AH908" i="2" s="1"/>
  <c r="AL908" i="2"/>
  <c r="T908" i="2" s="1"/>
  <c r="Z908" i="2" s="1"/>
  <c r="AJ908" i="2"/>
  <c r="AI908" i="2"/>
  <c r="AF908" i="2"/>
  <c r="AE908" i="2"/>
  <c r="AY907" i="2"/>
  <c r="AX907" i="2"/>
  <c r="AW907" i="2"/>
  <c r="AV907" i="2"/>
  <c r="AU907" i="2"/>
  <c r="AT907" i="2"/>
  <c r="AS907" i="2"/>
  <c r="AR907" i="2"/>
  <c r="AQ907" i="2"/>
  <c r="AL907" i="2"/>
  <c r="T907" i="2" s="1"/>
  <c r="AJ907" i="2"/>
  <c r="AI907" i="2"/>
  <c r="AH907" i="2"/>
  <c r="AG907" i="2"/>
  <c r="AF907" i="2"/>
  <c r="AE907" i="2"/>
  <c r="J907" i="2" s="1"/>
  <c r="AY906" i="2"/>
  <c r="AX906" i="2"/>
  <c r="AW906" i="2"/>
  <c r="AV906" i="2"/>
  <c r="AG906" i="2" s="1"/>
  <c r="AU906" i="2"/>
  <c r="AT906" i="2"/>
  <c r="AS906" i="2"/>
  <c r="AR906" i="2"/>
  <c r="AQ906" i="2"/>
  <c r="AL906" i="2"/>
  <c r="AJ906" i="2"/>
  <c r="AI906" i="2"/>
  <c r="AH906" i="2"/>
  <c r="J906" i="2" s="1"/>
  <c r="AF906" i="2"/>
  <c r="AE906" i="2"/>
  <c r="AY905" i="2"/>
  <c r="AX905" i="2"/>
  <c r="AW905" i="2"/>
  <c r="AV905" i="2"/>
  <c r="AG905" i="2" s="1"/>
  <c r="AU905" i="2"/>
  <c r="AT905" i="2"/>
  <c r="AS905" i="2"/>
  <c r="AR905" i="2"/>
  <c r="AQ905" i="2"/>
  <c r="AL905" i="2"/>
  <c r="AK905" i="2" s="1"/>
  <c r="AJ905" i="2"/>
  <c r="AI905" i="2"/>
  <c r="AH905" i="2"/>
  <c r="AF905" i="2"/>
  <c r="AE905" i="2"/>
  <c r="AY904" i="2"/>
  <c r="AX904" i="2"/>
  <c r="AW904" i="2"/>
  <c r="AV904" i="2"/>
  <c r="AG904" i="2" s="1"/>
  <c r="AU904" i="2"/>
  <c r="AT904" i="2"/>
  <c r="AS904" i="2"/>
  <c r="AR904" i="2"/>
  <c r="AQ904" i="2"/>
  <c r="AH904" i="2" s="1"/>
  <c r="AL904" i="2"/>
  <c r="AK904" i="2" s="1"/>
  <c r="AJ904" i="2"/>
  <c r="AI904" i="2"/>
  <c r="AF904" i="2"/>
  <c r="AE904" i="2"/>
  <c r="AY903" i="2"/>
  <c r="AX903" i="2"/>
  <c r="AW903" i="2"/>
  <c r="AV903" i="2"/>
  <c r="AG903" i="2" s="1"/>
  <c r="AU903" i="2"/>
  <c r="AT903" i="2"/>
  <c r="AS903" i="2"/>
  <c r="AR903" i="2"/>
  <c r="AQ903" i="2"/>
  <c r="AL903" i="2"/>
  <c r="X903" i="2" s="1"/>
  <c r="AJ903" i="2"/>
  <c r="AI903" i="2"/>
  <c r="AH903" i="2"/>
  <c r="AF903" i="2"/>
  <c r="AE903" i="2"/>
  <c r="J903" i="2"/>
  <c r="AY902" i="2"/>
  <c r="AX902" i="2"/>
  <c r="AW902" i="2"/>
  <c r="AV902" i="2"/>
  <c r="AU902" i="2"/>
  <c r="AT902" i="2"/>
  <c r="AS902" i="2"/>
  <c r="AR902" i="2"/>
  <c r="AQ902" i="2"/>
  <c r="AL902" i="2"/>
  <c r="T902" i="2" s="1"/>
  <c r="AJ902" i="2"/>
  <c r="AI902" i="2"/>
  <c r="AH902" i="2"/>
  <c r="AG902" i="2"/>
  <c r="AF902" i="2"/>
  <c r="AE902" i="2"/>
  <c r="AY901" i="2"/>
  <c r="AX901" i="2"/>
  <c r="AW901" i="2"/>
  <c r="AV901" i="2"/>
  <c r="AU901" i="2"/>
  <c r="AT901" i="2"/>
  <c r="AS901" i="2"/>
  <c r="AR901" i="2"/>
  <c r="AQ901" i="2"/>
  <c r="AL901" i="2"/>
  <c r="AK901" i="2" s="1"/>
  <c r="AJ901" i="2"/>
  <c r="AI901" i="2"/>
  <c r="AH901" i="2"/>
  <c r="AG901" i="2"/>
  <c r="AF901" i="2"/>
  <c r="AE901" i="2"/>
  <c r="AY900" i="2"/>
  <c r="AX900" i="2"/>
  <c r="AW900" i="2"/>
  <c r="AV900" i="2"/>
  <c r="AG900" i="2" s="1"/>
  <c r="AU900" i="2"/>
  <c r="AT900" i="2"/>
  <c r="AS900" i="2"/>
  <c r="AR900" i="2"/>
  <c r="AQ900" i="2"/>
  <c r="AH900" i="2" s="1"/>
  <c r="AL900" i="2"/>
  <c r="AK900" i="2" s="1"/>
  <c r="AJ900" i="2"/>
  <c r="AI900" i="2"/>
  <c r="AF900" i="2"/>
  <c r="AE900" i="2"/>
  <c r="AY899" i="2"/>
  <c r="AX899" i="2"/>
  <c r="AW899" i="2"/>
  <c r="AV899" i="2"/>
  <c r="AG899" i="2" s="1"/>
  <c r="AU899" i="2"/>
  <c r="AT899" i="2"/>
  <c r="AS899" i="2"/>
  <c r="AR899" i="2"/>
  <c r="AQ899" i="2"/>
  <c r="AL899" i="2"/>
  <c r="AK899" i="2" s="1"/>
  <c r="AJ899" i="2"/>
  <c r="AI899" i="2"/>
  <c r="AH899" i="2"/>
  <c r="AF899" i="2"/>
  <c r="AE899" i="2"/>
  <c r="J899" i="2"/>
  <c r="AY898" i="2"/>
  <c r="AX898" i="2"/>
  <c r="AW898" i="2"/>
  <c r="AV898" i="2"/>
  <c r="AG898" i="2" s="1"/>
  <c r="AU898" i="2"/>
  <c r="AT898" i="2"/>
  <c r="AS898" i="2"/>
  <c r="AR898" i="2"/>
  <c r="AQ898" i="2"/>
  <c r="AL898" i="2"/>
  <c r="T898" i="2" s="1"/>
  <c r="AJ898" i="2"/>
  <c r="AI898" i="2"/>
  <c r="AH898" i="2"/>
  <c r="AF898" i="2"/>
  <c r="AE898" i="2"/>
  <c r="AY897" i="2"/>
  <c r="AX897" i="2"/>
  <c r="AW897" i="2"/>
  <c r="AV897" i="2"/>
  <c r="AU897" i="2"/>
  <c r="AT897" i="2"/>
  <c r="AS897" i="2"/>
  <c r="AR897" i="2"/>
  <c r="AQ897" i="2"/>
  <c r="AH897" i="2" s="1"/>
  <c r="AM897" i="2"/>
  <c r="X897" i="2" s="1"/>
  <c r="AL897" i="2"/>
  <c r="T897" i="2" s="1"/>
  <c r="Z897" i="2" s="1"/>
  <c r="AJ897" i="2"/>
  <c r="AI897" i="2"/>
  <c r="AG897" i="2"/>
  <c r="AF897" i="2"/>
  <c r="AE897" i="2"/>
  <c r="AY896" i="2"/>
  <c r="AX896" i="2"/>
  <c r="AW896" i="2"/>
  <c r="AV896" i="2"/>
  <c r="AU896" i="2"/>
  <c r="AT896" i="2"/>
  <c r="AS896" i="2"/>
  <c r="AR896" i="2"/>
  <c r="AQ896" i="2"/>
  <c r="AM896" i="2"/>
  <c r="X896" i="2" s="1"/>
  <c r="AL896" i="2"/>
  <c r="AJ896" i="2"/>
  <c r="AI896" i="2"/>
  <c r="AH896" i="2"/>
  <c r="J896" i="2" s="1"/>
  <c r="AG896" i="2"/>
  <c r="AF896" i="2"/>
  <c r="AE896" i="2"/>
  <c r="U896" i="2"/>
  <c r="AA896" i="2" s="1"/>
  <c r="AY895" i="2"/>
  <c r="AX895" i="2"/>
  <c r="AW895" i="2"/>
  <c r="AV895" i="2"/>
  <c r="AU895" i="2"/>
  <c r="AT895" i="2"/>
  <c r="AJ895" i="2" s="1"/>
  <c r="AS895" i="2"/>
  <c r="AR895" i="2"/>
  <c r="AQ895" i="2"/>
  <c r="AH895" i="2" s="1"/>
  <c r="J895" i="2" s="1"/>
  <c r="AM895" i="2"/>
  <c r="X895" i="2" s="1"/>
  <c r="AL895" i="2"/>
  <c r="AI895" i="2"/>
  <c r="AG895" i="2"/>
  <c r="AF895" i="2"/>
  <c r="AE895" i="2"/>
  <c r="AY894" i="2"/>
  <c r="AX894" i="2"/>
  <c r="AW894" i="2"/>
  <c r="AG894" i="2" s="1"/>
  <c r="AV894" i="2"/>
  <c r="AU894" i="2"/>
  <c r="AT894" i="2"/>
  <c r="AJ894" i="2" s="1"/>
  <c r="AS894" i="2"/>
  <c r="AR894" i="2"/>
  <c r="AQ894" i="2"/>
  <c r="AM894" i="2"/>
  <c r="U894" i="2" s="1"/>
  <c r="AL894" i="2"/>
  <c r="T894" i="2" s="1"/>
  <c r="AI894" i="2"/>
  <c r="AH894" i="2"/>
  <c r="J894" i="2" s="1"/>
  <c r="AF894" i="2"/>
  <c r="AE894" i="2"/>
  <c r="AY893" i="2"/>
  <c r="AX893" i="2"/>
  <c r="AW893" i="2"/>
  <c r="AV893" i="2"/>
  <c r="AU893" i="2"/>
  <c r="AT893" i="2"/>
  <c r="AJ893" i="2" s="1"/>
  <c r="AS893" i="2"/>
  <c r="AR893" i="2"/>
  <c r="AQ893" i="2"/>
  <c r="AH893" i="2" s="1"/>
  <c r="AM893" i="2"/>
  <c r="AL893" i="2"/>
  <c r="T893" i="2" s="1"/>
  <c r="AI893" i="2"/>
  <c r="AG893" i="2"/>
  <c r="AF893" i="2"/>
  <c r="AE893" i="2"/>
  <c r="AY892" i="2"/>
  <c r="AX892" i="2"/>
  <c r="AW892" i="2"/>
  <c r="AG892" i="2" s="1"/>
  <c r="AV892" i="2"/>
  <c r="AU892" i="2"/>
  <c r="AT892" i="2"/>
  <c r="AJ892" i="2" s="1"/>
  <c r="AS892" i="2"/>
  <c r="AR892" i="2"/>
  <c r="AQ892" i="2"/>
  <c r="AM892" i="2"/>
  <c r="U892" i="2" s="1"/>
  <c r="AA892" i="2" s="1"/>
  <c r="AL892" i="2"/>
  <c r="AI892" i="2"/>
  <c r="AH892" i="2"/>
  <c r="AF892" i="2"/>
  <c r="AE892" i="2"/>
  <c r="AY891" i="2"/>
  <c r="AX891" i="2"/>
  <c r="AW891" i="2"/>
  <c r="AG891" i="2" s="1"/>
  <c r="AV891" i="2"/>
  <c r="AU891" i="2"/>
  <c r="AT891" i="2"/>
  <c r="AJ891" i="2" s="1"/>
  <c r="AS891" i="2"/>
  <c r="AR891" i="2"/>
  <c r="AQ891" i="2"/>
  <c r="AM891" i="2"/>
  <c r="AL891" i="2"/>
  <c r="AI891" i="2"/>
  <c r="AH891" i="2"/>
  <c r="AF891" i="2"/>
  <c r="AE891" i="2"/>
  <c r="AY890" i="2"/>
  <c r="AX890" i="2"/>
  <c r="AW890" i="2"/>
  <c r="AG890" i="2" s="1"/>
  <c r="AV890" i="2"/>
  <c r="AU890" i="2"/>
  <c r="AT890" i="2"/>
  <c r="AJ890" i="2" s="1"/>
  <c r="AS890" i="2"/>
  <c r="AR890" i="2"/>
  <c r="AQ890" i="2"/>
  <c r="AM890" i="2"/>
  <c r="AL890" i="2"/>
  <c r="T890" i="2" s="1"/>
  <c r="AI890" i="2"/>
  <c r="AH890" i="2"/>
  <c r="J890" i="2" s="1"/>
  <c r="AF890" i="2"/>
  <c r="AE890" i="2"/>
  <c r="AY889" i="2"/>
  <c r="AX889" i="2"/>
  <c r="AW889" i="2"/>
  <c r="AG889" i="2" s="1"/>
  <c r="AV889" i="2"/>
  <c r="AU889" i="2"/>
  <c r="AT889" i="2"/>
  <c r="AJ889" i="2" s="1"/>
  <c r="AS889" i="2"/>
  <c r="AR889" i="2"/>
  <c r="AQ889" i="2"/>
  <c r="AM889" i="2"/>
  <c r="AL889" i="2"/>
  <c r="AK889" i="2" s="1"/>
  <c r="AI889" i="2"/>
  <c r="AH889" i="2"/>
  <c r="AF889" i="2"/>
  <c r="AE889" i="2"/>
  <c r="AY888" i="2"/>
  <c r="AX888" i="2"/>
  <c r="AW888" i="2"/>
  <c r="AG888" i="2" s="1"/>
  <c r="AV888" i="2"/>
  <c r="AU888" i="2"/>
  <c r="AT888" i="2"/>
  <c r="AJ888" i="2" s="1"/>
  <c r="AS888" i="2"/>
  <c r="AR888" i="2"/>
  <c r="AQ888" i="2"/>
  <c r="AM888" i="2"/>
  <c r="AL888" i="2"/>
  <c r="AI888" i="2"/>
  <c r="AH888" i="2"/>
  <c r="J888" i="2" s="1"/>
  <c r="AF888" i="2"/>
  <c r="AE888" i="2"/>
  <c r="AY887" i="2"/>
  <c r="AX887" i="2"/>
  <c r="AW887" i="2"/>
  <c r="AV887" i="2"/>
  <c r="AU887" i="2"/>
  <c r="AT887" i="2"/>
  <c r="AJ887" i="2" s="1"/>
  <c r="AS887" i="2"/>
  <c r="AR887" i="2"/>
  <c r="AQ887" i="2"/>
  <c r="AH887" i="2" s="1"/>
  <c r="J887" i="2" s="1"/>
  <c r="AM887" i="2"/>
  <c r="AL887" i="2"/>
  <c r="AI887" i="2"/>
  <c r="AG887" i="2"/>
  <c r="AF887" i="2"/>
  <c r="AE887" i="2"/>
  <c r="AY886" i="2"/>
  <c r="AX886" i="2"/>
  <c r="AW886" i="2"/>
  <c r="AV886" i="2"/>
  <c r="AU886" i="2"/>
  <c r="AT886" i="2"/>
  <c r="AJ886" i="2" s="1"/>
  <c r="AS886" i="2"/>
  <c r="AR886" i="2"/>
  <c r="AQ886" i="2"/>
  <c r="AM886" i="2"/>
  <c r="AL886" i="2"/>
  <c r="T886" i="2" s="1"/>
  <c r="AI886" i="2"/>
  <c r="AH886" i="2"/>
  <c r="AG886" i="2"/>
  <c r="AF886" i="2"/>
  <c r="AE886" i="2"/>
  <c r="AY885" i="2"/>
  <c r="AX885" i="2"/>
  <c r="AW885" i="2"/>
  <c r="AG885" i="2" s="1"/>
  <c r="AV885" i="2"/>
  <c r="AU885" i="2"/>
  <c r="AT885" i="2"/>
  <c r="AJ885" i="2" s="1"/>
  <c r="AS885" i="2"/>
  <c r="AR885" i="2"/>
  <c r="AQ885" i="2"/>
  <c r="AH885" i="2" s="1"/>
  <c r="AM885" i="2"/>
  <c r="AL885" i="2"/>
  <c r="T885" i="2" s="1"/>
  <c r="Z885" i="2" s="1"/>
  <c r="AI885" i="2"/>
  <c r="AF885" i="2"/>
  <c r="AE885" i="2"/>
  <c r="AY884" i="2"/>
  <c r="AX884" i="2"/>
  <c r="AW884" i="2"/>
  <c r="AG884" i="2" s="1"/>
  <c r="AV884" i="2"/>
  <c r="AU884" i="2"/>
  <c r="AT884" i="2"/>
  <c r="AJ884" i="2" s="1"/>
  <c r="AS884" i="2"/>
  <c r="AR884" i="2"/>
  <c r="AQ884" i="2"/>
  <c r="AM884" i="2"/>
  <c r="AL884" i="2"/>
  <c r="AI884" i="2"/>
  <c r="AH884" i="2"/>
  <c r="J884" i="2" s="1"/>
  <c r="AF884" i="2"/>
  <c r="AE884" i="2"/>
  <c r="AY883" i="2"/>
  <c r="AX883" i="2"/>
  <c r="AW883" i="2"/>
  <c r="AV883" i="2"/>
  <c r="AU883" i="2"/>
  <c r="AT883" i="2"/>
  <c r="AJ883" i="2" s="1"/>
  <c r="AS883" i="2"/>
  <c r="AR883" i="2"/>
  <c r="AQ883" i="2"/>
  <c r="AH883" i="2" s="1"/>
  <c r="J883" i="2" s="1"/>
  <c r="AM883" i="2"/>
  <c r="AL883" i="2"/>
  <c r="AI883" i="2"/>
  <c r="AG883" i="2"/>
  <c r="AF883" i="2"/>
  <c r="AE883" i="2"/>
  <c r="AY882" i="2"/>
  <c r="AX882" i="2"/>
  <c r="AW882" i="2"/>
  <c r="AV882" i="2"/>
  <c r="AU882" i="2"/>
  <c r="AT882" i="2"/>
  <c r="AJ882" i="2" s="1"/>
  <c r="AS882" i="2"/>
  <c r="AR882" i="2"/>
  <c r="AQ882" i="2"/>
  <c r="AM882" i="2"/>
  <c r="AL882" i="2"/>
  <c r="AI882" i="2"/>
  <c r="AH882" i="2"/>
  <c r="AG882" i="2"/>
  <c r="AF882" i="2"/>
  <c r="AE882" i="2"/>
  <c r="AY881" i="2"/>
  <c r="AX881" i="2"/>
  <c r="AW881" i="2"/>
  <c r="AV881" i="2"/>
  <c r="AU881" i="2"/>
  <c r="AT881" i="2"/>
  <c r="AJ881" i="2" s="1"/>
  <c r="AS881" i="2"/>
  <c r="AR881" i="2"/>
  <c r="AQ881" i="2"/>
  <c r="AH881" i="2" s="1"/>
  <c r="J881" i="2" s="1"/>
  <c r="AM881" i="2"/>
  <c r="X881" i="2" s="1"/>
  <c r="AL881" i="2"/>
  <c r="AI881" i="2"/>
  <c r="AG881" i="2"/>
  <c r="AF881" i="2"/>
  <c r="AE881" i="2"/>
  <c r="AY880" i="2"/>
  <c r="AX880" i="2"/>
  <c r="AW880" i="2"/>
  <c r="AG880" i="2" s="1"/>
  <c r="AV880" i="2"/>
  <c r="AU880" i="2"/>
  <c r="AT880" i="2"/>
  <c r="AJ880" i="2" s="1"/>
  <c r="AS880" i="2"/>
  <c r="AR880" i="2"/>
  <c r="AQ880" i="2"/>
  <c r="AM880" i="2"/>
  <c r="AL880" i="2"/>
  <c r="T880" i="2" s="1"/>
  <c r="AI880" i="2"/>
  <c r="AH880" i="2"/>
  <c r="J880" i="2" s="1"/>
  <c r="AF880" i="2"/>
  <c r="AE880" i="2"/>
  <c r="AY879" i="2"/>
  <c r="AX879" i="2"/>
  <c r="AW879" i="2"/>
  <c r="AV879" i="2"/>
  <c r="AU879" i="2"/>
  <c r="AT879" i="2"/>
  <c r="AJ879" i="2" s="1"/>
  <c r="AS879" i="2"/>
  <c r="AR879" i="2"/>
  <c r="AQ879" i="2"/>
  <c r="AH879" i="2" s="1"/>
  <c r="J879" i="2" s="1"/>
  <c r="AM879" i="2"/>
  <c r="AL879" i="2"/>
  <c r="AI879" i="2"/>
  <c r="AG879" i="2"/>
  <c r="AF879" i="2"/>
  <c r="AE879" i="2"/>
  <c r="AY878" i="2"/>
  <c r="AX878" i="2"/>
  <c r="AW878" i="2"/>
  <c r="AV878" i="2"/>
  <c r="AU878" i="2"/>
  <c r="AT878" i="2"/>
  <c r="AJ878" i="2" s="1"/>
  <c r="AS878" i="2"/>
  <c r="AR878" i="2"/>
  <c r="AQ878" i="2"/>
  <c r="AM878" i="2"/>
  <c r="AL878" i="2"/>
  <c r="T878" i="2" s="1"/>
  <c r="AI878" i="2"/>
  <c r="AH878" i="2"/>
  <c r="AG878" i="2"/>
  <c r="AF878" i="2"/>
  <c r="AE878" i="2"/>
  <c r="AY877" i="2"/>
  <c r="AX877" i="2"/>
  <c r="AW877" i="2"/>
  <c r="AV877" i="2"/>
  <c r="AU877" i="2"/>
  <c r="AT877" i="2"/>
  <c r="AJ877" i="2" s="1"/>
  <c r="AS877" i="2"/>
  <c r="AR877" i="2"/>
  <c r="AQ877" i="2"/>
  <c r="AM877" i="2"/>
  <c r="X877" i="2" s="1"/>
  <c r="AL877" i="2"/>
  <c r="AI877" i="2"/>
  <c r="AH877" i="2"/>
  <c r="AG877" i="2"/>
  <c r="AF877" i="2"/>
  <c r="AE877" i="2"/>
  <c r="J877" i="2" s="1"/>
  <c r="AY876" i="2"/>
  <c r="AX876" i="2"/>
  <c r="AW876" i="2"/>
  <c r="AV876" i="2"/>
  <c r="AU876" i="2"/>
  <c r="AT876" i="2"/>
  <c r="AJ876" i="2" s="1"/>
  <c r="AS876" i="2"/>
  <c r="AR876" i="2"/>
  <c r="AQ876" i="2"/>
  <c r="AM876" i="2"/>
  <c r="AL876" i="2"/>
  <c r="T876" i="2" s="1"/>
  <c r="AI876" i="2"/>
  <c r="AH876" i="2"/>
  <c r="AG876" i="2"/>
  <c r="AF876" i="2"/>
  <c r="AE876" i="2"/>
  <c r="J876" i="2" s="1"/>
  <c r="AY875" i="2"/>
  <c r="AX875" i="2"/>
  <c r="AW875" i="2"/>
  <c r="AV875" i="2"/>
  <c r="AU875" i="2"/>
  <c r="AT875" i="2"/>
  <c r="AJ875" i="2" s="1"/>
  <c r="AS875" i="2"/>
  <c r="AR875" i="2"/>
  <c r="AQ875" i="2"/>
  <c r="AM875" i="2"/>
  <c r="X875" i="2" s="1"/>
  <c r="AL875" i="2"/>
  <c r="AI875" i="2"/>
  <c r="AH875" i="2"/>
  <c r="AG875" i="2"/>
  <c r="AF875" i="2"/>
  <c r="AE875" i="2"/>
  <c r="J875" i="2" s="1"/>
  <c r="AY874" i="2"/>
  <c r="AX874" i="2"/>
  <c r="AW874" i="2"/>
  <c r="AV874" i="2"/>
  <c r="AU874" i="2"/>
  <c r="AT874" i="2"/>
  <c r="AJ874" i="2" s="1"/>
  <c r="AS874" i="2"/>
  <c r="AR874" i="2"/>
  <c r="AQ874" i="2"/>
  <c r="AM874" i="2"/>
  <c r="AL874" i="2"/>
  <c r="T874" i="2" s="1"/>
  <c r="Z874" i="2" s="1"/>
  <c r="AI874" i="2"/>
  <c r="AH874" i="2"/>
  <c r="AG874" i="2"/>
  <c r="AF874" i="2"/>
  <c r="AE874" i="2"/>
  <c r="J874" i="2" s="1"/>
  <c r="AY873" i="2"/>
  <c r="AX873" i="2"/>
  <c r="AW873" i="2"/>
  <c r="AV873" i="2"/>
  <c r="AU873" i="2"/>
  <c r="AT873" i="2"/>
  <c r="AJ873" i="2" s="1"/>
  <c r="AS873" i="2"/>
  <c r="AR873" i="2"/>
  <c r="AQ873" i="2"/>
  <c r="AM873" i="2"/>
  <c r="X873" i="2" s="1"/>
  <c r="AL873" i="2"/>
  <c r="AI873" i="2"/>
  <c r="AH873" i="2"/>
  <c r="AG873" i="2"/>
  <c r="AF873" i="2"/>
  <c r="AE873" i="2"/>
  <c r="J873" i="2" s="1"/>
  <c r="AY872" i="2"/>
  <c r="AX872" i="2"/>
  <c r="AW872" i="2"/>
  <c r="AV872" i="2"/>
  <c r="AU872" i="2"/>
  <c r="AT872" i="2"/>
  <c r="AJ872" i="2" s="1"/>
  <c r="AS872" i="2"/>
  <c r="AR872" i="2"/>
  <c r="AQ872" i="2"/>
  <c r="AM872" i="2"/>
  <c r="AL872" i="2"/>
  <c r="T872" i="2" s="1"/>
  <c r="AI872" i="2"/>
  <c r="AH872" i="2"/>
  <c r="AG872" i="2"/>
  <c r="AF872" i="2"/>
  <c r="AE872" i="2"/>
  <c r="J872" i="2" s="1"/>
  <c r="AY871" i="2"/>
  <c r="AX871" i="2"/>
  <c r="AW871" i="2"/>
  <c r="AV871" i="2"/>
  <c r="AU871" i="2"/>
  <c r="AT871" i="2"/>
  <c r="AJ871" i="2" s="1"/>
  <c r="AS871" i="2"/>
  <c r="AR871" i="2"/>
  <c r="AQ871" i="2"/>
  <c r="AM871" i="2"/>
  <c r="X871" i="2" s="1"/>
  <c r="AL871" i="2"/>
  <c r="T871" i="2" s="1"/>
  <c r="Z871" i="2" s="1"/>
  <c r="AI871" i="2"/>
  <c r="AH871" i="2"/>
  <c r="AG871" i="2"/>
  <c r="AF871" i="2"/>
  <c r="AE871" i="2"/>
  <c r="J871" i="2" s="1"/>
  <c r="AY870" i="2"/>
  <c r="AX870" i="2"/>
  <c r="AW870" i="2"/>
  <c r="AV870" i="2"/>
  <c r="AU870" i="2"/>
  <c r="AT870" i="2"/>
  <c r="AJ870" i="2" s="1"/>
  <c r="AS870" i="2"/>
  <c r="AR870" i="2"/>
  <c r="AQ870" i="2"/>
  <c r="AM870" i="2"/>
  <c r="AL870" i="2"/>
  <c r="T870" i="2" s="1"/>
  <c r="AI870" i="2"/>
  <c r="AH870" i="2"/>
  <c r="AG870" i="2"/>
  <c r="AF870" i="2"/>
  <c r="AE870" i="2"/>
  <c r="AY869" i="2"/>
  <c r="AX869" i="2"/>
  <c r="AW869" i="2"/>
  <c r="AG869" i="2" s="1"/>
  <c r="AV869" i="2"/>
  <c r="AU869" i="2"/>
  <c r="AT869" i="2"/>
  <c r="AJ869" i="2" s="1"/>
  <c r="AS869" i="2"/>
  <c r="AR869" i="2"/>
  <c r="AQ869" i="2"/>
  <c r="AH869" i="2" s="1"/>
  <c r="AM869" i="2"/>
  <c r="X869" i="2" s="1"/>
  <c r="AL869" i="2"/>
  <c r="AI869" i="2"/>
  <c r="AF869" i="2"/>
  <c r="AE869" i="2"/>
  <c r="AY868" i="2"/>
  <c r="AX868" i="2"/>
  <c r="AW868" i="2"/>
  <c r="AG868" i="2" s="1"/>
  <c r="AV868" i="2"/>
  <c r="AU868" i="2"/>
  <c r="AT868" i="2"/>
  <c r="AJ868" i="2" s="1"/>
  <c r="AS868" i="2"/>
  <c r="AR868" i="2"/>
  <c r="AQ868" i="2"/>
  <c r="AM868" i="2"/>
  <c r="AL868" i="2"/>
  <c r="T868" i="2" s="1"/>
  <c r="AI868" i="2"/>
  <c r="AH868" i="2"/>
  <c r="J868" i="2" s="1"/>
  <c r="AF868" i="2"/>
  <c r="AE868" i="2"/>
  <c r="AY867" i="2"/>
  <c r="AX867" i="2"/>
  <c r="AW867" i="2"/>
  <c r="AV867" i="2"/>
  <c r="AU867" i="2"/>
  <c r="AT867" i="2"/>
  <c r="AJ867" i="2" s="1"/>
  <c r="AS867" i="2"/>
  <c r="AR867" i="2"/>
  <c r="AQ867" i="2"/>
  <c r="AH867" i="2" s="1"/>
  <c r="J867" i="2" s="1"/>
  <c r="AM867" i="2"/>
  <c r="AL867" i="2"/>
  <c r="AI867" i="2"/>
  <c r="AG867" i="2"/>
  <c r="AF867" i="2"/>
  <c r="AE867" i="2"/>
  <c r="AY866" i="2"/>
  <c r="AX866" i="2"/>
  <c r="AW866" i="2"/>
  <c r="AV866" i="2"/>
  <c r="AU866" i="2"/>
  <c r="AT866" i="2"/>
  <c r="AS866" i="2"/>
  <c r="AR866" i="2"/>
  <c r="AE866" i="2" s="1"/>
  <c r="AQ866" i="2"/>
  <c r="AL866" i="2"/>
  <c r="X866" i="2" s="1"/>
  <c r="AJ866" i="2"/>
  <c r="AI866" i="2"/>
  <c r="AH866" i="2"/>
  <c r="AG866" i="2"/>
  <c r="AF866" i="2"/>
  <c r="AY865" i="2"/>
  <c r="AX865" i="2"/>
  <c r="AW865" i="2"/>
  <c r="AV865" i="2"/>
  <c r="AU865" i="2"/>
  <c r="AT865" i="2"/>
  <c r="AS865" i="2"/>
  <c r="AR865" i="2"/>
  <c r="AE865" i="2" s="1"/>
  <c r="AQ865" i="2"/>
  <c r="AL865" i="2"/>
  <c r="AK865" i="2" s="1"/>
  <c r="AJ865" i="2"/>
  <c r="AI865" i="2"/>
  <c r="AH865" i="2"/>
  <c r="AG865" i="2"/>
  <c r="AF865" i="2"/>
  <c r="AY864" i="2"/>
  <c r="AX864" i="2"/>
  <c r="AW864" i="2"/>
  <c r="AV864" i="2"/>
  <c r="AU864" i="2"/>
  <c r="AT864" i="2"/>
  <c r="AS864" i="2"/>
  <c r="AR864" i="2"/>
  <c r="AE864" i="2" s="1"/>
  <c r="AQ864" i="2"/>
  <c r="AL864" i="2"/>
  <c r="T864" i="2" s="1"/>
  <c r="AJ864" i="2"/>
  <c r="AI864" i="2"/>
  <c r="AH864" i="2"/>
  <c r="AG864" i="2"/>
  <c r="AF864" i="2"/>
  <c r="AY863" i="2"/>
  <c r="AX863" i="2"/>
  <c r="AW863" i="2"/>
  <c r="AV863" i="2"/>
  <c r="AU863" i="2"/>
  <c r="AT863" i="2"/>
  <c r="AS863" i="2"/>
  <c r="AR863" i="2"/>
  <c r="AE863" i="2" s="1"/>
  <c r="AQ863" i="2"/>
  <c r="AL863" i="2"/>
  <c r="AJ863" i="2"/>
  <c r="AI863" i="2"/>
  <c r="AH863" i="2"/>
  <c r="AG863" i="2"/>
  <c r="AF863" i="2"/>
  <c r="AY862" i="2"/>
  <c r="AX862" i="2"/>
  <c r="AW862" i="2"/>
  <c r="AV862" i="2"/>
  <c r="AU862" i="2"/>
  <c r="AT862" i="2"/>
  <c r="AS862" i="2"/>
  <c r="AR862" i="2"/>
  <c r="AE862" i="2" s="1"/>
  <c r="AQ862" i="2"/>
  <c r="AL862" i="2"/>
  <c r="T862" i="2" s="1"/>
  <c r="AJ862" i="2"/>
  <c r="AI862" i="2"/>
  <c r="AH862" i="2"/>
  <c r="AG862" i="2"/>
  <c r="AF862" i="2"/>
  <c r="AY861" i="2"/>
  <c r="AX861" i="2"/>
  <c r="AW861" i="2"/>
  <c r="AV861" i="2"/>
  <c r="AU861" i="2"/>
  <c r="AT861" i="2"/>
  <c r="AS861" i="2"/>
  <c r="AR861" i="2"/>
  <c r="AE861" i="2" s="1"/>
  <c r="AQ861" i="2"/>
  <c r="AL861" i="2"/>
  <c r="AJ861" i="2"/>
  <c r="AI861" i="2"/>
  <c r="AH861" i="2"/>
  <c r="AG861" i="2"/>
  <c r="AF861" i="2"/>
  <c r="AY860" i="2"/>
  <c r="AX860" i="2"/>
  <c r="AW860" i="2"/>
  <c r="AV860" i="2"/>
  <c r="AU860" i="2"/>
  <c r="AT860" i="2"/>
  <c r="AS860" i="2"/>
  <c r="AR860" i="2"/>
  <c r="AE860" i="2" s="1"/>
  <c r="AQ860" i="2"/>
  <c r="AL860" i="2"/>
  <c r="T860" i="2" s="1"/>
  <c r="AJ860" i="2"/>
  <c r="AI860" i="2"/>
  <c r="AH860" i="2"/>
  <c r="AG860" i="2"/>
  <c r="AF860" i="2"/>
  <c r="AY859" i="2"/>
  <c r="AX859" i="2"/>
  <c r="AW859" i="2"/>
  <c r="AV859" i="2"/>
  <c r="AU859" i="2"/>
  <c r="AT859" i="2"/>
  <c r="AS859" i="2"/>
  <c r="AR859" i="2"/>
  <c r="AE859" i="2" s="1"/>
  <c r="AQ859" i="2"/>
  <c r="AL859" i="2"/>
  <c r="AJ859" i="2"/>
  <c r="AI859" i="2"/>
  <c r="AH859" i="2"/>
  <c r="AG859" i="2"/>
  <c r="AF859" i="2"/>
  <c r="AY858" i="2"/>
  <c r="AX858" i="2"/>
  <c r="AW858" i="2"/>
  <c r="AV858" i="2"/>
  <c r="AU858" i="2"/>
  <c r="AT858" i="2"/>
  <c r="AS858" i="2"/>
  <c r="AR858" i="2"/>
  <c r="AE858" i="2" s="1"/>
  <c r="AQ858" i="2"/>
  <c r="AL858" i="2"/>
  <c r="T858" i="2" s="1"/>
  <c r="AJ858" i="2"/>
  <c r="AI858" i="2"/>
  <c r="AH858" i="2"/>
  <c r="AG858" i="2"/>
  <c r="AF858" i="2"/>
  <c r="AY857" i="2"/>
  <c r="AX857" i="2"/>
  <c r="AW857" i="2"/>
  <c r="AV857" i="2"/>
  <c r="AU857" i="2"/>
  <c r="AT857" i="2"/>
  <c r="AS857" i="2"/>
  <c r="AR857" i="2"/>
  <c r="AE857" i="2" s="1"/>
  <c r="AQ857" i="2"/>
  <c r="AL857" i="2"/>
  <c r="AJ857" i="2"/>
  <c r="AI857" i="2"/>
  <c r="AH857" i="2"/>
  <c r="AG857" i="2"/>
  <c r="AF857" i="2"/>
  <c r="AY856" i="2"/>
  <c r="AX856" i="2"/>
  <c r="AW856" i="2"/>
  <c r="AV856" i="2"/>
  <c r="AU856" i="2"/>
  <c r="AT856" i="2"/>
  <c r="AS856" i="2"/>
  <c r="AR856" i="2"/>
  <c r="AE856" i="2" s="1"/>
  <c r="AQ856" i="2"/>
  <c r="AL856" i="2"/>
  <c r="T856" i="2" s="1"/>
  <c r="AJ856" i="2"/>
  <c r="AI856" i="2"/>
  <c r="AH856" i="2"/>
  <c r="AG856" i="2"/>
  <c r="AF856" i="2"/>
  <c r="AY855" i="2"/>
  <c r="AX855" i="2"/>
  <c r="AW855" i="2"/>
  <c r="AV855" i="2"/>
  <c r="AU855" i="2"/>
  <c r="AT855" i="2"/>
  <c r="AS855" i="2"/>
  <c r="AR855" i="2"/>
  <c r="AE855" i="2" s="1"/>
  <c r="AQ855" i="2"/>
  <c r="AL855" i="2"/>
  <c r="AJ855" i="2"/>
  <c r="AI855" i="2"/>
  <c r="AH855" i="2"/>
  <c r="AG855" i="2"/>
  <c r="AF855" i="2"/>
  <c r="AY854" i="2"/>
  <c r="AX854" i="2"/>
  <c r="AW854" i="2"/>
  <c r="AV854" i="2"/>
  <c r="AU854" i="2"/>
  <c r="AT854" i="2"/>
  <c r="AS854" i="2"/>
  <c r="AR854" i="2"/>
  <c r="AE854" i="2" s="1"/>
  <c r="AQ854" i="2"/>
  <c r="AL854" i="2"/>
  <c r="AK854" i="2" s="1"/>
  <c r="AJ854" i="2"/>
  <c r="AI854" i="2"/>
  <c r="AH854" i="2"/>
  <c r="AG854" i="2"/>
  <c r="AF854" i="2"/>
  <c r="AY853" i="2"/>
  <c r="AX853" i="2"/>
  <c r="AW853" i="2"/>
  <c r="AV853" i="2"/>
  <c r="AU853" i="2"/>
  <c r="AT853" i="2"/>
  <c r="AS853" i="2"/>
  <c r="AR853" i="2"/>
  <c r="AE853" i="2" s="1"/>
  <c r="AQ853" i="2"/>
  <c r="AL853" i="2"/>
  <c r="AJ853" i="2"/>
  <c r="AI853" i="2"/>
  <c r="AH853" i="2"/>
  <c r="AG853" i="2"/>
  <c r="AF853" i="2"/>
  <c r="AY852" i="2"/>
  <c r="AX852" i="2"/>
  <c r="AW852" i="2"/>
  <c r="AV852" i="2"/>
  <c r="AU852" i="2"/>
  <c r="AT852" i="2"/>
  <c r="AS852" i="2"/>
  <c r="AR852" i="2"/>
  <c r="AE852" i="2" s="1"/>
  <c r="AQ852" i="2"/>
  <c r="AL852" i="2"/>
  <c r="AK852" i="2" s="1"/>
  <c r="AJ852" i="2"/>
  <c r="AI852" i="2"/>
  <c r="AH852" i="2"/>
  <c r="AG852" i="2"/>
  <c r="AF852" i="2"/>
  <c r="AY851" i="2"/>
  <c r="AX851" i="2"/>
  <c r="AW851" i="2"/>
  <c r="AV851" i="2"/>
  <c r="AU851" i="2"/>
  <c r="AT851" i="2"/>
  <c r="AS851" i="2"/>
  <c r="AR851" i="2"/>
  <c r="AE851" i="2" s="1"/>
  <c r="AQ851" i="2"/>
  <c r="AL851" i="2"/>
  <c r="AJ851" i="2"/>
  <c r="AI851" i="2"/>
  <c r="AH851" i="2"/>
  <c r="AG851" i="2"/>
  <c r="AF851" i="2"/>
  <c r="AY850" i="2"/>
  <c r="AX850" i="2"/>
  <c r="AW850" i="2"/>
  <c r="AV850" i="2"/>
  <c r="AU850" i="2"/>
  <c r="AT850" i="2"/>
  <c r="AS850" i="2"/>
  <c r="AR850" i="2"/>
  <c r="AE850" i="2" s="1"/>
  <c r="AQ850" i="2"/>
  <c r="AL850" i="2"/>
  <c r="AK850" i="2" s="1"/>
  <c r="AJ850" i="2"/>
  <c r="AI850" i="2"/>
  <c r="AH850" i="2"/>
  <c r="AG850" i="2"/>
  <c r="AF850" i="2"/>
  <c r="AY849" i="2"/>
  <c r="AX849" i="2"/>
  <c r="AW849" i="2"/>
  <c r="AV849" i="2"/>
  <c r="AU849" i="2"/>
  <c r="AT849" i="2"/>
  <c r="AS849" i="2"/>
  <c r="AR849" i="2"/>
  <c r="AE849" i="2" s="1"/>
  <c r="AQ849" i="2"/>
  <c r="AL849" i="2"/>
  <c r="AJ849" i="2"/>
  <c r="AI849" i="2"/>
  <c r="AH849" i="2"/>
  <c r="AG849" i="2"/>
  <c r="AF849" i="2"/>
  <c r="AY848" i="2"/>
  <c r="AX848" i="2"/>
  <c r="AW848" i="2"/>
  <c r="AV848" i="2"/>
  <c r="AU848" i="2"/>
  <c r="AT848" i="2"/>
  <c r="AS848" i="2"/>
  <c r="AR848" i="2"/>
  <c r="AE848" i="2" s="1"/>
  <c r="AQ848" i="2"/>
  <c r="AL848" i="2"/>
  <c r="AK848" i="2" s="1"/>
  <c r="AJ848" i="2"/>
  <c r="AI848" i="2"/>
  <c r="AH848" i="2"/>
  <c r="AG848" i="2"/>
  <c r="AF848" i="2"/>
  <c r="AY847" i="2"/>
  <c r="AX847" i="2"/>
  <c r="AW847" i="2"/>
  <c r="AV847" i="2"/>
  <c r="AU847" i="2"/>
  <c r="AT847" i="2"/>
  <c r="AS847" i="2"/>
  <c r="AR847" i="2"/>
  <c r="AE847" i="2" s="1"/>
  <c r="AQ847" i="2"/>
  <c r="AL847" i="2"/>
  <c r="AJ847" i="2"/>
  <c r="AI847" i="2"/>
  <c r="AH847" i="2"/>
  <c r="AG847" i="2"/>
  <c r="AF847" i="2"/>
  <c r="AY846" i="2"/>
  <c r="AX846" i="2"/>
  <c r="AW846" i="2"/>
  <c r="AV846" i="2"/>
  <c r="AU846" i="2"/>
  <c r="AT846" i="2"/>
  <c r="AS846" i="2"/>
  <c r="AR846" i="2"/>
  <c r="AE846" i="2" s="1"/>
  <c r="AQ846" i="2"/>
  <c r="AL846" i="2"/>
  <c r="AK846" i="2" s="1"/>
  <c r="AJ846" i="2"/>
  <c r="AI846" i="2"/>
  <c r="AH846" i="2"/>
  <c r="AG846" i="2"/>
  <c r="AF846" i="2"/>
  <c r="AY845" i="2"/>
  <c r="AX845" i="2"/>
  <c r="AW845" i="2"/>
  <c r="AV845" i="2"/>
  <c r="AU845" i="2"/>
  <c r="AT845" i="2"/>
  <c r="AS845" i="2"/>
  <c r="AR845" i="2"/>
  <c r="AE845" i="2" s="1"/>
  <c r="AQ845" i="2"/>
  <c r="AL845" i="2"/>
  <c r="AJ845" i="2"/>
  <c r="AI845" i="2"/>
  <c r="AH845" i="2"/>
  <c r="AG845" i="2"/>
  <c r="AF845" i="2"/>
  <c r="AY844" i="2"/>
  <c r="AX844" i="2"/>
  <c r="AW844" i="2"/>
  <c r="AV844" i="2"/>
  <c r="AU844" i="2"/>
  <c r="AT844" i="2"/>
  <c r="AS844" i="2"/>
  <c r="AR844" i="2"/>
  <c r="AE844" i="2" s="1"/>
  <c r="AQ844" i="2"/>
  <c r="AL844" i="2"/>
  <c r="AK844" i="2" s="1"/>
  <c r="AJ844" i="2"/>
  <c r="AI844" i="2"/>
  <c r="AH844" i="2"/>
  <c r="AG844" i="2"/>
  <c r="AF844" i="2"/>
  <c r="AY843" i="2"/>
  <c r="AX843" i="2"/>
  <c r="AW843" i="2"/>
  <c r="AV843" i="2"/>
  <c r="AU843" i="2"/>
  <c r="AT843" i="2"/>
  <c r="AS843" i="2"/>
  <c r="AR843" i="2"/>
  <c r="AE843" i="2" s="1"/>
  <c r="AQ843" i="2"/>
  <c r="AL843" i="2"/>
  <c r="AJ843" i="2"/>
  <c r="AI843" i="2"/>
  <c r="AH843" i="2"/>
  <c r="AG843" i="2"/>
  <c r="AF843" i="2"/>
  <c r="AY842" i="2"/>
  <c r="AX842" i="2"/>
  <c r="AW842" i="2"/>
  <c r="AV842" i="2"/>
  <c r="AU842" i="2"/>
  <c r="AT842" i="2"/>
  <c r="AS842" i="2"/>
  <c r="AR842" i="2"/>
  <c r="AE842" i="2" s="1"/>
  <c r="AQ842" i="2"/>
  <c r="AL842" i="2"/>
  <c r="AK842" i="2" s="1"/>
  <c r="AJ842" i="2"/>
  <c r="AI842" i="2"/>
  <c r="AH842" i="2"/>
  <c r="AG842" i="2"/>
  <c r="AF842" i="2"/>
  <c r="AY841" i="2"/>
  <c r="AX841" i="2"/>
  <c r="AW841" i="2"/>
  <c r="AV841" i="2"/>
  <c r="AU841" i="2"/>
  <c r="AT841" i="2"/>
  <c r="AS841" i="2"/>
  <c r="AR841" i="2"/>
  <c r="AE841" i="2" s="1"/>
  <c r="AQ841" i="2"/>
  <c r="AL841" i="2"/>
  <c r="AJ841" i="2"/>
  <c r="AI841" i="2"/>
  <c r="AH841" i="2"/>
  <c r="AG841" i="2"/>
  <c r="AF841" i="2"/>
  <c r="AY840" i="2"/>
  <c r="AX840" i="2"/>
  <c r="AW840" i="2"/>
  <c r="AV840" i="2"/>
  <c r="AU840" i="2"/>
  <c r="AT840" i="2"/>
  <c r="AS840" i="2"/>
  <c r="AR840" i="2"/>
  <c r="AE840" i="2" s="1"/>
  <c r="AQ840" i="2"/>
  <c r="AH840" i="2" s="1"/>
  <c r="AL840" i="2"/>
  <c r="AK840" i="2" s="1"/>
  <c r="AJ840" i="2"/>
  <c r="AI840" i="2"/>
  <c r="AG840" i="2"/>
  <c r="AF840" i="2"/>
  <c r="AY839" i="2"/>
  <c r="AX839" i="2"/>
  <c r="AW839" i="2"/>
  <c r="AV839" i="2"/>
  <c r="AU839" i="2"/>
  <c r="AT839" i="2"/>
  <c r="AS839" i="2"/>
  <c r="AR839" i="2"/>
  <c r="AE839" i="2" s="1"/>
  <c r="AQ839" i="2"/>
  <c r="AL839" i="2"/>
  <c r="AJ839" i="2"/>
  <c r="AI839" i="2"/>
  <c r="AH839" i="2"/>
  <c r="AG839" i="2"/>
  <c r="AF839" i="2"/>
  <c r="AY838" i="2"/>
  <c r="AX838" i="2"/>
  <c r="AW838" i="2"/>
  <c r="AV838" i="2"/>
  <c r="AU838" i="2"/>
  <c r="AT838" i="2"/>
  <c r="AS838" i="2"/>
  <c r="AR838" i="2"/>
  <c r="AE838" i="2" s="1"/>
  <c r="AQ838" i="2"/>
  <c r="AH838" i="2" s="1"/>
  <c r="AL838" i="2"/>
  <c r="AK838" i="2" s="1"/>
  <c r="AJ838" i="2"/>
  <c r="AI838" i="2"/>
  <c r="AG838" i="2"/>
  <c r="AF838" i="2"/>
  <c r="AY837" i="2"/>
  <c r="AX837" i="2"/>
  <c r="AW837" i="2"/>
  <c r="AV837" i="2"/>
  <c r="AU837" i="2"/>
  <c r="AT837" i="2"/>
  <c r="AS837" i="2"/>
  <c r="AR837" i="2"/>
  <c r="AE837" i="2" s="1"/>
  <c r="AQ837" i="2"/>
  <c r="AH837" i="2" s="1"/>
  <c r="AL837" i="2"/>
  <c r="AJ837" i="2"/>
  <c r="AI837" i="2"/>
  <c r="AG837" i="2"/>
  <c r="AF837" i="2"/>
  <c r="AY836" i="2"/>
  <c r="AX836" i="2"/>
  <c r="AW836" i="2"/>
  <c r="AV836" i="2"/>
  <c r="AU836" i="2"/>
  <c r="AT836" i="2"/>
  <c r="AS836" i="2"/>
  <c r="AR836" i="2"/>
  <c r="AE836" i="2" s="1"/>
  <c r="AQ836" i="2"/>
  <c r="AH836" i="2" s="1"/>
  <c r="AL836" i="2"/>
  <c r="AK836" i="2" s="1"/>
  <c r="AJ836" i="2"/>
  <c r="AI836" i="2"/>
  <c r="AG836" i="2"/>
  <c r="AF836" i="2"/>
  <c r="AY835" i="2"/>
  <c r="AX835" i="2"/>
  <c r="AW835" i="2"/>
  <c r="AV835" i="2"/>
  <c r="AU835" i="2"/>
  <c r="AT835" i="2"/>
  <c r="AS835" i="2"/>
  <c r="AR835" i="2"/>
  <c r="AE835" i="2" s="1"/>
  <c r="AQ835" i="2"/>
  <c r="AH835" i="2" s="1"/>
  <c r="AL835" i="2"/>
  <c r="AJ835" i="2"/>
  <c r="AI835" i="2"/>
  <c r="AG835" i="2"/>
  <c r="AF835" i="2"/>
  <c r="AY834" i="2"/>
  <c r="AX834" i="2"/>
  <c r="AW834" i="2"/>
  <c r="AV834" i="2"/>
  <c r="AU834" i="2"/>
  <c r="AT834" i="2"/>
  <c r="AS834" i="2"/>
  <c r="AR834" i="2"/>
  <c r="AE834" i="2" s="1"/>
  <c r="AQ834" i="2"/>
  <c r="AH834" i="2" s="1"/>
  <c r="AL834" i="2"/>
  <c r="AK834" i="2" s="1"/>
  <c r="AJ834" i="2"/>
  <c r="AI834" i="2"/>
  <c r="AG834" i="2"/>
  <c r="AF834" i="2"/>
  <c r="AY833" i="2"/>
  <c r="AX833" i="2"/>
  <c r="AW833" i="2"/>
  <c r="AV833" i="2"/>
  <c r="AU833" i="2"/>
  <c r="AT833" i="2"/>
  <c r="AS833" i="2"/>
  <c r="AR833" i="2"/>
  <c r="AE833" i="2" s="1"/>
  <c r="AQ833" i="2"/>
  <c r="AH833" i="2" s="1"/>
  <c r="AL833" i="2"/>
  <c r="AJ833" i="2"/>
  <c r="AI833" i="2"/>
  <c r="AG833" i="2"/>
  <c r="AF833" i="2"/>
  <c r="AY832" i="2"/>
  <c r="AX832" i="2"/>
  <c r="AW832" i="2"/>
  <c r="AV832" i="2"/>
  <c r="AU832" i="2"/>
  <c r="AT832" i="2"/>
  <c r="AS832" i="2"/>
  <c r="AR832" i="2"/>
  <c r="AE832" i="2" s="1"/>
  <c r="AQ832" i="2"/>
  <c r="AH832" i="2" s="1"/>
  <c r="AL832" i="2"/>
  <c r="AJ832" i="2"/>
  <c r="AI832" i="2"/>
  <c r="AG832" i="2"/>
  <c r="AF832" i="2"/>
  <c r="AY831" i="2"/>
  <c r="AX831" i="2"/>
  <c r="AW831" i="2"/>
  <c r="AV831" i="2"/>
  <c r="AU831" i="2"/>
  <c r="AT831" i="2"/>
  <c r="AS831" i="2"/>
  <c r="AR831" i="2"/>
  <c r="AE831" i="2" s="1"/>
  <c r="AQ831" i="2"/>
  <c r="AL831" i="2"/>
  <c r="AJ831" i="2"/>
  <c r="AI831" i="2"/>
  <c r="AH831" i="2"/>
  <c r="AG831" i="2"/>
  <c r="AF831" i="2"/>
  <c r="AY830" i="2"/>
  <c r="AX830" i="2"/>
  <c r="AW830" i="2"/>
  <c r="AV830" i="2"/>
  <c r="AU830" i="2"/>
  <c r="AT830" i="2"/>
  <c r="AS830" i="2"/>
  <c r="AR830" i="2"/>
  <c r="AE830" i="2" s="1"/>
  <c r="AQ830" i="2"/>
  <c r="AH830" i="2" s="1"/>
  <c r="AL830" i="2"/>
  <c r="AJ830" i="2"/>
  <c r="AI830" i="2"/>
  <c r="AG830" i="2"/>
  <c r="AF830" i="2"/>
  <c r="AY829" i="2"/>
  <c r="AX829" i="2"/>
  <c r="AW829" i="2"/>
  <c r="AV829" i="2"/>
  <c r="AU829" i="2"/>
  <c r="AT829" i="2"/>
  <c r="AS829" i="2"/>
  <c r="AR829" i="2"/>
  <c r="AE829" i="2" s="1"/>
  <c r="AQ829" i="2"/>
  <c r="AL829" i="2"/>
  <c r="T829" i="2" s="1"/>
  <c r="AJ829" i="2"/>
  <c r="AI829" i="2"/>
  <c r="AH829" i="2"/>
  <c r="AG829" i="2"/>
  <c r="AF829" i="2"/>
  <c r="AY828" i="2"/>
  <c r="AX828" i="2"/>
  <c r="AW828" i="2"/>
  <c r="AV828" i="2"/>
  <c r="AU828" i="2"/>
  <c r="AT828" i="2"/>
  <c r="AS828" i="2"/>
  <c r="AR828" i="2"/>
  <c r="AE828" i="2" s="1"/>
  <c r="AQ828" i="2"/>
  <c r="AL828" i="2"/>
  <c r="AJ828" i="2"/>
  <c r="AI828" i="2"/>
  <c r="AH828" i="2"/>
  <c r="AG828" i="2"/>
  <c r="AF828" i="2"/>
  <c r="AY827" i="2"/>
  <c r="AX827" i="2"/>
  <c r="AW827" i="2"/>
  <c r="AV827" i="2"/>
  <c r="AU827" i="2"/>
  <c r="AT827" i="2"/>
  <c r="AS827" i="2"/>
  <c r="AR827" i="2"/>
  <c r="AE827" i="2" s="1"/>
  <c r="AQ827" i="2"/>
  <c r="AL827" i="2"/>
  <c r="T827" i="2" s="1"/>
  <c r="AJ827" i="2"/>
  <c r="AI827" i="2"/>
  <c r="AH827" i="2"/>
  <c r="AG827" i="2"/>
  <c r="AF827" i="2"/>
  <c r="AY826" i="2"/>
  <c r="AX826" i="2"/>
  <c r="AW826" i="2"/>
  <c r="AV826" i="2"/>
  <c r="AU826" i="2"/>
  <c r="AT826" i="2"/>
  <c r="AS826" i="2"/>
  <c r="AR826" i="2"/>
  <c r="AE826" i="2" s="1"/>
  <c r="AQ826" i="2"/>
  <c r="AH826" i="2" s="1"/>
  <c r="AL826" i="2"/>
  <c r="AJ826" i="2"/>
  <c r="AI826" i="2"/>
  <c r="AG826" i="2"/>
  <c r="AF826" i="2"/>
  <c r="AY825" i="2"/>
  <c r="AX825" i="2"/>
  <c r="AW825" i="2"/>
  <c r="AV825" i="2"/>
  <c r="AU825" i="2"/>
  <c r="AT825" i="2"/>
  <c r="AS825" i="2"/>
  <c r="AR825" i="2"/>
  <c r="AE825" i="2" s="1"/>
  <c r="AQ825" i="2"/>
  <c r="AL825" i="2"/>
  <c r="AJ825" i="2"/>
  <c r="AI825" i="2"/>
  <c r="AH825" i="2"/>
  <c r="AG825" i="2"/>
  <c r="AF825" i="2"/>
  <c r="AY824" i="2"/>
  <c r="AX824" i="2"/>
  <c r="AW824" i="2"/>
  <c r="AV824" i="2"/>
  <c r="AU824" i="2"/>
  <c r="AT824" i="2"/>
  <c r="AS824" i="2"/>
  <c r="AR824" i="2"/>
  <c r="AE824" i="2" s="1"/>
  <c r="AQ824" i="2"/>
  <c r="AL824" i="2"/>
  <c r="AJ824" i="2"/>
  <c r="AI824" i="2"/>
  <c r="AH824" i="2"/>
  <c r="AG824" i="2"/>
  <c r="AF824" i="2"/>
  <c r="AY823" i="2"/>
  <c r="AX823" i="2"/>
  <c r="AW823" i="2"/>
  <c r="AV823" i="2"/>
  <c r="AU823" i="2"/>
  <c r="AT823" i="2"/>
  <c r="AS823" i="2"/>
  <c r="AR823" i="2"/>
  <c r="AE823" i="2" s="1"/>
  <c r="AQ823" i="2"/>
  <c r="AL823" i="2"/>
  <c r="AJ823" i="2"/>
  <c r="AI823" i="2"/>
  <c r="AH823" i="2"/>
  <c r="AG823" i="2"/>
  <c r="AF823" i="2"/>
  <c r="AY822" i="2"/>
  <c r="AX822" i="2"/>
  <c r="AW822" i="2"/>
  <c r="AV822" i="2"/>
  <c r="AU822" i="2"/>
  <c r="AT822" i="2"/>
  <c r="AS822" i="2"/>
  <c r="AR822" i="2"/>
  <c r="AE822" i="2" s="1"/>
  <c r="AQ822" i="2"/>
  <c r="AH822" i="2" s="1"/>
  <c r="AL822" i="2"/>
  <c r="AJ822" i="2"/>
  <c r="AI822" i="2"/>
  <c r="AG822" i="2"/>
  <c r="AF822" i="2"/>
  <c r="AY821" i="2"/>
  <c r="AX821" i="2"/>
  <c r="AW821" i="2"/>
  <c r="AV821" i="2"/>
  <c r="AU821" i="2"/>
  <c r="AT821" i="2"/>
  <c r="AS821" i="2"/>
  <c r="AR821" i="2"/>
  <c r="AE821" i="2" s="1"/>
  <c r="AQ821" i="2"/>
  <c r="AL821" i="2"/>
  <c r="T821" i="2" s="1"/>
  <c r="AJ821" i="2"/>
  <c r="AI821" i="2"/>
  <c r="AH821" i="2"/>
  <c r="AG821" i="2"/>
  <c r="AF821" i="2"/>
  <c r="AY820" i="2"/>
  <c r="AX820" i="2"/>
  <c r="AW820" i="2"/>
  <c r="AV820" i="2"/>
  <c r="AU820" i="2"/>
  <c r="AT820" i="2"/>
  <c r="AS820" i="2"/>
  <c r="AR820" i="2"/>
  <c r="AE820" i="2" s="1"/>
  <c r="AQ820" i="2"/>
  <c r="AL820" i="2"/>
  <c r="AJ820" i="2"/>
  <c r="AI820" i="2"/>
  <c r="AH820" i="2"/>
  <c r="AG820" i="2"/>
  <c r="AF820" i="2"/>
  <c r="AY819" i="2"/>
  <c r="AX819" i="2"/>
  <c r="AW819" i="2"/>
  <c r="AV819" i="2"/>
  <c r="AU819" i="2"/>
  <c r="AT819" i="2"/>
  <c r="AS819" i="2"/>
  <c r="AR819" i="2"/>
  <c r="AE819" i="2" s="1"/>
  <c r="AQ819" i="2"/>
  <c r="AH819" i="2" s="1"/>
  <c r="AL819" i="2"/>
  <c r="AK819" i="2" s="1"/>
  <c r="AJ819" i="2"/>
  <c r="AI819" i="2"/>
  <c r="AG819" i="2"/>
  <c r="AF819" i="2"/>
  <c r="AY818" i="2"/>
  <c r="AX818" i="2"/>
  <c r="AW818" i="2"/>
  <c r="AV818" i="2"/>
  <c r="AU818" i="2"/>
  <c r="AT818" i="2"/>
  <c r="AS818" i="2"/>
  <c r="AR818" i="2"/>
  <c r="AE818" i="2" s="1"/>
  <c r="AQ818" i="2"/>
  <c r="AH818" i="2" s="1"/>
  <c r="AL818" i="2"/>
  <c r="AK818" i="2" s="1"/>
  <c r="AJ818" i="2"/>
  <c r="AI818" i="2"/>
  <c r="AG818" i="2"/>
  <c r="AF818" i="2"/>
  <c r="AY817" i="2"/>
  <c r="AX817" i="2"/>
  <c r="AW817" i="2"/>
  <c r="AV817" i="2"/>
  <c r="AU817" i="2"/>
  <c r="AT817" i="2"/>
  <c r="AS817" i="2"/>
  <c r="AR817" i="2"/>
  <c r="AE817" i="2" s="1"/>
  <c r="AQ817" i="2"/>
  <c r="AH817" i="2" s="1"/>
  <c r="AL817" i="2"/>
  <c r="AJ817" i="2"/>
  <c r="AI817" i="2"/>
  <c r="AG817" i="2"/>
  <c r="AF817" i="2"/>
  <c r="AY816" i="2"/>
  <c r="AX816" i="2"/>
  <c r="AW816" i="2"/>
  <c r="AV816" i="2"/>
  <c r="AU816" i="2"/>
  <c r="AT816" i="2"/>
  <c r="AS816" i="2"/>
  <c r="AR816" i="2"/>
  <c r="AE816" i="2" s="1"/>
  <c r="AQ816" i="2"/>
  <c r="AH816" i="2" s="1"/>
  <c r="AL816" i="2"/>
  <c r="AK816" i="2" s="1"/>
  <c r="AJ816" i="2"/>
  <c r="AI816" i="2"/>
  <c r="AG816" i="2"/>
  <c r="AF816" i="2"/>
  <c r="AY815" i="2"/>
  <c r="AX815" i="2"/>
  <c r="AW815" i="2"/>
  <c r="AV815" i="2"/>
  <c r="AU815" i="2"/>
  <c r="AT815" i="2"/>
  <c r="AS815" i="2"/>
  <c r="AR815" i="2"/>
  <c r="AE815" i="2" s="1"/>
  <c r="AQ815" i="2"/>
  <c r="AH815" i="2" s="1"/>
  <c r="AL815" i="2"/>
  <c r="AJ815" i="2"/>
  <c r="AI815" i="2"/>
  <c r="AG815" i="2"/>
  <c r="AF815" i="2"/>
  <c r="AY814" i="2"/>
  <c r="AX814" i="2"/>
  <c r="AW814" i="2"/>
  <c r="AV814" i="2"/>
  <c r="AU814" i="2"/>
  <c r="AT814" i="2"/>
  <c r="AS814" i="2"/>
  <c r="AR814" i="2"/>
  <c r="AE814" i="2" s="1"/>
  <c r="AQ814" i="2"/>
  <c r="AH814" i="2" s="1"/>
  <c r="AL814" i="2"/>
  <c r="AK814" i="2" s="1"/>
  <c r="AJ814" i="2"/>
  <c r="AI814" i="2"/>
  <c r="AG814" i="2"/>
  <c r="AF814" i="2"/>
  <c r="AY813" i="2"/>
  <c r="AX813" i="2"/>
  <c r="AW813" i="2"/>
  <c r="AV813" i="2"/>
  <c r="AU813" i="2"/>
  <c r="AT813" i="2"/>
  <c r="AS813" i="2"/>
  <c r="AR813" i="2"/>
  <c r="AE813" i="2" s="1"/>
  <c r="AQ813" i="2"/>
  <c r="AH813" i="2" s="1"/>
  <c r="AL813" i="2"/>
  <c r="AJ813" i="2"/>
  <c r="AI813" i="2"/>
  <c r="AG813" i="2"/>
  <c r="AF813" i="2"/>
  <c r="AY812" i="2"/>
  <c r="AX812" i="2"/>
  <c r="AW812" i="2"/>
  <c r="AV812" i="2"/>
  <c r="AU812" i="2"/>
  <c r="AT812" i="2"/>
  <c r="AS812" i="2"/>
  <c r="AR812" i="2"/>
  <c r="AE812" i="2" s="1"/>
  <c r="AQ812" i="2"/>
  <c r="AH812" i="2" s="1"/>
  <c r="AL812" i="2"/>
  <c r="AK812" i="2" s="1"/>
  <c r="AJ812" i="2"/>
  <c r="AI812" i="2"/>
  <c r="AG812" i="2"/>
  <c r="AF812" i="2"/>
  <c r="AY811" i="2"/>
  <c r="AX811" i="2"/>
  <c r="AW811" i="2"/>
  <c r="AV811" i="2"/>
  <c r="AU811" i="2"/>
  <c r="AT811" i="2"/>
  <c r="AS811" i="2"/>
  <c r="AR811" i="2"/>
  <c r="AE811" i="2" s="1"/>
  <c r="AQ811" i="2"/>
  <c r="AH811" i="2" s="1"/>
  <c r="AL811" i="2"/>
  <c r="AJ811" i="2"/>
  <c r="AI811" i="2"/>
  <c r="AG811" i="2"/>
  <c r="AF811" i="2"/>
  <c r="AY810" i="2"/>
  <c r="AX810" i="2"/>
  <c r="AW810" i="2"/>
  <c r="AV810" i="2"/>
  <c r="AU810" i="2"/>
  <c r="AT810" i="2"/>
  <c r="AS810" i="2"/>
  <c r="AR810" i="2"/>
  <c r="AE810" i="2" s="1"/>
  <c r="AQ810" i="2"/>
  <c r="AH810" i="2" s="1"/>
  <c r="AL810" i="2"/>
  <c r="AK810" i="2" s="1"/>
  <c r="AJ810" i="2"/>
  <c r="AI810" i="2"/>
  <c r="AG810" i="2"/>
  <c r="AF810" i="2"/>
  <c r="AY809" i="2"/>
  <c r="AX809" i="2"/>
  <c r="AW809" i="2"/>
  <c r="AV809" i="2"/>
  <c r="AU809" i="2"/>
  <c r="AT809" i="2"/>
  <c r="AS809" i="2"/>
  <c r="AR809" i="2"/>
  <c r="AE809" i="2" s="1"/>
  <c r="AQ809" i="2"/>
  <c r="AH809" i="2" s="1"/>
  <c r="AL809" i="2"/>
  <c r="AJ809" i="2"/>
  <c r="AI809" i="2"/>
  <c r="AG809" i="2"/>
  <c r="AF809" i="2"/>
  <c r="AY808" i="2"/>
  <c r="AX808" i="2"/>
  <c r="AW808" i="2"/>
  <c r="AV808" i="2"/>
  <c r="AU808" i="2"/>
  <c r="AT808" i="2"/>
  <c r="AS808" i="2"/>
  <c r="AR808" i="2"/>
  <c r="AE808" i="2" s="1"/>
  <c r="AQ808" i="2"/>
  <c r="AH808" i="2" s="1"/>
  <c r="AL808" i="2"/>
  <c r="AK808" i="2" s="1"/>
  <c r="AJ808" i="2"/>
  <c r="AI808" i="2"/>
  <c r="AG808" i="2"/>
  <c r="AF808" i="2"/>
  <c r="AY807" i="2"/>
  <c r="AX807" i="2"/>
  <c r="AW807" i="2"/>
  <c r="AV807" i="2"/>
  <c r="AU807" i="2"/>
  <c r="AT807" i="2"/>
  <c r="AS807" i="2"/>
  <c r="AR807" i="2"/>
  <c r="AE807" i="2" s="1"/>
  <c r="AQ807" i="2"/>
  <c r="AH807" i="2" s="1"/>
  <c r="AL807" i="2"/>
  <c r="AJ807" i="2"/>
  <c r="AI807" i="2"/>
  <c r="AG807" i="2"/>
  <c r="AF807" i="2"/>
  <c r="AY806" i="2"/>
  <c r="AX806" i="2"/>
  <c r="AW806" i="2"/>
  <c r="AV806" i="2"/>
  <c r="AU806" i="2"/>
  <c r="AT806" i="2"/>
  <c r="AS806" i="2"/>
  <c r="AR806" i="2"/>
  <c r="AE806" i="2" s="1"/>
  <c r="AQ806" i="2"/>
  <c r="AH806" i="2" s="1"/>
  <c r="AL806" i="2"/>
  <c r="AK806" i="2" s="1"/>
  <c r="AJ806" i="2"/>
  <c r="AI806" i="2"/>
  <c r="AG806" i="2"/>
  <c r="AF806" i="2"/>
  <c r="AY805" i="2"/>
  <c r="AX805" i="2"/>
  <c r="AW805" i="2"/>
  <c r="AV805" i="2"/>
  <c r="AU805" i="2"/>
  <c r="AT805" i="2"/>
  <c r="AS805" i="2"/>
  <c r="AR805" i="2"/>
  <c r="AE805" i="2" s="1"/>
  <c r="AQ805" i="2"/>
  <c r="AH805" i="2" s="1"/>
  <c r="AL805" i="2"/>
  <c r="AJ805" i="2"/>
  <c r="AI805" i="2"/>
  <c r="AG805" i="2"/>
  <c r="AF805" i="2"/>
  <c r="AY804" i="2"/>
  <c r="AX804" i="2"/>
  <c r="AW804" i="2"/>
  <c r="AV804" i="2"/>
  <c r="AM804" i="2" s="1"/>
  <c r="AU804" i="2"/>
  <c r="AG804" i="2" s="1"/>
  <c r="AT804" i="2"/>
  <c r="AS804" i="2"/>
  <c r="AR804" i="2"/>
  <c r="AE804" i="2" s="1"/>
  <c r="AQ804" i="2"/>
  <c r="AH804" i="2" s="1"/>
  <c r="AI804" i="2"/>
  <c r="AF804" i="2"/>
  <c r="AY803" i="2"/>
  <c r="AX803" i="2"/>
  <c r="AW803" i="2"/>
  <c r="AV803" i="2"/>
  <c r="AL803" i="2" s="1"/>
  <c r="AU803" i="2"/>
  <c r="AG803" i="2" s="1"/>
  <c r="AT803" i="2"/>
  <c r="AS803" i="2"/>
  <c r="AR803" i="2"/>
  <c r="AE803" i="2" s="1"/>
  <c r="AQ803" i="2"/>
  <c r="AH803" i="2" s="1"/>
  <c r="AI803" i="2"/>
  <c r="AF803" i="2"/>
  <c r="AY802" i="2"/>
  <c r="AX802" i="2"/>
  <c r="AW802" i="2"/>
  <c r="AV802" i="2"/>
  <c r="AM802" i="2" s="1"/>
  <c r="AU802" i="2"/>
  <c r="AG802" i="2" s="1"/>
  <c r="AT802" i="2"/>
  <c r="AS802" i="2"/>
  <c r="AR802" i="2"/>
  <c r="AE802" i="2" s="1"/>
  <c r="AQ802" i="2"/>
  <c r="AH802" i="2" s="1"/>
  <c r="AI802" i="2"/>
  <c r="AF802" i="2"/>
  <c r="AY801" i="2"/>
  <c r="AX801" i="2"/>
  <c r="AW801" i="2"/>
  <c r="AV801" i="2"/>
  <c r="AL801" i="2" s="1"/>
  <c r="AU801" i="2"/>
  <c r="AG801" i="2" s="1"/>
  <c r="AT801" i="2"/>
  <c r="AS801" i="2"/>
  <c r="AR801" i="2"/>
  <c r="AQ801" i="2"/>
  <c r="AH801" i="2" s="1"/>
  <c r="AI801" i="2"/>
  <c r="AF801" i="2"/>
  <c r="AY800" i="2"/>
  <c r="AX800" i="2"/>
  <c r="AW800" i="2"/>
  <c r="AV800" i="2"/>
  <c r="AL800" i="2" s="1"/>
  <c r="T800" i="2" s="1"/>
  <c r="N800" i="2" s="1"/>
  <c r="AU800" i="2"/>
  <c r="AG800" i="2" s="1"/>
  <c r="AT800" i="2"/>
  <c r="AS800" i="2"/>
  <c r="AR800" i="2"/>
  <c r="AE800" i="2" s="1"/>
  <c r="AQ800" i="2"/>
  <c r="AH800" i="2" s="1"/>
  <c r="AI800" i="2"/>
  <c r="AF800" i="2"/>
  <c r="AY799" i="2"/>
  <c r="AX799" i="2"/>
  <c r="AW799" i="2"/>
  <c r="AV799" i="2"/>
  <c r="AL799" i="2" s="1"/>
  <c r="AU799" i="2"/>
  <c r="AG799" i="2" s="1"/>
  <c r="AT799" i="2"/>
  <c r="AS799" i="2"/>
  <c r="AR799" i="2"/>
  <c r="AE799" i="2" s="1"/>
  <c r="AQ799" i="2"/>
  <c r="AH799" i="2" s="1"/>
  <c r="AI799" i="2"/>
  <c r="AF799" i="2"/>
  <c r="AY798" i="2"/>
  <c r="AX798" i="2"/>
  <c r="AW798" i="2"/>
  <c r="AV798" i="2"/>
  <c r="AM798" i="2" s="1"/>
  <c r="AU798" i="2"/>
  <c r="AG798" i="2" s="1"/>
  <c r="AT798" i="2"/>
  <c r="AS798" i="2"/>
  <c r="AR798" i="2"/>
  <c r="AQ798" i="2"/>
  <c r="AH798" i="2" s="1"/>
  <c r="AI798" i="2"/>
  <c r="AF798" i="2"/>
  <c r="AY797" i="2"/>
  <c r="AX797" i="2"/>
  <c r="AW797" i="2"/>
  <c r="AV797" i="2"/>
  <c r="AL797" i="2" s="1"/>
  <c r="AU797" i="2"/>
  <c r="AG797" i="2" s="1"/>
  <c r="AT797" i="2"/>
  <c r="AS797" i="2"/>
  <c r="AR797" i="2"/>
  <c r="AE797" i="2" s="1"/>
  <c r="AQ797" i="2"/>
  <c r="AH797" i="2" s="1"/>
  <c r="AI797" i="2"/>
  <c r="AF797" i="2"/>
  <c r="AY796" i="2"/>
  <c r="AX796" i="2"/>
  <c r="AW796" i="2"/>
  <c r="AV796" i="2"/>
  <c r="AU796" i="2"/>
  <c r="AG796" i="2" s="1"/>
  <c r="AT796" i="2"/>
  <c r="AS796" i="2"/>
  <c r="AR796" i="2"/>
  <c r="AQ796" i="2"/>
  <c r="AM796" i="2"/>
  <c r="AL796" i="2"/>
  <c r="AI796" i="2"/>
  <c r="AH796" i="2"/>
  <c r="AF796" i="2"/>
  <c r="AY795" i="2"/>
  <c r="AX795" i="2"/>
  <c r="AW795" i="2"/>
  <c r="AV795" i="2"/>
  <c r="AL795" i="2" s="1"/>
  <c r="AU795" i="2"/>
  <c r="AG795" i="2" s="1"/>
  <c r="AT795" i="2"/>
  <c r="AS795" i="2"/>
  <c r="AR795" i="2"/>
  <c r="AQ795" i="2"/>
  <c r="AH795" i="2" s="1"/>
  <c r="AI795" i="2"/>
  <c r="AF795" i="2"/>
  <c r="AY794" i="2"/>
  <c r="AX794" i="2"/>
  <c r="AW794" i="2"/>
  <c r="AV794" i="2"/>
  <c r="AM794" i="2" s="1"/>
  <c r="AU794" i="2"/>
  <c r="AG794" i="2" s="1"/>
  <c r="AT794" i="2"/>
  <c r="AS794" i="2"/>
  <c r="AR794" i="2"/>
  <c r="AE794" i="2" s="1"/>
  <c r="AQ794" i="2"/>
  <c r="AH794" i="2" s="1"/>
  <c r="AI794" i="2"/>
  <c r="AF794" i="2"/>
  <c r="AY793" i="2"/>
  <c r="AX793" i="2"/>
  <c r="AW793" i="2"/>
  <c r="AV793" i="2"/>
  <c r="AL793" i="2" s="1"/>
  <c r="AU793" i="2"/>
  <c r="AG793" i="2" s="1"/>
  <c r="AT793" i="2"/>
  <c r="AS793" i="2"/>
  <c r="AR793" i="2"/>
  <c r="AQ793" i="2"/>
  <c r="AH793" i="2" s="1"/>
  <c r="AI793" i="2"/>
  <c r="AF793" i="2"/>
  <c r="AY792" i="2"/>
  <c r="AX792" i="2"/>
  <c r="AW792" i="2"/>
  <c r="AV792" i="2"/>
  <c r="AM792" i="2" s="1"/>
  <c r="AU792" i="2"/>
  <c r="AG792" i="2" s="1"/>
  <c r="AT792" i="2"/>
  <c r="AS792" i="2"/>
  <c r="AR792" i="2"/>
  <c r="AE792" i="2" s="1"/>
  <c r="AQ792" i="2"/>
  <c r="AH792" i="2" s="1"/>
  <c r="AI792" i="2"/>
  <c r="AF792" i="2"/>
  <c r="AY791" i="2"/>
  <c r="AX791" i="2"/>
  <c r="AW791" i="2"/>
  <c r="AV791" i="2"/>
  <c r="AL791" i="2" s="1"/>
  <c r="AU791" i="2"/>
  <c r="AG791" i="2" s="1"/>
  <c r="AT791" i="2"/>
  <c r="AS791" i="2"/>
  <c r="AR791" i="2"/>
  <c r="AQ791" i="2"/>
  <c r="AH791" i="2" s="1"/>
  <c r="AI791" i="2"/>
  <c r="AF791" i="2"/>
  <c r="AY790" i="2"/>
  <c r="AX790" i="2"/>
  <c r="AW790" i="2"/>
  <c r="AV790" i="2"/>
  <c r="AM790" i="2" s="1"/>
  <c r="AU790" i="2"/>
  <c r="AG790" i="2" s="1"/>
  <c r="AT790" i="2"/>
  <c r="AS790" i="2"/>
  <c r="AR790" i="2"/>
  <c r="AE790" i="2" s="1"/>
  <c r="AQ790" i="2"/>
  <c r="AH790" i="2" s="1"/>
  <c r="AI790" i="2"/>
  <c r="AF790" i="2"/>
  <c r="AY789" i="2"/>
  <c r="AX789" i="2"/>
  <c r="AW789" i="2"/>
  <c r="AV789" i="2"/>
  <c r="AL789" i="2" s="1"/>
  <c r="AU789" i="2"/>
  <c r="AG789" i="2" s="1"/>
  <c r="AT789" i="2"/>
  <c r="AS789" i="2"/>
  <c r="AR789" i="2"/>
  <c r="AQ789" i="2"/>
  <c r="AH789" i="2" s="1"/>
  <c r="AI789" i="2"/>
  <c r="AF789" i="2"/>
  <c r="AY788" i="2"/>
  <c r="AX788" i="2"/>
  <c r="AW788" i="2"/>
  <c r="AV788" i="2"/>
  <c r="AL788" i="2" s="1"/>
  <c r="AU788" i="2"/>
  <c r="AG788" i="2" s="1"/>
  <c r="AT788" i="2"/>
  <c r="AS788" i="2"/>
  <c r="AR788" i="2"/>
  <c r="AE788" i="2" s="1"/>
  <c r="AQ788" i="2"/>
  <c r="AM788" i="2"/>
  <c r="U788" i="2" s="1"/>
  <c r="AI788" i="2"/>
  <c r="AH788" i="2"/>
  <c r="AF788" i="2"/>
  <c r="AY787" i="2"/>
  <c r="AX787" i="2"/>
  <c r="AW787" i="2"/>
  <c r="AV787" i="2"/>
  <c r="AU787" i="2"/>
  <c r="AG787" i="2" s="1"/>
  <c r="AT787" i="2"/>
  <c r="AS787" i="2"/>
  <c r="AR787" i="2"/>
  <c r="AE787" i="2" s="1"/>
  <c r="AQ787" i="2"/>
  <c r="AH787" i="2" s="1"/>
  <c r="AI787" i="2"/>
  <c r="AF787" i="2"/>
  <c r="AY786" i="2"/>
  <c r="AX786" i="2"/>
  <c r="AW786" i="2"/>
  <c r="AV786" i="2"/>
  <c r="AM786" i="2" s="1"/>
  <c r="AU786" i="2"/>
  <c r="AG786" i="2" s="1"/>
  <c r="AT786" i="2"/>
  <c r="AS786" i="2"/>
  <c r="AR786" i="2"/>
  <c r="AQ786" i="2"/>
  <c r="AH786" i="2" s="1"/>
  <c r="AI786" i="2"/>
  <c r="AF786" i="2"/>
  <c r="AY785" i="2"/>
  <c r="AX785" i="2"/>
  <c r="AW785" i="2"/>
  <c r="AV785" i="2"/>
  <c r="AL785" i="2" s="1"/>
  <c r="AU785" i="2"/>
  <c r="AG785" i="2" s="1"/>
  <c r="AT785" i="2"/>
  <c r="AS785" i="2"/>
  <c r="AR785" i="2"/>
  <c r="AE785" i="2" s="1"/>
  <c r="AQ785" i="2"/>
  <c r="AH785" i="2" s="1"/>
  <c r="AM785" i="2"/>
  <c r="AI785" i="2"/>
  <c r="AF785" i="2"/>
  <c r="AY784" i="2"/>
  <c r="AX784" i="2"/>
  <c r="AW784" i="2"/>
  <c r="AV784" i="2"/>
  <c r="AM784" i="2" s="1"/>
  <c r="AU784" i="2"/>
  <c r="AG784" i="2" s="1"/>
  <c r="AT784" i="2"/>
  <c r="AS784" i="2"/>
  <c r="AR784" i="2"/>
  <c r="AE784" i="2" s="1"/>
  <c r="AQ784" i="2"/>
  <c r="AH784" i="2" s="1"/>
  <c r="AI784" i="2"/>
  <c r="AF784" i="2"/>
  <c r="AY783" i="2"/>
  <c r="AX783" i="2"/>
  <c r="AW783" i="2"/>
  <c r="AV783" i="2"/>
  <c r="AM783" i="2" s="1"/>
  <c r="AU783" i="2"/>
  <c r="AG783" i="2" s="1"/>
  <c r="AT783" i="2"/>
  <c r="AS783" i="2"/>
  <c r="AR783" i="2"/>
  <c r="AQ783" i="2"/>
  <c r="AH783" i="2" s="1"/>
  <c r="AI783" i="2"/>
  <c r="AF783" i="2"/>
  <c r="AY782" i="2"/>
  <c r="AX782" i="2"/>
  <c r="AW782" i="2"/>
  <c r="AV782" i="2"/>
  <c r="AU782" i="2"/>
  <c r="AG782" i="2" s="1"/>
  <c r="AT782" i="2"/>
  <c r="AS782" i="2"/>
  <c r="AR782" i="2"/>
  <c r="AE782" i="2" s="1"/>
  <c r="AQ782" i="2"/>
  <c r="AH782" i="2" s="1"/>
  <c r="AI782" i="2"/>
  <c r="AF782" i="2"/>
  <c r="AY781" i="2"/>
  <c r="AX781" i="2"/>
  <c r="AW781" i="2"/>
  <c r="AV781" i="2"/>
  <c r="AL781" i="2" s="1"/>
  <c r="AU781" i="2"/>
  <c r="AG781" i="2" s="1"/>
  <c r="AT781" i="2"/>
  <c r="AS781" i="2"/>
  <c r="AR781" i="2"/>
  <c r="AQ781" i="2"/>
  <c r="AH781" i="2" s="1"/>
  <c r="AI781" i="2"/>
  <c r="AF781" i="2"/>
  <c r="AY780" i="2"/>
  <c r="AX780" i="2"/>
  <c r="AW780" i="2"/>
  <c r="AV780" i="2"/>
  <c r="AL780" i="2" s="1"/>
  <c r="AU780" i="2"/>
  <c r="AG780" i="2" s="1"/>
  <c r="AT780" i="2"/>
  <c r="AS780" i="2"/>
  <c r="AR780" i="2"/>
  <c r="AE780" i="2" s="1"/>
  <c r="AQ780" i="2"/>
  <c r="AH780" i="2" s="1"/>
  <c r="AM780" i="2"/>
  <c r="AI780" i="2"/>
  <c r="AF780" i="2"/>
  <c r="AY779" i="2"/>
  <c r="AX779" i="2"/>
  <c r="U779" i="2" s="1"/>
  <c r="O779" i="2" s="1"/>
  <c r="AW779" i="2"/>
  <c r="AV779" i="2"/>
  <c r="AM779" i="2" s="1"/>
  <c r="AU779" i="2"/>
  <c r="AT779" i="2"/>
  <c r="AS779" i="2"/>
  <c r="AR779" i="2"/>
  <c r="AE779" i="2" s="1"/>
  <c r="AQ779" i="2"/>
  <c r="AH779" i="2" s="1"/>
  <c r="AI779" i="2"/>
  <c r="AG779" i="2"/>
  <c r="AF779" i="2"/>
  <c r="AY778" i="2"/>
  <c r="AX778" i="2"/>
  <c r="AW778" i="2"/>
  <c r="AV778" i="2"/>
  <c r="AM778" i="2" s="1"/>
  <c r="AU778" i="2"/>
  <c r="AG778" i="2" s="1"/>
  <c r="AT778" i="2"/>
  <c r="AS778" i="2"/>
  <c r="AR778" i="2"/>
  <c r="AE778" i="2" s="1"/>
  <c r="AQ778" i="2"/>
  <c r="AH778" i="2" s="1"/>
  <c r="AI778" i="2"/>
  <c r="AF778" i="2"/>
  <c r="AY777" i="2"/>
  <c r="U777" i="2" s="1"/>
  <c r="AA777" i="2" s="1"/>
  <c r="AX777" i="2"/>
  <c r="AW777" i="2"/>
  <c r="AV777" i="2"/>
  <c r="AL777" i="2" s="1"/>
  <c r="AU777" i="2"/>
  <c r="AG777" i="2" s="1"/>
  <c r="AT777" i="2"/>
  <c r="AS777" i="2"/>
  <c r="AJ777" i="2" s="1"/>
  <c r="AR777" i="2"/>
  <c r="AQ777" i="2"/>
  <c r="AH777" i="2" s="1"/>
  <c r="AI777" i="2"/>
  <c r="AF777" i="2"/>
  <c r="AY776" i="2"/>
  <c r="AX776" i="2"/>
  <c r="AW776" i="2"/>
  <c r="AV776" i="2"/>
  <c r="AM776" i="2" s="1"/>
  <c r="AU776" i="2"/>
  <c r="AG776" i="2" s="1"/>
  <c r="AT776" i="2"/>
  <c r="AS776" i="2"/>
  <c r="AJ776" i="2" s="1"/>
  <c r="AR776" i="2"/>
  <c r="AQ776" i="2"/>
  <c r="AI776" i="2"/>
  <c r="AH776" i="2"/>
  <c r="AF776" i="2"/>
  <c r="AY775" i="2"/>
  <c r="AX775" i="2"/>
  <c r="AW775" i="2"/>
  <c r="AV775" i="2"/>
  <c r="AM775" i="2" s="1"/>
  <c r="AU775" i="2"/>
  <c r="AG775" i="2" s="1"/>
  <c r="AT775" i="2"/>
  <c r="AS775" i="2"/>
  <c r="AR775" i="2"/>
  <c r="AQ775" i="2"/>
  <c r="AH775" i="2" s="1"/>
  <c r="AI775" i="2"/>
  <c r="AF775" i="2"/>
  <c r="AY774" i="2"/>
  <c r="AX774" i="2"/>
  <c r="AW774" i="2"/>
  <c r="AV774" i="2"/>
  <c r="AM774" i="2" s="1"/>
  <c r="AU774" i="2"/>
  <c r="AG774" i="2" s="1"/>
  <c r="AT774" i="2"/>
  <c r="AS774" i="2"/>
  <c r="AR774" i="2"/>
  <c r="AE774" i="2" s="1"/>
  <c r="AQ774" i="2"/>
  <c r="AH774" i="2" s="1"/>
  <c r="AI774" i="2"/>
  <c r="AF774" i="2"/>
  <c r="AY773" i="2"/>
  <c r="AX773" i="2"/>
  <c r="AW773" i="2"/>
  <c r="AV773" i="2"/>
  <c r="AL773" i="2" s="1"/>
  <c r="AU773" i="2"/>
  <c r="AG773" i="2" s="1"/>
  <c r="AT773" i="2"/>
  <c r="AS773" i="2"/>
  <c r="AR773" i="2"/>
  <c r="AQ773" i="2"/>
  <c r="AH773" i="2" s="1"/>
  <c r="AI773" i="2"/>
  <c r="AF773" i="2"/>
  <c r="AY772" i="2"/>
  <c r="AX772" i="2"/>
  <c r="AW772" i="2"/>
  <c r="AV772" i="2"/>
  <c r="AL772" i="2" s="1"/>
  <c r="AU772" i="2"/>
  <c r="AG772" i="2" s="1"/>
  <c r="AT772" i="2"/>
  <c r="AS772" i="2"/>
  <c r="AR772" i="2"/>
  <c r="AE772" i="2" s="1"/>
  <c r="AQ772" i="2"/>
  <c r="AM772" i="2"/>
  <c r="U772" i="2" s="1"/>
  <c r="AA772" i="2" s="1"/>
  <c r="AI772" i="2"/>
  <c r="AH772" i="2"/>
  <c r="J772" i="2" s="1"/>
  <c r="AF772" i="2"/>
  <c r="AY771" i="2"/>
  <c r="AX771" i="2"/>
  <c r="AW771" i="2"/>
  <c r="AV771" i="2"/>
  <c r="AM771" i="2" s="1"/>
  <c r="AU771" i="2"/>
  <c r="AG771" i="2" s="1"/>
  <c r="AT771" i="2"/>
  <c r="AS771" i="2"/>
  <c r="AR771" i="2"/>
  <c r="AQ771" i="2"/>
  <c r="AH771" i="2" s="1"/>
  <c r="AI771" i="2"/>
  <c r="AF771" i="2"/>
  <c r="AY770" i="2"/>
  <c r="AX770" i="2"/>
  <c r="AW770" i="2"/>
  <c r="AV770" i="2"/>
  <c r="AM770" i="2" s="1"/>
  <c r="AU770" i="2"/>
  <c r="AG770" i="2" s="1"/>
  <c r="AT770" i="2"/>
  <c r="AS770" i="2"/>
  <c r="AR770" i="2"/>
  <c r="AE770" i="2" s="1"/>
  <c r="AQ770" i="2"/>
  <c r="AH770" i="2" s="1"/>
  <c r="AI770" i="2"/>
  <c r="AF770" i="2"/>
  <c r="AY769" i="2"/>
  <c r="AX769" i="2"/>
  <c r="AW769" i="2"/>
  <c r="AV769" i="2"/>
  <c r="AL769" i="2" s="1"/>
  <c r="AU769" i="2"/>
  <c r="AG769" i="2" s="1"/>
  <c r="AT769" i="2"/>
  <c r="AS769" i="2"/>
  <c r="AR769" i="2"/>
  <c r="AQ769" i="2"/>
  <c r="AH769" i="2" s="1"/>
  <c r="AI769" i="2"/>
  <c r="AF769" i="2"/>
  <c r="AY768" i="2"/>
  <c r="AX768" i="2"/>
  <c r="AW768" i="2"/>
  <c r="AV768" i="2"/>
  <c r="AU768" i="2"/>
  <c r="AG768" i="2" s="1"/>
  <c r="AT768" i="2"/>
  <c r="AS768" i="2"/>
  <c r="AR768" i="2"/>
  <c r="AQ768" i="2"/>
  <c r="AM768" i="2"/>
  <c r="AL768" i="2"/>
  <c r="AI768" i="2"/>
  <c r="AH768" i="2"/>
  <c r="AF768" i="2"/>
  <c r="AY767" i="2"/>
  <c r="AX767" i="2"/>
  <c r="AW767" i="2"/>
  <c r="AV767" i="2"/>
  <c r="AM767" i="2" s="1"/>
  <c r="AU767" i="2"/>
  <c r="AG767" i="2" s="1"/>
  <c r="AT767" i="2"/>
  <c r="AS767" i="2"/>
  <c r="AR767" i="2"/>
  <c r="AQ767" i="2"/>
  <c r="AH767" i="2" s="1"/>
  <c r="AI767" i="2"/>
  <c r="AF767" i="2"/>
  <c r="AY766" i="2"/>
  <c r="AX766" i="2"/>
  <c r="AW766" i="2"/>
  <c r="AV766" i="2"/>
  <c r="AM766" i="2" s="1"/>
  <c r="AU766" i="2"/>
  <c r="AG766" i="2" s="1"/>
  <c r="AT766" i="2"/>
  <c r="AS766" i="2"/>
  <c r="AR766" i="2"/>
  <c r="AQ766" i="2"/>
  <c r="AH766" i="2" s="1"/>
  <c r="AI766" i="2"/>
  <c r="AF766" i="2"/>
  <c r="AY765" i="2"/>
  <c r="AX765" i="2"/>
  <c r="AW765" i="2"/>
  <c r="AV765" i="2"/>
  <c r="AL765" i="2" s="1"/>
  <c r="AU765" i="2"/>
  <c r="AG765" i="2" s="1"/>
  <c r="AT765" i="2"/>
  <c r="AS765" i="2"/>
  <c r="AR765" i="2"/>
  <c r="AQ765" i="2"/>
  <c r="AH765" i="2" s="1"/>
  <c r="AI765" i="2"/>
  <c r="AF765" i="2"/>
  <c r="AY764" i="2"/>
  <c r="AX764" i="2"/>
  <c r="AW764" i="2"/>
  <c r="AV764" i="2"/>
  <c r="AM764" i="2" s="1"/>
  <c r="AU764" i="2"/>
  <c r="AG764" i="2" s="1"/>
  <c r="AT764" i="2"/>
  <c r="AS764" i="2"/>
  <c r="AR764" i="2"/>
  <c r="AQ764" i="2"/>
  <c r="AH764" i="2" s="1"/>
  <c r="AI764" i="2"/>
  <c r="AF764" i="2"/>
  <c r="AY763" i="2"/>
  <c r="AX763" i="2"/>
  <c r="AW763" i="2"/>
  <c r="AV763" i="2"/>
  <c r="AM763" i="2" s="1"/>
  <c r="AU763" i="2"/>
  <c r="AG763" i="2" s="1"/>
  <c r="AT763" i="2"/>
  <c r="AS763" i="2"/>
  <c r="AR763" i="2"/>
  <c r="AE763" i="2" s="1"/>
  <c r="AQ763" i="2"/>
  <c r="AH763" i="2" s="1"/>
  <c r="AI763" i="2"/>
  <c r="AF763" i="2"/>
  <c r="AY762" i="2"/>
  <c r="AX762" i="2"/>
  <c r="AW762" i="2"/>
  <c r="AV762" i="2"/>
  <c r="AM762" i="2" s="1"/>
  <c r="AU762" i="2"/>
  <c r="AG762" i="2" s="1"/>
  <c r="AT762" i="2"/>
  <c r="AS762" i="2"/>
  <c r="AJ762" i="2" s="1"/>
  <c r="AR762" i="2"/>
  <c r="AQ762" i="2"/>
  <c r="AH762" i="2" s="1"/>
  <c r="AI762" i="2"/>
  <c r="AF762" i="2"/>
  <c r="AY761" i="2"/>
  <c r="AX761" i="2"/>
  <c r="AW761" i="2"/>
  <c r="AV761" i="2"/>
  <c r="AL761" i="2" s="1"/>
  <c r="AU761" i="2"/>
  <c r="AG761" i="2" s="1"/>
  <c r="AT761" i="2"/>
  <c r="AS761" i="2"/>
  <c r="AR761" i="2"/>
  <c r="AE761" i="2" s="1"/>
  <c r="AQ761" i="2"/>
  <c r="AH761" i="2" s="1"/>
  <c r="AI761" i="2"/>
  <c r="AF761" i="2"/>
  <c r="AY760" i="2"/>
  <c r="AX760" i="2"/>
  <c r="AW760" i="2"/>
  <c r="AV760" i="2"/>
  <c r="AL760" i="2" s="1"/>
  <c r="AU760" i="2"/>
  <c r="AG760" i="2" s="1"/>
  <c r="AT760" i="2"/>
  <c r="AS760" i="2"/>
  <c r="AR760" i="2"/>
  <c r="AQ760" i="2"/>
  <c r="AH760" i="2" s="1"/>
  <c r="AI760" i="2"/>
  <c r="AF760" i="2"/>
  <c r="AY759" i="2"/>
  <c r="AX759" i="2"/>
  <c r="AW759" i="2"/>
  <c r="AV759" i="2"/>
  <c r="AM759" i="2" s="1"/>
  <c r="AU759" i="2"/>
  <c r="AG759" i="2" s="1"/>
  <c r="AT759" i="2"/>
  <c r="AS759" i="2"/>
  <c r="AR759" i="2"/>
  <c r="AQ759" i="2"/>
  <c r="AH759" i="2" s="1"/>
  <c r="AI759" i="2"/>
  <c r="AF759" i="2"/>
  <c r="AY758" i="2"/>
  <c r="AX758" i="2"/>
  <c r="AW758" i="2"/>
  <c r="AV758" i="2"/>
  <c r="AM758" i="2" s="1"/>
  <c r="AU758" i="2"/>
  <c r="AG758" i="2" s="1"/>
  <c r="AT758" i="2"/>
  <c r="AS758" i="2"/>
  <c r="AR758" i="2"/>
  <c r="AE758" i="2" s="1"/>
  <c r="AQ758" i="2"/>
  <c r="AH758" i="2" s="1"/>
  <c r="AI758" i="2"/>
  <c r="AF758" i="2"/>
  <c r="AY757" i="2"/>
  <c r="AJ757" i="2" s="1"/>
  <c r="AX757" i="2"/>
  <c r="AW757" i="2"/>
  <c r="AV757" i="2"/>
  <c r="AL757" i="2" s="1"/>
  <c r="AU757" i="2"/>
  <c r="AG757" i="2" s="1"/>
  <c r="AT757" i="2"/>
  <c r="AS757" i="2"/>
  <c r="AR757" i="2"/>
  <c r="AQ757" i="2"/>
  <c r="AH757" i="2" s="1"/>
  <c r="AI757" i="2"/>
  <c r="AF757" i="2"/>
  <c r="AY756" i="2"/>
  <c r="AX756" i="2"/>
  <c r="AW756" i="2"/>
  <c r="AV756" i="2"/>
  <c r="AL756" i="2" s="1"/>
  <c r="AU756" i="2"/>
  <c r="AG756" i="2" s="1"/>
  <c r="AT756" i="2"/>
  <c r="AS756" i="2"/>
  <c r="AR756" i="2"/>
  <c r="AE756" i="2" s="1"/>
  <c r="AQ756" i="2"/>
  <c r="AH756" i="2" s="1"/>
  <c r="AM756" i="2"/>
  <c r="AI756" i="2"/>
  <c r="AF756" i="2"/>
  <c r="AY755" i="2"/>
  <c r="AX755" i="2"/>
  <c r="AW755" i="2"/>
  <c r="AV755" i="2"/>
  <c r="AM755" i="2" s="1"/>
  <c r="AU755" i="2"/>
  <c r="AG755" i="2" s="1"/>
  <c r="AT755" i="2"/>
  <c r="AS755" i="2"/>
  <c r="AR755" i="2"/>
  <c r="AE755" i="2" s="1"/>
  <c r="AQ755" i="2"/>
  <c r="AH755" i="2" s="1"/>
  <c r="AL755" i="2"/>
  <c r="AK755" i="2" s="1"/>
  <c r="AI755" i="2"/>
  <c r="AF755" i="2"/>
  <c r="AY754" i="2"/>
  <c r="AX754" i="2"/>
  <c r="AW754" i="2"/>
  <c r="AV754" i="2"/>
  <c r="AM754" i="2" s="1"/>
  <c r="AU754" i="2"/>
  <c r="AG754" i="2" s="1"/>
  <c r="AT754" i="2"/>
  <c r="AS754" i="2"/>
  <c r="AR754" i="2"/>
  <c r="AE754" i="2" s="1"/>
  <c r="AQ754" i="2"/>
  <c r="AH754" i="2" s="1"/>
  <c r="AI754" i="2"/>
  <c r="AF754" i="2"/>
  <c r="AY753" i="2"/>
  <c r="AX753" i="2"/>
  <c r="AW753" i="2"/>
  <c r="AV753" i="2"/>
  <c r="AL753" i="2" s="1"/>
  <c r="AU753" i="2"/>
  <c r="AG753" i="2" s="1"/>
  <c r="AT753" i="2"/>
  <c r="AS753" i="2"/>
  <c r="AR753" i="2"/>
  <c r="AQ753" i="2"/>
  <c r="AH753" i="2" s="1"/>
  <c r="AM753" i="2"/>
  <c r="AI753" i="2"/>
  <c r="AF753" i="2"/>
  <c r="AY752" i="2"/>
  <c r="AX752" i="2"/>
  <c r="AW752" i="2"/>
  <c r="AV752" i="2"/>
  <c r="AM752" i="2" s="1"/>
  <c r="AU752" i="2"/>
  <c r="AG752" i="2" s="1"/>
  <c r="AT752" i="2"/>
  <c r="AS752" i="2"/>
  <c r="AR752" i="2"/>
  <c r="AQ752" i="2"/>
  <c r="AH752" i="2" s="1"/>
  <c r="AI752" i="2"/>
  <c r="AF752" i="2"/>
  <c r="AY751" i="2"/>
  <c r="AX751" i="2"/>
  <c r="U751" i="2" s="1"/>
  <c r="AW751" i="2"/>
  <c r="AV751" i="2"/>
  <c r="AM751" i="2" s="1"/>
  <c r="AU751" i="2"/>
  <c r="AG751" i="2" s="1"/>
  <c r="AT751" i="2"/>
  <c r="AS751" i="2"/>
  <c r="AR751" i="2"/>
  <c r="AE751" i="2" s="1"/>
  <c r="AQ751" i="2"/>
  <c r="AH751" i="2" s="1"/>
  <c r="AI751" i="2"/>
  <c r="AF751" i="2"/>
  <c r="AY750" i="2"/>
  <c r="AX750" i="2"/>
  <c r="AW750" i="2"/>
  <c r="AV750" i="2"/>
  <c r="AM750" i="2" s="1"/>
  <c r="AU750" i="2"/>
  <c r="AG750" i="2" s="1"/>
  <c r="AT750" i="2"/>
  <c r="AS750" i="2"/>
  <c r="AR750" i="2"/>
  <c r="AQ750" i="2"/>
  <c r="AH750" i="2" s="1"/>
  <c r="AI750" i="2"/>
  <c r="AF750" i="2"/>
  <c r="AY749" i="2"/>
  <c r="AX749" i="2"/>
  <c r="AW749" i="2"/>
  <c r="AV749" i="2"/>
  <c r="AL749" i="2" s="1"/>
  <c r="AU749" i="2"/>
  <c r="AG749" i="2" s="1"/>
  <c r="AT749" i="2"/>
  <c r="AS749" i="2"/>
  <c r="AR749" i="2"/>
  <c r="AE749" i="2" s="1"/>
  <c r="AQ749" i="2"/>
  <c r="AH749" i="2" s="1"/>
  <c r="AJ749" i="2"/>
  <c r="AI749" i="2"/>
  <c r="AF749" i="2"/>
  <c r="AY748" i="2"/>
  <c r="AX748" i="2"/>
  <c r="U748" i="2" s="1"/>
  <c r="AA748" i="2" s="1"/>
  <c r="AW748" i="2"/>
  <c r="AV748" i="2"/>
  <c r="AL748" i="2" s="1"/>
  <c r="AU748" i="2"/>
  <c r="AG748" i="2" s="1"/>
  <c r="AT748" i="2"/>
  <c r="AS748" i="2"/>
  <c r="AR748" i="2"/>
  <c r="AE748" i="2" s="1"/>
  <c r="AQ748" i="2"/>
  <c r="AM748" i="2"/>
  <c r="AI748" i="2"/>
  <c r="AH748" i="2"/>
  <c r="J748" i="2" s="1"/>
  <c r="AF748" i="2"/>
  <c r="AY747" i="2"/>
  <c r="U747" i="2" s="1"/>
  <c r="O747" i="2" s="1"/>
  <c r="AX747" i="2"/>
  <c r="AW747" i="2"/>
  <c r="AV747" i="2"/>
  <c r="AM747" i="2" s="1"/>
  <c r="AU747" i="2"/>
  <c r="AG747" i="2" s="1"/>
  <c r="AT747" i="2"/>
  <c r="AS747" i="2"/>
  <c r="AJ747" i="2" s="1"/>
  <c r="AR747" i="2"/>
  <c r="AQ747" i="2"/>
  <c r="AH747" i="2" s="1"/>
  <c r="AL747" i="2"/>
  <c r="T747" i="2" s="1"/>
  <c r="Z747" i="2" s="1"/>
  <c r="AI747" i="2"/>
  <c r="AF747" i="2"/>
  <c r="AY746" i="2"/>
  <c r="AX746" i="2"/>
  <c r="AW746" i="2"/>
  <c r="AV746" i="2"/>
  <c r="AM746" i="2" s="1"/>
  <c r="AU746" i="2"/>
  <c r="AT746" i="2"/>
  <c r="AS746" i="2"/>
  <c r="AR746" i="2"/>
  <c r="AE746" i="2" s="1"/>
  <c r="AQ746" i="2"/>
  <c r="AH746" i="2" s="1"/>
  <c r="AJ746" i="2"/>
  <c r="AI746" i="2"/>
  <c r="AG746" i="2"/>
  <c r="AF746" i="2"/>
  <c r="AY745" i="2"/>
  <c r="U745" i="2" s="1"/>
  <c r="AX745" i="2"/>
  <c r="AW745" i="2"/>
  <c r="AV745" i="2"/>
  <c r="AL745" i="2" s="1"/>
  <c r="AU745" i="2"/>
  <c r="AG745" i="2" s="1"/>
  <c r="AT745" i="2"/>
  <c r="AS745" i="2"/>
  <c r="AR745" i="2"/>
  <c r="AQ745" i="2"/>
  <c r="AH745" i="2" s="1"/>
  <c r="AM745" i="2"/>
  <c r="AJ745" i="2"/>
  <c r="AI745" i="2"/>
  <c r="AF745" i="2"/>
  <c r="AY744" i="2"/>
  <c r="AX744" i="2"/>
  <c r="U744" i="2" s="1"/>
  <c r="AA744" i="2" s="1"/>
  <c r="AW744" i="2"/>
  <c r="AV744" i="2"/>
  <c r="AL744" i="2" s="1"/>
  <c r="AU744" i="2"/>
  <c r="AG744" i="2" s="1"/>
  <c r="AT744" i="2"/>
  <c r="AS744" i="2"/>
  <c r="AR744" i="2"/>
  <c r="AE744" i="2" s="1"/>
  <c r="J744" i="2" s="1"/>
  <c r="AQ744" i="2"/>
  <c r="AI744" i="2"/>
  <c r="AH744" i="2"/>
  <c r="AF744" i="2"/>
  <c r="AY743" i="2"/>
  <c r="AX743" i="2"/>
  <c r="U743" i="2" s="1"/>
  <c r="AW743" i="2"/>
  <c r="AV743" i="2"/>
  <c r="AM743" i="2" s="1"/>
  <c r="AU743" i="2"/>
  <c r="AT743" i="2"/>
  <c r="AS743" i="2"/>
  <c r="AR743" i="2"/>
  <c r="AE743" i="2" s="1"/>
  <c r="AQ743" i="2"/>
  <c r="AL743" i="2"/>
  <c r="T743" i="2" s="1"/>
  <c r="Z743" i="2" s="1"/>
  <c r="AI743" i="2"/>
  <c r="AH743" i="2"/>
  <c r="J743" i="2" s="1"/>
  <c r="AG743" i="2"/>
  <c r="AF743" i="2"/>
  <c r="AY742" i="2"/>
  <c r="AX742" i="2"/>
  <c r="AW742" i="2"/>
  <c r="AV742" i="2"/>
  <c r="AM742" i="2" s="1"/>
  <c r="AU742" i="2"/>
  <c r="AG742" i="2" s="1"/>
  <c r="AT742" i="2"/>
  <c r="AS742" i="2"/>
  <c r="AR742" i="2"/>
  <c r="AQ742" i="2"/>
  <c r="AH742" i="2" s="1"/>
  <c r="AI742" i="2"/>
  <c r="AF742" i="2"/>
  <c r="AY741" i="2"/>
  <c r="AX741" i="2"/>
  <c r="AJ741" i="2" s="1"/>
  <c r="AW741" i="2"/>
  <c r="AV741" i="2"/>
  <c r="AL741" i="2" s="1"/>
  <c r="AU741" i="2"/>
  <c r="AG741" i="2" s="1"/>
  <c r="AT741" i="2"/>
  <c r="AS741" i="2"/>
  <c r="AR741" i="2"/>
  <c r="AE741" i="2" s="1"/>
  <c r="AQ741" i="2"/>
  <c r="AH741" i="2" s="1"/>
  <c r="AM741" i="2"/>
  <c r="AI741" i="2"/>
  <c r="AF741" i="2"/>
  <c r="AY740" i="2"/>
  <c r="AX740" i="2"/>
  <c r="AW740" i="2"/>
  <c r="AV740" i="2"/>
  <c r="AM740" i="2" s="1"/>
  <c r="U740" i="2" s="1"/>
  <c r="AU740" i="2"/>
  <c r="AG740" i="2" s="1"/>
  <c r="AT740" i="2"/>
  <c r="AS740" i="2"/>
  <c r="AR740" i="2"/>
  <c r="AQ740" i="2"/>
  <c r="AL740" i="2"/>
  <c r="AI740" i="2"/>
  <c r="AH740" i="2"/>
  <c r="AF740" i="2"/>
  <c r="AY739" i="2"/>
  <c r="AX739" i="2"/>
  <c r="AW739" i="2"/>
  <c r="AV739" i="2"/>
  <c r="AM739" i="2" s="1"/>
  <c r="U739" i="2" s="1"/>
  <c r="O739" i="2" s="1"/>
  <c r="AU739" i="2"/>
  <c r="AT739" i="2"/>
  <c r="AS739" i="2"/>
  <c r="AR739" i="2"/>
  <c r="AE739" i="2" s="1"/>
  <c r="AQ739" i="2"/>
  <c r="AI739" i="2"/>
  <c r="AH739" i="2"/>
  <c r="AG739" i="2"/>
  <c r="AF739" i="2"/>
  <c r="AY738" i="2"/>
  <c r="AX738" i="2"/>
  <c r="AW738" i="2"/>
  <c r="AV738" i="2"/>
  <c r="AU738" i="2"/>
  <c r="AT738" i="2"/>
  <c r="AS738" i="2"/>
  <c r="AR738" i="2"/>
  <c r="AE738" i="2" s="1"/>
  <c r="AQ738" i="2"/>
  <c r="AH738" i="2" s="1"/>
  <c r="AJ738" i="2"/>
  <c r="AI738" i="2"/>
  <c r="AG738" i="2"/>
  <c r="AF738" i="2"/>
  <c r="AY737" i="2"/>
  <c r="AX737" i="2"/>
  <c r="AW737" i="2"/>
  <c r="AV737" i="2"/>
  <c r="AL737" i="2" s="1"/>
  <c r="AU737" i="2"/>
  <c r="AG737" i="2" s="1"/>
  <c r="AT737" i="2"/>
  <c r="AS737" i="2"/>
  <c r="AR737" i="2"/>
  <c r="AQ737" i="2"/>
  <c r="AH737" i="2" s="1"/>
  <c r="AM737" i="2"/>
  <c r="AI737" i="2"/>
  <c r="AF737" i="2"/>
  <c r="AY736" i="2"/>
  <c r="AX736" i="2"/>
  <c r="AW736" i="2"/>
  <c r="AV736" i="2"/>
  <c r="AU736" i="2"/>
  <c r="AG736" i="2" s="1"/>
  <c r="AT736" i="2"/>
  <c r="AS736" i="2"/>
  <c r="AR736" i="2"/>
  <c r="AQ736" i="2"/>
  <c r="AM736" i="2"/>
  <c r="AL736" i="2"/>
  <c r="AI736" i="2"/>
  <c r="AH736" i="2"/>
  <c r="AF736" i="2"/>
  <c r="AY735" i="2"/>
  <c r="AX735" i="2"/>
  <c r="AW735" i="2"/>
  <c r="AV735" i="2"/>
  <c r="AM735" i="2" s="1"/>
  <c r="AU735" i="2"/>
  <c r="AT735" i="2"/>
  <c r="AS735" i="2"/>
  <c r="AR735" i="2"/>
  <c r="AE735" i="2" s="1"/>
  <c r="AQ735" i="2"/>
  <c r="AI735" i="2"/>
  <c r="AH735" i="2"/>
  <c r="AG735" i="2"/>
  <c r="AF735" i="2"/>
  <c r="AY734" i="2"/>
  <c r="AJ734" i="2" s="1"/>
  <c r="AX734" i="2"/>
  <c r="AW734" i="2"/>
  <c r="AV734" i="2"/>
  <c r="AU734" i="2"/>
  <c r="AG734" i="2" s="1"/>
  <c r="AT734" i="2"/>
  <c r="AS734" i="2"/>
  <c r="AR734" i="2"/>
  <c r="AQ734" i="2"/>
  <c r="AH734" i="2" s="1"/>
  <c r="AI734" i="2"/>
  <c r="AF734" i="2"/>
  <c r="AY733" i="2"/>
  <c r="AX733" i="2"/>
  <c r="AW733" i="2"/>
  <c r="AV733" i="2"/>
  <c r="AL733" i="2" s="1"/>
  <c r="AU733" i="2"/>
  <c r="AG733" i="2" s="1"/>
  <c r="AT733" i="2"/>
  <c r="AS733" i="2"/>
  <c r="AR733" i="2"/>
  <c r="AQ733" i="2"/>
  <c r="AH733" i="2" s="1"/>
  <c r="AM733" i="2"/>
  <c r="AI733" i="2"/>
  <c r="AF733" i="2"/>
  <c r="AY732" i="2"/>
  <c r="AX732" i="2"/>
  <c r="AW732" i="2"/>
  <c r="AV732" i="2"/>
  <c r="AL732" i="2" s="1"/>
  <c r="T732" i="2" s="1"/>
  <c r="AU732" i="2"/>
  <c r="AG732" i="2" s="1"/>
  <c r="AT732" i="2"/>
  <c r="AS732" i="2"/>
  <c r="AR732" i="2"/>
  <c r="AE732" i="2" s="1"/>
  <c r="AQ732" i="2"/>
  <c r="AI732" i="2"/>
  <c r="AH732" i="2"/>
  <c r="AF732" i="2"/>
  <c r="AY731" i="2"/>
  <c r="AX731" i="2"/>
  <c r="AW731" i="2"/>
  <c r="AV731" i="2"/>
  <c r="AM731" i="2" s="1"/>
  <c r="AU731" i="2"/>
  <c r="AG731" i="2" s="1"/>
  <c r="AT731" i="2"/>
  <c r="AS731" i="2"/>
  <c r="AJ731" i="2" s="1"/>
  <c r="AR731" i="2"/>
  <c r="AQ731" i="2"/>
  <c r="AI731" i="2"/>
  <c r="AH731" i="2"/>
  <c r="AF731" i="2"/>
  <c r="AY730" i="2"/>
  <c r="AX730" i="2"/>
  <c r="AW730" i="2"/>
  <c r="AV730" i="2"/>
  <c r="AU730" i="2"/>
  <c r="AG730" i="2" s="1"/>
  <c r="AT730" i="2"/>
  <c r="AS730" i="2"/>
  <c r="AR730" i="2"/>
  <c r="AE730" i="2" s="1"/>
  <c r="AQ730" i="2"/>
  <c r="AH730" i="2" s="1"/>
  <c r="AI730" i="2"/>
  <c r="AF730" i="2"/>
  <c r="AY729" i="2"/>
  <c r="AX729" i="2"/>
  <c r="AJ729" i="2" s="1"/>
  <c r="AW729" i="2"/>
  <c r="AV729" i="2"/>
  <c r="AL729" i="2" s="1"/>
  <c r="AU729" i="2"/>
  <c r="AG729" i="2" s="1"/>
  <c r="AT729" i="2"/>
  <c r="AS729" i="2"/>
  <c r="AR729" i="2"/>
  <c r="AE729" i="2" s="1"/>
  <c r="J729" i="2" s="1"/>
  <c r="AQ729" i="2"/>
  <c r="AH729" i="2" s="1"/>
  <c r="AI729" i="2"/>
  <c r="AF729" i="2"/>
  <c r="AY728" i="2"/>
  <c r="AX728" i="2"/>
  <c r="AW728" i="2"/>
  <c r="AV728" i="2"/>
  <c r="AM728" i="2" s="1"/>
  <c r="AU728" i="2"/>
  <c r="AG728" i="2" s="1"/>
  <c r="AT728" i="2"/>
  <c r="AS728" i="2"/>
  <c r="AR728" i="2"/>
  <c r="AE728" i="2" s="1"/>
  <c r="AQ728" i="2"/>
  <c r="AL728" i="2"/>
  <c r="T728" i="2" s="1"/>
  <c r="N728" i="2" s="1"/>
  <c r="AI728" i="2"/>
  <c r="AH728" i="2"/>
  <c r="J728" i="2" s="1"/>
  <c r="AF728" i="2"/>
  <c r="AY727" i="2"/>
  <c r="AX727" i="2"/>
  <c r="AW727" i="2"/>
  <c r="AV727" i="2"/>
  <c r="AM727" i="2" s="1"/>
  <c r="AU727" i="2"/>
  <c r="AG727" i="2" s="1"/>
  <c r="AT727" i="2"/>
  <c r="AS727" i="2"/>
  <c r="AR727" i="2"/>
  <c r="AE727" i="2" s="1"/>
  <c r="AQ727" i="2"/>
  <c r="AH727" i="2" s="1"/>
  <c r="AI727" i="2"/>
  <c r="AF727" i="2"/>
  <c r="AY726" i="2"/>
  <c r="AJ726" i="2" s="1"/>
  <c r="AX726" i="2"/>
  <c r="AW726" i="2"/>
  <c r="AV726" i="2"/>
  <c r="AU726" i="2"/>
  <c r="AG726" i="2" s="1"/>
  <c r="AT726" i="2"/>
  <c r="AS726" i="2"/>
  <c r="AR726" i="2"/>
  <c r="AE726" i="2" s="1"/>
  <c r="AQ726" i="2"/>
  <c r="AH726" i="2" s="1"/>
  <c r="AI726" i="2"/>
  <c r="AF726" i="2"/>
  <c r="AY725" i="2"/>
  <c r="AX725" i="2"/>
  <c r="AW725" i="2"/>
  <c r="AV725" i="2"/>
  <c r="AU725" i="2"/>
  <c r="AG725" i="2" s="1"/>
  <c r="AT725" i="2"/>
  <c r="AS725" i="2"/>
  <c r="AR725" i="2"/>
  <c r="AE725" i="2" s="1"/>
  <c r="AQ725" i="2"/>
  <c r="AH725" i="2" s="1"/>
  <c r="AI725" i="2"/>
  <c r="AF725" i="2"/>
  <c r="AY724" i="2"/>
  <c r="AX724" i="2"/>
  <c r="AW724" i="2"/>
  <c r="AV724" i="2"/>
  <c r="AM724" i="2" s="1"/>
  <c r="AU724" i="2"/>
  <c r="AG724" i="2" s="1"/>
  <c r="AT724" i="2"/>
  <c r="AS724" i="2"/>
  <c r="AR724" i="2"/>
  <c r="AQ724" i="2"/>
  <c r="AH724" i="2" s="1"/>
  <c r="AL724" i="2"/>
  <c r="T724" i="2" s="1"/>
  <c r="AI724" i="2"/>
  <c r="AF724" i="2"/>
  <c r="AY723" i="2"/>
  <c r="AX723" i="2"/>
  <c r="AW723" i="2"/>
  <c r="AV723" i="2"/>
  <c r="AM723" i="2" s="1"/>
  <c r="AU723" i="2"/>
  <c r="AG723" i="2" s="1"/>
  <c r="AT723" i="2"/>
  <c r="AS723" i="2"/>
  <c r="AR723" i="2"/>
  <c r="AE723" i="2" s="1"/>
  <c r="AQ723" i="2"/>
  <c r="AH723" i="2" s="1"/>
  <c r="AI723" i="2"/>
  <c r="AF723" i="2"/>
  <c r="AY722" i="2"/>
  <c r="AJ722" i="2" s="1"/>
  <c r="AX722" i="2"/>
  <c r="AW722" i="2"/>
  <c r="AV722" i="2"/>
  <c r="AU722" i="2"/>
  <c r="AG722" i="2" s="1"/>
  <c r="AT722" i="2"/>
  <c r="AS722" i="2"/>
  <c r="AR722" i="2"/>
  <c r="AQ722" i="2"/>
  <c r="AH722" i="2" s="1"/>
  <c r="AI722" i="2"/>
  <c r="AF722" i="2"/>
  <c r="AY721" i="2"/>
  <c r="AX721" i="2"/>
  <c r="AW721" i="2"/>
  <c r="AV721" i="2"/>
  <c r="AU721" i="2"/>
  <c r="AG721" i="2" s="1"/>
  <c r="AT721" i="2"/>
  <c r="AS721" i="2"/>
  <c r="AR721" i="2"/>
  <c r="AQ721" i="2"/>
  <c r="AH721" i="2" s="1"/>
  <c r="AI721" i="2"/>
  <c r="AF721" i="2"/>
  <c r="AY720" i="2"/>
  <c r="AX720" i="2"/>
  <c r="U720" i="2" s="1"/>
  <c r="AW720" i="2"/>
  <c r="AV720" i="2"/>
  <c r="AL720" i="2" s="1"/>
  <c r="T720" i="2" s="1"/>
  <c r="N720" i="2" s="1"/>
  <c r="AU720" i="2"/>
  <c r="AG720" i="2" s="1"/>
  <c r="AT720" i="2"/>
  <c r="AS720" i="2"/>
  <c r="AR720" i="2"/>
  <c r="AE720" i="2" s="1"/>
  <c r="AQ720" i="2"/>
  <c r="AM720" i="2"/>
  <c r="AI720" i="2"/>
  <c r="AH720" i="2"/>
  <c r="AF720" i="2"/>
  <c r="AY719" i="2"/>
  <c r="U719" i="2" s="1"/>
  <c r="AX719" i="2"/>
  <c r="AW719" i="2"/>
  <c r="AV719" i="2"/>
  <c r="AM719" i="2" s="1"/>
  <c r="AU719" i="2"/>
  <c r="AG719" i="2" s="1"/>
  <c r="AT719" i="2"/>
  <c r="AS719" i="2"/>
  <c r="AJ719" i="2" s="1"/>
  <c r="AR719" i="2"/>
  <c r="AQ719" i="2"/>
  <c r="AI719" i="2"/>
  <c r="AH719" i="2"/>
  <c r="AF719" i="2"/>
  <c r="AY718" i="2"/>
  <c r="U718" i="2" s="1"/>
  <c r="O718" i="2" s="1"/>
  <c r="AX718" i="2"/>
  <c r="AW718" i="2"/>
  <c r="AV718" i="2"/>
  <c r="AM718" i="2" s="1"/>
  <c r="AU718" i="2"/>
  <c r="AG718" i="2" s="1"/>
  <c r="AT718" i="2"/>
  <c r="AS718" i="2"/>
  <c r="AJ718" i="2" s="1"/>
  <c r="AR718" i="2"/>
  <c r="AQ718" i="2"/>
  <c r="AH718" i="2" s="1"/>
  <c r="AI718" i="2"/>
  <c r="AF718" i="2"/>
  <c r="AA718" i="2"/>
  <c r="AY717" i="2"/>
  <c r="AX717" i="2"/>
  <c r="AJ717" i="2" s="1"/>
  <c r="AW717" i="2"/>
  <c r="AV717" i="2"/>
  <c r="AL717" i="2" s="1"/>
  <c r="AU717" i="2"/>
  <c r="AT717" i="2"/>
  <c r="AS717" i="2"/>
  <c r="AR717" i="2"/>
  <c r="AE717" i="2" s="1"/>
  <c r="J717" i="2" s="1"/>
  <c r="AQ717" i="2"/>
  <c r="AH717" i="2" s="1"/>
  <c r="AI717" i="2"/>
  <c r="AG717" i="2"/>
  <c r="AF717" i="2"/>
  <c r="U717" i="2"/>
  <c r="AA717" i="2" s="1"/>
  <c r="AY716" i="2"/>
  <c r="U716" i="2" s="1"/>
  <c r="AX716" i="2"/>
  <c r="AW716" i="2"/>
  <c r="AV716" i="2"/>
  <c r="AM716" i="2" s="1"/>
  <c r="AU716" i="2"/>
  <c r="AG716" i="2" s="1"/>
  <c r="AT716" i="2"/>
  <c r="AS716" i="2"/>
  <c r="AJ716" i="2" s="1"/>
  <c r="AR716" i="2"/>
  <c r="AQ716" i="2"/>
  <c r="AH716" i="2" s="1"/>
  <c r="AI716" i="2"/>
  <c r="AF716" i="2"/>
  <c r="AY715" i="2"/>
  <c r="AX715" i="2"/>
  <c r="AW715" i="2"/>
  <c r="AV715" i="2"/>
  <c r="AL715" i="2" s="1"/>
  <c r="AU715" i="2"/>
  <c r="AG715" i="2" s="1"/>
  <c r="AT715" i="2"/>
  <c r="AS715" i="2"/>
  <c r="AR715" i="2"/>
  <c r="AQ715" i="2"/>
  <c r="AH715" i="2" s="1"/>
  <c r="AI715" i="2"/>
  <c r="AF715" i="2"/>
  <c r="U715" i="2"/>
  <c r="O715" i="2" s="1"/>
  <c r="AY714" i="2"/>
  <c r="AX714" i="2"/>
  <c r="U714" i="2" s="1"/>
  <c r="O714" i="2" s="1"/>
  <c r="AW714" i="2"/>
  <c r="AV714" i="2"/>
  <c r="AM714" i="2" s="1"/>
  <c r="AU714" i="2"/>
  <c r="AG714" i="2" s="1"/>
  <c r="AT714" i="2"/>
  <c r="AS714" i="2"/>
  <c r="AR714" i="2"/>
  <c r="AE714" i="2" s="1"/>
  <c r="AQ714" i="2"/>
  <c r="AI714" i="2"/>
  <c r="AH714" i="2"/>
  <c r="AF714" i="2"/>
  <c r="AY713" i="2"/>
  <c r="U713" i="2" s="1"/>
  <c r="O713" i="2" s="1"/>
  <c r="AX713" i="2"/>
  <c r="AW713" i="2"/>
  <c r="AV713" i="2"/>
  <c r="AL713" i="2" s="1"/>
  <c r="AU713" i="2"/>
  <c r="AG713" i="2" s="1"/>
  <c r="AT713" i="2"/>
  <c r="AS713" i="2"/>
  <c r="AJ713" i="2" s="1"/>
  <c r="AR713" i="2"/>
  <c r="AQ713" i="2"/>
  <c r="AH713" i="2" s="1"/>
  <c r="AI713" i="2"/>
  <c r="AF713" i="2"/>
  <c r="AY712" i="2"/>
  <c r="U712" i="2" s="1"/>
  <c r="AX712" i="2"/>
  <c r="AW712" i="2"/>
  <c r="AV712" i="2"/>
  <c r="AM712" i="2" s="1"/>
  <c r="AU712" i="2"/>
  <c r="AG712" i="2" s="1"/>
  <c r="AT712" i="2"/>
  <c r="AS712" i="2"/>
  <c r="AJ712" i="2" s="1"/>
  <c r="AR712" i="2"/>
  <c r="AQ712" i="2"/>
  <c r="AH712" i="2" s="1"/>
  <c r="AI712" i="2"/>
  <c r="AF712" i="2"/>
  <c r="AY711" i="2"/>
  <c r="AX711" i="2"/>
  <c r="AW711" i="2"/>
  <c r="AV711" i="2"/>
  <c r="AL711" i="2" s="1"/>
  <c r="AU711" i="2"/>
  <c r="AG711" i="2" s="1"/>
  <c r="AT711" i="2"/>
  <c r="AS711" i="2"/>
  <c r="AR711" i="2"/>
  <c r="AQ711" i="2"/>
  <c r="AH711" i="2" s="1"/>
  <c r="AM711" i="2"/>
  <c r="AI711" i="2"/>
  <c r="AF711" i="2"/>
  <c r="U711" i="2"/>
  <c r="AY710" i="2"/>
  <c r="AX710" i="2"/>
  <c r="AW710" i="2"/>
  <c r="AV710" i="2"/>
  <c r="AL710" i="2" s="1"/>
  <c r="AU710" i="2"/>
  <c r="AG710" i="2" s="1"/>
  <c r="AT710" i="2"/>
  <c r="AS710" i="2"/>
  <c r="AR710" i="2"/>
  <c r="AE710" i="2" s="1"/>
  <c r="AQ710" i="2"/>
  <c r="AM710" i="2"/>
  <c r="U710" i="2" s="1"/>
  <c r="AI710" i="2"/>
  <c r="AH710" i="2"/>
  <c r="AF710" i="2"/>
  <c r="AY709" i="2"/>
  <c r="AX709" i="2"/>
  <c r="AW709" i="2"/>
  <c r="AV709" i="2"/>
  <c r="AL709" i="2" s="1"/>
  <c r="AU709" i="2"/>
  <c r="AT709" i="2"/>
  <c r="AS709" i="2"/>
  <c r="AR709" i="2"/>
  <c r="AE709" i="2" s="1"/>
  <c r="AQ709" i="2"/>
  <c r="AI709" i="2"/>
  <c r="AH709" i="2"/>
  <c r="AG709" i="2"/>
  <c r="AF709" i="2"/>
  <c r="AY708" i="2"/>
  <c r="AX708" i="2"/>
  <c r="AW708" i="2"/>
  <c r="AV708" i="2"/>
  <c r="AM708" i="2" s="1"/>
  <c r="AU708" i="2"/>
  <c r="AG708" i="2" s="1"/>
  <c r="AT708" i="2"/>
  <c r="AS708" i="2"/>
  <c r="AJ708" i="2" s="1"/>
  <c r="AR708" i="2"/>
  <c r="AQ708" i="2"/>
  <c r="AH708" i="2" s="1"/>
  <c r="AI708" i="2"/>
  <c r="AF708" i="2"/>
  <c r="AY707" i="2"/>
  <c r="AX707" i="2"/>
  <c r="AW707" i="2"/>
  <c r="AV707" i="2"/>
  <c r="AL707" i="2" s="1"/>
  <c r="AU707" i="2"/>
  <c r="AG707" i="2" s="1"/>
  <c r="AT707" i="2"/>
  <c r="AS707" i="2"/>
  <c r="AR707" i="2"/>
  <c r="AQ707" i="2"/>
  <c r="AH707" i="2" s="1"/>
  <c r="AM707" i="2"/>
  <c r="AI707" i="2"/>
  <c r="AF707" i="2"/>
  <c r="U707" i="2"/>
  <c r="AY706" i="2"/>
  <c r="AX706" i="2"/>
  <c r="AW706" i="2"/>
  <c r="AV706" i="2"/>
  <c r="AL706" i="2" s="1"/>
  <c r="AU706" i="2"/>
  <c r="AG706" i="2" s="1"/>
  <c r="AT706" i="2"/>
  <c r="AS706" i="2"/>
  <c r="AR706" i="2"/>
  <c r="AE706" i="2" s="1"/>
  <c r="AQ706" i="2"/>
  <c r="AM706" i="2"/>
  <c r="U706" i="2" s="1"/>
  <c r="AI706" i="2"/>
  <c r="AH706" i="2"/>
  <c r="AF706" i="2"/>
  <c r="AY705" i="2"/>
  <c r="AX705" i="2"/>
  <c r="AW705" i="2"/>
  <c r="AV705" i="2"/>
  <c r="AL705" i="2" s="1"/>
  <c r="AU705" i="2"/>
  <c r="AT705" i="2"/>
  <c r="AS705" i="2"/>
  <c r="AR705" i="2"/>
  <c r="AE705" i="2" s="1"/>
  <c r="AQ705" i="2"/>
  <c r="AI705" i="2"/>
  <c r="AH705" i="2"/>
  <c r="AG705" i="2"/>
  <c r="AF705" i="2"/>
  <c r="AY704" i="2"/>
  <c r="AX704" i="2"/>
  <c r="AW704" i="2"/>
  <c r="AV704" i="2"/>
  <c r="AM704" i="2" s="1"/>
  <c r="AU704" i="2"/>
  <c r="AG704" i="2" s="1"/>
  <c r="AT704" i="2"/>
  <c r="AS704" i="2"/>
  <c r="AJ704" i="2" s="1"/>
  <c r="AR704" i="2"/>
  <c r="AQ704" i="2"/>
  <c r="AH704" i="2" s="1"/>
  <c r="AI704" i="2"/>
  <c r="AF704" i="2"/>
  <c r="AY703" i="2"/>
  <c r="AX703" i="2"/>
  <c r="AW703" i="2"/>
  <c r="AV703" i="2"/>
  <c r="AL703" i="2" s="1"/>
  <c r="AU703" i="2"/>
  <c r="AG703" i="2" s="1"/>
  <c r="AT703" i="2"/>
  <c r="AS703" i="2"/>
  <c r="AR703" i="2"/>
  <c r="AQ703" i="2"/>
  <c r="AH703" i="2" s="1"/>
  <c r="AM703" i="2"/>
  <c r="AI703" i="2"/>
  <c r="AF703" i="2"/>
  <c r="U703" i="2"/>
  <c r="AY702" i="2"/>
  <c r="AX702" i="2"/>
  <c r="AW702" i="2"/>
  <c r="AV702" i="2"/>
  <c r="AL702" i="2" s="1"/>
  <c r="AU702" i="2"/>
  <c r="AG702" i="2" s="1"/>
  <c r="AT702" i="2"/>
  <c r="AS702" i="2"/>
  <c r="AR702" i="2"/>
  <c r="AE702" i="2" s="1"/>
  <c r="AQ702" i="2"/>
  <c r="AM702" i="2"/>
  <c r="U702" i="2" s="1"/>
  <c r="AI702" i="2"/>
  <c r="AH702" i="2"/>
  <c r="AF702" i="2"/>
  <c r="AY701" i="2"/>
  <c r="AX701" i="2"/>
  <c r="AW701" i="2"/>
  <c r="AV701" i="2"/>
  <c r="AL701" i="2" s="1"/>
  <c r="AU701" i="2"/>
  <c r="AT701" i="2"/>
  <c r="AS701" i="2"/>
  <c r="AR701" i="2"/>
  <c r="AE701" i="2" s="1"/>
  <c r="AQ701" i="2"/>
  <c r="AI701" i="2"/>
  <c r="AH701" i="2"/>
  <c r="AG701" i="2"/>
  <c r="AF701" i="2"/>
  <c r="AY700" i="2"/>
  <c r="AX700" i="2"/>
  <c r="AW700" i="2"/>
  <c r="AV700" i="2"/>
  <c r="AM700" i="2" s="1"/>
  <c r="AU700" i="2"/>
  <c r="AG700" i="2" s="1"/>
  <c r="AT700" i="2"/>
  <c r="AS700" i="2"/>
  <c r="AJ700" i="2" s="1"/>
  <c r="AR700" i="2"/>
  <c r="AQ700" i="2"/>
  <c r="AH700" i="2" s="1"/>
  <c r="AI700" i="2"/>
  <c r="AF700" i="2"/>
  <c r="AY699" i="2"/>
  <c r="AX699" i="2"/>
  <c r="AW699" i="2"/>
  <c r="AV699" i="2"/>
  <c r="AL699" i="2" s="1"/>
  <c r="AU699" i="2"/>
  <c r="AG699" i="2" s="1"/>
  <c r="AT699" i="2"/>
  <c r="AS699" i="2"/>
  <c r="AR699" i="2"/>
  <c r="AQ699" i="2"/>
  <c r="AH699" i="2" s="1"/>
  <c r="AM699" i="2"/>
  <c r="AI699" i="2"/>
  <c r="AF699" i="2"/>
  <c r="AY698" i="2"/>
  <c r="AX698" i="2"/>
  <c r="AW698" i="2"/>
  <c r="AV698" i="2"/>
  <c r="AU698" i="2"/>
  <c r="AG698" i="2" s="1"/>
  <c r="AT698" i="2"/>
  <c r="AS698" i="2"/>
  <c r="AJ698" i="2" s="1"/>
  <c r="AR698" i="2"/>
  <c r="AQ698" i="2"/>
  <c r="AM698" i="2"/>
  <c r="AL698" i="2"/>
  <c r="AI698" i="2"/>
  <c r="AH698" i="2"/>
  <c r="AF698" i="2"/>
  <c r="AY697" i="2"/>
  <c r="AX697" i="2"/>
  <c r="AW697" i="2"/>
  <c r="AV697" i="2"/>
  <c r="AL697" i="2" s="1"/>
  <c r="AU697" i="2"/>
  <c r="AG697" i="2" s="1"/>
  <c r="AT697" i="2"/>
  <c r="AS697" i="2"/>
  <c r="AR697" i="2"/>
  <c r="AQ697" i="2"/>
  <c r="AH697" i="2" s="1"/>
  <c r="AI697" i="2"/>
  <c r="AF697" i="2"/>
  <c r="AY696" i="2"/>
  <c r="AX696" i="2"/>
  <c r="AW696" i="2"/>
  <c r="AV696" i="2"/>
  <c r="AM696" i="2" s="1"/>
  <c r="AU696" i="2"/>
  <c r="AG696" i="2" s="1"/>
  <c r="AT696" i="2"/>
  <c r="AS696" i="2"/>
  <c r="AR696" i="2"/>
  <c r="AE696" i="2" s="1"/>
  <c r="AQ696" i="2"/>
  <c r="AH696" i="2" s="1"/>
  <c r="AJ696" i="2"/>
  <c r="AI696" i="2"/>
  <c r="AF696" i="2"/>
  <c r="AY695" i="2"/>
  <c r="AX695" i="2"/>
  <c r="AJ695" i="2" s="1"/>
  <c r="AW695" i="2"/>
  <c r="AV695" i="2"/>
  <c r="AU695" i="2"/>
  <c r="AG695" i="2" s="1"/>
  <c r="AT695" i="2"/>
  <c r="AS695" i="2"/>
  <c r="AR695" i="2"/>
  <c r="AE695" i="2" s="1"/>
  <c r="AQ695" i="2"/>
  <c r="AH695" i="2" s="1"/>
  <c r="AI695" i="2"/>
  <c r="AF695" i="2"/>
  <c r="AY694" i="2"/>
  <c r="AX694" i="2"/>
  <c r="AW694" i="2"/>
  <c r="AV694" i="2"/>
  <c r="AU694" i="2"/>
  <c r="AG694" i="2" s="1"/>
  <c r="AT694" i="2"/>
  <c r="AS694" i="2"/>
  <c r="AJ694" i="2" s="1"/>
  <c r="AR694" i="2"/>
  <c r="AQ694" i="2"/>
  <c r="AM694" i="2"/>
  <c r="AL694" i="2"/>
  <c r="AI694" i="2"/>
  <c r="AH694" i="2"/>
  <c r="AF694" i="2"/>
  <c r="AY693" i="2"/>
  <c r="AX693" i="2"/>
  <c r="AW693" i="2"/>
  <c r="AV693" i="2"/>
  <c r="AL693" i="2" s="1"/>
  <c r="AU693" i="2"/>
  <c r="AG693" i="2" s="1"/>
  <c r="AT693" i="2"/>
  <c r="AS693" i="2"/>
  <c r="AR693" i="2"/>
  <c r="AQ693" i="2"/>
  <c r="AH693" i="2" s="1"/>
  <c r="AI693" i="2"/>
  <c r="AF693" i="2"/>
  <c r="AY692" i="2"/>
  <c r="AX692" i="2"/>
  <c r="AW692" i="2"/>
  <c r="AV692" i="2"/>
  <c r="AM692" i="2" s="1"/>
  <c r="AU692" i="2"/>
  <c r="AG692" i="2" s="1"/>
  <c r="AT692" i="2"/>
  <c r="AS692" i="2"/>
  <c r="AR692" i="2"/>
  <c r="AE692" i="2" s="1"/>
  <c r="AQ692" i="2"/>
  <c r="AH692" i="2" s="1"/>
  <c r="AJ692" i="2"/>
  <c r="AI692" i="2"/>
  <c r="AF692" i="2"/>
  <c r="AY691" i="2"/>
  <c r="AX691" i="2"/>
  <c r="AJ691" i="2" s="1"/>
  <c r="AW691" i="2"/>
  <c r="AV691" i="2"/>
  <c r="AL691" i="2" s="1"/>
  <c r="AU691" i="2"/>
  <c r="AG691" i="2" s="1"/>
  <c r="AT691" i="2"/>
  <c r="AS691" i="2"/>
  <c r="AR691" i="2"/>
  <c r="AE691" i="2" s="1"/>
  <c r="AQ691" i="2"/>
  <c r="AH691" i="2" s="1"/>
  <c r="AM691" i="2"/>
  <c r="AI691" i="2"/>
  <c r="AF691" i="2"/>
  <c r="AY690" i="2"/>
  <c r="AX690" i="2"/>
  <c r="AW690" i="2"/>
  <c r="AV690" i="2"/>
  <c r="AU690" i="2"/>
  <c r="AG690" i="2" s="1"/>
  <c r="AT690" i="2"/>
  <c r="AS690" i="2"/>
  <c r="AJ690" i="2" s="1"/>
  <c r="AR690" i="2"/>
  <c r="AQ690" i="2"/>
  <c r="AM690" i="2"/>
  <c r="AL690" i="2"/>
  <c r="AI690" i="2"/>
  <c r="AH690" i="2"/>
  <c r="AF690" i="2"/>
  <c r="AY689" i="2"/>
  <c r="U689" i="2" s="1"/>
  <c r="O689" i="2" s="1"/>
  <c r="AX689" i="2"/>
  <c r="AW689" i="2"/>
  <c r="AV689" i="2"/>
  <c r="AL689" i="2" s="1"/>
  <c r="AU689" i="2"/>
  <c r="AG689" i="2" s="1"/>
  <c r="AT689" i="2"/>
  <c r="AS689" i="2"/>
  <c r="AJ689" i="2" s="1"/>
  <c r="AR689" i="2"/>
  <c r="AQ689" i="2"/>
  <c r="AH689" i="2" s="1"/>
  <c r="AI689" i="2"/>
  <c r="AF689" i="2"/>
  <c r="AY688" i="2"/>
  <c r="U688" i="2" s="1"/>
  <c r="AX688" i="2"/>
  <c r="AW688" i="2"/>
  <c r="AV688" i="2"/>
  <c r="AM688" i="2" s="1"/>
  <c r="AU688" i="2"/>
  <c r="AG688" i="2" s="1"/>
  <c r="AT688" i="2"/>
  <c r="AS688" i="2"/>
  <c r="AJ688" i="2" s="1"/>
  <c r="AR688" i="2"/>
  <c r="AQ688" i="2"/>
  <c r="AH688" i="2" s="1"/>
  <c r="AI688" i="2"/>
  <c r="AF688" i="2"/>
  <c r="AY687" i="2"/>
  <c r="AX687" i="2"/>
  <c r="AW687" i="2"/>
  <c r="AV687" i="2"/>
  <c r="AL687" i="2" s="1"/>
  <c r="AU687" i="2"/>
  <c r="AG687" i="2" s="1"/>
  <c r="AT687" i="2"/>
  <c r="AS687" i="2"/>
  <c r="AR687" i="2"/>
  <c r="AQ687" i="2"/>
  <c r="AH687" i="2" s="1"/>
  <c r="AM687" i="2"/>
  <c r="AI687" i="2"/>
  <c r="AF687" i="2"/>
  <c r="U687" i="2"/>
  <c r="O687" i="2" s="1"/>
  <c r="AY686" i="2"/>
  <c r="AX686" i="2"/>
  <c r="U686" i="2" s="1"/>
  <c r="O686" i="2" s="1"/>
  <c r="AW686" i="2"/>
  <c r="AV686" i="2"/>
  <c r="AL686" i="2" s="1"/>
  <c r="T686" i="2" s="1"/>
  <c r="AU686" i="2"/>
  <c r="AG686" i="2" s="1"/>
  <c r="AT686" i="2"/>
  <c r="AS686" i="2"/>
  <c r="AR686" i="2"/>
  <c r="AE686" i="2" s="1"/>
  <c r="AQ686" i="2"/>
  <c r="AM686" i="2"/>
  <c r="AI686" i="2"/>
  <c r="AH686" i="2"/>
  <c r="AF686" i="2"/>
  <c r="AY685" i="2"/>
  <c r="U685" i="2" s="1"/>
  <c r="O685" i="2" s="1"/>
  <c r="AX685" i="2"/>
  <c r="AW685" i="2"/>
  <c r="AV685" i="2"/>
  <c r="AL685" i="2" s="1"/>
  <c r="AU685" i="2"/>
  <c r="AG685" i="2" s="1"/>
  <c r="AT685" i="2"/>
  <c r="AS685" i="2"/>
  <c r="AJ685" i="2" s="1"/>
  <c r="AR685" i="2"/>
  <c r="AQ685" i="2"/>
  <c r="AI685" i="2"/>
  <c r="AH685" i="2"/>
  <c r="AF685" i="2"/>
  <c r="AY684" i="2"/>
  <c r="U684" i="2" s="1"/>
  <c r="AX684" i="2"/>
  <c r="AW684" i="2"/>
  <c r="AV684" i="2"/>
  <c r="AM684" i="2" s="1"/>
  <c r="AU684" i="2"/>
  <c r="AG684" i="2" s="1"/>
  <c r="AT684" i="2"/>
  <c r="AS684" i="2"/>
  <c r="AJ684" i="2" s="1"/>
  <c r="AR684" i="2"/>
  <c r="AQ684" i="2"/>
  <c r="AH684" i="2" s="1"/>
  <c r="AI684" i="2"/>
  <c r="AF684" i="2"/>
  <c r="AY683" i="2"/>
  <c r="AX683" i="2"/>
  <c r="AW683" i="2"/>
  <c r="AV683" i="2"/>
  <c r="AL683" i="2" s="1"/>
  <c r="AU683" i="2"/>
  <c r="AG683" i="2" s="1"/>
  <c r="AT683" i="2"/>
  <c r="AS683" i="2"/>
  <c r="AR683" i="2"/>
  <c r="AQ683" i="2"/>
  <c r="AH683" i="2" s="1"/>
  <c r="AI683" i="2"/>
  <c r="AF683" i="2"/>
  <c r="U683" i="2"/>
  <c r="AY682" i="2"/>
  <c r="AX682" i="2"/>
  <c r="U682" i="2" s="1"/>
  <c r="O682" i="2" s="1"/>
  <c r="AW682" i="2"/>
  <c r="AV682" i="2"/>
  <c r="AL682" i="2" s="1"/>
  <c r="AU682" i="2"/>
  <c r="AG682" i="2" s="1"/>
  <c r="AT682" i="2"/>
  <c r="AS682" i="2"/>
  <c r="AR682" i="2"/>
  <c r="AE682" i="2" s="1"/>
  <c r="AQ682" i="2"/>
  <c r="AM682" i="2"/>
  <c r="AI682" i="2"/>
  <c r="AH682" i="2"/>
  <c r="AF682" i="2"/>
  <c r="AY681" i="2"/>
  <c r="U681" i="2" s="1"/>
  <c r="O681" i="2" s="1"/>
  <c r="AX681" i="2"/>
  <c r="AW681" i="2"/>
  <c r="AV681" i="2"/>
  <c r="AU681" i="2"/>
  <c r="AG681" i="2" s="1"/>
  <c r="AT681" i="2"/>
  <c r="AS681" i="2"/>
  <c r="AJ681" i="2" s="1"/>
  <c r="AR681" i="2"/>
  <c r="AQ681" i="2"/>
  <c r="AH681" i="2" s="1"/>
  <c r="AI681" i="2"/>
  <c r="AF681" i="2"/>
  <c r="AY680" i="2"/>
  <c r="AX680" i="2"/>
  <c r="AW680" i="2"/>
  <c r="AV680" i="2"/>
  <c r="AU680" i="2"/>
  <c r="AG680" i="2" s="1"/>
  <c r="AT680" i="2"/>
  <c r="AS680" i="2"/>
  <c r="AR680" i="2"/>
  <c r="AQ680" i="2"/>
  <c r="AH680" i="2" s="1"/>
  <c r="J680" i="2" s="1"/>
  <c r="AN680" i="2"/>
  <c r="AM680" i="2"/>
  <c r="AL680" i="2"/>
  <c r="AJ680" i="2"/>
  <c r="AF680" i="2"/>
  <c r="AY679" i="2"/>
  <c r="AI679" i="2" s="1"/>
  <c r="AX679" i="2"/>
  <c r="AW679" i="2"/>
  <c r="AV679" i="2"/>
  <c r="AU679" i="2"/>
  <c r="AG679" i="2" s="1"/>
  <c r="AT679" i="2"/>
  <c r="AS679" i="2"/>
  <c r="AH679" i="2" s="1"/>
  <c r="J679" i="2" s="1"/>
  <c r="AR679" i="2"/>
  <c r="AQ679" i="2"/>
  <c r="AN679" i="2"/>
  <c r="AM679" i="2"/>
  <c r="AL679" i="2"/>
  <c r="AJ679" i="2"/>
  <c r="AF679" i="2"/>
  <c r="AY678" i="2"/>
  <c r="AX678" i="2"/>
  <c r="AW678" i="2"/>
  <c r="AV678" i="2"/>
  <c r="AU678" i="2"/>
  <c r="AG678" i="2" s="1"/>
  <c r="AT678" i="2"/>
  <c r="AS678" i="2"/>
  <c r="AR678" i="2"/>
  <c r="AQ678" i="2"/>
  <c r="AN678" i="2"/>
  <c r="AM678" i="2"/>
  <c r="AL678" i="2"/>
  <c r="AJ678" i="2"/>
  <c r="AF678" i="2"/>
  <c r="AY677" i="2"/>
  <c r="AI677" i="2" s="1"/>
  <c r="AX677" i="2"/>
  <c r="AW677" i="2"/>
  <c r="AV677" i="2"/>
  <c r="AU677" i="2"/>
  <c r="AT677" i="2"/>
  <c r="AS677" i="2"/>
  <c r="AR677" i="2"/>
  <c r="AQ677" i="2"/>
  <c r="AN677" i="2"/>
  <c r="AM677" i="2"/>
  <c r="AL677" i="2"/>
  <c r="AJ677" i="2"/>
  <c r="AG677" i="2"/>
  <c r="AF677" i="2"/>
  <c r="AY676" i="2"/>
  <c r="AX676" i="2"/>
  <c r="AW676" i="2"/>
  <c r="AV676" i="2"/>
  <c r="AU676" i="2"/>
  <c r="AG676" i="2" s="1"/>
  <c r="AT676" i="2"/>
  <c r="AS676" i="2"/>
  <c r="AR676" i="2"/>
  <c r="AQ676" i="2"/>
  <c r="AN676" i="2"/>
  <c r="AM676" i="2"/>
  <c r="AL676" i="2"/>
  <c r="AJ676" i="2"/>
  <c r="AF676" i="2"/>
  <c r="AY675" i="2"/>
  <c r="AX675" i="2"/>
  <c r="AW675" i="2"/>
  <c r="AV675" i="2"/>
  <c r="AU675" i="2"/>
  <c r="AG675" i="2" s="1"/>
  <c r="AT675" i="2"/>
  <c r="AS675" i="2"/>
  <c r="AR675" i="2"/>
  <c r="AQ675" i="2"/>
  <c r="AN675" i="2"/>
  <c r="V675" i="2" s="1"/>
  <c r="AM675" i="2"/>
  <c r="AL675" i="2"/>
  <c r="T675" i="2" s="1"/>
  <c r="Z675" i="2" s="1"/>
  <c r="AJ675" i="2"/>
  <c r="AI675" i="2"/>
  <c r="AF675" i="2"/>
  <c r="AY674" i="2"/>
  <c r="AX674" i="2"/>
  <c r="AW674" i="2"/>
  <c r="AV674" i="2"/>
  <c r="AU674" i="2"/>
  <c r="AG674" i="2" s="1"/>
  <c r="AT674" i="2"/>
  <c r="AS674" i="2"/>
  <c r="AR674" i="2"/>
  <c r="AQ674" i="2"/>
  <c r="AH674" i="2" s="1"/>
  <c r="J674" i="2" s="1"/>
  <c r="AN674" i="2"/>
  <c r="AM674" i="2"/>
  <c r="AL674" i="2"/>
  <c r="AJ674" i="2"/>
  <c r="AF674" i="2"/>
  <c r="AY673" i="2"/>
  <c r="AX673" i="2"/>
  <c r="AW673" i="2"/>
  <c r="AV673" i="2"/>
  <c r="AU673" i="2"/>
  <c r="AG673" i="2" s="1"/>
  <c r="AT673" i="2"/>
  <c r="AS673" i="2"/>
  <c r="AR673" i="2"/>
  <c r="AQ673" i="2"/>
  <c r="AN673" i="2"/>
  <c r="V673" i="2" s="1"/>
  <c r="AM673" i="2"/>
  <c r="AL673" i="2"/>
  <c r="T673" i="2" s="1"/>
  <c r="AJ673" i="2"/>
  <c r="AI673" i="2"/>
  <c r="AF673" i="2"/>
  <c r="AY672" i="2"/>
  <c r="AX672" i="2"/>
  <c r="AW672" i="2"/>
  <c r="AV672" i="2"/>
  <c r="AU672" i="2"/>
  <c r="AG672" i="2" s="1"/>
  <c r="AT672" i="2"/>
  <c r="AS672" i="2"/>
  <c r="AR672" i="2"/>
  <c r="AQ672" i="2"/>
  <c r="AN672" i="2"/>
  <c r="AM672" i="2"/>
  <c r="AL672" i="2"/>
  <c r="AJ672" i="2"/>
  <c r="AF672" i="2"/>
  <c r="AY671" i="2"/>
  <c r="AI671" i="2" s="1"/>
  <c r="AX671" i="2"/>
  <c r="AW671" i="2"/>
  <c r="AV671" i="2"/>
  <c r="AU671" i="2"/>
  <c r="AT671" i="2"/>
  <c r="AS671" i="2"/>
  <c r="AR671" i="2"/>
  <c r="AQ671" i="2"/>
  <c r="AN671" i="2"/>
  <c r="AM671" i="2"/>
  <c r="AL671" i="2"/>
  <c r="AJ671" i="2"/>
  <c r="AG671" i="2"/>
  <c r="AF671" i="2"/>
  <c r="V671" i="2"/>
  <c r="AY670" i="2"/>
  <c r="AX670" i="2"/>
  <c r="AW670" i="2"/>
  <c r="AV670" i="2"/>
  <c r="AU670" i="2"/>
  <c r="AG670" i="2" s="1"/>
  <c r="AT670" i="2"/>
  <c r="AS670" i="2"/>
  <c r="AR670" i="2"/>
  <c r="AQ670" i="2"/>
  <c r="AN670" i="2"/>
  <c r="AM670" i="2"/>
  <c r="AL670" i="2"/>
  <c r="T670" i="2" s="1"/>
  <c r="AJ670" i="2"/>
  <c r="AH670" i="2"/>
  <c r="J670" i="2" s="1"/>
  <c r="AF670" i="2"/>
  <c r="AY669" i="2"/>
  <c r="AI669" i="2" s="1"/>
  <c r="AX669" i="2"/>
  <c r="AW669" i="2"/>
  <c r="AV669" i="2"/>
  <c r="AU669" i="2"/>
  <c r="AG669" i="2" s="1"/>
  <c r="AT669" i="2"/>
  <c r="AS669" i="2"/>
  <c r="AH669" i="2" s="1"/>
  <c r="J669" i="2" s="1"/>
  <c r="AR669" i="2"/>
  <c r="AQ669" i="2"/>
  <c r="AN669" i="2"/>
  <c r="AM669" i="2"/>
  <c r="U669" i="2" s="1"/>
  <c r="AL669" i="2"/>
  <c r="AJ669" i="2"/>
  <c r="AF669" i="2"/>
  <c r="AY668" i="2"/>
  <c r="AX668" i="2"/>
  <c r="AW668" i="2"/>
  <c r="AV668" i="2"/>
  <c r="AU668" i="2"/>
  <c r="AG668" i="2" s="1"/>
  <c r="AT668" i="2"/>
  <c r="AS668" i="2"/>
  <c r="AR668" i="2"/>
  <c r="AQ668" i="2"/>
  <c r="AN668" i="2"/>
  <c r="AM668" i="2"/>
  <c r="AL668" i="2"/>
  <c r="AJ668" i="2"/>
  <c r="AF668" i="2"/>
  <c r="AY667" i="2"/>
  <c r="AI667" i="2" s="1"/>
  <c r="AX667" i="2"/>
  <c r="AW667" i="2"/>
  <c r="AV667" i="2"/>
  <c r="AU667" i="2"/>
  <c r="AG667" i="2" s="1"/>
  <c r="AT667" i="2"/>
  <c r="AS667" i="2"/>
  <c r="AR667" i="2"/>
  <c r="AQ667" i="2"/>
  <c r="AN667" i="2"/>
  <c r="AM667" i="2"/>
  <c r="AL667" i="2"/>
  <c r="AJ667" i="2"/>
  <c r="AF667" i="2"/>
  <c r="AY666" i="2"/>
  <c r="AX666" i="2"/>
  <c r="AW666" i="2"/>
  <c r="AV666" i="2"/>
  <c r="AU666" i="2"/>
  <c r="AG666" i="2" s="1"/>
  <c r="AT666" i="2"/>
  <c r="AS666" i="2"/>
  <c r="AR666" i="2"/>
  <c r="AQ666" i="2"/>
  <c r="AH666" i="2" s="1"/>
  <c r="J666" i="2" s="1"/>
  <c r="AN666" i="2"/>
  <c r="AM666" i="2"/>
  <c r="AL666" i="2"/>
  <c r="AJ666" i="2"/>
  <c r="AF666" i="2"/>
  <c r="AY665" i="2"/>
  <c r="AX665" i="2"/>
  <c r="AW665" i="2"/>
  <c r="AV665" i="2"/>
  <c r="AU665" i="2"/>
  <c r="AG665" i="2" s="1"/>
  <c r="AT665" i="2"/>
  <c r="AS665" i="2"/>
  <c r="AR665" i="2"/>
  <c r="AQ665" i="2"/>
  <c r="AN665" i="2"/>
  <c r="V665" i="2" s="1"/>
  <c r="AM665" i="2"/>
  <c r="AL665" i="2"/>
  <c r="T665" i="2" s="1"/>
  <c r="AJ665" i="2"/>
  <c r="AI665" i="2"/>
  <c r="AF665" i="2"/>
  <c r="AY664" i="2"/>
  <c r="AX664" i="2"/>
  <c r="AW664" i="2"/>
  <c r="AV664" i="2"/>
  <c r="AU664" i="2"/>
  <c r="AG664" i="2" s="1"/>
  <c r="AT664" i="2"/>
  <c r="AS664" i="2"/>
  <c r="AR664" i="2"/>
  <c r="AQ664" i="2"/>
  <c r="AN664" i="2"/>
  <c r="AM664" i="2"/>
  <c r="AL664" i="2"/>
  <c r="AJ664" i="2"/>
  <c r="AH664" i="2"/>
  <c r="J664" i="2" s="1"/>
  <c r="AF664" i="2"/>
  <c r="AY663" i="2"/>
  <c r="AI663" i="2" s="1"/>
  <c r="AX663" i="2"/>
  <c r="AW663" i="2"/>
  <c r="AV663" i="2"/>
  <c r="AU663" i="2"/>
  <c r="AG663" i="2" s="1"/>
  <c r="AT663" i="2"/>
  <c r="AS663" i="2"/>
  <c r="AR663" i="2"/>
  <c r="AQ663" i="2"/>
  <c r="AN663" i="2"/>
  <c r="AM663" i="2"/>
  <c r="AL663" i="2"/>
  <c r="AJ663" i="2"/>
  <c r="AH663" i="2"/>
  <c r="AF663" i="2"/>
  <c r="AY662" i="2"/>
  <c r="AX662" i="2"/>
  <c r="AW662" i="2"/>
  <c r="AV662" i="2"/>
  <c r="AU662" i="2"/>
  <c r="AT662" i="2"/>
  <c r="AS662" i="2"/>
  <c r="AR662" i="2"/>
  <c r="AQ662" i="2"/>
  <c r="AH662" i="2" s="1"/>
  <c r="J662" i="2" s="1"/>
  <c r="AN662" i="2"/>
  <c r="V662" i="2" s="1"/>
  <c r="AM662" i="2"/>
  <c r="AL662" i="2"/>
  <c r="AJ662" i="2"/>
  <c r="AG662" i="2"/>
  <c r="AF662" i="2"/>
  <c r="AY661" i="2"/>
  <c r="AX661" i="2"/>
  <c r="AW661" i="2"/>
  <c r="AV661" i="2"/>
  <c r="AU661" i="2"/>
  <c r="AG661" i="2" s="1"/>
  <c r="AT661" i="2"/>
  <c r="AS661" i="2"/>
  <c r="AR661" i="2"/>
  <c r="AQ661" i="2"/>
  <c r="AN661" i="2"/>
  <c r="AM661" i="2"/>
  <c r="U661" i="2" s="1"/>
  <c r="AL661" i="2"/>
  <c r="AJ661" i="2"/>
  <c r="AH661" i="2"/>
  <c r="AF661" i="2"/>
  <c r="J661" i="2"/>
  <c r="AY660" i="2"/>
  <c r="AX660" i="2"/>
  <c r="AW660" i="2"/>
  <c r="AV660" i="2"/>
  <c r="AU660" i="2"/>
  <c r="AT660" i="2"/>
  <c r="AS660" i="2"/>
  <c r="AR660" i="2"/>
  <c r="AQ660" i="2"/>
  <c r="AN660" i="2"/>
  <c r="AM660" i="2"/>
  <c r="AL660" i="2"/>
  <c r="AJ660" i="2"/>
  <c r="AG660" i="2"/>
  <c r="AF660" i="2"/>
  <c r="AY659" i="2"/>
  <c r="AI659" i="2" s="1"/>
  <c r="AX659" i="2"/>
  <c r="AW659" i="2"/>
  <c r="AV659" i="2"/>
  <c r="AU659" i="2"/>
  <c r="AG659" i="2" s="1"/>
  <c r="AT659" i="2"/>
  <c r="AS659" i="2"/>
  <c r="AR659" i="2"/>
  <c r="AQ659" i="2"/>
  <c r="AH659" i="2" s="1"/>
  <c r="J659" i="2" s="1"/>
  <c r="AN659" i="2"/>
  <c r="AM659" i="2"/>
  <c r="AL659" i="2"/>
  <c r="AJ659" i="2"/>
  <c r="AF659" i="2"/>
  <c r="AY658" i="2"/>
  <c r="T658" i="2" s="1"/>
  <c r="AX658" i="2"/>
  <c r="AW658" i="2"/>
  <c r="AV658" i="2"/>
  <c r="AU658" i="2"/>
  <c r="AG658" i="2" s="1"/>
  <c r="AT658" i="2"/>
  <c r="AS658" i="2"/>
  <c r="AR658" i="2"/>
  <c r="AQ658" i="2"/>
  <c r="AH658" i="2" s="1"/>
  <c r="J658" i="2" s="1"/>
  <c r="AN658" i="2"/>
  <c r="AM658" i="2"/>
  <c r="AL658" i="2"/>
  <c r="AJ658" i="2"/>
  <c r="AF658" i="2"/>
  <c r="AY657" i="2"/>
  <c r="AX657" i="2"/>
  <c r="AW657" i="2"/>
  <c r="AV657" i="2"/>
  <c r="AU657" i="2"/>
  <c r="AG657" i="2" s="1"/>
  <c r="AT657" i="2"/>
  <c r="AS657" i="2"/>
  <c r="AR657" i="2"/>
  <c r="AQ657" i="2"/>
  <c r="AH657" i="2" s="1"/>
  <c r="J657" i="2" s="1"/>
  <c r="AN657" i="2"/>
  <c r="AM657" i="2"/>
  <c r="AL657" i="2"/>
  <c r="AJ657" i="2"/>
  <c r="AI657" i="2"/>
  <c r="AF657" i="2"/>
  <c r="AY656" i="2"/>
  <c r="AX656" i="2"/>
  <c r="AW656" i="2"/>
  <c r="AV656" i="2"/>
  <c r="AU656" i="2"/>
  <c r="AT656" i="2"/>
  <c r="AS656" i="2"/>
  <c r="AR656" i="2"/>
  <c r="AQ656" i="2"/>
  <c r="AH656" i="2" s="1"/>
  <c r="J656" i="2" s="1"/>
  <c r="AN656" i="2"/>
  <c r="AM656" i="2"/>
  <c r="AL656" i="2"/>
  <c r="AJ656" i="2"/>
  <c r="AG656" i="2"/>
  <c r="AF656" i="2"/>
  <c r="AY655" i="2"/>
  <c r="AX655" i="2"/>
  <c r="AW655" i="2"/>
  <c r="AV655" i="2"/>
  <c r="AU655" i="2"/>
  <c r="AT655" i="2"/>
  <c r="AS655" i="2"/>
  <c r="AR655" i="2"/>
  <c r="AQ655" i="2"/>
  <c r="AH655" i="2" s="1"/>
  <c r="J655" i="2" s="1"/>
  <c r="AN655" i="2"/>
  <c r="AM655" i="2"/>
  <c r="AL655" i="2"/>
  <c r="AJ655" i="2"/>
  <c r="AG655" i="2"/>
  <c r="AF655" i="2"/>
  <c r="V655" i="2"/>
  <c r="AY654" i="2"/>
  <c r="AX654" i="2"/>
  <c r="AW654" i="2"/>
  <c r="AV654" i="2"/>
  <c r="AU654" i="2"/>
  <c r="AG654" i="2" s="1"/>
  <c r="AT654" i="2"/>
  <c r="AS654" i="2"/>
  <c r="AR654" i="2"/>
  <c r="AQ654" i="2"/>
  <c r="AH654" i="2" s="1"/>
  <c r="J654" i="2" s="1"/>
  <c r="AN654" i="2"/>
  <c r="AM654" i="2"/>
  <c r="AL654" i="2"/>
  <c r="AJ654" i="2"/>
  <c r="AF654" i="2"/>
  <c r="AY653" i="2"/>
  <c r="AX653" i="2"/>
  <c r="AW653" i="2"/>
  <c r="AV653" i="2"/>
  <c r="AU653" i="2"/>
  <c r="AG653" i="2" s="1"/>
  <c r="AT653" i="2"/>
  <c r="AS653" i="2"/>
  <c r="AR653" i="2"/>
  <c r="AQ653" i="2"/>
  <c r="AH653" i="2" s="1"/>
  <c r="J653" i="2" s="1"/>
  <c r="AN653" i="2"/>
  <c r="V653" i="2" s="1"/>
  <c r="AM653" i="2"/>
  <c r="AL653" i="2"/>
  <c r="AJ653" i="2"/>
  <c r="AI653" i="2"/>
  <c r="AF653" i="2"/>
  <c r="AY652" i="2"/>
  <c r="AX652" i="2"/>
  <c r="AW652" i="2"/>
  <c r="AV652" i="2"/>
  <c r="AU652" i="2"/>
  <c r="AG652" i="2" s="1"/>
  <c r="AT652" i="2"/>
  <c r="AS652" i="2"/>
  <c r="AR652" i="2"/>
  <c r="AQ652" i="2"/>
  <c r="AH652" i="2" s="1"/>
  <c r="J652" i="2" s="1"/>
  <c r="AN652" i="2"/>
  <c r="AM652" i="2"/>
  <c r="AL652" i="2"/>
  <c r="AJ652" i="2"/>
  <c r="AF652" i="2"/>
  <c r="AY651" i="2"/>
  <c r="AX651" i="2"/>
  <c r="AW651" i="2"/>
  <c r="AV651" i="2"/>
  <c r="AU651" i="2"/>
  <c r="AG651" i="2" s="1"/>
  <c r="AT651" i="2"/>
  <c r="AS651" i="2"/>
  <c r="AR651" i="2"/>
  <c r="AQ651" i="2"/>
  <c r="AN651" i="2"/>
  <c r="V651" i="2" s="1"/>
  <c r="AM651" i="2"/>
  <c r="AL651" i="2"/>
  <c r="AJ651" i="2"/>
  <c r="AI651" i="2"/>
  <c r="AF651" i="2"/>
  <c r="U651" i="2"/>
  <c r="AY650" i="2"/>
  <c r="AX650" i="2"/>
  <c r="AW650" i="2"/>
  <c r="AV650" i="2"/>
  <c r="AU650" i="2"/>
  <c r="AT650" i="2"/>
  <c r="AS650" i="2"/>
  <c r="AR650" i="2"/>
  <c r="AQ650" i="2"/>
  <c r="AN650" i="2"/>
  <c r="AM650" i="2"/>
  <c r="AL650" i="2"/>
  <c r="AJ650" i="2"/>
  <c r="AG650" i="2"/>
  <c r="AF650" i="2"/>
  <c r="AY649" i="2"/>
  <c r="AI649" i="2" s="1"/>
  <c r="AX649" i="2"/>
  <c r="AW649" i="2"/>
  <c r="AV649" i="2"/>
  <c r="AU649" i="2"/>
  <c r="AT649" i="2"/>
  <c r="AS649" i="2"/>
  <c r="AH649" i="2" s="1"/>
  <c r="J649" i="2" s="1"/>
  <c r="AR649" i="2"/>
  <c r="AQ649" i="2"/>
  <c r="AN649" i="2"/>
  <c r="AM649" i="2"/>
  <c r="U649" i="2" s="1"/>
  <c r="AA649" i="2" s="1"/>
  <c r="AL649" i="2"/>
  <c r="AJ649" i="2"/>
  <c r="AG649" i="2"/>
  <c r="AF649" i="2"/>
  <c r="AY648" i="2"/>
  <c r="AX648" i="2"/>
  <c r="AW648" i="2"/>
  <c r="AV648" i="2"/>
  <c r="AU648" i="2"/>
  <c r="AG648" i="2" s="1"/>
  <c r="AT648" i="2"/>
  <c r="AS648" i="2"/>
  <c r="AR648" i="2"/>
  <c r="AQ648" i="2"/>
  <c r="AH648" i="2" s="1"/>
  <c r="J648" i="2" s="1"/>
  <c r="AN648" i="2"/>
  <c r="AM648" i="2"/>
  <c r="AL648" i="2"/>
  <c r="AJ648" i="2"/>
  <c r="AF648" i="2"/>
  <c r="AY647" i="2"/>
  <c r="AX647" i="2"/>
  <c r="AW647" i="2"/>
  <c r="AV647" i="2"/>
  <c r="AU647" i="2"/>
  <c r="AG647" i="2" s="1"/>
  <c r="AT647" i="2"/>
  <c r="AS647" i="2"/>
  <c r="AR647" i="2"/>
  <c r="AQ647" i="2"/>
  <c r="AN647" i="2"/>
  <c r="V647" i="2" s="1"/>
  <c r="AM647" i="2"/>
  <c r="AL647" i="2"/>
  <c r="T647" i="2" s="1"/>
  <c r="AJ647" i="2"/>
  <c r="AI647" i="2"/>
  <c r="AF647" i="2"/>
  <c r="AY646" i="2"/>
  <c r="AX646" i="2"/>
  <c r="AW646" i="2"/>
  <c r="AV646" i="2"/>
  <c r="AU646" i="2"/>
  <c r="AT646" i="2"/>
  <c r="AS646" i="2"/>
  <c r="AR646" i="2"/>
  <c r="AQ646" i="2"/>
  <c r="AH646" i="2" s="1"/>
  <c r="J646" i="2" s="1"/>
  <c r="AN646" i="2"/>
  <c r="AM646" i="2"/>
  <c r="AL646" i="2"/>
  <c r="AJ646" i="2"/>
  <c r="AG646" i="2"/>
  <c r="AF646" i="2"/>
  <c r="AY645" i="2"/>
  <c r="AI645" i="2" s="1"/>
  <c r="AX645" i="2"/>
  <c r="AW645" i="2"/>
  <c r="AV645" i="2"/>
  <c r="AU645" i="2"/>
  <c r="AG645" i="2" s="1"/>
  <c r="AT645" i="2"/>
  <c r="AS645" i="2"/>
  <c r="AR645" i="2"/>
  <c r="AQ645" i="2"/>
  <c r="AN645" i="2"/>
  <c r="AM645" i="2"/>
  <c r="U645" i="2" s="1"/>
  <c r="AA645" i="2" s="1"/>
  <c r="AL645" i="2"/>
  <c r="AJ645" i="2"/>
  <c r="AF645" i="2"/>
  <c r="AY644" i="2"/>
  <c r="AX644" i="2"/>
  <c r="AW644" i="2"/>
  <c r="AV644" i="2"/>
  <c r="AU644" i="2"/>
  <c r="AT644" i="2"/>
  <c r="AS644" i="2"/>
  <c r="AR644" i="2"/>
  <c r="AQ644" i="2"/>
  <c r="AH644" i="2" s="1"/>
  <c r="J644" i="2" s="1"/>
  <c r="AN644" i="2"/>
  <c r="AM644" i="2"/>
  <c r="AL644" i="2"/>
  <c r="AK644" i="2" s="1"/>
  <c r="AJ644" i="2"/>
  <c r="AG644" i="2"/>
  <c r="AF644" i="2"/>
  <c r="AY643" i="2"/>
  <c r="AI643" i="2" s="1"/>
  <c r="AX643" i="2"/>
  <c r="AW643" i="2"/>
  <c r="AV643" i="2"/>
  <c r="AU643" i="2"/>
  <c r="AG643" i="2" s="1"/>
  <c r="AT643" i="2"/>
  <c r="AS643" i="2"/>
  <c r="AR643" i="2"/>
  <c r="AQ643" i="2"/>
  <c r="AN643" i="2"/>
  <c r="AM643" i="2"/>
  <c r="AL643" i="2"/>
  <c r="AJ643" i="2"/>
  <c r="AF643" i="2"/>
  <c r="V643" i="2"/>
  <c r="AB643" i="2" s="1"/>
  <c r="AY642" i="2"/>
  <c r="AX642" i="2"/>
  <c r="AW642" i="2"/>
  <c r="AV642" i="2"/>
  <c r="AU642" i="2"/>
  <c r="AG642" i="2" s="1"/>
  <c r="AT642" i="2"/>
  <c r="AS642" i="2"/>
  <c r="AR642" i="2"/>
  <c r="AQ642" i="2"/>
  <c r="AH642" i="2" s="1"/>
  <c r="J642" i="2" s="1"/>
  <c r="AN642" i="2"/>
  <c r="AM642" i="2"/>
  <c r="AL642" i="2"/>
  <c r="AJ642" i="2"/>
  <c r="AF642" i="2"/>
  <c r="AY641" i="2"/>
  <c r="AX641" i="2"/>
  <c r="AW641" i="2"/>
  <c r="AV641" i="2"/>
  <c r="AU641" i="2"/>
  <c r="AG641" i="2" s="1"/>
  <c r="AT641" i="2"/>
  <c r="AS641" i="2"/>
  <c r="AR641" i="2"/>
  <c r="AQ641" i="2"/>
  <c r="AN641" i="2"/>
  <c r="V641" i="2" s="1"/>
  <c r="AM641" i="2"/>
  <c r="AL641" i="2"/>
  <c r="T641" i="2" s="1"/>
  <c r="AJ641" i="2"/>
  <c r="AI641" i="2"/>
  <c r="AF641" i="2"/>
  <c r="AY640" i="2"/>
  <c r="AX640" i="2"/>
  <c r="AW640" i="2"/>
  <c r="AV640" i="2"/>
  <c r="AU640" i="2"/>
  <c r="AT640" i="2"/>
  <c r="AS640" i="2"/>
  <c r="AR640" i="2"/>
  <c r="AQ640" i="2"/>
  <c r="AH640" i="2" s="1"/>
  <c r="J640" i="2" s="1"/>
  <c r="AN640" i="2"/>
  <c r="AM640" i="2"/>
  <c r="AL640" i="2"/>
  <c r="AJ640" i="2"/>
  <c r="AG640" i="2"/>
  <c r="AF640" i="2"/>
  <c r="AY639" i="2"/>
  <c r="AI639" i="2" s="1"/>
  <c r="AX639" i="2"/>
  <c r="AW639" i="2"/>
  <c r="AV639" i="2"/>
  <c r="AU639" i="2"/>
  <c r="AG639" i="2" s="1"/>
  <c r="AT639" i="2"/>
  <c r="AS639" i="2"/>
  <c r="AR639" i="2"/>
  <c r="AQ639" i="2"/>
  <c r="AN639" i="2"/>
  <c r="AM639" i="2"/>
  <c r="AL639" i="2"/>
  <c r="AJ639" i="2"/>
  <c r="AF639" i="2"/>
  <c r="AY638" i="2"/>
  <c r="AX638" i="2"/>
  <c r="AW638" i="2"/>
  <c r="AV638" i="2"/>
  <c r="AU638" i="2"/>
  <c r="AG638" i="2" s="1"/>
  <c r="AT638" i="2"/>
  <c r="AS638" i="2"/>
  <c r="AR638" i="2"/>
  <c r="AQ638" i="2"/>
  <c r="AH638" i="2" s="1"/>
  <c r="J638" i="2" s="1"/>
  <c r="AN638" i="2"/>
  <c r="AM638" i="2"/>
  <c r="AL638" i="2"/>
  <c r="AJ638" i="2"/>
  <c r="AF638" i="2"/>
  <c r="AY637" i="2"/>
  <c r="AX637" i="2"/>
  <c r="AW637" i="2"/>
  <c r="AV637" i="2"/>
  <c r="AU637" i="2"/>
  <c r="AT637" i="2"/>
  <c r="AS637" i="2"/>
  <c r="AH637" i="2" s="1"/>
  <c r="J637" i="2" s="1"/>
  <c r="AR637" i="2"/>
  <c r="AI637" i="2" s="1"/>
  <c r="AQ637" i="2"/>
  <c r="AN637" i="2"/>
  <c r="V637" i="2" s="1"/>
  <c r="AM637" i="2"/>
  <c r="U637" i="2" s="1"/>
  <c r="AL637" i="2"/>
  <c r="T637" i="2" s="1"/>
  <c r="AJ637" i="2"/>
  <c r="AG637" i="2"/>
  <c r="AF637" i="2"/>
  <c r="AY636" i="2"/>
  <c r="AX636" i="2"/>
  <c r="AW636" i="2"/>
  <c r="AV636" i="2"/>
  <c r="AU636" i="2"/>
  <c r="AG636" i="2" s="1"/>
  <c r="AT636" i="2"/>
  <c r="AS636" i="2"/>
  <c r="AR636" i="2"/>
  <c r="AQ636" i="2"/>
  <c r="AN636" i="2"/>
  <c r="AM636" i="2"/>
  <c r="AL636" i="2"/>
  <c r="AJ636" i="2"/>
  <c r="AF636" i="2"/>
  <c r="AY635" i="2"/>
  <c r="AX635" i="2"/>
  <c r="AW635" i="2"/>
  <c r="AV635" i="2"/>
  <c r="AU635" i="2"/>
  <c r="AT635" i="2"/>
  <c r="AS635" i="2"/>
  <c r="AH635" i="2" s="1"/>
  <c r="J635" i="2" s="1"/>
  <c r="AR635" i="2"/>
  <c r="AQ635" i="2"/>
  <c r="AN635" i="2"/>
  <c r="V635" i="2" s="1"/>
  <c r="AM635" i="2"/>
  <c r="U635" i="2" s="1"/>
  <c r="AL635" i="2"/>
  <c r="AJ635" i="2"/>
  <c r="AI635" i="2"/>
  <c r="AG635" i="2"/>
  <c r="AF635" i="2"/>
  <c r="AY634" i="2"/>
  <c r="AX634" i="2"/>
  <c r="AW634" i="2"/>
  <c r="AV634" i="2"/>
  <c r="AU634" i="2"/>
  <c r="AG634" i="2" s="1"/>
  <c r="AT634" i="2"/>
  <c r="AS634" i="2"/>
  <c r="AR634" i="2"/>
  <c r="AQ634" i="2"/>
  <c r="AH634" i="2" s="1"/>
  <c r="J634" i="2" s="1"/>
  <c r="AN634" i="2"/>
  <c r="AM634" i="2"/>
  <c r="AL634" i="2"/>
  <c r="AJ634" i="2"/>
  <c r="AF634" i="2"/>
  <c r="AY633" i="2"/>
  <c r="AX633" i="2"/>
  <c r="AW633" i="2"/>
  <c r="AV633" i="2"/>
  <c r="AU633" i="2"/>
  <c r="AT633" i="2"/>
  <c r="AS633" i="2"/>
  <c r="AH633" i="2" s="1"/>
  <c r="J633" i="2" s="1"/>
  <c r="AR633" i="2"/>
  <c r="AI633" i="2" s="1"/>
  <c r="AQ633" i="2"/>
  <c r="AN633" i="2"/>
  <c r="V633" i="2" s="1"/>
  <c r="AM633" i="2"/>
  <c r="U633" i="2" s="1"/>
  <c r="AL633" i="2"/>
  <c r="AJ633" i="2"/>
  <c r="AG633" i="2"/>
  <c r="AF633" i="2"/>
  <c r="AY632" i="2"/>
  <c r="AX632" i="2"/>
  <c r="AW632" i="2"/>
  <c r="AV632" i="2"/>
  <c r="AU632" i="2"/>
  <c r="AT632" i="2"/>
  <c r="AS632" i="2"/>
  <c r="AR632" i="2"/>
  <c r="AQ632" i="2"/>
  <c r="AN632" i="2"/>
  <c r="AM632" i="2"/>
  <c r="AL632" i="2"/>
  <c r="AJ632" i="2"/>
  <c r="AG632" i="2"/>
  <c r="AF632" i="2"/>
  <c r="AY631" i="2"/>
  <c r="AI631" i="2" s="1"/>
  <c r="AX631" i="2"/>
  <c r="AW631" i="2"/>
  <c r="AV631" i="2"/>
  <c r="AU631" i="2"/>
  <c r="AG631" i="2" s="1"/>
  <c r="AT631" i="2"/>
  <c r="AS631" i="2"/>
  <c r="AR631" i="2"/>
  <c r="AQ631" i="2"/>
  <c r="AN631" i="2"/>
  <c r="AM631" i="2"/>
  <c r="AL631" i="2"/>
  <c r="AJ631" i="2"/>
  <c r="AF631" i="2"/>
  <c r="AY630" i="2"/>
  <c r="AX630" i="2"/>
  <c r="AW630" i="2"/>
  <c r="AV630" i="2"/>
  <c r="AU630" i="2"/>
  <c r="AG630" i="2" s="1"/>
  <c r="AT630" i="2"/>
  <c r="AS630" i="2"/>
  <c r="AR630" i="2"/>
  <c r="AQ630" i="2"/>
  <c r="AH630" i="2" s="1"/>
  <c r="J630" i="2" s="1"/>
  <c r="AN630" i="2"/>
  <c r="AM630" i="2"/>
  <c r="AL630" i="2"/>
  <c r="AJ630" i="2"/>
  <c r="AF630" i="2"/>
  <c r="AY629" i="2"/>
  <c r="AX629" i="2"/>
  <c r="AW629" i="2"/>
  <c r="AV629" i="2"/>
  <c r="AU629" i="2"/>
  <c r="AG629" i="2" s="1"/>
  <c r="AT629" i="2"/>
  <c r="AS629" i="2"/>
  <c r="AR629" i="2"/>
  <c r="AI629" i="2" s="1"/>
  <c r="AQ629" i="2"/>
  <c r="AN629" i="2"/>
  <c r="V629" i="2" s="1"/>
  <c r="AM629" i="2"/>
  <c r="AL629" i="2"/>
  <c r="T629" i="2" s="1"/>
  <c r="AJ629" i="2"/>
  <c r="AF629" i="2"/>
  <c r="AY628" i="2"/>
  <c r="AX628" i="2"/>
  <c r="AW628" i="2"/>
  <c r="AV628" i="2"/>
  <c r="AU628" i="2"/>
  <c r="AG628" i="2" s="1"/>
  <c r="AT628" i="2"/>
  <c r="AS628" i="2"/>
  <c r="AR628" i="2"/>
  <c r="AQ628" i="2"/>
  <c r="AH628" i="2" s="1"/>
  <c r="J628" i="2" s="1"/>
  <c r="AN628" i="2"/>
  <c r="AM628" i="2"/>
  <c r="AL628" i="2"/>
  <c r="AJ628" i="2"/>
  <c r="AF628" i="2"/>
  <c r="AY627" i="2"/>
  <c r="AX627" i="2"/>
  <c r="AW627" i="2"/>
  <c r="AV627" i="2"/>
  <c r="AU627" i="2"/>
  <c r="AG627" i="2" s="1"/>
  <c r="AT627" i="2"/>
  <c r="AS627" i="2"/>
  <c r="AR627" i="2"/>
  <c r="AQ627" i="2"/>
  <c r="AN627" i="2"/>
  <c r="V627" i="2" s="1"/>
  <c r="AM627" i="2"/>
  <c r="AL627" i="2"/>
  <c r="AJ627" i="2"/>
  <c r="AI627" i="2"/>
  <c r="AF627" i="2"/>
  <c r="AY626" i="2"/>
  <c r="AX626" i="2"/>
  <c r="AW626" i="2"/>
  <c r="AV626" i="2"/>
  <c r="AU626" i="2"/>
  <c r="AG626" i="2" s="1"/>
  <c r="AT626" i="2"/>
  <c r="AS626" i="2"/>
  <c r="AR626" i="2"/>
  <c r="AQ626" i="2"/>
  <c r="AN626" i="2"/>
  <c r="AM626" i="2"/>
  <c r="AL626" i="2"/>
  <c r="AJ626" i="2"/>
  <c r="AF626" i="2"/>
  <c r="AY625" i="2"/>
  <c r="AX625" i="2"/>
  <c r="AW625" i="2"/>
  <c r="AV625" i="2"/>
  <c r="AU625" i="2"/>
  <c r="AG625" i="2" s="1"/>
  <c r="AT625" i="2"/>
  <c r="AS625" i="2"/>
  <c r="AR625" i="2"/>
  <c r="AQ625" i="2"/>
  <c r="AN625" i="2"/>
  <c r="V625" i="2" s="1"/>
  <c r="AM625" i="2"/>
  <c r="AL625" i="2"/>
  <c r="T625" i="2" s="1"/>
  <c r="AJ625" i="2"/>
  <c r="AI625" i="2"/>
  <c r="AF625" i="2"/>
  <c r="U625" i="2"/>
  <c r="AY624" i="2"/>
  <c r="AX624" i="2"/>
  <c r="AW624" i="2"/>
  <c r="AV624" i="2"/>
  <c r="AU624" i="2"/>
  <c r="AT624" i="2"/>
  <c r="AS624" i="2"/>
  <c r="AR624" i="2"/>
  <c r="AQ624" i="2"/>
  <c r="AN624" i="2"/>
  <c r="AM624" i="2"/>
  <c r="AL624" i="2"/>
  <c r="AJ624" i="2"/>
  <c r="AG624" i="2"/>
  <c r="AF624" i="2"/>
  <c r="AY623" i="2"/>
  <c r="AI623" i="2" s="1"/>
  <c r="AX623" i="2"/>
  <c r="AW623" i="2"/>
  <c r="AV623" i="2"/>
  <c r="AU623" i="2"/>
  <c r="AG623" i="2" s="1"/>
  <c r="AT623" i="2"/>
  <c r="AS623" i="2"/>
  <c r="AH623" i="2" s="1"/>
  <c r="J623" i="2" s="1"/>
  <c r="AR623" i="2"/>
  <c r="AQ623" i="2"/>
  <c r="AN623" i="2"/>
  <c r="AM623" i="2"/>
  <c r="U623" i="2" s="1"/>
  <c r="AA623" i="2" s="1"/>
  <c r="AL623" i="2"/>
  <c r="AJ623" i="2"/>
  <c r="AF623" i="2"/>
  <c r="AY622" i="2"/>
  <c r="AX622" i="2"/>
  <c r="AW622" i="2"/>
  <c r="AV622" i="2"/>
  <c r="AU622" i="2"/>
  <c r="AG622" i="2" s="1"/>
  <c r="AT622" i="2"/>
  <c r="AS622" i="2"/>
  <c r="AR622" i="2"/>
  <c r="AQ622" i="2"/>
  <c r="AN622" i="2"/>
  <c r="AM622" i="2"/>
  <c r="AL622" i="2"/>
  <c r="AJ622" i="2"/>
  <c r="AF622" i="2"/>
  <c r="AY621" i="2"/>
  <c r="AX621" i="2"/>
  <c r="AW621" i="2"/>
  <c r="AV621" i="2"/>
  <c r="AU621" i="2"/>
  <c r="AG621" i="2" s="1"/>
  <c r="AT621" i="2"/>
  <c r="AS621" i="2"/>
  <c r="AR621" i="2"/>
  <c r="AQ621" i="2"/>
  <c r="AN621" i="2"/>
  <c r="V621" i="2" s="1"/>
  <c r="AM621" i="2"/>
  <c r="AL621" i="2"/>
  <c r="T621" i="2" s="1"/>
  <c r="AJ621" i="2"/>
  <c r="AI621" i="2"/>
  <c r="AF621" i="2"/>
  <c r="AY620" i="2"/>
  <c r="AX620" i="2"/>
  <c r="AW620" i="2"/>
  <c r="AV620" i="2"/>
  <c r="AU620" i="2"/>
  <c r="AT620" i="2"/>
  <c r="AS620" i="2"/>
  <c r="AR620" i="2"/>
  <c r="AQ620" i="2"/>
  <c r="AH620" i="2" s="1"/>
  <c r="J620" i="2" s="1"/>
  <c r="AN620" i="2"/>
  <c r="AM620" i="2"/>
  <c r="AL620" i="2"/>
  <c r="AJ620" i="2"/>
  <c r="AG620" i="2"/>
  <c r="AF620" i="2"/>
  <c r="AY619" i="2"/>
  <c r="AI619" i="2" s="1"/>
  <c r="AX619" i="2"/>
  <c r="AW619" i="2"/>
  <c r="AV619" i="2"/>
  <c r="AU619" i="2"/>
  <c r="AT619" i="2"/>
  <c r="AS619" i="2"/>
  <c r="AH619" i="2" s="1"/>
  <c r="J619" i="2" s="1"/>
  <c r="AR619" i="2"/>
  <c r="AQ619" i="2"/>
  <c r="AN619" i="2"/>
  <c r="AM619" i="2"/>
  <c r="AL619" i="2"/>
  <c r="AJ619" i="2"/>
  <c r="AG619" i="2"/>
  <c r="AF619" i="2"/>
  <c r="U619" i="2"/>
  <c r="AA619" i="2" s="1"/>
  <c r="AY618" i="2"/>
  <c r="AX618" i="2"/>
  <c r="AW618" i="2"/>
  <c r="AV618" i="2"/>
  <c r="AU618" i="2"/>
  <c r="AT618" i="2"/>
  <c r="AS618" i="2"/>
  <c r="AR618" i="2"/>
  <c r="AQ618" i="2"/>
  <c r="AH618" i="2" s="1"/>
  <c r="J618" i="2" s="1"/>
  <c r="AN618" i="2"/>
  <c r="AM618" i="2"/>
  <c r="AL618" i="2"/>
  <c r="AJ618" i="2"/>
  <c r="AG618" i="2"/>
  <c r="AF618" i="2"/>
  <c r="AY617" i="2"/>
  <c r="AI617" i="2" s="1"/>
  <c r="AX617" i="2"/>
  <c r="AW617" i="2"/>
  <c r="AV617" i="2"/>
  <c r="AU617" i="2"/>
  <c r="AG617" i="2" s="1"/>
  <c r="AT617" i="2"/>
  <c r="AS617" i="2"/>
  <c r="AR617" i="2"/>
  <c r="AQ617" i="2"/>
  <c r="AN617" i="2"/>
  <c r="AM617" i="2"/>
  <c r="AL617" i="2"/>
  <c r="AJ617" i="2"/>
  <c r="AF617" i="2"/>
  <c r="AY616" i="2"/>
  <c r="AX616" i="2"/>
  <c r="AW616" i="2"/>
  <c r="AV616" i="2"/>
  <c r="AU616" i="2"/>
  <c r="AG616" i="2" s="1"/>
  <c r="AT616" i="2"/>
  <c r="AS616" i="2"/>
  <c r="AR616" i="2"/>
  <c r="AQ616" i="2"/>
  <c r="AH616" i="2" s="1"/>
  <c r="J616" i="2" s="1"/>
  <c r="AN616" i="2"/>
  <c r="AM616" i="2"/>
  <c r="AL616" i="2"/>
  <c r="AJ616" i="2"/>
  <c r="AF616" i="2"/>
  <c r="AY615" i="2"/>
  <c r="AX615" i="2"/>
  <c r="AW615" i="2"/>
  <c r="AV615" i="2"/>
  <c r="AU615" i="2"/>
  <c r="AT615" i="2"/>
  <c r="AS615" i="2"/>
  <c r="AH615" i="2" s="1"/>
  <c r="J615" i="2" s="1"/>
  <c r="AR615" i="2"/>
  <c r="AQ615" i="2"/>
  <c r="AN615" i="2"/>
  <c r="V615" i="2" s="1"/>
  <c r="AM615" i="2"/>
  <c r="U615" i="2" s="1"/>
  <c r="AL615" i="2"/>
  <c r="AJ615" i="2"/>
  <c r="AI615" i="2"/>
  <c r="AG615" i="2"/>
  <c r="AF615" i="2"/>
  <c r="AY614" i="2"/>
  <c r="AX614" i="2"/>
  <c r="AW614" i="2"/>
  <c r="AV614" i="2"/>
  <c r="AU614" i="2"/>
  <c r="AT614" i="2"/>
  <c r="AS614" i="2"/>
  <c r="AR614" i="2"/>
  <c r="AQ614" i="2"/>
  <c r="AN614" i="2"/>
  <c r="AM614" i="2"/>
  <c r="AL614" i="2"/>
  <c r="AJ614" i="2"/>
  <c r="AG614" i="2"/>
  <c r="AF614" i="2"/>
  <c r="AY613" i="2"/>
  <c r="AI613" i="2" s="1"/>
  <c r="AX613" i="2"/>
  <c r="AW613" i="2"/>
  <c r="AV613" i="2"/>
  <c r="AU613" i="2"/>
  <c r="AT613" i="2"/>
  <c r="AS613" i="2"/>
  <c r="AH613" i="2" s="1"/>
  <c r="J613" i="2" s="1"/>
  <c r="AR613" i="2"/>
  <c r="AQ613" i="2"/>
  <c r="AN613" i="2"/>
  <c r="AM613" i="2"/>
  <c r="U613" i="2" s="1"/>
  <c r="AL613" i="2"/>
  <c r="AJ613" i="2"/>
  <c r="AG613" i="2"/>
  <c r="AF613" i="2"/>
  <c r="V613" i="2"/>
  <c r="AY612" i="2"/>
  <c r="AX612" i="2"/>
  <c r="AW612" i="2"/>
  <c r="AV612" i="2"/>
  <c r="AU612" i="2"/>
  <c r="AG612" i="2" s="1"/>
  <c r="AT612" i="2"/>
  <c r="AS612" i="2"/>
  <c r="AR612" i="2"/>
  <c r="AQ612" i="2"/>
  <c r="AH612" i="2" s="1"/>
  <c r="J612" i="2" s="1"/>
  <c r="AN612" i="2"/>
  <c r="AM612" i="2"/>
  <c r="AL612" i="2"/>
  <c r="AJ612" i="2"/>
  <c r="AF612" i="2"/>
  <c r="AY611" i="2"/>
  <c r="AX611" i="2"/>
  <c r="AW611" i="2"/>
  <c r="AV611" i="2"/>
  <c r="AU611" i="2"/>
  <c r="AT611" i="2"/>
  <c r="AS611" i="2"/>
  <c r="AH611" i="2" s="1"/>
  <c r="J611" i="2" s="1"/>
  <c r="AR611" i="2"/>
  <c r="AQ611" i="2"/>
  <c r="AN611" i="2"/>
  <c r="V611" i="2" s="1"/>
  <c r="AM611" i="2"/>
  <c r="U611" i="2" s="1"/>
  <c r="AL611" i="2"/>
  <c r="T611" i="2" s="1"/>
  <c r="AJ611" i="2"/>
  <c r="AI611" i="2"/>
  <c r="AG611" i="2"/>
  <c r="AF611" i="2"/>
  <c r="AY610" i="2"/>
  <c r="AX610" i="2"/>
  <c r="AW610" i="2"/>
  <c r="AV610" i="2"/>
  <c r="AU610" i="2"/>
  <c r="AG610" i="2" s="1"/>
  <c r="AT610" i="2"/>
  <c r="AS610" i="2"/>
  <c r="AR610" i="2"/>
  <c r="AQ610" i="2"/>
  <c r="AN610" i="2"/>
  <c r="AM610" i="2"/>
  <c r="AL610" i="2"/>
  <c r="AJ610" i="2"/>
  <c r="AF610" i="2"/>
  <c r="AY609" i="2"/>
  <c r="AX609" i="2"/>
  <c r="AW609" i="2"/>
  <c r="AV609" i="2"/>
  <c r="AU609" i="2"/>
  <c r="AG609" i="2" s="1"/>
  <c r="AT609" i="2"/>
  <c r="AS609" i="2"/>
  <c r="AR609" i="2"/>
  <c r="AQ609" i="2"/>
  <c r="AN609" i="2"/>
  <c r="V609" i="2" s="1"/>
  <c r="AM609" i="2"/>
  <c r="AL609" i="2"/>
  <c r="T609" i="2" s="1"/>
  <c r="Z609" i="2" s="1"/>
  <c r="AJ609" i="2"/>
  <c r="AI609" i="2"/>
  <c r="AF609" i="2"/>
  <c r="AY608" i="2"/>
  <c r="AX608" i="2"/>
  <c r="AW608" i="2"/>
  <c r="AV608" i="2"/>
  <c r="AU608" i="2"/>
  <c r="AG608" i="2" s="1"/>
  <c r="AT608" i="2"/>
  <c r="AS608" i="2"/>
  <c r="AR608" i="2"/>
  <c r="AQ608" i="2"/>
  <c r="AN608" i="2"/>
  <c r="AM608" i="2"/>
  <c r="AL608" i="2"/>
  <c r="AJ608" i="2"/>
  <c r="AF608" i="2"/>
  <c r="AY607" i="2"/>
  <c r="AX607" i="2"/>
  <c r="AW607" i="2"/>
  <c r="AV607" i="2"/>
  <c r="AU607" i="2"/>
  <c r="AG607" i="2" s="1"/>
  <c r="AT607" i="2"/>
  <c r="AS607" i="2"/>
  <c r="AR607" i="2"/>
  <c r="AQ607" i="2"/>
  <c r="AN607" i="2"/>
  <c r="V607" i="2" s="1"/>
  <c r="AM607" i="2"/>
  <c r="AL607" i="2"/>
  <c r="T607" i="2" s="1"/>
  <c r="Z607" i="2" s="1"/>
  <c r="AJ607" i="2"/>
  <c r="AI607" i="2"/>
  <c r="AF607" i="2"/>
  <c r="AY606" i="2"/>
  <c r="AX606" i="2"/>
  <c r="AW606" i="2"/>
  <c r="AV606" i="2"/>
  <c r="AU606" i="2"/>
  <c r="AG606" i="2" s="1"/>
  <c r="AT606" i="2"/>
  <c r="AS606" i="2"/>
  <c r="AR606" i="2"/>
  <c r="AQ606" i="2"/>
  <c r="AN606" i="2"/>
  <c r="AM606" i="2"/>
  <c r="AL606" i="2"/>
  <c r="AJ606" i="2"/>
  <c r="AF606" i="2"/>
  <c r="AY605" i="2"/>
  <c r="AI605" i="2" s="1"/>
  <c r="AX605" i="2"/>
  <c r="AW605" i="2"/>
  <c r="AV605" i="2"/>
  <c r="AU605" i="2"/>
  <c r="AG605" i="2" s="1"/>
  <c r="AT605" i="2"/>
  <c r="AS605" i="2"/>
  <c r="AR605" i="2"/>
  <c r="AQ605" i="2"/>
  <c r="AN605" i="2"/>
  <c r="AM605" i="2"/>
  <c r="U605" i="2" s="1"/>
  <c r="AL605" i="2"/>
  <c r="AJ605" i="2"/>
  <c r="AH605" i="2"/>
  <c r="J605" i="2" s="1"/>
  <c r="AF605" i="2"/>
  <c r="AY604" i="2"/>
  <c r="AX604" i="2"/>
  <c r="AW604" i="2"/>
  <c r="AV604" i="2"/>
  <c r="AU604" i="2"/>
  <c r="AG604" i="2" s="1"/>
  <c r="AT604" i="2"/>
  <c r="AS604" i="2"/>
  <c r="AR604" i="2"/>
  <c r="AQ604" i="2"/>
  <c r="AH604" i="2" s="1"/>
  <c r="J604" i="2" s="1"/>
  <c r="AN604" i="2"/>
  <c r="AM604" i="2"/>
  <c r="AL604" i="2"/>
  <c r="AJ604" i="2"/>
  <c r="AF604" i="2"/>
  <c r="V604" i="2"/>
  <c r="AY603" i="2"/>
  <c r="AI603" i="2" s="1"/>
  <c r="AX603" i="2"/>
  <c r="AW603" i="2"/>
  <c r="AV603" i="2"/>
  <c r="AU603" i="2"/>
  <c r="AT603" i="2"/>
  <c r="AS603" i="2"/>
  <c r="AR603" i="2"/>
  <c r="AQ603" i="2"/>
  <c r="AN603" i="2"/>
  <c r="AM603" i="2"/>
  <c r="U603" i="2" s="1"/>
  <c r="AL603" i="2"/>
  <c r="AJ603" i="2"/>
  <c r="AH603" i="2"/>
  <c r="J603" i="2" s="1"/>
  <c r="AG603" i="2"/>
  <c r="AF603" i="2"/>
  <c r="AY602" i="2"/>
  <c r="AX602" i="2"/>
  <c r="AW602" i="2"/>
  <c r="AV602" i="2"/>
  <c r="AU602" i="2"/>
  <c r="AT602" i="2"/>
  <c r="AS602" i="2"/>
  <c r="AR602" i="2"/>
  <c r="AQ602" i="2"/>
  <c r="AN602" i="2"/>
  <c r="V602" i="2" s="1"/>
  <c r="AM602" i="2"/>
  <c r="AL602" i="2"/>
  <c r="AJ602" i="2"/>
  <c r="AH602" i="2"/>
  <c r="J602" i="2" s="1"/>
  <c r="AG602" i="2"/>
  <c r="AF602" i="2"/>
  <c r="AY601" i="2"/>
  <c r="AX601" i="2"/>
  <c r="AW601" i="2"/>
  <c r="AV601" i="2"/>
  <c r="AU601" i="2"/>
  <c r="AT601" i="2"/>
  <c r="AS601" i="2"/>
  <c r="AR601" i="2"/>
  <c r="AQ601" i="2"/>
  <c r="AN601" i="2"/>
  <c r="V601" i="2" s="1"/>
  <c r="AM601" i="2"/>
  <c r="U601" i="2" s="1"/>
  <c r="AL601" i="2"/>
  <c r="T601" i="2" s="1"/>
  <c r="AJ601" i="2"/>
  <c r="AI601" i="2"/>
  <c r="AH601" i="2"/>
  <c r="AG601" i="2"/>
  <c r="AF601" i="2"/>
  <c r="AY600" i="2"/>
  <c r="AI600" i="2" s="1"/>
  <c r="AX600" i="2"/>
  <c r="AW600" i="2"/>
  <c r="AV600" i="2"/>
  <c r="AU600" i="2"/>
  <c r="AG600" i="2" s="1"/>
  <c r="AT600" i="2"/>
  <c r="AS600" i="2"/>
  <c r="AR600" i="2"/>
  <c r="AQ600" i="2"/>
  <c r="AH600" i="2" s="1"/>
  <c r="J600" i="2" s="1"/>
  <c r="AN600" i="2"/>
  <c r="AM600" i="2"/>
  <c r="AL600" i="2"/>
  <c r="AJ600" i="2"/>
  <c r="AF600" i="2"/>
  <c r="AY599" i="2"/>
  <c r="AI599" i="2" s="1"/>
  <c r="AX599" i="2"/>
  <c r="AW599" i="2"/>
  <c r="AV599" i="2"/>
  <c r="AU599" i="2"/>
  <c r="AG599" i="2" s="1"/>
  <c r="AT599" i="2"/>
  <c r="AS599" i="2"/>
  <c r="AR599" i="2"/>
  <c r="AQ599" i="2"/>
  <c r="AN599" i="2"/>
  <c r="AM599" i="2"/>
  <c r="AL599" i="2"/>
  <c r="AJ599" i="2"/>
  <c r="AF599" i="2"/>
  <c r="AY598" i="2"/>
  <c r="AX598" i="2"/>
  <c r="AW598" i="2"/>
  <c r="AV598" i="2"/>
  <c r="AU598" i="2"/>
  <c r="AG598" i="2" s="1"/>
  <c r="AT598" i="2"/>
  <c r="AS598" i="2"/>
  <c r="AR598" i="2"/>
  <c r="AQ598" i="2"/>
  <c r="AN598" i="2"/>
  <c r="V598" i="2" s="1"/>
  <c r="AM598" i="2"/>
  <c r="AL598" i="2"/>
  <c r="T598" i="2" s="1"/>
  <c r="Z598" i="2" s="1"/>
  <c r="AJ598" i="2"/>
  <c r="AI598" i="2"/>
  <c r="AF598" i="2"/>
  <c r="AY597" i="2"/>
  <c r="AI597" i="2" s="1"/>
  <c r="AX597" i="2"/>
  <c r="AW597" i="2"/>
  <c r="AV597" i="2"/>
  <c r="AU597" i="2"/>
  <c r="AT597" i="2"/>
  <c r="AS597" i="2"/>
  <c r="AR597" i="2"/>
  <c r="AQ597" i="2"/>
  <c r="AH597" i="2" s="1"/>
  <c r="J597" i="2" s="1"/>
  <c r="AN597" i="2"/>
  <c r="AM597" i="2"/>
  <c r="AL597" i="2"/>
  <c r="AJ597" i="2"/>
  <c r="AG597" i="2"/>
  <c r="AF597" i="2"/>
  <c r="AY596" i="2"/>
  <c r="AI596" i="2" s="1"/>
  <c r="AX596" i="2"/>
  <c r="AW596" i="2"/>
  <c r="AV596" i="2"/>
  <c r="AU596" i="2"/>
  <c r="AG596" i="2" s="1"/>
  <c r="AT596" i="2"/>
  <c r="AS596" i="2"/>
  <c r="AR596" i="2"/>
  <c r="AQ596" i="2"/>
  <c r="AN596" i="2"/>
  <c r="AM596" i="2"/>
  <c r="AL596" i="2"/>
  <c r="AJ596" i="2"/>
  <c r="AF596" i="2"/>
  <c r="V596" i="2"/>
  <c r="AY595" i="2"/>
  <c r="AI595" i="2" s="1"/>
  <c r="AX595" i="2"/>
  <c r="AW595" i="2"/>
  <c r="AV595" i="2"/>
  <c r="AU595" i="2"/>
  <c r="AT595" i="2"/>
  <c r="AS595" i="2"/>
  <c r="AR595" i="2"/>
  <c r="AQ595" i="2"/>
  <c r="AH595" i="2" s="1"/>
  <c r="J595" i="2" s="1"/>
  <c r="AN595" i="2"/>
  <c r="AM595" i="2"/>
  <c r="AL595" i="2"/>
  <c r="AJ595" i="2"/>
  <c r="AG595" i="2"/>
  <c r="AF595" i="2"/>
  <c r="AY594" i="2"/>
  <c r="AI594" i="2" s="1"/>
  <c r="AX594" i="2"/>
  <c r="AW594" i="2"/>
  <c r="AV594" i="2"/>
  <c r="AU594" i="2"/>
  <c r="AG594" i="2" s="1"/>
  <c r="AT594" i="2"/>
  <c r="AS594" i="2"/>
  <c r="AR594" i="2"/>
  <c r="AQ594" i="2"/>
  <c r="AN594" i="2"/>
  <c r="AM594" i="2"/>
  <c r="AL594" i="2"/>
  <c r="AJ594" i="2"/>
  <c r="AF594" i="2"/>
  <c r="U594" i="2"/>
  <c r="AY593" i="2"/>
  <c r="AI593" i="2" s="1"/>
  <c r="AX593" i="2"/>
  <c r="AW593" i="2"/>
  <c r="AV593" i="2"/>
  <c r="AU593" i="2"/>
  <c r="AT593" i="2"/>
  <c r="AS593" i="2"/>
  <c r="AR593" i="2"/>
  <c r="AQ593" i="2"/>
  <c r="AH593" i="2" s="1"/>
  <c r="J593" i="2" s="1"/>
  <c r="AN593" i="2"/>
  <c r="AM593" i="2"/>
  <c r="AL593" i="2"/>
  <c r="AJ593" i="2"/>
  <c r="AG593" i="2"/>
  <c r="AF593" i="2"/>
  <c r="AY592" i="2"/>
  <c r="AI592" i="2" s="1"/>
  <c r="AX592" i="2"/>
  <c r="AW592" i="2"/>
  <c r="AV592" i="2"/>
  <c r="AU592" i="2"/>
  <c r="AG592" i="2" s="1"/>
  <c r="AT592" i="2"/>
  <c r="AS592" i="2"/>
  <c r="AR592" i="2"/>
  <c r="AQ592" i="2"/>
  <c r="AN592" i="2"/>
  <c r="AM592" i="2"/>
  <c r="AL592" i="2"/>
  <c r="AJ592" i="2"/>
  <c r="AF592" i="2"/>
  <c r="AY591" i="2"/>
  <c r="AI591" i="2" s="1"/>
  <c r="AX591" i="2"/>
  <c r="AW591" i="2"/>
  <c r="AV591" i="2"/>
  <c r="AU591" i="2"/>
  <c r="AG591" i="2" s="1"/>
  <c r="AT591" i="2"/>
  <c r="AS591" i="2"/>
  <c r="AR591" i="2"/>
  <c r="AQ591" i="2"/>
  <c r="AH591" i="2" s="1"/>
  <c r="J591" i="2" s="1"/>
  <c r="AN591" i="2"/>
  <c r="AM591" i="2"/>
  <c r="AL591" i="2"/>
  <c r="AJ591" i="2"/>
  <c r="AF591" i="2"/>
  <c r="AY590" i="2"/>
  <c r="AX590" i="2"/>
  <c r="AW590" i="2"/>
  <c r="AV590" i="2"/>
  <c r="AU590" i="2"/>
  <c r="AT590" i="2"/>
  <c r="AS590" i="2"/>
  <c r="AH590" i="2" s="1"/>
  <c r="J590" i="2" s="1"/>
  <c r="AR590" i="2"/>
  <c r="AQ590" i="2"/>
  <c r="AN590" i="2"/>
  <c r="V590" i="2" s="1"/>
  <c r="AM590" i="2"/>
  <c r="U590" i="2" s="1"/>
  <c r="AL590" i="2"/>
  <c r="T590" i="2" s="1"/>
  <c r="Z590" i="2" s="1"/>
  <c r="AJ590" i="2"/>
  <c r="AI590" i="2"/>
  <c r="AG590" i="2"/>
  <c r="AF590" i="2"/>
  <c r="AY589" i="2"/>
  <c r="AI589" i="2" s="1"/>
  <c r="AX589" i="2"/>
  <c r="AW589" i="2"/>
  <c r="AV589" i="2"/>
  <c r="AU589" i="2"/>
  <c r="AG589" i="2" s="1"/>
  <c r="AT589" i="2"/>
  <c r="AS589" i="2"/>
  <c r="AR589" i="2"/>
  <c r="AQ589" i="2"/>
  <c r="AH589" i="2" s="1"/>
  <c r="J589" i="2" s="1"/>
  <c r="AN589" i="2"/>
  <c r="AM589" i="2"/>
  <c r="AL589" i="2"/>
  <c r="AJ589" i="2"/>
  <c r="AF589" i="2"/>
  <c r="AY588" i="2"/>
  <c r="AX588" i="2"/>
  <c r="AW588" i="2"/>
  <c r="AV588" i="2"/>
  <c r="AU588" i="2"/>
  <c r="AT588" i="2"/>
  <c r="AS588" i="2"/>
  <c r="AH588" i="2" s="1"/>
  <c r="J588" i="2" s="1"/>
  <c r="AR588" i="2"/>
  <c r="AQ588" i="2"/>
  <c r="AN588" i="2"/>
  <c r="V588" i="2" s="1"/>
  <c r="AB588" i="2" s="1"/>
  <c r="AM588" i="2"/>
  <c r="U588" i="2" s="1"/>
  <c r="AL588" i="2"/>
  <c r="AJ588" i="2"/>
  <c r="AI588" i="2"/>
  <c r="AG588" i="2"/>
  <c r="AF588" i="2"/>
  <c r="AY587" i="2"/>
  <c r="AI587" i="2" s="1"/>
  <c r="AX587" i="2"/>
  <c r="AW587" i="2"/>
  <c r="AV587" i="2"/>
  <c r="AU587" i="2"/>
  <c r="AG587" i="2" s="1"/>
  <c r="AT587" i="2"/>
  <c r="AS587" i="2"/>
  <c r="AR587" i="2"/>
  <c r="AQ587" i="2"/>
  <c r="AH587" i="2" s="1"/>
  <c r="J587" i="2" s="1"/>
  <c r="AN587" i="2"/>
  <c r="AM587" i="2"/>
  <c r="AL587" i="2"/>
  <c r="AJ587" i="2"/>
  <c r="AF587" i="2"/>
  <c r="AY586" i="2"/>
  <c r="AX586" i="2"/>
  <c r="AW586" i="2"/>
  <c r="AV586" i="2"/>
  <c r="AU586" i="2"/>
  <c r="AT586" i="2"/>
  <c r="AS586" i="2"/>
  <c r="AH586" i="2" s="1"/>
  <c r="J586" i="2" s="1"/>
  <c r="AR586" i="2"/>
  <c r="AQ586" i="2"/>
  <c r="AN586" i="2"/>
  <c r="V586" i="2" s="1"/>
  <c r="AM586" i="2"/>
  <c r="U586" i="2" s="1"/>
  <c r="AA586" i="2" s="1"/>
  <c r="AL586" i="2"/>
  <c r="AJ586" i="2"/>
  <c r="AI586" i="2"/>
  <c r="AG586" i="2"/>
  <c r="AF586" i="2"/>
  <c r="AY585" i="2"/>
  <c r="AI585" i="2" s="1"/>
  <c r="AX585" i="2"/>
  <c r="AW585" i="2"/>
  <c r="AV585" i="2"/>
  <c r="AU585" i="2"/>
  <c r="AG585" i="2" s="1"/>
  <c r="AT585" i="2"/>
  <c r="AS585" i="2"/>
  <c r="AR585" i="2"/>
  <c r="AQ585" i="2"/>
  <c r="AH585" i="2" s="1"/>
  <c r="J585" i="2" s="1"/>
  <c r="AN585" i="2"/>
  <c r="AM585" i="2"/>
  <c r="AL585" i="2"/>
  <c r="AJ585" i="2"/>
  <c r="AF585" i="2"/>
  <c r="AY584" i="2"/>
  <c r="AX584" i="2"/>
  <c r="AW584" i="2"/>
  <c r="AV584" i="2"/>
  <c r="AU584" i="2"/>
  <c r="AT584" i="2"/>
  <c r="AS584" i="2"/>
  <c r="AH584" i="2" s="1"/>
  <c r="J584" i="2" s="1"/>
  <c r="AR584" i="2"/>
  <c r="AQ584" i="2"/>
  <c r="AN584" i="2"/>
  <c r="V584" i="2" s="1"/>
  <c r="AB584" i="2" s="1"/>
  <c r="AM584" i="2"/>
  <c r="U584" i="2" s="1"/>
  <c r="AL584" i="2"/>
  <c r="AJ584" i="2"/>
  <c r="AI584" i="2"/>
  <c r="AG584" i="2"/>
  <c r="AF584" i="2"/>
  <c r="T584" i="2"/>
  <c r="AY583" i="2"/>
  <c r="AX583" i="2"/>
  <c r="AW583" i="2"/>
  <c r="AV583" i="2"/>
  <c r="AU583" i="2"/>
  <c r="AG583" i="2" s="1"/>
  <c r="AT583" i="2"/>
  <c r="AS583" i="2"/>
  <c r="AR583" i="2"/>
  <c r="AQ583" i="2"/>
  <c r="AH583" i="2" s="1"/>
  <c r="J583" i="2" s="1"/>
  <c r="AN583" i="2"/>
  <c r="AM583" i="2"/>
  <c r="AL583" i="2"/>
  <c r="AJ583" i="2"/>
  <c r="AF583" i="2"/>
  <c r="AY582" i="2"/>
  <c r="AI582" i="2" s="1"/>
  <c r="AX582" i="2"/>
  <c r="AW582" i="2"/>
  <c r="AV582" i="2"/>
  <c r="AU582" i="2"/>
  <c r="AG582" i="2" s="1"/>
  <c r="AT582" i="2"/>
  <c r="AS582" i="2"/>
  <c r="AR582" i="2"/>
  <c r="AQ582" i="2"/>
  <c r="AN582" i="2"/>
  <c r="AM582" i="2"/>
  <c r="AL582" i="2"/>
  <c r="AJ582" i="2"/>
  <c r="AF582" i="2"/>
  <c r="T582" i="2"/>
  <c r="AY581" i="2"/>
  <c r="AX581" i="2"/>
  <c r="AW581" i="2"/>
  <c r="AV581" i="2"/>
  <c r="AU581" i="2"/>
  <c r="AG581" i="2" s="1"/>
  <c r="AT581" i="2"/>
  <c r="AS581" i="2"/>
  <c r="AR581" i="2"/>
  <c r="AQ581" i="2"/>
  <c r="AH581" i="2" s="1"/>
  <c r="J581" i="2" s="1"/>
  <c r="AN581" i="2"/>
  <c r="AM581" i="2"/>
  <c r="AL581" i="2"/>
  <c r="AJ581" i="2"/>
  <c r="AF581" i="2"/>
  <c r="AY580" i="2"/>
  <c r="AI580" i="2" s="1"/>
  <c r="AX580" i="2"/>
  <c r="AW580" i="2"/>
  <c r="AV580" i="2"/>
  <c r="AU580" i="2"/>
  <c r="AG580" i="2" s="1"/>
  <c r="AT580" i="2"/>
  <c r="AS580" i="2"/>
  <c r="AR580" i="2"/>
  <c r="AQ580" i="2"/>
  <c r="AN580" i="2"/>
  <c r="AM580" i="2"/>
  <c r="AL580" i="2"/>
  <c r="AJ580" i="2"/>
  <c r="AF580" i="2"/>
  <c r="AY579" i="2"/>
  <c r="AI579" i="2" s="1"/>
  <c r="AX579" i="2"/>
  <c r="AW579" i="2"/>
  <c r="AV579" i="2"/>
  <c r="AU579" i="2"/>
  <c r="AG579" i="2" s="1"/>
  <c r="AT579" i="2"/>
  <c r="AS579" i="2"/>
  <c r="AR579" i="2"/>
  <c r="AQ579" i="2"/>
  <c r="AH579" i="2" s="1"/>
  <c r="J579" i="2" s="1"/>
  <c r="AN579" i="2"/>
  <c r="AM579" i="2"/>
  <c r="AL579" i="2"/>
  <c r="AJ579" i="2"/>
  <c r="AF579" i="2"/>
  <c r="AY578" i="2"/>
  <c r="AX578" i="2"/>
  <c r="AW578" i="2"/>
  <c r="AV578" i="2"/>
  <c r="AU578" i="2"/>
  <c r="AT578" i="2"/>
  <c r="AS578" i="2"/>
  <c r="AH578" i="2" s="1"/>
  <c r="J578" i="2" s="1"/>
  <c r="AR578" i="2"/>
  <c r="AQ578" i="2"/>
  <c r="AN578" i="2"/>
  <c r="V578" i="2" s="1"/>
  <c r="AM578" i="2"/>
  <c r="U578" i="2" s="1"/>
  <c r="AA578" i="2" s="1"/>
  <c r="AL578" i="2"/>
  <c r="AJ578" i="2"/>
  <c r="AI578" i="2"/>
  <c r="AG578" i="2"/>
  <c r="AF578" i="2"/>
  <c r="AY577" i="2"/>
  <c r="AI577" i="2" s="1"/>
  <c r="AX577" i="2"/>
  <c r="AW577" i="2"/>
  <c r="AV577" i="2"/>
  <c r="AU577" i="2"/>
  <c r="AG577" i="2" s="1"/>
  <c r="AT577" i="2"/>
  <c r="AS577" i="2"/>
  <c r="AR577" i="2"/>
  <c r="AQ577" i="2"/>
  <c r="AH577" i="2" s="1"/>
  <c r="J577" i="2" s="1"/>
  <c r="AN577" i="2"/>
  <c r="AM577" i="2"/>
  <c r="AL577" i="2"/>
  <c r="AJ577" i="2"/>
  <c r="AF577" i="2"/>
  <c r="AY576" i="2"/>
  <c r="AX576" i="2"/>
  <c r="AW576" i="2"/>
  <c r="AV576" i="2"/>
  <c r="AU576" i="2"/>
  <c r="AT576" i="2"/>
  <c r="AS576" i="2"/>
  <c r="AH576" i="2" s="1"/>
  <c r="J576" i="2" s="1"/>
  <c r="AR576" i="2"/>
  <c r="AQ576" i="2"/>
  <c r="AN576" i="2"/>
  <c r="V576" i="2" s="1"/>
  <c r="AB576" i="2" s="1"/>
  <c r="AM576" i="2"/>
  <c r="U576" i="2" s="1"/>
  <c r="AL576" i="2"/>
  <c r="AJ576" i="2"/>
  <c r="AI576" i="2"/>
  <c r="AG576" i="2"/>
  <c r="AF576" i="2"/>
  <c r="T576" i="2"/>
  <c r="AY575" i="2"/>
  <c r="AX575" i="2"/>
  <c r="AW575" i="2"/>
  <c r="AV575" i="2"/>
  <c r="AU575" i="2"/>
  <c r="AG575" i="2" s="1"/>
  <c r="AT575" i="2"/>
  <c r="AS575" i="2"/>
  <c r="AR575" i="2"/>
  <c r="AQ575" i="2"/>
  <c r="AH575" i="2" s="1"/>
  <c r="J575" i="2" s="1"/>
  <c r="AN575" i="2"/>
  <c r="AM575" i="2"/>
  <c r="AL575" i="2"/>
  <c r="AJ575" i="2"/>
  <c r="AF575" i="2"/>
  <c r="AY574" i="2"/>
  <c r="AI574" i="2" s="1"/>
  <c r="AX574" i="2"/>
  <c r="AW574" i="2"/>
  <c r="AV574" i="2"/>
  <c r="AU574" i="2"/>
  <c r="AG574" i="2" s="1"/>
  <c r="AT574" i="2"/>
  <c r="AS574" i="2"/>
  <c r="AR574" i="2"/>
  <c r="AQ574" i="2"/>
  <c r="AN574" i="2"/>
  <c r="AM574" i="2"/>
  <c r="AL574" i="2"/>
  <c r="AJ574" i="2"/>
  <c r="AF574" i="2"/>
  <c r="T574" i="2"/>
  <c r="AY573" i="2"/>
  <c r="AX573" i="2"/>
  <c r="AW573" i="2"/>
  <c r="AV573" i="2"/>
  <c r="AU573" i="2"/>
  <c r="AG573" i="2" s="1"/>
  <c r="AT573" i="2"/>
  <c r="AS573" i="2"/>
  <c r="AR573" i="2"/>
  <c r="AQ573" i="2"/>
  <c r="AH573" i="2" s="1"/>
  <c r="J573" i="2" s="1"/>
  <c r="AN573" i="2"/>
  <c r="AM573" i="2"/>
  <c r="AL573" i="2"/>
  <c r="AJ573" i="2"/>
  <c r="AF573" i="2"/>
  <c r="AY572" i="2"/>
  <c r="AI572" i="2" s="1"/>
  <c r="AX572" i="2"/>
  <c r="AW572" i="2"/>
  <c r="AV572" i="2"/>
  <c r="AU572" i="2"/>
  <c r="AG572" i="2" s="1"/>
  <c r="AT572" i="2"/>
  <c r="AS572" i="2"/>
  <c r="AR572" i="2"/>
  <c r="AQ572" i="2"/>
  <c r="AN572" i="2"/>
  <c r="AM572" i="2"/>
  <c r="AL572" i="2"/>
  <c r="AJ572" i="2"/>
  <c r="AF572" i="2"/>
  <c r="AY571" i="2"/>
  <c r="AI571" i="2" s="1"/>
  <c r="AX571" i="2"/>
  <c r="AW571" i="2"/>
  <c r="AV571" i="2"/>
  <c r="AU571" i="2"/>
  <c r="AG571" i="2" s="1"/>
  <c r="AT571" i="2"/>
  <c r="AS571" i="2"/>
  <c r="AR571" i="2"/>
  <c r="AQ571" i="2"/>
  <c r="AH571" i="2" s="1"/>
  <c r="J571" i="2" s="1"/>
  <c r="AN571" i="2"/>
  <c r="AM571" i="2"/>
  <c r="AL571" i="2"/>
  <c r="AJ571" i="2"/>
  <c r="AF571" i="2"/>
  <c r="AY570" i="2"/>
  <c r="AX570" i="2"/>
  <c r="AW570" i="2"/>
  <c r="AV570" i="2"/>
  <c r="AU570" i="2"/>
  <c r="AT570" i="2"/>
  <c r="AS570" i="2"/>
  <c r="AH570" i="2" s="1"/>
  <c r="J570" i="2" s="1"/>
  <c r="AR570" i="2"/>
  <c r="AQ570" i="2"/>
  <c r="AN570" i="2"/>
  <c r="V570" i="2" s="1"/>
  <c r="AB570" i="2" s="1"/>
  <c r="AM570" i="2"/>
  <c r="AL570" i="2"/>
  <c r="AJ570" i="2"/>
  <c r="AI570" i="2"/>
  <c r="AG570" i="2"/>
  <c r="AF570" i="2"/>
  <c r="U570" i="2"/>
  <c r="AA570" i="2" s="1"/>
  <c r="AY569" i="2"/>
  <c r="AX569" i="2"/>
  <c r="AW569" i="2"/>
  <c r="AV569" i="2"/>
  <c r="AU569" i="2"/>
  <c r="AG569" i="2" s="1"/>
  <c r="AT569" i="2"/>
  <c r="AS569" i="2"/>
  <c r="AR569" i="2"/>
  <c r="AQ569" i="2"/>
  <c r="AH569" i="2" s="1"/>
  <c r="J569" i="2" s="1"/>
  <c r="AN569" i="2"/>
  <c r="AM569" i="2"/>
  <c r="AL569" i="2"/>
  <c r="AJ569" i="2"/>
  <c r="AF569" i="2"/>
  <c r="AY568" i="2"/>
  <c r="AI568" i="2" s="1"/>
  <c r="AX568" i="2"/>
  <c r="AW568" i="2"/>
  <c r="AV568" i="2"/>
  <c r="AU568" i="2"/>
  <c r="AG568" i="2" s="1"/>
  <c r="AT568" i="2"/>
  <c r="AS568" i="2"/>
  <c r="AR568" i="2"/>
  <c r="AQ568" i="2"/>
  <c r="AN568" i="2"/>
  <c r="AM568" i="2"/>
  <c r="AL568" i="2"/>
  <c r="AJ568" i="2"/>
  <c r="AF568" i="2"/>
  <c r="V568" i="2"/>
  <c r="AY567" i="2"/>
  <c r="AX567" i="2"/>
  <c r="AW567" i="2"/>
  <c r="AV567" i="2"/>
  <c r="AU567" i="2"/>
  <c r="AT567" i="2"/>
  <c r="AS567" i="2"/>
  <c r="AR567" i="2"/>
  <c r="AQ567" i="2"/>
  <c r="AN567" i="2"/>
  <c r="AM567" i="2"/>
  <c r="AL567" i="2"/>
  <c r="AJ567" i="2"/>
  <c r="AG567" i="2"/>
  <c r="AF567" i="2"/>
  <c r="AY566" i="2"/>
  <c r="AI566" i="2" s="1"/>
  <c r="AX566" i="2"/>
  <c r="AW566" i="2"/>
  <c r="AV566" i="2"/>
  <c r="AU566" i="2"/>
  <c r="AT566" i="2"/>
  <c r="AS566" i="2"/>
  <c r="AH566" i="2" s="1"/>
  <c r="J566" i="2" s="1"/>
  <c r="AR566" i="2"/>
  <c r="AQ566" i="2"/>
  <c r="AN566" i="2"/>
  <c r="AM566" i="2"/>
  <c r="U566" i="2" s="1"/>
  <c r="AL566" i="2"/>
  <c r="T566" i="2" s="1"/>
  <c r="AJ566" i="2"/>
  <c r="AG566" i="2"/>
  <c r="AF566" i="2"/>
  <c r="AY565" i="2"/>
  <c r="AX565" i="2"/>
  <c r="AW565" i="2"/>
  <c r="AV565" i="2"/>
  <c r="AU565" i="2"/>
  <c r="AG565" i="2" s="1"/>
  <c r="AT565" i="2"/>
  <c r="AS565" i="2"/>
  <c r="AR565" i="2"/>
  <c r="AQ565" i="2"/>
  <c r="AN565" i="2"/>
  <c r="AM565" i="2"/>
  <c r="AL565" i="2"/>
  <c r="AJ565" i="2"/>
  <c r="AF565" i="2"/>
  <c r="AY564" i="2"/>
  <c r="AI564" i="2" s="1"/>
  <c r="AX564" i="2"/>
  <c r="AW564" i="2"/>
  <c r="AV564" i="2"/>
  <c r="AU564" i="2"/>
  <c r="AG564" i="2" s="1"/>
  <c r="AT564" i="2"/>
  <c r="AS564" i="2"/>
  <c r="AR564" i="2"/>
  <c r="AQ564" i="2"/>
  <c r="AN564" i="2"/>
  <c r="AM564" i="2"/>
  <c r="AL564" i="2"/>
  <c r="T564" i="2" s="1"/>
  <c r="AJ564" i="2"/>
  <c r="AF564" i="2"/>
  <c r="AY563" i="2"/>
  <c r="AX563" i="2"/>
  <c r="AW563" i="2"/>
  <c r="AV563" i="2"/>
  <c r="AU563" i="2"/>
  <c r="AG563" i="2" s="1"/>
  <c r="AT563" i="2"/>
  <c r="AS563" i="2"/>
  <c r="AR563" i="2"/>
  <c r="AQ563" i="2"/>
  <c r="AH563" i="2" s="1"/>
  <c r="J563" i="2" s="1"/>
  <c r="AN563" i="2"/>
  <c r="AM563" i="2"/>
  <c r="AL563" i="2"/>
  <c r="AJ563" i="2"/>
  <c r="AF563" i="2"/>
  <c r="AY562" i="2"/>
  <c r="AI562" i="2" s="1"/>
  <c r="AX562" i="2"/>
  <c r="AW562" i="2"/>
  <c r="AV562" i="2"/>
  <c r="AU562" i="2"/>
  <c r="AG562" i="2" s="1"/>
  <c r="AT562" i="2"/>
  <c r="AS562" i="2"/>
  <c r="AR562" i="2"/>
  <c r="AQ562" i="2"/>
  <c r="AN562" i="2"/>
  <c r="AM562" i="2"/>
  <c r="AL562" i="2"/>
  <c r="AJ562" i="2"/>
  <c r="AF562" i="2"/>
  <c r="V562" i="2"/>
  <c r="AY561" i="2"/>
  <c r="AX561" i="2"/>
  <c r="AW561" i="2"/>
  <c r="AV561" i="2"/>
  <c r="AU561" i="2"/>
  <c r="AG561" i="2" s="1"/>
  <c r="AT561" i="2"/>
  <c r="AS561" i="2"/>
  <c r="AR561" i="2"/>
  <c r="AQ561" i="2"/>
  <c r="AH561" i="2" s="1"/>
  <c r="J561" i="2" s="1"/>
  <c r="AN561" i="2"/>
  <c r="AM561" i="2"/>
  <c r="AL561" i="2"/>
  <c r="AJ561" i="2"/>
  <c r="AF561" i="2"/>
  <c r="AY560" i="2"/>
  <c r="AI560" i="2" s="1"/>
  <c r="AX560" i="2"/>
  <c r="AW560" i="2"/>
  <c r="AV560" i="2"/>
  <c r="AU560" i="2"/>
  <c r="AG560" i="2" s="1"/>
  <c r="AT560" i="2"/>
  <c r="AS560" i="2"/>
  <c r="AR560" i="2"/>
  <c r="AQ560" i="2"/>
  <c r="AN560" i="2"/>
  <c r="AM560" i="2"/>
  <c r="AL560" i="2"/>
  <c r="AJ560" i="2"/>
  <c r="AF560" i="2"/>
  <c r="V560" i="2"/>
  <c r="AY559" i="2"/>
  <c r="AX559" i="2"/>
  <c r="AW559" i="2"/>
  <c r="AV559" i="2"/>
  <c r="AU559" i="2"/>
  <c r="AG559" i="2" s="1"/>
  <c r="AT559" i="2"/>
  <c r="AS559" i="2"/>
  <c r="AR559" i="2"/>
  <c r="AQ559" i="2"/>
  <c r="AN559" i="2"/>
  <c r="AM559" i="2"/>
  <c r="AL559" i="2"/>
  <c r="AJ559" i="2"/>
  <c r="AF559" i="2"/>
  <c r="AY558" i="2"/>
  <c r="AI558" i="2" s="1"/>
  <c r="AX558" i="2"/>
  <c r="AW558" i="2"/>
  <c r="AV558" i="2"/>
  <c r="AU558" i="2"/>
  <c r="AG558" i="2" s="1"/>
  <c r="AT558" i="2"/>
  <c r="AS558" i="2"/>
  <c r="AR558" i="2"/>
  <c r="AQ558" i="2"/>
  <c r="AN558" i="2"/>
  <c r="AM558" i="2"/>
  <c r="AL558" i="2"/>
  <c r="T558" i="2" s="1"/>
  <c r="AJ558" i="2"/>
  <c r="AF558" i="2"/>
  <c r="AY557" i="2"/>
  <c r="AX557" i="2"/>
  <c r="AW557" i="2"/>
  <c r="AV557" i="2"/>
  <c r="AU557" i="2"/>
  <c r="AG557" i="2" s="1"/>
  <c r="AT557" i="2"/>
  <c r="AS557" i="2"/>
  <c r="AR557" i="2"/>
  <c r="AQ557" i="2"/>
  <c r="AH557" i="2" s="1"/>
  <c r="J557" i="2" s="1"/>
  <c r="AN557" i="2"/>
  <c r="AM557" i="2"/>
  <c r="AL557" i="2"/>
  <c r="AJ557" i="2"/>
  <c r="AF557" i="2"/>
  <c r="AY556" i="2"/>
  <c r="AX556" i="2"/>
  <c r="AJ556" i="2" s="1"/>
  <c r="AW556" i="2"/>
  <c r="AV556" i="2"/>
  <c r="AU556" i="2"/>
  <c r="AT556" i="2"/>
  <c r="AS556" i="2"/>
  <c r="AG556" i="2" s="1"/>
  <c r="AR556" i="2"/>
  <c r="AE556" i="2" s="1"/>
  <c r="AQ556" i="2"/>
  <c r="AM556" i="2"/>
  <c r="U556" i="2" s="1"/>
  <c r="AL556" i="2"/>
  <c r="AI556" i="2"/>
  <c r="AH556" i="2"/>
  <c r="AF556" i="2"/>
  <c r="AY555" i="2"/>
  <c r="AX555" i="2"/>
  <c r="AJ555" i="2" s="1"/>
  <c r="AW555" i="2"/>
  <c r="AV555" i="2"/>
  <c r="AU555" i="2"/>
  <c r="AT555" i="2"/>
  <c r="AS555" i="2"/>
  <c r="AG555" i="2" s="1"/>
  <c r="AR555" i="2"/>
  <c r="AE555" i="2" s="1"/>
  <c r="AQ555" i="2"/>
  <c r="AM555" i="2"/>
  <c r="AL555" i="2"/>
  <c r="AI555" i="2"/>
  <c r="AH555" i="2"/>
  <c r="AF555" i="2"/>
  <c r="AY554" i="2"/>
  <c r="AX554" i="2"/>
  <c r="AJ554" i="2" s="1"/>
  <c r="AW554" i="2"/>
  <c r="AV554" i="2"/>
  <c r="AU554" i="2"/>
  <c r="AT554" i="2"/>
  <c r="AS554" i="2"/>
  <c r="AG554" i="2" s="1"/>
  <c r="AR554" i="2"/>
  <c r="AE554" i="2" s="1"/>
  <c r="AQ554" i="2"/>
  <c r="AM554" i="2"/>
  <c r="U554" i="2" s="1"/>
  <c r="AA554" i="2" s="1"/>
  <c r="AL554" i="2"/>
  <c r="AI554" i="2"/>
  <c r="AH554" i="2"/>
  <c r="AF554" i="2"/>
  <c r="AY553" i="2"/>
  <c r="AX553" i="2"/>
  <c r="AJ553" i="2" s="1"/>
  <c r="AW553" i="2"/>
  <c r="AV553" i="2"/>
  <c r="AU553" i="2"/>
  <c r="AT553" i="2"/>
  <c r="AS553" i="2"/>
  <c r="AG553" i="2" s="1"/>
  <c r="AR553" i="2"/>
  <c r="AE553" i="2" s="1"/>
  <c r="AQ553" i="2"/>
  <c r="AM553" i="2"/>
  <c r="AL553" i="2"/>
  <c r="AI553" i="2"/>
  <c r="AH553" i="2"/>
  <c r="AF553" i="2"/>
  <c r="AY552" i="2"/>
  <c r="AX552" i="2"/>
  <c r="AJ552" i="2" s="1"/>
  <c r="AW552" i="2"/>
  <c r="AV552" i="2"/>
  <c r="AU552" i="2"/>
  <c r="AT552" i="2"/>
  <c r="AS552" i="2"/>
  <c r="AG552" i="2" s="1"/>
  <c r="AR552" i="2"/>
  <c r="AE552" i="2" s="1"/>
  <c r="AQ552" i="2"/>
  <c r="AM552" i="2"/>
  <c r="U552" i="2" s="1"/>
  <c r="AL552" i="2"/>
  <c r="AI552" i="2"/>
  <c r="AH552" i="2"/>
  <c r="AF552" i="2"/>
  <c r="AY551" i="2"/>
  <c r="AX551" i="2"/>
  <c r="AW551" i="2"/>
  <c r="AV551" i="2"/>
  <c r="AU551" i="2"/>
  <c r="AT551" i="2"/>
  <c r="AS551" i="2"/>
  <c r="AG551" i="2" s="1"/>
  <c r="AR551" i="2"/>
  <c r="AE551" i="2" s="1"/>
  <c r="J551" i="2" s="1"/>
  <c r="AQ551" i="2"/>
  <c r="AM551" i="2"/>
  <c r="U551" i="2" s="1"/>
  <c r="AL551" i="2"/>
  <c r="AI551" i="2"/>
  <c r="AH551" i="2"/>
  <c r="AF551" i="2"/>
  <c r="AY550" i="2"/>
  <c r="AX550" i="2"/>
  <c r="AW550" i="2"/>
  <c r="AV550" i="2"/>
  <c r="AU550" i="2"/>
  <c r="AT550" i="2"/>
  <c r="AS550" i="2"/>
  <c r="AG550" i="2" s="1"/>
  <c r="AR550" i="2"/>
  <c r="AE550" i="2" s="1"/>
  <c r="J550" i="2" s="1"/>
  <c r="AQ550" i="2"/>
  <c r="AM550" i="2"/>
  <c r="AL550" i="2"/>
  <c r="AI550" i="2"/>
  <c r="AH550" i="2"/>
  <c r="AF550" i="2"/>
  <c r="AY549" i="2"/>
  <c r="AX549" i="2"/>
  <c r="AW549" i="2"/>
  <c r="AV549" i="2"/>
  <c r="AU549" i="2"/>
  <c r="AT549" i="2"/>
  <c r="AS549" i="2"/>
  <c r="AG549" i="2" s="1"/>
  <c r="AR549" i="2"/>
  <c r="AE549" i="2" s="1"/>
  <c r="AQ549" i="2"/>
  <c r="AM549" i="2"/>
  <c r="AL549" i="2"/>
  <c r="AI549" i="2"/>
  <c r="AH549" i="2"/>
  <c r="AF549" i="2"/>
  <c r="AY548" i="2"/>
  <c r="AX548" i="2"/>
  <c r="AW548" i="2"/>
  <c r="AV548" i="2"/>
  <c r="AU548" i="2"/>
  <c r="AT548" i="2"/>
  <c r="AS548" i="2"/>
  <c r="AG548" i="2" s="1"/>
  <c r="AR548" i="2"/>
  <c r="AE548" i="2" s="1"/>
  <c r="AQ548" i="2"/>
  <c r="AM548" i="2"/>
  <c r="U548" i="2" s="1"/>
  <c r="AL548" i="2"/>
  <c r="AI548" i="2"/>
  <c r="AH548" i="2"/>
  <c r="AF548" i="2"/>
  <c r="AY547" i="2"/>
  <c r="AX547" i="2"/>
  <c r="AW547" i="2"/>
  <c r="AV547" i="2"/>
  <c r="AU547" i="2"/>
  <c r="AT547" i="2"/>
  <c r="AS547" i="2"/>
  <c r="AG547" i="2" s="1"/>
  <c r="AR547" i="2"/>
  <c r="AE547" i="2" s="1"/>
  <c r="J547" i="2" s="1"/>
  <c r="AQ547" i="2"/>
  <c r="AM547" i="2"/>
  <c r="U547" i="2" s="1"/>
  <c r="AL547" i="2"/>
  <c r="AI547" i="2"/>
  <c r="AH547" i="2"/>
  <c r="AF547" i="2"/>
  <c r="AY546" i="2"/>
  <c r="AX546" i="2"/>
  <c r="AJ546" i="2" s="1"/>
  <c r="AW546" i="2"/>
  <c r="AV546" i="2"/>
  <c r="AU546" i="2"/>
  <c r="AT546" i="2"/>
  <c r="AS546" i="2"/>
  <c r="AG546" i="2" s="1"/>
  <c r="AR546" i="2"/>
  <c r="AE546" i="2" s="1"/>
  <c r="J546" i="2" s="1"/>
  <c r="AQ546" i="2"/>
  <c r="AM546" i="2"/>
  <c r="AL546" i="2"/>
  <c r="AI546" i="2"/>
  <c r="AH546" i="2"/>
  <c r="AF546" i="2"/>
  <c r="H546" i="2"/>
  <c r="AY545" i="2"/>
  <c r="AX545" i="2"/>
  <c r="AJ545" i="2" s="1"/>
  <c r="AW545" i="2"/>
  <c r="AV545" i="2"/>
  <c r="AU545" i="2"/>
  <c r="AT545" i="2"/>
  <c r="AS545" i="2"/>
  <c r="AG545" i="2" s="1"/>
  <c r="AR545" i="2"/>
  <c r="AQ545" i="2"/>
  <c r="AM545" i="2"/>
  <c r="AL545" i="2"/>
  <c r="AI545" i="2"/>
  <c r="AH545" i="2"/>
  <c r="AF545" i="2"/>
  <c r="H545" i="2"/>
  <c r="AY544" i="2"/>
  <c r="AX544" i="2"/>
  <c r="AJ544" i="2" s="1"/>
  <c r="AW544" i="2"/>
  <c r="AV544" i="2"/>
  <c r="AU544" i="2"/>
  <c r="AT544" i="2"/>
  <c r="AS544" i="2"/>
  <c r="AG544" i="2" s="1"/>
  <c r="AR544" i="2"/>
  <c r="AQ544" i="2"/>
  <c r="AM544" i="2"/>
  <c r="AL544" i="2"/>
  <c r="AI544" i="2"/>
  <c r="AH544" i="2"/>
  <c r="AF544" i="2"/>
  <c r="H544" i="2"/>
  <c r="AY543" i="2"/>
  <c r="AX543" i="2"/>
  <c r="AJ543" i="2" s="1"/>
  <c r="AW543" i="2"/>
  <c r="AV543" i="2"/>
  <c r="AU543" i="2"/>
  <c r="AT543" i="2"/>
  <c r="AS543" i="2"/>
  <c r="AG543" i="2" s="1"/>
  <c r="AR543" i="2"/>
  <c r="AQ543" i="2"/>
  <c r="AM543" i="2"/>
  <c r="AL543" i="2"/>
  <c r="AI543" i="2"/>
  <c r="AH543" i="2"/>
  <c r="AF543" i="2"/>
  <c r="H543" i="2"/>
  <c r="AY542" i="2"/>
  <c r="AX542" i="2"/>
  <c r="AJ542" i="2" s="1"/>
  <c r="AW542" i="2"/>
  <c r="AV542" i="2"/>
  <c r="AU542" i="2"/>
  <c r="AT542" i="2"/>
  <c r="AS542" i="2"/>
  <c r="AR542" i="2"/>
  <c r="AQ542" i="2"/>
  <c r="AM542" i="2"/>
  <c r="U542" i="2" s="1"/>
  <c r="AA542" i="2" s="1"/>
  <c r="AL542" i="2"/>
  <c r="AK542" i="2" s="1"/>
  <c r="AI542" i="2"/>
  <c r="AH542" i="2"/>
  <c r="AG542" i="2"/>
  <c r="AF542" i="2"/>
  <c r="AY541" i="2"/>
  <c r="AX541" i="2"/>
  <c r="H541" i="2" s="1"/>
  <c r="AW541" i="2"/>
  <c r="AV541" i="2"/>
  <c r="AU541" i="2"/>
  <c r="AT541" i="2"/>
  <c r="AS541" i="2"/>
  <c r="AR541" i="2"/>
  <c r="AE541" i="2" s="1"/>
  <c r="AQ541" i="2"/>
  <c r="AH541" i="2" s="1"/>
  <c r="AM541" i="2"/>
  <c r="AL541" i="2"/>
  <c r="AI541" i="2"/>
  <c r="AG541" i="2"/>
  <c r="AF541" i="2"/>
  <c r="AY540" i="2"/>
  <c r="AX540" i="2"/>
  <c r="H540" i="2" s="1"/>
  <c r="AW540" i="2"/>
  <c r="AV540" i="2"/>
  <c r="AU540" i="2"/>
  <c r="AT540" i="2"/>
  <c r="AS540" i="2"/>
  <c r="AG540" i="2" s="1"/>
  <c r="AR540" i="2"/>
  <c r="AE540" i="2" s="1"/>
  <c r="AQ540" i="2"/>
  <c r="AH540" i="2" s="1"/>
  <c r="AM540" i="2"/>
  <c r="AL540" i="2"/>
  <c r="AJ540" i="2"/>
  <c r="AI540" i="2"/>
  <c r="AF540" i="2"/>
  <c r="AY539" i="2"/>
  <c r="AX539" i="2"/>
  <c r="H539" i="2" s="1"/>
  <c r="AW539" i="2"/>
  <c r="AV539" i="2"/>
  <c r="AU539" i="2"/>
  <c r="AT539" i="2"/>
  <c r="AS539" i="2"/>
  <c r="AR539" i="2"/>
  <c r="AE539" i="2" s="1"/>
  <c r="AQ539" i="2"/>
  <c r="AH539" i="2" s="1"/>
  <c r="AM539" i="2"/>
  <c r="AL539" i="2"/>
  <c r="AJ539" i="2"/>
  <c r="AI539" i="2"/>
  <c r="AG539" i="2"/>
  <c r="AF539" i="2"/>
  <c r="AY538" i="2"/>
  <c r="AX538" i="2"/>
  <c r="H538" i="2" s="1"/>
  <c r="AW538" i="2"/>
  <c r="AV538" i="2"/>
  <c r="AU538" i="2"/>
  <c r="AT538" i="2"/>
  <c r="AS538" i="2"/>
  <c r="AR538" i="2"/>
  <c r="AE538" i="2" s="1"/>
  <c r="AQ538" i="2"/>
  <c r="AH538" i="2" s="1"/>
  <c r="AM538" i="2"/>
  <c r="AL538" i="2"/>
  <c r="AI538" i="2"/>
  <c r="AG538" i="2"/>
  <c r="AF538" i="2"/>
  <c r="AY537" i="2"/>
  <c r="AX537" i="2"/>
  <c r="H537" i="2" s="1"/>
  <c r="AW537" i="2"/>
  <c r="AV537" i="2"/>
  <c r="AU537" i="2"/>
  <c r="AT537" i="2"/>
  <c r="AS537" i="2"/>
  <c r="AG537" i="2" s="1"/>
  <c r="AR537" i="2"/>
  <c r="AE537" i="2" s="1"/>
  <c r="AQ537" i="2"/>
  <c r="AH537" i="2" s="1"/>
  <c r="AM537" i="2"/>
  <c r="AL537" i="2"/>
  <c r="AJ537" i="2"/>
  <c r="AI537" i="2"/>
  <c r="AF537" i="2"/>
  <c r="AY536" i="2"/>
  <c r="AX536" i="2"/>
  <c r="H536" i="2" s="1"/>
  <c r="AW536" i="2"/>
  <c r="AV536" i="2"/>
  <c r="AU536" i="2"/>
  <c r="AT536" i="2"/>
  <c r="AS536" i="2"/>
  <c r="AG536" i="2" s="1"/>
  <c r="AR536" i="2"/>
  <c r="AE536" i="2" s="1"/>
  <c r="AQ536" i="2"/>
  <c r="AH536" i="2" s="1"/>
  <c r="AM536" i="2"/>
  <c r="AL536" i="2"/>
  <c r="AJ536" i="2"/>
  <c r="AI536" i="2"/>
  <c r="AF536" i="2"/>
  <c r="AY535" i="2"/>
  <c r="AX535" i="2"/>
  <c r="H535" i="2" s="1"/>
  <c r="AW535" i="2"/>
  <c r="AV535" i="2"/>
  <c r="AU535" i="2"/>
  <c r="AT535" i="2"/>
  <c r="AS535" i="2"/>
  <c r="AR535" i="2"/>
  <c r="AE535" i="2" s="1"/>
  <c r="AQ535" i="2"/>
  <c r="AH535" i="2" s="1"/>
  <c r="AM535" i="2"/>
  <c r="AL535" i="2"/>
  <c r="AJ535" i="2"/>
  <c r="AI535" i="2"/>
  <c r="AG535" i="2"/>
  <c r="AF535" i="2"/>
  <c r="AY534" i="2"/>
  <c r="AX534" i="2"/>
  <c r="AH534" i="2" s="1"/>
  <c r="J534" i="2" s="1"/>
  <c r="AW534" i="2"/>
  <c r="AV534" i="2"/>
  <c r="AU534" i="2"/>
  <c r="AG534" i="2" s="1"/>
  <c r="AT534" i="2"/>
  <c r="AS534" i="2"/>
  <c r="AR534" i="2"/>
  <c r="AQ534" i="2"/>
  <c r="AM534" i="2"/>
  <c r="AL534" i="2"/>
  <c r="T534" i="2" s="1"/>
  <c r="AI534" i="2"/>
  <c r="AF534" i="2"/>
  <c r="AY533" i="2"/>
  <c r="AX533" i="2"/>
  <c r="AJ533" i="2" s="1"/>
  <c r="AW533" i="2"/>
  <c r="AV533" i="2"/>
  <c r="AU533" i="2"/>
  <c r="AT533" i="2"/>
  <c r="AS533" i="2"/>
  <c r="AR533" i="2"/>
  <c r="AQ533" i="2"/>
  <c r="AM533" i="2"/>
  <c r="AL533" i="2"/>
  <c r="AH533" i="2"/>
  <c r="J533" i="2" s="1"/>
  <c r="AG533" i="2"/>
  <c r="AF533" i="2"/>
  <c r="V533" i="2"/>
  <c r="AY532" i="2"/>
  <c r="AX532" i="2"/>
  <c r="AW532" i="2"/>
  <c r="AV532" i="2"/>
  <c r="AU532" i="2"/>
  <c r="AG532" i="2" s="1"/>
  <c r="AT532" i="2"/>
  <c r="AS532" i="2"/>
  <c r="AR532" i="2"/>
  <c r="AQ532" i="2"/>
  <c r="AM532" i="2"/>
  <c r="AL532" i="2"/>
  <c r="AJ532" i="2"/>
  <c r="AI532" i="2"/>
  <c r="AF532" i="2"/>
  <c r="AY531" i="2"/>
  <c r="AX531" i="2"/>
  <c r="AH531" i="2" s="1"/>
  <c r="J531" i="2" s="1"/>
  <c r="AW531" i="2"/>
  <c r="AI531" i="2" s="1"/>
  <c r="AV531" i="2"/>
  <c r="AU531" i="2"/>
  <c r="AT531" i="2"/>
  <c r="AS531" i="2"/>
  <c r="AR531" i="2"/>
  <c r="AQ531" i="2"/>
  <c r="AM531" i="2"/>
  <c r="U531" i="2" s="1"/>
  <c r="AL531" i="2"/>
  <c r="AJ531" i="2"/>
  <c r="AG531" i="2"/>
  <c r="AF531" i="2"/>
  <c r="V531" i="2"/>
  <c r="AY530" i="2"/>
  <c r="AX530" i="2"/>
  <c r="AH530" i="2" s="1"/>
  <c r="J530" i="2" s="1"/>
  <c r="AW530" i="2"/>
  <c r="AI530" i="2" s="1"/>
  <c r="AV530" i="2"/>
  <c r="AU530" i="2"/>
  <c r="AG530" i="2" s="1"/>
  <c r="AT530" i="2"/>
  <c r="AS530" i="2"/>
  <c r="AR530" i="2"/>
  <c r="AQ530" i="2"/>
  <c r="AM530" i="2"/>
  <c r="AL530" i="2"/>
  <c r="T530" i="2" s="1"/>
  <c r="AJ530" i="2"/>
  <c r="AF530" i="2"/>
  <c r="AY529" i="2"/>
  <c r="AX529" i="2"/>
  <c r="AW529" i="2"/>
  <c r="AV529" i="2"/>
  <c r="AU529" i="2"/>
  <c r="AG529" i="2" s="1"/>
  <c r="AT529" i="2"/>
  <c r="AS529" i="2"/>
  <c r="AR529" i="2"/>
  <c r="AQ529" i="2"/>
  <c r="AM529" i="2"/>
  <c r="AL529" i="2"/>
  <c r="AJ529" i="2"/>
  <c r="AH529" i="2"/>
  <c r="J529" i="2" s="1"/>
  <c r="AF529" i="2"/>
  <c r="V529" i="2"/>
  <c r="U529" i="2"/>
  <c r="AY528" i="2"/>
  <c r="AX528" i="2"/>
  <c r="AW528" i="2"/>
  <c r="AI528" i="2" s="1"/>
  <c r="AV528" i="2"/>
  <c r="AU528" i="2"/>
  <c r="AG528" i="2" s="1"/>
  <c r="AT528" i="2"/>
  <c r="AS528" i="2"/>
  <c r="AR528" i="2"/>
  <c r="AQ528" i="2"/>
  <c r="AM528" i="2"/>
  <c r="AL528" i="2"/>
  <c r="T528" i="2" s="1"/>
  <c r="AJ528" i="2"/>
  <c r="AF528" i="2"/>
  <c r="AY527" i="2"/>
  <c r="AX527" i="2"/>
  <c r="AJ527" i="2" s="1"/>
  <c r="AW527" i="2"/>
  <c r="AV527" i="2"/>
  <c r="AU527" i="2"/>
  <c r="AT527" i="2"/>
  <c r="AS527" i="2"/>
  <c r="AR527" i="2"/>
  <c r="AQ527" i="2"/>
  <c r="AM527" i="2"/>
  <c r="U527" i="2" s="1"/>
  <c r="AL527" i="2"/>
  <c r="AG527" i="2"/>
  <c r="AF527" i="2"/>
  <c r="AY526" i="2"/>
  <c r="AX526" i="2"/>
  <c r="AW526" i="2"/>
  <c r="AV526" i="2"/>
  <c r="AU526" i="2"/>
  <c r="AG526" i="2" s="1"/>
  <c r="AT526" i="2"/>
  <c r="AS526" i="2"/>
  <c r="AR526" i="2"/>
  <c r="AQ526" i="2"/>
  <c r="AM526" i="2"/>
  <c r="AL526" i="2"/>
  <c r="AJ526" i="2"/>
  <c r="AI526" i="2"/>
  <c r="AF526" i="2"/>
  <c r="AY525" i="2"/>
  <c r="AX525" i="2"/>
  <c r="AH525" i="2" s="1"/>
  <c r="J525" i="2" s="1"/>
  <c r="AW525" i="2"/>
  <c r="AI525" i="2" s="1"/>
  <c r="AV525" i="2"/>
  <c r="AU525" i="2"/>
  <c r="AT525" i="2"/>
  <c r="AS525" i="2"/>
  <c r="AR525" i="2"/>
  <c r="AQ525" i="2"/>
  <c r="AM525" i="2"/>
  <c r="U525" i="2" s="1"/>
  <c r="AL525" i="2"/>
  <c r="AK525" i="2" s="1"/>
  <c r="AJ525" i="2"/>
  <c r="AG525" i="2"/>
  <c r="AF525" i="2"/>
  <c r="V525" i="2"/>
  <c r="AY524" i="2"/>
  <c r="AX524" i="2"/>
  <c r="AH524" i="2" s="1"/>
  <c r="J524" i="2" s="1"/>
  <c r="AW524" i="2"/>
  <c r="AV524" i="2"/>
  <c r="AU524" i="2"/>
  <c r="AG524" i="2" s="1"/>
  <c r="AT524" i="2"/>
  <c r="AS524" i="2"/>
  <c r="AR524" i="2"/>
  <c r="AQ524" i="2"/>
  <c r="AM524" i="2"/>
  <c r="AL524" i="2"/>
  <c r="T524" i="2" s="1"/>
  <c r="AI524" i="2"/>
  <c r="AF524" i="2"/>
  <c r="AY523" i="2"/>
  <c r="AX523" i="2"/>
  <c r="AW523" i="2"/>
  <c r="AI523" i="2" s="1"/>
  <c r="AV523" i="2"/>
  <c r="AU523" i="2"/>
  <c r="AG523" i="2" s="1"/>
  <c r="AT523" i="2"/>
  <c r="AS523" i="2"/>
  <c r="AR523" i="2"/>
  <c r="AQ523" i="2"/>
  <c r="AM523" i="2"/>
  <c r="AL523" i="2"/>
  <c r="AJ523" i="2"/>
  <c r="AH523" i="2"/>
  <c r="J523" i="2" s="1"/>
  <c r="AF523" i="2"/>
  <c r="V523" i="2"/>
  <c r="AY522" i="2"/>
  <c r="AX522" i="2"/>
  <c r="AW522" i="2"/>
  <c r="AV522" i="2"/>
  <c r="AU522" i="2"/>
  <c r="AG522" i="2" s="1"/>
  <c r="AT522" i="2"/>
  <c r="AS522" i="2"/>
  <c r="AR522" i="2"/>
  <c r="AQ522" i="2"/>
  <c r="AM522" i="2"/>
  <c r="AL522" i="2"/>
  <c r="T522" i="2" s="1"/>
  <c r="AJ522" i="2"/>
  <c r="AI522" i="2"/>
  <c r="AF522" i="2"/>
  <c r="AY521" i="2"/>
  <c r="AX521" i="2"/>
  <c r="AJ521" i="2" s="1"/>
  <c r="AW521" i="2"/>
  <c r="AV521" i="2"/>
  <c r="AU521" i="2"/>
  <c r="AT521" i="2"/>
  <c r="AS521" i="2"/>
  <c r="AR521" i="2"/>
  <c r="AQ521" i="2"/>
  <c r="AM521" i="2"/>
  <c r="U521" i="2" s="1"/>
  <c r="AL521" i="2"/>
  <c r="AG521" i="2"/>
  <c r="AF521" i="2"/>
  <c r="AY520" i="2"/>
  <c r="AX520" i="2"/>
  <c r="AW520" i="2"/>
  <c r="AV520" i="2"/>
  <c r="AU520" i="2"/>
  <c r="AG520" i="2" s="1"/>
  <c r="AT520" i="2"/>
  <c r="AS520" i="2"/>
  <c r="AR520" i="2"/>
  <c r="AQ520" i="2"/>
  <c r="AM520" i="2"/>
  <c r="AL520" i="2"/>
  <c r="AJ520" i="2"/>
  <c r="AI520" i="2"/>
  <c r="AF520" i="2"/>
  <c r="AY519" i="2"/>
  <c r="AX519" i="2"/>
  <c r="AH519" i="2" s="1"/>
  <c r="J519" i="2" s="1"/>
  <c r="AW519" i="2"/>
  <c r="AI519" i="2" s="1"/>
  <c r="AV519" i="2"/>
  <c r="AU519" i="2"/>
  <c r="AT519" i="2"/>
  <c r="AS519" i="2"/>
  <c r="AR519" i="2"/>
  <c r="AQ519" i="2"/>
  <c r="AM519" i="2"/>
  <c r="V519" i="2" s="1"/>
  <c r="AL519" i="2"/>
  <c r="AJ519" i="2"/>
  <c r="AG519" i="2"/>
  <c r="AF519" i="2"/>
  <c r="AY518" i="2"/>
  <c r="AX518" i="2"/>
  <c r="AW518" i="2"/>
  <c r="AV518" i="2"/>
  <c r="AU518" i="2"/>
  <c r="AG518" i="2" s="1"/>
  <c r="AT518" i="2"/>
  <c r="AS518" i="2"/>
  <c r="AR518" i="2"/>
  <c r="AQ518" i="2"/>
  <c r="AM518" i="2"/>
  <c r="AL518" i="2"/>
  <c r="T518" i="2" s="1"/>
  <c r="AJ518" i="2"/>
  <c r="AI518" i="2"/>
  <c r="AF518" i="2"/>
  <c r="AY517" i="2"/>
  <c r="AX517" i="2"/>
  <c r="AJ517" i="2" s="1"/>
  <c r="AW517" i="2"/>
  <c r="AV517" i="2"/>
  <c r="AU517" i="2"/>
  <c r="AT517" i="2"/>
  <c r="AS517" i="2"/>
  <c r="AR517" i="2"/>
  <c r="AQ517" i="2"/>
  <c r="AM517" i="2"/>
  <c r="U517" i="2" s="1"/>
  <c r="AL517" i="2"/>
  <c r="AG517" i="2"/>
  <c r="AF517" i="2"/>
  <c r="AY516" i="2"/>
  <c r="AX516" i="2"/>
  <c r="AW516" i="2"/>
  <c r="AV516" i="2"/>
  <c r="AU516" i="2"/>
  <c r="AG516" i="2" s="1"/>
  <c r="AT516" i="2"/>
  <c r="AS516" i="2"/>
  <c r="AR516" i="2"/>
  <c r="AQ516" i="2"/>
  <c r="AM516" i="2"/>
  <c r="AL516" i="2"/>
  <c r="AJ516" i="2"/>
  <c r="AI516" i="2"/>
  <c r="AF516" i="2"/>
  <c r="AY515" i="2"/>
  <c r="AX515" i="2"/>
  <c r="AH515" i="2" s="1"/>
  <c r="J515" i="2" s="1"/>
  <c r="AW515" i="2"/>
  <c r="AI515" i="2" s="1"/>
  <c r="AV515" i="2"/>
  <c r="AU515" i="2"/>
  <c r="AT515" i="2"/>
  <c r="AS515" i="2"/>
  <c r="AR515" i="2"/>
  <c r="AQ515" i="2"/>
  <c r="AM515" i="2"/>
  <c r="V515" i="2" s="1"/>
  <c r="AL515" i="2"/>
  <c r="AJ515" i="2"/>
  <c r="AG515" i="2"/>
  <c r="AF515" i="2"/>
  <c r="AY514" i="2"/>
  <c r="AX514" i="2"/>
  <c r="AW514" i="2"/>
  <c r="AV514" i="2"/>
  <c r="AU514" i="2"/>
  <c r="AG514" i="2" s="1"/>
  <c r="AT514" i="2"/>
  <c r="AS514" i="2"/>
  <c r="AR514" i="2"/>
  <c r="AQ514" i="2"/>
  <c r="AM514" i="2"/>
  <c r="AL514" i="2"/>
  <c r="T514" i="2" s="1"/>
  <c r="AJ514" i="2"/>
  <c r="AI514" i="2"/>
  <c r="AF514" i="2"/>
  <c r="AY513" i="2"/>
  <c r="AX513" i="2"/>
  <c r="AJ513" i="2" s="1"/>
  <c r="AW513" i="2"/>
  <c r="AV513" i="2"/>
  <c r="AU513" i="2"/>
  <c r="AT513" i="2"/>
  <c r="AS513" i="2"/>
  <c r="AR513" i="2"/>
  <c r="AQ513" i="2"/>
  <c r="AM513" i="2"/>
  <c r="U513" i="2" s="1"/>
  <c r="AL513" i="2"/>
  <c r="AG513" i="2"/>
  <c r="AF513" i="2"/>
  <c r="AY512" i="2"/>
  <c r="AX512" i="2"/>
  <c r="AW512" i="2"/>
  <c r="AV512" i="2"/>
  <c r="AU512" i="2"/>
  <c r="AG512" i="2" s="1"/>
  <c r="AT512" i="2"/>
  <c r="AS512" i="2"/>
  <c r="AR512" i="2"/>
  <c r="AQ512" i="2"/>
  <c r="AM512" i="2"/>
  <c r="AL512" i="2"/>
  <c r="AJ512" i="2"/>
  <c r="AI512" i="2"/>
  <c r="AF512" i="2"/>
  <c r="AY511" i="2"/>
  <c r="AX511" i="2"/>
  <c r="AH511" i="2" s="1"/>
  <c r="J511" i="2" s="1"/>
  <c r="AW511" i="2"/>
  <c r="AI511" i="2" s="1"/>
  <c r="AV511" i="2"/>
  <c r="AU511" i="2"/>
  <c r="AT511" i="2"/>
  <c r="AS511" i="2"/>
  <c r="AR511" i="2"/>
  <c r="AQ511" i="2"/>
  <c r="AM511" i="2"/>
  <c r="U511" i="2" s="1"/>
  <c r="AL511" i="2"/>
  <c r="AJ511" i="2"/>
  <c r="AG511" i="2"/>
  <c r="AF511" i="2"/>
  <c r="V511" i="2"/>
  <c r="AY510" i="2"/>
  <c r="AX510" i="2"/>
  <c r="AH510" i="2" s="1"/>
  <c r="J510" i="2" s="1"/>
  <c r="AW510" i="2"/>
  <c r="AV510" i="2"/>
  <c r="AU510" i="2"/>
  <c r="AG510" i="2" s="1"/>
  <c r="AT510" i="2"/>
  <c r="AS510" i="2"/>
  <c r="AR510" i="2"/>
  <c r="AQ510" i="2"/>
  <c r="AM510" i="2"/>
  <c r="U510" i="2" s="1"/>
  <c r="AL510" i="2"/>
  <c r="AI510" i="2"/>
  <c r="AF510" i="2"/>
  <c r="AY509" i="2"/>
  <c r="AX509" i="2"/>
  <c r="AW509" i="2"/>
  <c r="AI509" i="2" s="1"/>
  <c r="AV509" i="2"/>
  <c r="AU509" i="2"/>
  <c r="AG509" i="2" s="1"/>
  <c r="AT509" i="2"/>
  <c r="AS509" i="2"/>
  <c r="AR509" i="2"/>
  <c r="U509" i="2" s="1"/>
  <c r="AQ509" i="2"/>
  <c r="AM509" i="2"/>
  <c r="AL509" i="2"/>
  <c r="AJ509" i="2"/>
  <c r="AH509" i="2"/>
  <c r="J509" i="2" s="1"/>
  <c r="AF509" i="2"/>
  <c r="V509" i="2"/>
  <c r="AB509" i="2" s="1"/>
  <c r="AY508" i="2"/>
  <c r="AX508" i="2"/>
  <c r="AH508" i="2" s="1"/>
  <c r="J508" i="2" s="1"/>
  <c r="AW508" i="2"/>
  <c r="AI508" i="2" s="1"/>
  <c r="AV508" i="2"/>
  <c r="AU508" i="2"/>
  <c r="AG508" i="2" s="1"/>
  <c r="AT508" i="2"/>
  <c r="AS508" i="2"/>
  <c r="AR508" i="2"/>
  <c r="AQ508" i="2"/>
  <c r="AM508" i="2"/>
  <c r="AL508" i="2"/>
  <c r="T508" i="2" s="1"/>
  <c r="AJ508" i="2"/>
  <c r="AF508" i="2"/>
  <c r="AY507" i="2"/>
  <c r="AX507" i="2"/>
  <c r="AW507" i="2"/>
  <c r="AV507" i="2"/>
  <c r="AU507" i="2"/>
  <c r="AG507" i="2" s="1"/>
  <c r="AT507" i="2"/>
  <c r="AS507" i="2"/>
  <c r="AR507" i="2"/>
  <c r="AQ507" i="2"/>
  <c r="AM507" i="2"/>
  <c r="AL507" i="2"/>
  <c r="AJ507" i="2"/>
  <c r="AH507" i="2"/>
  <c r="J507" i="2" s="1"/>
  <c r="AF507" i="2"/>
  <c r="V507" i="2"/>
  <c r="AY506" i="2"/>
  <c r="T506" i="2" s="1"/>
  <c r="Z506" i="2" s="1"/>
  <c r="AX506" i="2"/>
  <c r="AW506" i="2"/>
  <c r="AV506" i="2"/>
  <c r="AU506" i="2"/>
  <c r="AG506" i="2" s="1"/>
  <c r="AT506" i="2"/>
  <c r="AS506" i="2"/>
  <c r="AR506" i="2"/>
  <c r="AQ506" i="2"/>
  <c r="AM506" i="2"/>
  <c r="AL506" i="2"/>
  <c r="AJ506" i="2"/>
  <c r="AI506" i="2"/>
  <c r="AF506" i="2"/>
  <c r="AY505" i="2"/>
  <c r="AX505" i="2"/>
  <c r="AJ505" i="2" s="1"/>
  <c r="AW505" i="2"/>
  <c r="AI505" i="2" s="1"/>
  <c r="AV505" i="2"/>
  <c r="AU505" i="2"/>
  <c r="AT505" i="2"/>
  <c r="AS505" i="2"/>
  <c r="AR505" i="2"/>
  <c r="AQ505" i="2"/>
  <c r="AM505" i="2"/>
  <c r="U505" i="2" s="1"/>
  <c r="AL505" i="2"/>
  <c r="AG505" i="2"/>
  <c r="AF505" i="2"/>
  <c r="AY504" i="2"/>
  <c r="AX504" i="2"/>
  <c r="AJ504" i="2" s="1"/>
  <c r="AW504" i="2"/>
  <c r="AV504" i="2"/>
  <c r="AU504" i="2"/>
  <c r="AG504" i="2" s="1"/>
  <c r="AT504" i="2"/>
  <c r="AS504" i="2"/>
  <c r="AR504" i="2"/>
  <c r="AQ504" i="2"/>
  <c r="AM504" i="2"/>
  <c r="AL504" i="2"/>
  <c r="AI504" i="2"/>
  <c r="AF504" i="2"/>
  <c r="AY503" i="2"/>
  <c r="AX503" i="2"/>
  <c r="AH503" i="2" s="1"/>
  <c r="J503" i="2" s="1"/>
  <c r="AW503" i="2"/>
  <c r="AI503" i="2" s="1"/>
  <c r="AV503" i="2"/>
  <c r="AU503" i="2"/>
  <c r="AT503" i="2"/>
  <c r="AS503" i="2"/>
  <c r="AR503" i="2"/>
  <c r="AQ503" i="2"/>
  <c r="AM503" i="2"/>
  <c r="U503" i="2" s="1"/>
  <c r="AL503" i="2"/>
  <c r="AK503" i="2" s="1"/>
  <c r="AJ503" i="2"/>
  <c r="AG503" i="2"/>
  <c r="AF503" i="2"/>
  <c r="V503" i="2"/>
  <c r="AY502" i="2"/>
  <c r="AX502" i="2"/>
  <c r="AH502" i="2" s="1"/>
  <c r="J502" i="2" s="1"/>
  <c r="AW502" i="2"/>
  <c r="AI502" i="2" s="1"/>
  <c r="AV502" i="2"/>
  <c r="AU502" i="2"/>
  <c r="AG502" i="2" s="1"/>
  <c r="AT502" i="2"/>
  <c r="AS502" i="2"/>
  <c r="AR502" i="2"/>
  <c r="AQ502" i="2"/>
  <c r="AM502" i="2"/>
  <c r="AL502" i="2"/>
  <c r="T502" i="2" s="1"/>
  <c r="Z502" i="2" s="1"/>
  <c r="AF502" i="2"/>
  <c r="AY501" i="2"/>
  <c r="AX501" i="2"/>
  <c r="AW501" i="2"/>
  <c r="AV501" i="2"/>
  <c r="AU501" i="2"/>
  <c r="AG501" i="2" s="1"/>
  <c r="AT501" i="2"/>
  <c r="AS501" i="2"/>
  <c r="AR501" i="2"/>
  <c r="U501" i="2" s="1"/>
  <c r="AQ501" i="2"/>
  <c r="AM501" i="2"/>
  <c r="AL501" i="2"/>
  <c r="AJ501" i="2"/>
  <c r="AH501" i="2"/>
  <c r="J501" i="2" s="1"/>
  <c r="AF501" i="2"/>
  <c r="V501" i="2"/>
  <c r="AY500" i="2"/>
  <c r="AX500" i="2"/>
  <c r="AH500" i="2" s="1"/>
  <c r="J500" i="2" s="1"/>
  <c r="AW500" i="2"/>
  <c r="AI500" i="2" s="1"/>
  <c r="AV500" i="2"/>
  <c r="AU500" i="2"/>
  <c r="AG500" i="2" s="1"/>
  <c r="AT500" i="2"/>
  <c r="AS500" i="2"/>
  <c r="AR500" i="2"/>
  <c r="AQ500" i="2"/>
  <c r="AM500" i="2"/>
  <c r="AL500" i="2"/>
  <c r="T500" i="2" s="1"/>
  <c r="Z500" i="2" s="1"/>
  <c r="AJ500" i="2"/>
  <c r="AF500" i="2"/>
  <c r="AY499" i="2"/>
  <c r="AX499" i="2"/>
  <c r="AJ499" i="2" s="1"/>
  <c r="AW499" i="2"/>
  <c r="AV499" i="2"/>
  <c r="AU499" i="2"/>
  <c r="AG499" i="2" s="1"/>
  <c r="AT499" i="2"/>
  <c r="AS499" i="2"/>
  <c r="AR499" i="2"/>
  <c r="AQ499" i="2"/>
  <c r="AM499" i="2"/>
  <c r="AL499" i="2"/>
  <c r="AH499" i="2"/>
  <c r="J499" i="2" s="1"/>
  <c r="AF499" i="2"/>
  <c r="U499" i="2"/>
  <c r="AY498" i="2"/>
  <c r="AX498" i="2"/>
  <c r="AW498" i="2"/>
  <c r="AV498" i="2"/>
  <c r="AU498" i="2"/>
  <c r="AG498" i="2" s="1"/>
  <c r="AT498" i="2"/>
  <c r="AS498" i="2"/>
  <c r="AR498" i="2"/>
  <c r="AQ498" i="2"/>
  <c r="AM498" i="2"/>
  <c r="AL498" i="2"/>
  <c r="AI498" i="2"/>
  <c r="AF498" i="2"/>
  <c r="AY497" i="2"/>
  <c r="AX497" i="2"/>
  <c r="AH497" i="2" s="1"/>
  <c r="J497" i="2" s="1"/>
  <c r="AW497" i="2"/>
  <c r="AI497" i="2" s="1"/>
  <c r="AV497" i="2"/>
  <c r="AU497" i="2"/>
  <c r="AT497" i="2"/>
  <c r="AS497" i="2"/>
  <c r="AR497" i="2"/>
  <c r="V497" i="2" s="1"/>
  <c r="AQ497" i="2"/>
  <c r="AM497" i="2"/>
  <c r="AL497" i="2"/>
  <c r="T497" i="2" s="1"/>
  <c r="AJ497" i="2"/>
  <c r="AG497" i="2"/>
  <c r="AF497" i="2"/>
  <c r="AY496" i="2"/>
  <c r="AX496" i="2"/>
  <c r="AW496" i="2"/>
  <c r="AV496" i="2"/>
  <c r="AU496" i="2"/>
  <c r="AG496" i="2" s="1"/>
  <c r="AT496" i="2"/>
  <c r="AS496" i="2"/>
  <c r="AR496" i="2"/>
  <c r="AQ496" i="2"/>
  <c r="AM496" i="2"/>
  <c r="AL496" i="2"/>
  <c r="T496" i="2" s="1"/>
  <c r="Z496" i="2" s="1"/>
  <c r="AI496" i="2"/>
  <c r="AF496" i="2"/>
  <c r="AY495" i="2"/>
  <c r="AX495" i="2"/>
  <c r="AJ495" i="2" s="1"/>
  <c r="AW495" i="2"/>
  <c r="AI495" i="2" s="1"/>
  <c r="AV495" i="2"/>
  <c r="AU495" i="2"/>
  <c r="AT495" i="2"/>
  <c r="AS495" i="2"/>
  <c r="AR495" i="2"/>
  <c r="AQ495" i="2"/>
  <c r="AM495" i="2"/>
  <c r="U495" i="2" s="1"/>
  <c r="AA495" i="2" s="1"/>
  <c r="AL495" i="2"/>
  <c r="T495" i="2" s="1"/>
  <c r="AG495" i="2"/>
  <c r="AF495" i="2"/>
  <c r="AY494" i="2"/>
  <c r="AX494" i="2"/>
  <c r="AH494" i="2" s="1"/>
  <c r="J494" i="2" s="1"/>
  <c r="AW494" i="2"/>
  <c r="AI494" i="2" s="1"/>
  <c r="AV494" i="2"/>
  <c r="AU494" i="2"/>
  <c r="AG494" i="2" s="1"/>
  <c r="AT494" i="2"/>
  <c r="AS494" i="2"/>
  <c r="AR494" i="2"/>
  <c r="AQ494" i="2"/>
  <c r="AM494" i="2"/>
  <c r="AL494" i="2"/>
  <c r="T494" i="2" s="1"/>
  <c r="Z494" i="2" s="1"/>
  <c r="AF494" i="2"/>
  <c r="AY493" i="2"/>
  <c r="AX493" i="2"/>
  <c r="AJ493" i="2" s="1"/>
  <c r="AW493" i="2"/>
  <c r="AV493" i="2"/>
  <c r="AU493" i="2"/>
  <c r="AG493" i="2" s="1"/>
  <c r="AT493" i="2"/>
  <c r="AS493" i="2"/>
  <c r="AR493" i="2"/>
  <c r="AQ493" i="2"/>
  <c r="AM493" i="2"/>
  <c r="AL493" i="2"/>
  <c r="AH493" i="2"/>
  <c r="J493" i="2" s="1"/>
  <c r="AF493" i="2"/>
  <c r="AY492" i="2"/>
  <c r="AI492" i="2" s="1"/>
  <c r="AX492" i="2"/>
  <c r="AH492" i="2" s="1"/>
  <c r="J492" i="2" s="1"/>
  <c r="AW492" i="2"/>
  <c r="AV492" i="2"/>
  <c r="AU492" i="2"/>
  <c r="AG492" i="2" s="1"/>
  <c r="AT492" i="2"/>
  <c r="AS492" i="2"/>
  <c r="AR492" i="2"/>
  <c r="AQ492" i="2"/>
  <c r="AM492" i="2"/>
  <c r="U492" i="2" s="1"/>
  <c r="AL492" i="2"/>
  <c r="AF492" i="2"/>
  <c r="T492" i="2"/>
  <c r="Z492" i="2" s="1"/>
  <c r="AY491" i="2"/>
  <c r="AX491" i="2"/>
  <c r="AW491" i="2"/>
  <c r="AV491" i="2"/>
  <c r="AU491" i="2"/>
  <c r="AG491" i="2" s="1"/>
  <c r="AT491" i="2"/>
  <c r="AS491" i="2"/>
  <c r="AR491" i="2"/>
  <c r="AQ491" i="2"/>
  <c r="AM491" i="2"/>
  <c r="AL491" i="2"/>
  <c r="AJ491" i="2"/>
  <c r="AH491" i="2"/>
  <c r="J491" i="2" s="1"/>
  <c r="AF491" i="2"/>
  <c r="V491" i="2"/>
  <c r="AY490" i="2"/>
  <c r="AX490" i="2"/>
  <c r="AW490" i="2"/>
  <c r="AV490" i="2"/>
  <c r="AU490" i="2"/>
  <c r="AG490" i="2" s="1"/>
  <c r="AT490" i="2"/>
  <c r="AS490" i="2"/>
  <c r="AR490" i="2"/>
  <c r="AQ490" i="2"/>
  <c r="AM490" i="2"/>
  <c r="AL490" i="2"/>
  <c r="T490" i="2" s="1"/>
  <c r="Z490" i="2" s="1"/>
  <c r="AI490" i="2"/>
  <c r="AF490" i="2"/>
  <c r="AY489" i="2"/>
  <c r="AX489" i="2"/>
  <c r="AJ489" i="2" s="1"/>
  <c r="AW489" i="2"/>
  <c r="AI489" i="2" s="1"/>
  <c r="AV489" i="2"/>
  <c r="AU489" i="2"/>
  <c r="AT489" i="2"/>
  <c r="AS489" i="2"/>
  <c r="AR489" i="2"/>
  <c r="AQ489" i="2"/>
  <c r="AM489" i="2"/>
  <c r="U489" i="2" s="1"/>
  <c r="AA489" i="2" s="1"/>
  <c r="AL489" i="2"/>
  <c r="T489" i="2" s="1"/>
  <c r="AG489" i="2"/>
  <c r="AF489" i="2"/>
  <c r="AY488" i="2"/>
  <c r="AI488" i="2" s="1"/>
  <c r="AX488" i="2"/>
  <c r="AH488" i="2" s="1"/>
  <c r="J488" i="2" s="1"/>
  <c r="AW488" i="2"/>
  <c r="AV488" i="2"/>
  <c r="AU488" i="2"/>
  <c r="AG488" i="2" s="1"/>
  <c r="AT488" i="2"/>
  <c r="AS488" i="2"/>
  <c r="AR488" i="2"/>
  <c r="AQ488" i="2"/>
  <c r="AM488" i="2"/>
  <c r="U488" i="2" s="1"/>
  <c r="AL488" i="2"/>
  <c r="AF488" i="2"/>
  <c r="T488" i="2"/>
  <c r="Z488" i="2" s="1"/>
  <c r="AY487" i="2"/>
  <c r="AX487" i="2"/>
  <c r="AW487" i="2"/>
  <c r="AV487" i="2"/>
  <c r="AU487" i="2"/>
  <c r="AG487" i="2" s="1"/>
  <c r="AT487" i="2"/>
  <c r="AS487" i="2"/>
  <c r="AR487" i="2"/>
  <c r="AQ487" i="2"/>
  <c r="AM487" i="2"/>
  <c r="AL487" i="2"/>
  <c r="AJ487" i="2"/>
  <c r="AH487" i="2"/>
  <c r="J487" i="2" s="1"/>
  <c r="AF487" i="2"/>
  <c r="V487" i="2"/>
  <c r="AY486" i="2"/>
  <c r="AX486" i="2"/>
  <c r="AW486" i="2"/>
  <c r="AV486" i="2"/>
  <c r="AU486" i="2"/>
  <c r="AG486" i="2" s="1"/>
  <c r="AT486" i="2"/>
  <c r="AS486" i="2"/>
  <c r="AR486" i="2"/>
  <c r="AQ486" i="2"/>
  <c r="AM486" i="2"/>
  <c r="AL486" i="2"/>
  <c r="T486" i="2" s="1"/>
  <c r="Z486" i="2" s="1"/>
  <c r="AI486" i="2"/>
  <c r="AF486" i="2"/>
  <c r="AY485" i="2"/>
  <c r="AX485" i="2"/>
  <c r="AW485" i="2"/>
  <c r="AI485" i="2" s="1"/>
  <c r="AV485" i="2"/>
  <c r="AU485" i="2"/>
  <c r="AT485" i="2"/>
  <c r="AS485" i="2"/>
  <c r="AR485" i="2"/>
  <c r="AQ485" i="2"/>
  <c r="AM485" i="2"/>
  <c r="U485" i="2" s="1"/>
  <c r="AA485" i="2" s="1"/>
  <c r="AL485" i="2"/>
  <c r="T485" i="2" s="1"/>
  <c r="AG485" i="2"/>
  <c r="AF485" i="2"/>
  <c r="AY484" i="2"/>
  <c r="AI484" i="2" s="1"/>
  <c r="AX484" i="2"/>
  <c r="AW484" i="2"/>
  <c r="AV484" i="2"/>
  <c r="AU484" i="2"/>
  <c r="AG484" i="2" s="1"/>
  <c r="AT484" i="2"/>
  <c r="AS484" i="2"/>
  <c r="AR484" i="2"/>
  <c r="AQ484" i="2"/>
  <c r="AM484" i="2"/>
  <c r="AL484" i="2"/>
  <c r="AF484" i="2"/>
  <c r="T484" i="2"/>
  <c r="Z484" i="2" s="1"/>
  <c r="AY483" i="2"/>
  <c r="AX483" i="2"/>
  <c r="AH483" i="2" s="1"/>
  <c r="J483" i="2" s="1"/>
  <c r="AW483" i="2"/>
  <c r="AI483" i="2" s="1"/>
  <c r="AV483" i="2"/>
  <c r="AU483" i="2"/>
  <c r="AT483" i="2"/>
  <c r="AS483" i="2"/>
  <c r="AR483" i="2"/>
  <c r="AQ483" i="2"/>
  <c r="AM483" i="2"/>
  <c r="U483" i="2" s="1"/>
  <c r="AA483" i="2" s="1"/>
  <c r="AL483" i="2"/>
  <c r="T483" i="2" s="1"/>
  <c r="AJ483" i="2"/>
  <c r="AG483" i="2"/>
  <c r="AF483" i="2"/>
  <c r="V483" i="2"/>
  <c r="AB483" i="2" s="1"/>
  <c r="AY482" i="2"/>
  <c r="AX482" i="2"/>
  <c r="AH482" i="2" s="1"/>
  <c r="J482" i="2" s="1"/>
  <c r="AW482" i="2"/>
  <c r="AV482" i="2"/>
  <c r="AU482" i="2"/>
  <c r="AG482" i="2" s="1"/>
  <c r="AT482" i="2"/>
  <c r="AS482" i="2"/>
  <c r="AR482" i="2"/>
  <c r="AQ482" i="2"/>
  <c r="AM482" i="2"/>
  <c r="AL482" i="2"/>
  <c r="AI482" i="2"/>
  <c r="AF482" i="2"/>
  <c r="T482" i="2"/>
  <c r="Z482" i="2" s="1"/>
  <c r="AY481" i="2"/>
  <c r="AX481" i="2"/>
  <c r="AW481" i="2"/>
  <c r="AV481" i="2"/>
  <c r="AU481" i="2"/>
  <c r="AT481" i="2"/>
  <c r="AS481" i="2"/>
  <c r="AR481" i="2"/>
  <c r="AQ481" i="2"/>
  <c r="AM481" i="2"/>
  <c r="U481" i="2" s="1"/>
  <c r="AL481" i="2"/>
  <c r="T481" i="2" s="1"/>
  <c r="AJ481" i="2"/>
  <c r="AH481" i="2"/>
  <c r="J481" i="2" s="1"/>
  <c r="AG481" i="2"/>
  <c r="AF481" i="2"/>
  <c r="V481" i="2"/>
  <c r="AY480" i="2"/>
  <c r="AX480" i="2"/>
  <c r="AH480" i="2" s="1"/>
  <c r="J480" i="2" s="1"/>
  <c r="AW480" i="2"/>
  <c r="AV480" i="2"/>
  <c r="AU480" i="2"/>
  <c r="AG480" i="2" s="1"/>
  <c r="AT480" i="2"/>
  <c r="AS480" i="2"/>
  <c r="AR480" i="2"/>
  <c r="AQ480" i="2"/>
  <c r="AM480" i="2"/>
  <c r="AL480" i="2"/>
  <c r="AI480" i="2"/>
  <c r="AF480" i="2"/>
  <c r="T480" i="2"/>
  <c r="Z480" i="2" s="1"/>
  <c r="AY479" i="2"/>
  <c r="AX479" i="2"/>
  <c r="AW479" i="2"/>
  <c r="AV479" i="2"/>
  <c r="AU479" i="2"/>
  <c r="AT479" i="2"/>
  <c r="AS479" i="2"/>
  <c r="AR479" i="2"/>
  <c r="AQ479" i="2"/>
  <c r="AM479" i="2"/>
  <c r="U479" i="2" s="1"/>
  <c r="AL479" i="2"/>
  <c r="AJ479" i="2"/>
  <c r="AH479" i="2"/>
  <c r="J479" i="2" s="1"/>
  <c r="AG479" i="2"/>
  <c r="AF479" i="2"/>
  <c r="V479" i="2"/>
  <c r="AY478" i="2"/>
  <c r="AX478" i="2"/>
  <c r="AH478" i="2" s="1"/>
  <c r="J478" i="2" s="1"/>
  <c r="AW478" i="2"/>
  <c r="AV478" i="2"/>
  <c r="AU478" i="2"/>
  <c r="AG478" i="2" s="1"/>
  <c r="AT478" i="2"/>
  <c r="AS478" i="2"/>
  <c r="AR478" i="2"/>
  <c r="AQ478" i="2"/>
  <c r="AM478" i="2"/>
  <c r="AL478" i="2"/>
  <c r="AI478" i="2"/>
  <c r="AF478" i="2"/>
  <c r="T478" i="2"/>
  <c r="Z478" i="2" s="1"/>
  <c r="AY477" i="2"/>
  <c r="AX477" i="2"/>
  <c r="AW477" i="2"/>
  <c r="AI477" i="2" s="1"/>
  <c r="AV477" i="2"/>
  <c r="AU477" i="2"/>
  <c r="AT477" i="2"/>
  <c r="AS477" i="2"/>
  <c r="AR477" i="2"/>
  <c r="AQ477" i="2"/>
  <c r="AM477" i="2"/>
  <c r="V477" i="2" s="1"/>
  <c r="AB477" i="2" s="1"/>
  <c r="AL477" i="2"/>
  <c r="T477" i="2" s="1"/>
  <c r="AJ477" i="2"/>
  <c r="AH477" i="2"/>
  <c r="J477" i="2" s="1"/>
  <c r="AG477" i="2"/>
  <c r="AF477" i="2"/>
  <c r="AY476" i="2"/>
  <c r="AI476" i="2" s="1"/>
  <c r="AX476" i="2"/>
  <c r="AW476" i="2"/>
  <c r="AV476" i="2"/>
  <c r="AU476" i="2"/>
  <c r="AG476" i="2" s="1"/>
  <c r="AT476" i="2"/>
  <c r="AS476" i="2"/>
  <c r="AR476" i="2"/>
  <c r="AQ476" i="2"/>
  <c r="AM476" i="2"/>
  <c r="AL476" i="2"/>
  <c r="T476" i="2" s="1"/>
  <c r="Z476" i="2" s="1"/>
  <c r="AF476" i="2"/>
  <c r="AY475" i="2"/>
  <c r="AX475" i="2"/>
  <c r="AW475" i="2"/>
  <c r="AI475" i="2" s="1"/>
  <c r="AV475" i="2"/>
  <c r="AU475" i="2"/>
  <c r="AT475" i="2"/>
  <c r="AS475" i="2"/>
  <c r="AR475" i="2"/>
  <c r="AQ475" i="2"/>
  <c r="AM475" i="2"/>
  <c r="U475" i="2" s="1"/>
  <c r="AL475" i="2"/>
  <c r="T475" i="2" s="1"/>
  <c r="AJ475" i="2"/>
  <c r="AH475" i="2"/>
  <c r="J475" i="2" s="1"/>
  <c r="AG475" i="2"/>
  <c r="AF475" i="2"/>
  <c r="AY474" i="2"/>
  <c r="AX474" i="2"/>
  <c r="AH474" i="2" s="1"/>
  <c r="J474" i="2" s="1"/>
  <c r="AW474" i="2"/>
  <c r="AV474" i="2"/>
  <c r="AU474" i="2"/>
  <c r="AG474" i="2" s="1"/>
  <c r="AT474" i="2"/>
  <c r="AS474" i="2"/>
  <c r="AR474" i="2"/>
  <c r="AQ474" i="2"/>
  <c r="AM474" i="2"/>
  <c r="AL474" i="2"/>
  <c r="AI474" i="2"/>
  <c r="AF474" i="2"/>
  <c r="T474" i="2"/>
  <c r="Z474" i="2" s="1"/>
  <c r="AY473" i="2"/>
  <c r="AX473" i="2"/>
  <c r="AH473" i="2" s="1"/>
  <c r="J473" i="2" s="1"/>
  <c r="AW473" i="2"/>
  <c r="AV473" i="2"/>
  <c r="AU473" i="2"/>
  <c r="AT473" i="2"/>
  <c r="AS473" i="2"/>
  <c r="AR473" i="2"/>
  <c r="AQ473" i="2"/>
  <c r="AM473" i="2"/>
  <c r="U473" i="2" s="1"/>
  <c r="AL473" i="2"/>
  <c r="T473" i="2" s="1"/>
  <c r="AJ473" i="2"/>
  <c r="AG473" i="2"/>
  <c r="AF473" i="2"/>
  <c r="AY472" i="2"/>
  <c r="AI472" i="2" s="1"/>
  <c r="AX472" i="2"/>
  <c r="AW472" i="2"/>
  <c r="AV472" i="2"/>
  <c r="AU472" i="2"/>
  <c r="AG472" i="2" s="1"/>
  <c r="AT472" i="2"/>
  <c r="AS472" i="2"/>
  <c r="AR472" i="2"/>
  <c r="AQ472" i="2"/>
  <c r="AM472" i="2"/>
  <c r="AL472" i="2"/>
  <c r="T472" i="2" s="1"/>
  <c r="Z472" i="2" s="1"/>
  <c r="AF472" i="2"/>
  <c r="AY471" i="2"/>
  <c r="AX471" i="2"/>
  <c r="AJ471" i="2" s="1"/>
  <c r="AW471" i="2"/>
  <c r="AV471" i="2"/>
  <c r="AU471" i="2"/>
  <c r="AT471" i="2"/>
  <c r="AS471" i="2"/>
  <c r="AR471" i="2"/>
  <c r="AQ471" i="2"/>
  <c r="AM471" i="2"/>
  <c r="U471" i="2" s="1"/>
  <c r="AL471" i="2"/>
  <c r="AG471" i="2"/>
  <c r="AF471" i="2"/>
  <c r="AY470" i="2"/>
  <c r="AX470" i="2"/>
  <c r="AH470" i="2" s="1"/>
  <c r="J470" i="2" s="1"/>
  <c r="AW470" i="2"/>
  <c r="AV470" i="2"/>
  <c r="AU470" i="2"/>
  <c r="AG470" i="2" s="1"/>
  <c r="AT470" i="2"/>
  <c r="AS470" i="2"/>
  <c r="AR470" i="2"/>
  <c r="AQ470" i="2"/>
  <c r="AM470" i="2"/>
  <c r="AL470" i="2"/>
  <c r="T470" i="2" s="1"/>
  <c r="Z470" i="2" s="1"/>
  <c r="AI470" i="2"/>
  <c r="AF470" i="2"/>
  <c r="AY469" i="2"/>
  <c r="AX469" i="2"/>
  <c r="AJ469" i="2" s="1"/>
  <c r="AW469" i="2"/>
  <c r="AV469" i="2"/>
  <c r="AU469" i="2"/>
  <c r="AG469" i="2" s="1"/>
  <c r="AT469" i="2"/>
  <c r="AS469" i="2"/>
  <c r="AR469" i="2"/>
  <c r="AQ469" i="2"/>
  <c r="AM469" i="2"/>
  <c r="AL469" i="2"/>
  <c r="AH469" i="2"/>
  <c r="J469" i="2" s="1"/>
  <c r="AF469" i="2"/>
  <c r="AY468" i="2"/>
  <c r="AI468" i="2" s="1"/>
  <c r="AX468" i="2"/>
  <c r="AW468" i="2"/>
  <c r="AV468" i="2"/>
  <c r="AU468" i="2"/>
  <c r="AG468" i="2" s="1"/>
  <c r="AT468" i="2"/>
  <c r="AS468" i="2"/>
  <c r="AR468" i="2"/>
  <c r="AQ468" i="2"/>
  <c r="AM468" i="2"/>
  <c r="AL468" i="2"/>
  <c r="AF468" i="2"/>
  <c r="AY467" i="2"/>
  <c r="AX467" i="2"/>
  <c r="AW467" i="2"/>
  <c r="AV467" i="2"/>
  <c r="AU467" i="2"/>
  <c r="AT467" i="2"/>
  <c r="AS467" i="2"/>
  <c r="AR467" i="2"/>
  <c r="AQ467" i="2"/>
  <c r="AM467" i="2"/>
  <c r="AL467" i="2"/>
  <c r="AJ467" i="2"/>
  <c r="AH467" i="2"/>
  <c r="J467" i="2" s="1"/>
  <c r="AG467" i="2"/>
  <c r="AF467" i="2"/>
  <c r="V467" i="2"/>
  <c r="AY466" i="2"/>
  <c r="AX466" i="2"/>
  <c r="AW466" i="2"/>
  <c r="AV466" i="2"/>
  <c r="AU466" i="2"/>
  <c r="AG466" i="2" s="1"/>
  <c r="AT466" i="2"/>
  <c r="AS466" i="2"/>
  <c r="AR466" i="2"/>
  <c r="AQ466" i="2"/>
  <c r="AM466" i="2"/>
  <c r="AL466" i="2"/>
  <c r="AI466" i="2"/>
  <c r="AF466" i="2"/>
  <c r="AY465" i="2"/>
  <c r="AX465" i="2"/>
  <c r="AW465" i="2"/>
  <c r="AI465" i="2" s="1"/>
  <c r="AV465" i="2"/>
  <c r="AU465" i="2"/>
  <c r="AG465" i="2" s="1"/>
  <c r="AT465" i="2"/>
  <c r="AS465" i="2"/>
  <c r="AR465" i="2"/>
  <c r="AQ465" i="2"/>
  <c r="AM465" i="2"/>
  <c r="AL465" i="2"/>
  <c r="T465" i="2" s="1"/>
  <c r="AJ465" i="2"/>
  <c r="AH465" i="2"/>
  <c r="J465" i="2" s="1"/>
  <c r="AF465" i="2"/>
  <c r="V465" i="2"/>
  <c r="AY464" i="2"/>
  <c r="AX464" i="2"/>
  <c r="AW464" i="2"/>
  <c r="AI464" i="2" s="1"/>
  <c r="AV464" i="2"/>
  <c r="AU464" i="2"/>
  <c r="AG464" i="2" s="1"/>
  <c r="AT464" i="2"/>
  <c r="AS464" i="2"/>
  <c r="AR464" i="2"/>
  <c r="AQ464" i="2"/>
  <c r="AM464" i="2"/>
  <c r="U464" i="2" s="1"/>
  <c r="AL464" i="2"/>
  <c r="T464" i="2" s="1"/>
  <c r="Z464" i="2" s="1"/>
  <c r="AF464" i="2"/>
  <c r="AY463" i="2"/>
  <c r="AX463" i="2"/>
  <c r="AJ463" i="2" s="1"/>
  <c r="AW463" i="2"/>
  <c r="AV463" i="2"/>
  <c r="AU463" i="2"/>
  <c r="AT463" i="2"/>
  <c r="AS463" i="2"/>
  <c r="AR463" i="2"/>
  <c r="AQ463" i="2"/>
  <c r="AM463" i="2"/>
  <c r="U463" i="2" s="1"/>
  <c r="AL463" i="2"/>
  <c r="T463" i="2" s="1"/>
  <c r="AG463" i="2"/>
  <c r="AF463" i="2"/>
  <c r="AY462" i="2"/>
  <c r="AX462" i="2"/>
  <c r="AH462" i="2" s="1"/>
  <c r="J462" i="2" s="1"/>
  <c r="AW462" i="2"/>
  <c r="AV462" i="2"/>
  <c r="AU462" i="2"/>
  <c r="AG462" i="2" s="1"/>
  <c r="AT462" i="2"/>
  <c r="AS462" i="2"/>
  <c r="AR462" i="2"/>
  <c r="AQ462" i="2"/>
  <c r="AM462" i="2"/>
  <c r="AL462" i="2"/>
  <c r="T462" i="2" s="1"/>
  <c r="Z462" i="2" s="1"/>
  <c r="AI462" i="2"/>
  <c r="AF462" i="2"/>
  <c r="AY461" i="2"/>
  <c r="AX461" i="2"/>
  <c r="AJ461" i="2" s="1"/>
  <c r="AW461" i="2"/>
  <c r="AV461" i="2"/>
  <c r="AU461" i="2"/>
  <c r="AG461" i="2" s="1"/>
  <c r="AT461" i="2"/>
  <c r="AS461" i="2"/>
  <c r="AR461" i="2"/>
  <c r="AQ461" i="2"/>
  <c r="AM461" i="2"/>
  <c r="AL461" i="2"/>
  <c r="AH461" i="2"/>
  <c r="J461" i="2" s="1"/>
  <c r="AF461" i="2"/>
  <c r="U461" i="2"/>
  <c r="AY460" i="2"/>
  <c r="AX460" i="2"/>
  <c r="AW460" i="2"/>
  <c r="AV460" i="2"/>
  <c r="AU460" i="2"/>
  <c r="AG460" i="2" s="1"/>
  <c r="AT460" i="2"/>
  <c r="AS460" i="2"/>
  <c r="AR460" i="2"/>
  <c r="T460" i="2" s="1"/>
  <c r="Z460" i="2" s="1"/>
  <c r="AQ460" i="2"/>
  <c r="AM460" i="2"/>
  <c r="AL460" i="2"/>
  <c r="AI460" i="2"/>
  <c r="AF460" i="2"/>
  <c r="AY459" i="2"/>
  <c r="AX459" i="2"/>
  <c r="AJ459" i="2" s="1"/>
  <c r="AW459" i="2"/>
  <c r="AI459" i="2" s="1"/>
  <c r="AV459" i="2"/>
  <c r="AU459" i="2"/>
  <c r="AT459" i="2"/>
  <c r="AS459" i="2"/>
  <c r="AR459" i="2"/>
  <c r="AQ459" i="2"/>
  <c r="AM459" i="2"/>
  <c r="U459" i="2" s="1"/>
  <c r="AA459" i="2" s="1"/>
  <c r="AL459" i="2"/>
  <c r="T459" i="2" s="1"/>
  <c r="AG459" i="2"/>
  <c r="AF459" i="2"/>
  <c r="AY458" i="2"/>
  <c r="AX458" i="2"/>
  <c r="AH458" i="2" s="1"/>
  <c r="J458" i="2" s="1"/>
  <c r="AW458" i="2"/>
  <c r="AI458" i="2" s="1"/>
  <c r="AV458" i="2"/>
  <c r="AU458" i="2"/>
  <c r="AG458" i="2" s="1"/>
  <c r="AT458" i="2"/>
  <c r="AS458" i="2"/>
  <c r="AR458" i="2"/>
  <c r="AQ458" i="2"/>
  <c r="AM458" i="2"/>
  <c r="AL458" i="2"/>
  <c r="AF458" i="2"/>
  <c r="T458" i="2"/>
  <c r="Z458" i="2" s="1"/>
  <c r="AY457" i="2"/>
  <c r="AX457" i="2"/>
  <c r="AW457" i="2"/>
  <c r="AV457" i="2"/>
  <c r="AU457" i="2"/>
  <c r="AG457" i="2" s="1"/>
  <c r="AT457" i="2"/>
  <c r="AS457" i="2"/>
  <c r="AR457" i="2"/>
  <c r="AQ457" i="2"/>
  <c r="AM457" i="2"/>
  <c r="AL457" i="2"/>
  <c r="AJ457" i="2"/>
  <c r="AH457" i="2"/>
  <c r="J457" i="2" s="1"/>
  <c r="AF457" i="2"/>
  <c r="V457" i="2"/>
  <c r="AY456" i="2"/>
  <c r="T456" i="2" s="1"/>
  <c r="Z456" i="2" s="1"/>
  <c r="AX456" i="2"/>
  <c r="AW456" i="2"/>
  <c r="AV456" i="2"/>
  <c r="AU456" i="2"/>
  <c r="AG456" i="2" s="1"/>
  <c r="AT456" i="2"/>
  <c r="AS456" i="2"/>
  <c r="AR456" i="2"/>
  <c r="AQ456" i="2"/>
  <c r="AM456" i="2"/>
  <c r="AL456" i="2"/>
  <c r="AI456" i="2"/>
  <c r="AF456" i="2"/>
  <c r="AY455" i="2"/>
  <c r="AX455" i="2"/>
  <c r="AJ455" i="2" s="1"/>
  <c r="AW455" i="2"/>
  <c r="AI455" i="2" s="1"/>
  <c r="AV455" i="2"/>
  <c r="AU455" i="2"/>
  <c r="AT455" i="2"/>
  <c r="AS455" i="2"/>
  <c r="AR455" i="2"/>
  <c r="AQ455" i="2"/>
  <c r="AM455" i="2"/>
  <c r="U455" i="2" s="1"/>
  <c r="AA455" i="2" s="1"/>
  <c r="AL455" i="2"/>
  <c r="T455" i="2" s="1"/>
  <c r="AG455" i="2"/>
  <c r="AF455" i="2"/>
  <c r="AY454" i="2"/>
  <c r="AX454" i="2"/>
  <c r="AW454" i="2"/>
  <c r="AI454" i="2" s="1"/>
  <c r="AV454" i="2"/>
  <c r="AU454" i="2"/>
  <c r="AG454" i="2" s="1"/>
  <c r="AT454" i="2"/>
  <c r="AS454" i="2"/>
  <c r="AR454" i="2"/>
  <c r="AQ454" i="2"/>
  <c r="AM454" i="2"/>
  <c r="AL454" i="2"/>
  <c r="T454" i="2" s="1"/>
  <c r="Z454" i="2" s="1"/>
  <c r="AF454" i="2"/>
  <c r="AY453" i="2"/>
  <c r="AX453" i="2"/>
  <c r="AJ453" i="2" s="1"/>
  <c r="AW453" i="2"/>
  <c r="AI453" i="2" s="1"/>
  <c r="AV453" i="2"/>
  <c r="AU453" i="2"/>
  <c r="AT453" i="2"/>
  <c r="AS453" i="2"/>
  <c r="AR453" i="2"/>
  <c r="AQ453" i="2"/>
  <c r="AM453" i="2"/>
  <c r="U453" i="2" s="1"/>
  <c r="AL453" i="2"/>
  <c r="T453" i="2" s="1"/>
  <c r="AG453" i="2"/>
  <c r="AF453" i="2"/>
  <c r="AY452" i="2"/>
  <c r="AX452" i="2"/>
  <c r="AW452" i="2"/>
  <c r="AI452" i="2" s="1"/>
  <c r="AV452" i="2"/>
  <c r="AU452" i="2"/>
  <c r="AG452" i="2" s="1"/>
  <c r="AT452" i="2"/>
  <c r="AS452" i="2"/>
  <c r="AR452" i="2"/>
  <c r="AQ452" i="2"/>
  <c r="AM452" i="2"/>
  <c r="AL452" i="2"/>
  <c r="T452" i="2" s="1"/>
  <c r="Z452" i="2" s="1"/>
  <c r="AF452" i="2"/>
  <c r="AY451" i="2"/>
  <c r="AX451" i="2"/>
  <c r="AJ451" i="2" s="1"/>
  <c r="AW451" i="2"/>
  <c r="AV451" i="2"/>
  <c r="AU451" i="2"/>
  <c r="AG451" i="2" s="1"/>
  <c r="AT451" i="2"/>
  <c r="AS451" i="2"/>
  <c r="AR451" i="2"/>
  <c r="AQ451" i="2"/>
  <c r="AM451" i="2"/>
  <c r="AL451" i="2"/>
  <c r="AH451" i="2"/>
  <c r="J451" i="2" s="1"/>
  <c r="AF451" i="2"/>
  <c r="AY450" i="2"/>
  <c r="AX450" i="2"/>
  <c r="AJ450" i="2" s="1"/>
  <c r="AW450" i="2"/>
  <c r="AV450" i="2"/>
  <c r="AU450" i="2"/>
  <c r="AG450" i="2" s="1"/>
  <c r="AT450" i="2"/>
  <c r="AS450" i="2"/>
  <c r="AR450" i="2"/>
  <c r="AQ450" i="2"/>
  <c r="AM450" i="2"/>
  <c r="U450" i="2" s="1"/>
  <c r="AA450" i="2" s="1"/>
  <c r="AL450" i="2"/>
  <c r="AF450" i="2"/>
  <c r="AE450" i="2"/>
  <c r="T450" i="2"/>
  <c r="Z450" i="2" s="1"/>
  <c r="AY449" i="2"/>
  <c r="AX449" i="2"/>
  <c r="AW449" i="2"/>
  <c r="AV449" i="2"/>
  <c r="AU449" i="2"/>
  <c r="AT449" i="2"/>
  <c r="AS449" i="2"/>
  <c r="AR449" i="2"/>
  <c r="AE449" i="2" s="1"/>
  <c r="AQ449" i="2"/>
  <c r="AM449" i="2"/>
  <c r="AL449" i="2"/>
  <c r="AH449" i="2"/>
  <c r="AG449" i="2"/>
  <c r="AF449" i="2"/>
  <c r="T449" i="2"/>
  <c r="Z449" i="2" s="1"/>
  <c r="AY448" i="2"/>
  <c r="AX448" i="2"/>
  <c r="AW448" i="2"/>
  <c r="AV448" i="2"/>
  <c r="AJ448" i="2" s="1"/>
  <c r="AU448" i="2"/>
  <c r="AT448" i="2"/>
  <c r="AS448" i="2"/>
  <c r="AR448" i="2"/>
  <c r="AE448" i="2" s="1"/>
  <c r="AQ448" i="2"/>
  <c r="AM448" i="2"/>
  <c r="AL448" i="2"/>
  <c r="AH448" i="2"/>
  <c r="AG448" i="2"/>
  <c r="AF448" i="2"/>
  <c r="AY447" i="2"/>
  <c r="AX447" i="2"/>
  <c r="AJ447" i="2" s="1"/>
  <c r="AW447" i="2"/>
  <c r="AV447" i="2"/>
  <c r="AU447" i="2"/>
  <c r="AG447" i="2" s="1"/>
  <c r="AT447" i="2"/>
  <c r="AS447" i="2"/>
  <c r="AR447" i="2"/>
  <c r="AE447" i="2" s="1"/>
  <c r="AQ447" i="2"/>
  <c r="AM447" i="2"/>
  <c r="AL447" i="2"/>
  <c r="AF447" i="2"/>
  <c r="AY446" i="2"/>
  <c r="AX446" i="2"/>
  <c r="AJ446" i="2" s="1"/>
  <c r="AW446" i="2"/>
  <c r="AV446" i="2"/>
  <c r="AU446" i="2"/>
  <c r="AG446" i="2" s="1"/>
  <c r="AT446" i="2"/>
  <c r="AS446" i="2"/>
  <c r="AR446" i="2"/>
  <c r="AQ446" i="2"/>
  <c r="AH446" i="2" s="1"/>
  <c r="AM446" i="2"/>
  <c r="AL446" i="2"/>
  <c r="AF446" i="2"/>
  <c r="AE446" i="2"/>
  <c r="AY445" i="2"/>
  <c r="AX445" i="2"/>
  <c r="AW445" i="2"/>
  <c r="AV445" i="2"/>
  <c r="AU445" i="2"/>
  <c r="AG445" i="2" s="1"/>
  <c r="AT445" i="2"/>
  <c r="AS445" i="2"/>
  <c r="AR445" i="2"/>
  <c r="AE445" i="2" s="1"/>
  <c r="AQ445" i="2"/>
  <c r="AM445" i="2"/>
  <c r="AL445" i="2"/>
  <c r="AH445" i="2"/>
  <c r="AF445" i="2"/>
  <c r="AY444" i="2"/>
  <c r="AX444" i="2"/>
  <c r="AW444" i="2"/>
  <c r="AV444" i="2"/>
  <c r="AU444" i="2"/>
  <c r="AT444" i="2"/>
  <c r="AS444" i="2"/>
  <c r="AH444" i="2" s="1"/>
  <c r="AR444" i="2"/>
  <c r="AE444" i="2" s="1"/>
  <c r="AQ444" i="2"/>
  <c r="AM444" i="2"/>
  <c r="U444" i="2" s="1"/>
  <c r="O444" i="2" s="1"/>
  <c r="AL444" i="2"/>
  <c r="AG444" i="2"/>
  <c r="AF444" i="2"/>
  <c r="AY443" i="2"/>
  <c r="AX443" i="2"/>
  <c r="AW443" i="2"/>
  <c r="AV443" i="2"/>
  <c r="AU443" i="2"/>
  <c r="AG443" i="2" s="1"/>
  <c r="AT443" i="2"/>
  <c r="AS443" i="2"/>
  <c r="AR443" i="2"/>
  <c r="AE443" i="2" s="1"/>
  <c r="AQ443" i="2"/>
  <c r="AH443" i="2" s="1"/>
  <c r="AM443" i="2"/>
  <c r="AL443" i="2"/>
  <c r="AJ443" i="2"/>
  <c r="AF443" i="2"/>
  <c r="AY442" i="2"/>
  <c r="AX442" i="2"/>
  <c r="AW442" i="2"/>
  <c r="AV442" i="2"/>
  <c r="AU442" i="2"/>
  <c r="AG442" i="2" s="1"/>
  <c r="AT442" i="2"/>
  <c r="AS442" i="2"/>
  <c r="AR442" i="2"/>
  <c r="AE442" i="2" s="1"/>
  <c r="AQ442" i="2"/>
  <c r="AM442" i="2"/>
  <c r="U442" i="2" s="1"/>
  <c r="AA442" i="2" s="1"/>
  <c r="AL442" i="2"/>
  <c r="AF442" i="2"/>
  <c r="AY441" i="2"/>
  <c r="AX441" i="2"/>
  <c r="AJ441" i="2" s="1"/>
  <c r="AW441" i="2"/>
  <c r="AV441" i="2"/>
  <c r="AU441" i="2"/>
  <c r="AG441" i="2" s="1"/>
  <c r="AT441" i="2"/>
  <c r="AS441" i="2"/>
  <c r="AR441" i="2"/>
  <c r="AQ441" i="2"/>
  <c r="AH441" i="2" s="1"/>
  <c r="J441" i="2" s="1"/>
  <c r="AM441" i="2"/>
  <c r="U441" i="2" s="1"/>
  <c r="O441" i="2" s="1"/>
  <c r="AL441" i="2"/>
  <c r="AF441" i="2"/>
  <c r="AE441" i="2"/>
  <c r="AY440" i="2"/>
  <c r="AX440" i="2"/>
  <c r="AW440" i="2"/>
  <c r="AV440" i="2"/>
  <c r="AJ440" i="2" s="1"/>
  <c r="AU440" i="2"/>
  <c r="AT440" i="2"/>
  <c r="AS440" i="2"/>
  <c r="AR440" i="2"/>
  <c r="AE440" i="2" s="1"/>
  <c r="AQ440" i="2"/>
  <c r="AM440" i="2"/>
  <c r="AL440" i="2"/>
  <c r="AH440" i="2"/>
  <c r="AG440" i="2"/>
  <c r="AF440" i="2"/>
  <c r="AY439" i="2"/>
  <c r="AX439" i="2"/>
  <c r="AJ439" i="2" s="1"/>
  <c r="AW439" i="2"/>
  <c r="AV439" i="2"/>
  <c r="AU439" i="2"/>
  <c r="AG439" i="2" s="1"/>
  <c r="AT439" i="2"/>
  <c r="AS439" i="2"/>
  <c r="AR439" i="2"/>
  <c r="AE439" i="2" s="1"/>
  <c r="AQ439" i="2"/>
  <c r="AM439" i="2"/>
  <c r="AL439" i="2"/>
  <c r="AF439" i="2"/>
  <c r="AY438" i="2"/>
  <c r="AX438" i="2"/>
  <c r="AJ438" i="2" s="1"/>
  <c r="AW438" i="2"/>
  <c r="AV438" i="2"/>
  <c r="AU438" i="2"/>
  <c r="AG438" i="2" s="1"/>
  <c r="AT438" i="2"/>
  <c r="AS438" i="2"/>
  <c r="AR438" i="2"/>
  <c r="AQ438" i="2"/>
  <c r="AH438" i="2" s="1"/>
  <c r="AM438" i="2"/>
  <c r="AL438" i="2"/>
  <c r="AF438" i="2"/>
  <c r="AE438" i="2"/>
  <c r="AY437" i="2"/>
  <c r="AX437" i="2"/>
  <c r="AW437" i="2"/>
  <c r="AV437" i="2"/>
  <c r="AU437" i="2"/>
  <c r="AG437" i="2" s="1"/>
  <c r="AT437" i="2"/>
  <c r="AS437" i="2"/>
  <c r="AR437" i="2"/>
  <c r="AE437" i="2" s="1"/>
  <c r="AQ437" i="2"/>
  <c r="AM437" i="2"/>
  <c r="AL437" i="2"/>
  <c r="AF437" i="2"/>
  <c r="AY436" i="2"/>
  <c r="AX436" i="2"/>
  <c r="AW436" i="2"/>
  <c r="AV436" i="2"/>
  <c r="AU436" i="2"/>
  <c r="AT436" i="2"/>
  <c r="AS436" i="2"/>
  <c r="AH436" i="2" s="1"/>
  <c r="AR436" i="2"/>
  <c r="AE436" i="2" s="1"/>
  <c r="AQ436" i="2"/>
  <c r="AM436" i="2"/>
  <c r="U436" i="2" s="1"/>
  <c r="O436" i="2" s="1"/>
  <c r="AL436" i="2"/>
  <c r="AG436" i="2"/>
  <c r="AF436" i="2"/>
  <c r="AY435" i="2"/>
  <c r="AX435" i="2"/>
  <c r="AW435" i="2"/>
  <c r="AV435" i="2"/>
  <c r="AU435" i="2"/>
  <c r="AG435" i="2" s="1"/>
  <c r="AT435" i="2"/>
  <c r="AS435" i="2"/>
  <c r="AR435" i="2"/>
  <c r="AE435" i="2" s="1"/>
  <c r="AQ435" i="2"/>
  <c r="AH435" i="2" s="1"/>
  <c r="J435" i="2" s="1"/>
  <c r="AM435" i="2"/>
  <c r="AL435" i="2"/>
  <c r="AJ435" i="2"/>
  <c r="AF435" i="2"/>
  <c r="AY434" i="2"/>
  <c r="AX434" i="2"/>
  <c r="AW434" i="2"/>
  <c r="AV434" i="2"/>
  <c r="AU434" i="2"/>
  <c r="AG434" i="2" s="1"/>
  <c r="AT434" i="2"/>
  <c r="AS434" i="2"/>
  <c r="AR434" i="2"/>
  <c r="AE434" i="2" s="1"/>
  <c r="J434" i="2" s="1"/>
  <c r="AQ434" i="2"/>
  <c r="AH434" i="2" s="1"/>
  <c r="AM434" i="2"/>
  <c r="AL434" i="2"/>
  <c r="AF434" i="2"/>
  <c r="AY433" i="2"/>
  <c r="AX433" i="2"/>
  <c r="AW433" i="2"/>
  <c r="AV433" i="2"/>
  <c r="AU433" i="2"/>
  <c r="AG433" i="2" s="1"/>
  <c r="AT433" i="2"/>
  <c r="AS433" i="2"/>
  <c r="AH433" i="2" s="1"/>
  <c r="AR433" i="2"/>
  <c r="AE433" i="2" s="1"/>
  <c r="AQ433" i="2"/>
  <c r="AM433" i="2"/>
  <c r="U433" i="2" s="1"/>
  <c r="AL433" i="2"/>
  <c r="AF433" i="2"/>
  <c r="AY432" i="2"/>
  <c r="AX432" i="2"/>
  <c r="AW432" i="2"/>
  <c r="AV432" i="2"/>
  <c r="AU432" i="2"/>
  <c r="AT432" i="2"/>
  <c r="AS432" i="2"/>
  <c r="AR432" i="2"/>
  <c r="AE432" i="2" s="1"/>
  <c r="AQ432" i="2"/>
  <c r="AH432" i="2" s="1"/>
  <c r="J432" i="2" s="1"/>
  <c r="AM432" i="2"/>
  <c r="U432" i="2" s="1"/>
  <c r="O432" i="2" s="1"/>
  <c r="AL432" i="2"/>
  <c r="AG432" i="2"/>
  <c r="AF432" i="2"/>
  <c r="AY431" i="2"/>
  <c r="AX431" i="2"/>
  <c r="AW431" i="2"/>
  <c r="AV431" i="2"/>
  <c r="AU431" i="2"/>
  <c r="AG431" i="2" s="1"/>
  <c r="AT431" i="2"/>
  <c r="AS431" i="2"/>
  <c r="AR431" i="2"/>
  <c r="AE431" i="2" s="1"/>
  <c r="AQ431" i="2"/>
  <c r="AH431" i="2" s="1"/>
  <c r="AM431" i="2"/>
  <c r="AL431" i="2"/>
  <c r="AK431" i="2" s="1"/>
  <c r="AJ431" i="2"/>
  <c r="AF431" i="2"/>
  <c r="AY430" i="2"/>
  <c r="AX430" i="2"/>
  <c r="AJ430" i="2" s="1"/>
  <c r="AW430" i="2"/>
  <c r="AV430" i="2"/>
  <c r="AU430" i="2"/>
  <c r="AG430" i="2" s="1"/>
  <c r="AT430" i="2"/>
  <c r="AS430" i="2"/>
  <c r="AR430" i="2"/>
  <c r="AQ430" i="2"/>
  <c r="AM430" i="2"/>
  <c r="AL430" i="2"/>
  <c r="AF430" i="2"/>
  <c r="AE430" i="2"/>
  <c r="AY429" i="2"/>
  <c r="AX429" i="2"/>
  <c r="AJ429" i="2" s="1"/>
  <c r="AW429" i="2"/>
  <c r="AV429" i="2"/>
  <c r="AU429" i="2"/>
  <c r="AG429" i="2" s="1"/>
  <c r="AT429" i="2"/>
  <c r="AS429" i="2"/>
  <c r="AR429" i="2"/>
  <c r="AQ429" i="2"/>
  <c r="AM429" i="2"/>
  <c r="U429" i="2" s="1"/>
  <c r="O429" i="2" s="1"/>
  <c r="AL429" i="2"/>
  <c r="AF429" i="2"/>
  <c r="AE429" i="2"/>
  <c r="AY428" i="2"/>
  <c r="AX428" i="2"/>
  <c r="AW428" i="2"/>
  <c r="AV428" i="2"/>
  <c r="AJ428" i="2" s="1"/>
  <c r="AU428" i="2"/>
  <c r="AG428" i="2" s="1"/>
  <c r="AT428" i="2"/>
  <c r="AS428" i="2"/>
  <c r="AR428" i="2"/>
  <c r="AE428" i="2" s="1"/>
  <c r="AQ428" i="2"/>
  <c r="AM428" i="2"/>
  <c r="AL428" i="2"/>
  <c r="AF428" i="2"/>
  <c r="AY427" i="2"/>
  <c r="AX427" i="2"/>
  <c r="AW427" i="2"/>
  <c r="AV427" i="2"/>
  <c r="AU427" i="2"/>
  <c r="AG427" i="2" s="1"/>
  <c r="AT427" i="2"/>
  <c r="AS427" i="2"/>
  <c r="AR427" i="2"/>
  <c r="AE427" i="2" s="1"/>
  <c r="AQ427" i="2"/>
  <c r="AM427" i="2"/>
  <c r="AL427" i="2"/>
  <c r="AJ427" i="2"/>
  <c r="AF427" i="2"/>
  <c r="AY426" i="2"/>
  <c r="AX426" i="2"/>
  <c r="AJ426" i="2" s="1"/>
  <c r="AW426" i="2"/>
  <c r="AV426" i="2"/>
  <c r="AU426" i="2"/>
  <c r="AG426" i="2" s="1"/>
  <c r="AT426" i="2"/>
  <c r="AS426" i="2"/>
  <c r="AR426" i="2"/>
  <c r="AQ426" i="2"/>
  <c r="AM426" i="2"/>
  <c r="AL426" i="2"/>
  <c r="AF426" i="2"/>
  <c r="AE426" i="2"/>
  <c r="AY425" i="2"/>
  <c r="AX425" i="2"/>
  <c r="AJ425" i="2" s="1"/>
  <c r="AW425" i="2"/>
  <c r="AV425" i="2"/>
  <c r="AU425" i="2"/>
  <c r="AG425" i="2" s="1"/>
  <c r="AT425" i="2"/>
  <c r="AS425" i="2"/>
  <c r="AR425" i="2"/>
  <c r="AQ425" i="2"/>
  <c r="AH425" i="2" s="1"/>
  <c r="J425" i="2" s="1"/>
  <c r="AM425" i="2"/>
  <c r="U425" i="2" s="1"/>
  <c r="AL425" i="2"/>
  <c r="T425" i="2" s="1"/>
  <c r="AF425" i="2"/>
  <c r="AE425" i="2"/>
  <c r="AY424" i="2"/>
  <c r="AX424" i="2"/>
  <c r="AW424" i="2"/>
  <c r="AV424" i="2"/>
  <c r="AU424" i="2"/>
  <c r="AT424" i="2"/>
  <c r="AS424" i="2"/>
  <c r="AH424" i="2" s="1"/>
  <c r="AR424" i="2"/>
  <c r="AE424" i="2" s="1"/>
  <c r="AQ424" i="2"/>
  <c r="AM424" i="2"/>
  <c r="U424" i="2" s="1"/>
  <c r="O424" i="2" s="1"/>
  <c r="AL424" i="2"/>
  <c r="AG424" i="2"/>
  <c r="AF424" i="2"/>
  <c r="AY423" i="2"/>
  <c r="AX423" i="2"/>
  <c r="AW423" i="2"/>
  <c r="AV423" i="2"/>
  <c r="AU423" i="2"/>
  <c r="AG423" i="2" s="1"/>
  <c r="AT423" i="2"/>
  <c r="AS423" i="2"/>
  <c r="AR423" i="2"/>
  <c r="AE423" i="2" s="1"/>
  <c r="AQ423" i="2"/>
  <c r="AH423" i="2" s="1"/>
  <c r="AM423" i="2"/>
  <c r="AL423" i="2"/>
  <c r="AF423" i="2"/>
  <c r="AY422" i="2"/>
  <c r="AX422" i="2"/>
  <c r="AW422" i="2"/>
  <c r="AV422" i="2"/>
  <c r="AU422" i="2"/>
  <c r="AG422" i="2" s="1"/>
  <c r="AT422" i="2"/>
  <c r="AS422" i="2"/>
  <c r="AR422" i="2"/>
  <c r="AE422" i="2" s="1"/>
  <c r="AQ422" i="2"/>
  <c r="AM422" i="2"/>
  <c r="AL422" i="2"/>
  <c r="AF422" i="2"/>
  <c r="AY421" i="2"/>
  <c r="AX421" i="2"/>
  <c r="AJ421" i="2" s="1"/>
  <c r="AW421" i="2"/>
  <c r="AV421" i="2"/>
  <c r="AU421" i="2"/>
  <c r="AG421" i="2" s="1"/>
  <c r="AT421" i="2"/>
  <c r="AS421" i="2"/>
  <c r="AR421" i="2"/>
  <c r="AQ421" i="2"/>
  <c r="AH421" i="2" s="1"/>
  <c r="J421" i="2" s="1"/>
  <c r="AM421" i="2"/>
  <c r="U421" i="2" s="1"/>
  <c r="O421" i="2" s="1"/>
  <c r="AL421" i="2"/>
  <c r="AF421" i="2"/>
  <c r="AE421" i="2"/>
  <c r="AY420" i="2"/>
  <c r="AX420" i="2"/>
  <c r="AW420" i="2"/>
  <c r="AV420" i="2"/>
  <c r="AU420" i="2"/>
  <c r="AG420" i="2" s="1"/>
  <c r="AT420" i="2"/>
  <c r="AS420" i="2"/>
  <c r="AR420" i="2"/>
  <c r="AE420" i="2" s="1"/>
  <c r="AQ420" i="2"/>
  <c r="AM420" i="2"/>
  <c r="U420" i="2" s="1"/>
  <c r="AL420" i="2"/>
  <c r="AF420" i="2"/>
  <c r="AY419" i="2"/>
  <c r="AX419" i="2"/>
  <c r="AW419" i="2"/>
  <c r="AV419" i="2"/>
  <c r="AU419" i="2"/>
  <c r="AT419" i="2"/>
  <c r="AS419" i="2"/>
  <c r="AR419" i="2"/>
  <c r="AE419" i="2" s="1"/>
  <c r="AQ419" i="2"/>
  <c r="AH419" i="2" s="1"/>
  <c r="J419" i="2" s="1"/>
  <c r="AM419" i="2"/>
  <c r="AL419" i="2"/>
  <c r="AJ419" i="2"/>
  <c r="AG419" i="2"/>
  <c r="AF419" i="2"/>
  <c r="AY418" i="2"/>
  <c r="AX418" i="2"/>
  <c r="AW418" i="2"/>
  <c r="AV418" i="2"/>
  <c r="AU418" i="2"/>
  <c r="AG418" i="2" s="1"/>
  <c r="AT418" i="2"/>
  <c r="AS418" i="2"/>
  <c r="AR418" i="2"/>
  <c r="AQ418" i="2"/>
  <c r="AM418" i="2"/>
  <c r="AL418" i="2"/>
  <c r="AJ418" i="2"/>
  <c r="AF418" i="2"/>
  <c r="AE418" i="2"/>
  <c r="AY417" i="2"/>
  <c r="AX417" i="2"/>
  <c r="AW417" i="2"/>
  <c r="AV417" i="2"/>
  <c r="AU417" i="2"/>
  <c r="AG417" i="2" s="1"/>
  <c r="AT417" i="2"/>
  <c r="AS417" i="2"/>
  <c r="AH417" i="2" s="1"/>
  <c r="AR417" i="2"/>
  <c r="AE417" i="2" s="1"/>
  <c r="AQ417" i="2"/>
  <c r="AM417" i="2"/>
  <c r="U417" i="2" s="1"/>
  <c r="AL417" i="2"/>
  <c r="T417" i="2" s="1"/>
  <c r="AF417" i="2"/>
  <c r="AY416" i="2"/>
  <c r="AX416" i="2"/>
  <c r="AW416" i="2"/>
  <c r="AV416" i="2"/>
  <c r="AU416" i="2"/>
  <c r="AT416" i="2"/>
  <c r="AS416" i="2"/>
  <c r="AR416" i="2"/>
  <c r="AE416" i="2" s="1"/>
  <c r="AQ416" i="2"/>
  <c r="AH416" i="2" s="1"/>
  <c r="J416" i="2" s="1"/>
  <c r="AM416" i="2"/>
  <c r="U416" i="2" s="1"/>
  <c r="O416" i="2" s="1"/>
  <c r="AL416" i="2"/>
  <c r="AG416" i="2"/>
  <c r="AF416" i="2"/>
  <c r="AY415" i="2"/>
  <c r="AX415" i="2"/>
  <c r="AW415" i="2"/>
  <c r="AV415" i="2"/>
  <c r="AU415" i="2"/>
  <c r="AG415" i="2" s="1"/>
  <c r="AT415" i="2"/>
  <c r="AS415" i="2"/>
  <c r="AR415" i="2"/>
  <c r="AE415" i="2" s="1"/>
  <c r="AQ415" i="2"/>
  <c r="AM415" i="2"/>
  <c r="AL415" i="2"/>
  <c r="AK415" i="2" s="1"/>
  <c r="AF415" i="2"/>
  <c r="AY414" i="2"/>
  <c r="AX414" i="2"/>
  <c r="AW414" i="2"/>
  <c r="AV414" i="2"/>
  <c r="AU414" i="2"/>
  <c r="AT414" i="2"/>
  <c r="AS414" i="2"/>
  <c r="AR414" i="2"/>
  <c r="AE414" i="2" s="1"/>
  <c r="AQ414" i="2"/>
  <c r="AM414" i="2"/>
  <c r="AL414" i="2"/>
  <c r="AJ414" i="2"/>
  <c r="AG414" i="2"/>
  <c r="AF414" i="2"/>
  <c r="AY413" i="2"/>
  <c r="AX413" i="2"/>
  <c r="AW413" i="2"/>
  <c r="AV413" i="2"/>
  <c r="AU413" i="2"/>
  <c r="AG413" i="2" s="1"/>
  <c r="AT413" i="2"/>
  <c r="AS413" i="2"/>
  <c r="AR413" i="2"/>
  <c r="AE413" i="2" s="1"/>
  <c r="AQ413" i="2"/>
  <c r="AH413" i="2" s="1"/>
  <c r="AM413" i="2"/>
  <c r="AL413" i="2"/>
  <c r="AJ413" i="2"/>
  <c r="AF413" i="2"/>
  <c r="AY412" i="2"/>
  <c r="AX412" i="2"/>
  <c r="AW412" i="2"/>
  <c r="AV412" i="2"/>
  <c r="AU412" i="2"/>
  <c r="AT412" i="2"/>
  <c r="AS412" i="2"/>
  <c r="AH412" i="2" s="1"/>
  <c r="J412" i="2" s="1"/>
  <c r="AR412" i="2"/>
  <c r="AQ412" i="2"/>
  <c r="AM412" i="2"/>
  <c r="U412" i="2" s="1"/>
  <c r="O412" i="2" s="1"/>
  <c r="AL412" i="2"/>
  <c r="AK412" i="2" s="1"/>
  <c r="AJ412" i="2"/>
  <c r="AG412" i="2"/>
  <c r="AF412" i="2"/>
  <c r="AE412" i="2"/>
  <c r="AY411" i="2"/>
  <c r="AX411" i="2"/>
  <c r="AW411" i="2"/>
  <c r="AV411" i="2"/>
  <c r="AU411" i="2"/>
  <c r="AT411" i="2"/>
  <c r="AS411" i="2"/>
  <c r="AR411" i="2"/>
  <c r="AE411" i="2" s="1"/>
  <c r="AQ411" i="2"/>
  <c r="AH411" i="2" s="1"/>
  <c r="AM411" i="2"/>
  <c r="U411" i="2" s="1"/>
  <c r="AA411" i="2" s="1"/>
  <c r="AL411" i="2"/>
  <c r="AG411" i="2"/>
  <c r="AF411" i="2"/>
  <c r="AY410" i="2"/>
  <c r="AX410" i="2"/>
  <c r="AW410" i="2"/>
  <c r="AV410" i="2"/>
  <c r="AU410" i="2"/>
  <c r="AG410" i="2" s="1"/>
  <c r="AT410" i="2"/>
  <c r="AS410" i="2"/>
  <c r="AR410" i="2"/>
  <c r="AE410" i="2" s="1"/>
  <c r="AQ410" i="2"/>
  <c r="AM410" i="2"/>
  <c r="AL410" i="2"/>
  <c r="T410" i="2" s="1"/>
  <c r="Z410" i="2" s="1"/>
  <c r="AJ410" i="2"/>
  <c r="AF410" i="2"/>
  <c r="AY409" i="2"/>
  <c r="AX409" i="2"/>
  <c r="AW409" i="2"/>
  <c r="AV409" i="2"/>
  <c r="AU409" i="2"/>
  <c r="AG409" i="2" s="1"/>
  <c r="AT409" i="2"/>
  <c r="AS409" i="2"/>
  <c r="AR409" i="2"/>
  <c r="AQ409" i="2"/>
  <c r="AH409" i="2" s="1"/>
  <c r="AM409" i="2"/>
  <c r="AL409" i="2"/>
  <c r="AF409" i="2"/>
  <c r="AE409" i="2"/>
  <c r="AY408" i="2"/>
  <c r="AX408" i="2"/>
  <c r="AW408" i="2"/>
  <c r="AV408" i="2"/>
  <c r="AU408" i="2"/>
  <c r="AG408" i="2" s="1"/>
  <c r="AT408" i="2"/>
  <c r="AS408" i="2"/>
  <c r="AH408" i="2" s="1"/>
  <c r="J408" i="2" s="1"/>
  <c r="AR408" i="2"/>
  <c r="AE408" i="2" s="1"/>
  <c r="AQ408" i="2"/>
  <c r="AM408" i="2"/>
  <c r="AL408" i="2"/>
  <c r="AJ408" i="2"/>
  <c r="AF408" i="2"/>
  <c r="AY407" i="2"/>
  <c r="AX407" i="2"/>
  <c r="AW407" i="2"/>
  <c r="AV407" i="2"/>
  <c r="AU407" i="2"/>
  <c r="AT407" i="2"/>
  <c r="AS407" i="2"/>
  <c r="AR407" i="2"/>
  <c r="AE407" i="2" s="1"/>
  <c r="AQ407" i="2"/>
  <c r="AH407" i="2" s="1"/>
  <c r="AM407" i="2"/>
  <c r="U407" i="2" s="1"/>
  <c r="AA407" i="2" s="1"/>
  <c r="AL407" i="2"/>
  <c r="AG407" i="2"/>
  <c r="AF407" i="2"/>
  <c r="AY406" i="2"/>
  <c r="AX406" i="2"/>
  <c r="AJ406" i="2" s="1"/>
  <c r="AW406" i="2"/>
  <c r="AV406" i="2"/>
  <c r="AU406" i="2"/>
  <c r="AG406" i="2" s="1"/>
  <c r="AT406" i="2"/>
  <c r="AS406" i="2"/>
  <c r="AR406" i="2"/>
  <c r="AE406" i="2" s="1"/>
  <c r="AQ406" i="2"/>
  <c r="AH406" i="2" s="1"/>
  <c r="AM406" i="2"/>
  <c r="AL406" i="2"/>
  <c r="AF406" i="2"/>
  <c r="T406" i="2"/>
  <c r="Z406" i="2" s="1"/>
  <c r="AY405" i="2"/>
  <c r="AX405" i="2"/>
  <c r="AW405" i="2"/>
  <c r="AV405" i="2"/>
  <c r="AJ405" i="2" s="1"/>
  <c r="AU405" i="2"/>
  <c r="AT405" i="2"/>
  <c r="AS405" i="2"/>
  <c r="AR405" i="2"/>
  <c r="AE405" i="2" s="1"/>
  <c r="AQ405" i="2"/>
  <c r="AM405" i="2"/>
  <c r="AL405" i="2"/>
  <c r="AG405" i="2"/>
  <c r="AF405" i="2"/>
  <c r="AY404" i="2"/>
  <c r="AX404" i="2"/>
  <c r="AJ404" i="2" s="1"/>
  <c r="AW404" i="2"/>
  <c r="AV404" i="2"/>
  <c r="AU404" i="2"/>
  <c r="AG404" i="2" s="1"/>
  <c r="AT404" i="2"/>
  <c r="AS404" i="2"/>
  <c r="AR404" i="2"/>
  <c r="AQ404" i="2"/>
  <c r="AH404" i="2" s="1"/>
  <c r="AM404" i="2"/>
  <c r="AL404" i="2"/>
  <c r="T404" i="2" s="1"/>
  <c r="AF404" i="2"/>
  <c r="AE404" i="2"/>
  <c r="AY403" i="2"/>
  <c r="AX403" i="2"/>
  <c r="AW403" i="2"/>
  <c r="AV403" i="2"/>
  <c r="AU403" i="2"/>
  <c r="AT403" i="2"/>
  <c r="AS403" i="2"/>
  <c r="AR403" i="2"/>
  <c r="AE403" i="2" s="1"/>
  <c r="J403" i="2" s="1"/>
  <c r="AQ403" i="2"/>
  <c r="AM403" i="2"/>
  <c r="AL403" i="2"/>
  <c r="AH403" i="2"/>
  <c r="AG403" i="2"/>
  <c r="AF403" i="2"/>
  <c r="AY402" i="2"/>
  <c r="AX402" i="2"/>
  <c r="AW402" i="2"/>
  <c r="AV402" i="2"/>
  <c r="AU402" i="2"/>
  <c r="AG402" i="2" s="1"/>
  <c r="AT402" i="2"/>
  <c r="AS402" i="2"/>
  <c r="AH402" i="2" s="1"/>
  <c r="J402" i="2" s="1"/>
  <c r="AR402" i="2"/>
  <c r="AE402" i="2" s="1"/>
  <c r="AQ402" i="2"/>
  <c r="AM402" i="2"/>
  <c r="AL402" i="2"/>
  <c r="AJ402" i="2"/>
  <c r="AF402" i="2"/>
  <c r="AY401" i="2"/>
  <c r="AX401" i="2"/>
  <c r="AW401" i="2"/>
  <c r="AV401" i="2"/>
  <c r="AU401" i="2"/>
  <c r="AG401" i="2" s="1"/>
  <c r="AT401" i="2"/>
  <c r="AS401" i="2"/>
  <c r="AR401" i="2"/>
  <c r="AE401" i="2" s="1"/>
  <c r="AQ401" i="2"/>
  <c r="AH401" i="2" s="1"/>
  <c r="J401" i="2" s="1"/>
  <c r="AM401" i="2"/>
  <c r="U401" i="2" s="1"/>
  <c r="O401" i="2" s="1"/>
  <c r="AL401" i="2"/>
  <c r="AF401" i="2"/>
  <c r="AY400" i="2"/>
  <c r="AX400" i="2"/>
  <c r="AW400" i="2"/>
  <c r="AV400" i="2"/>
  <c r="AU400" i="2"/>
  <c r="AG400" i="2" s="1"/>
  <c r="AT400" i="2"/>
  <c r="AS400" i="2"/>
  <c r="AR400" i="2"/>
  <c r="AQ400" i="2"/>
  <c r="AH400" i="2" s="1"/>
  <c r="J400" i="2" s="1"/>
  <c r="AM400" i="2"/>
  <c r="AL400" i="2"/>
  <c r="AJ400" i="2"/>
  <c r="AF400" i="2"/>
  <c r="AE400" i="2"/>
  <c r="AY399" i="2"/>
  <c r="AX399" i="2"/>
  <c r="AW399" i="2"/>
  <c r="AV399" i="2"/>
  <c r="AU399" i="2"/>
  <c r="AT399" i="2"/>
  <c r="AS399" i="2"/>
  <c r="AH399" i="2" s="1"/>
  <c r="J399" i="2" s="1"/>
  <c r="AR399" i="2"/>
  <c r="AQ399" i="2"/>
  <c r="AM399" i="2"/>
  <c r="AL399" i="2"/>
  <c r="AG399" i="2"/>
  <c r="AF399" i="2"/>
  <c r="AE399" i="2"/>
  <c r="AY398" i="2"/>
  <c r="AX398" i="2"/>
  <c r="AW398" i="2"/>
  <c r="AV398" i="2"/>
  <c r="AU398" i="2"/>
  <c r="AG398" i="2" s="1"/>
  <c r="AT398" i="2"/>
  <c r="AS398" i="2"/>
  <c r="AH398" i="2" s="1"/>
  <c r="AR398" i="2"/>
  <c r="AE398" i="2" s="1"/>
  <c r="AQ398" i="2"/>
  <c r="AM398" i="2"/>
  <c r="AL398" i="2"/>
  <c r="T398" i="2" s="1"/>
  <c r="Z398" i="2" s="1"/>
  <c r="AJ398" i="2"/>
  <c r="AF398" i="2"/>
  <c r="AY397" i="2"/>
  <c r="AX397" i="2"/>
  <c r="AW397" i="2"/>
  <c r="AV397" i="2"/>
  <c r="AJ397" i="2" s="1"/>
  <c r="AU397" i="2"/>
  <c r="AG397" i="2" s="1"/>
  <c r="AT397" i="2"/>
  <c r="AS397" i="2"/>
  <c r="AR397" i="2"/>
  <c r="AE397" i="2" s="1"/>
  <c r="AQ397" i="2"/>
  <c r="AH397" i="2" s="1"/>
  <c r="AM397" i="2"/>
  <c r="AL397" i="2"/>
  <c r="AF397" i="2"/>
  <c r="AY396" i="2"/>
  <c r="AX396" i="2"/>
  <c r="AW396" i="2"/>
  <c r="AV396" i="2"/>
  <c r="AU396" i="2"/>
  <c r="AG396" i="2" s="1"/>
  <c r="AT396" i="2"/>
  <c r="AS396" i="2"/>
  <c r="AR396" i="2"/>
  <c r="AE396" i="2" s="1"/>
  <c r="AQ396" i="2"/>
  <c r="AH396" i="2" s="1"/>
  <c r="AM396" i="2"/>
  <c r="AL396" i="2"/>
  <c r="AJ396" i="2"/>
  <c r="AF396" i="2"/>
  <c r="AY395" i="2"/>
  <c r="AX395" i="2"/>
  <c r="AW395" i="2"/>
  <c r="AV395" i="2"/>
  <c r="AU395" i="2"/>
  <c r="AT395" i="2"/>
  <c r="AS395" i="2"/>
  <c r="AR395" i="2"/>
  <c r="AQ395" i="2"/>
  <c r="AH395" i="2" s="1"/>
  <c r="J395" i="2" s="1"/>
  <c r="AM395" i="2"/>
  <c r="AK395" i="2" s="1"/>
  <c r="AL395" i="2"/>
  <c r="AG395" i="2"/>
  <c r="AF395" i="2"/>
  <c r="AE395" i="2"/>
  <c r="AY394" i="2"/>
  <c r="AX394" i="2"/>
  <c r="AJ394" i="2" s="1"/>
  <c r="AW394" i="2"/>
  <c r="AV394" i="2"/>
  <c r="AU394" i="2"/>
  <c r="AG394" i="2" s="1"/>
  <c r="AT394" i="2"/>
  <c r="AS394" i="2"/>
  <c r="AR394" i="2"/>
  <c r="AE394" i="2" s="1"/>
  <c r="AQ394" i="2"/>
  <c r="AM394" i="2"/>
  <c r="AL394" i="2"/>
  <c r="AH394" i="2"/>
  <c r="J394" i="2" s="1"/>
  <c r="AF394" i="2"/>
  <c r="AY393" i="2"/>
  <c r="AX393" i="2"/>
  <c r="AW393" i="2"/>
  <c r="AV393" i="2"/>
  <c r="AJ393" i="2" s="1"/>
  <c r="AU393" i="2"/>
  <c r="AT393" i="2"/>
  <c r="AS393" i="2"/>
  <c r="AR393" i="2"/>
  <c r="AE393" i="2" s="1"/>
  <c r="AQ393" i="2"/>
  <c r="AH393" i="2" s="1"/>
  <c r="AM393" i="2"/>
  <c r="AL393" i="2"/>
  <c r="AG393" i="2"/>
  <c r="AF393" i="2"/>
  <c r="AY392" i="2"/>
  <c r="AX392" i="2"/>
  <c r="AW392" i="2"/>
  <c r="AV392" i="2"/>
  <c r="AU392" i="2"/>
  <c r="AG392" i="2" s="1"/>
  <c r="AT392" i="2"/>
  <c r="AS392" i="2"/>
  <c r="AR392" i="2"/>
  <c r="AQ392" i="2"/>
  <c r="AM392" i="2"/>
  <c r="AL392" i="2"/>
  <c r="AJ392" i="2"/>
  <c r="AF392" i="2"/>
  <c r="AE392" i="2"/>
  <c r="AY391" i="2"/>
  <c r="AX391" i="2"/>
  <c r="AW391" i="2"/>
  <c r="AV391" i="2"/>
  <c r="AU391" i="2"/>
  <c r="AT391" i="2"/>
  <c r="AS391" i="2"/>
  <c r="AR391" i="2"/>
  <c r="AQ391" i="2"/>
  <c r="AH391" i="2" s="1"/>
  <c r="J391" i="2" s="1"/>
  <c r="AM391" i="2"/>
  <c r="AL391" i="2"/>
  <c r="AG391" i="2"/>
  <c r="AF391" i="2"/>
  <c r="AE391" i="2"/>
  <c r="AY390" i="2"/>
  <c r="AX390" i="2"/>
  <c r="AW390" i="2"/>
  <c r="AV390" i="2"/>
  <c r="AU390" i="2"/>
  <c r="AG390" i="2" s="1"/>
  <c r="AT390" i="2"/>
  <c r="AS390" i="2"/>
  <c r="AR390" i="2"/>
  <c r="AE390" i="2" s="1"/>
  <c r="AQ390" i="2"/>
  <c r="AM390" i="2"/>
  <c r="AL390" i="2"/>
  <c r="T390" i="2" s="1"/>
  <c r="Z390" i="2" s="1"/>
  <c r="AJ390" i="2"/>
  <c r="AH390" i="2"/>
  <c r="AF390" i="2"/>
  <c r="AY389" i="2"/>
  <c r="AX389" i="2"/>
  <c r="AW389" i="2"/>
  <c r="AV389" i="2"/>
  <c r="AJ389" i="2" s="1"/>
  <c r="AU389" i="2"/>
  <c r="AT389" i="2"/>
  <c r="AS389" i="2"/>
  <c r="AR389" i="2"/>
  <c r="AE389" i="2" s="1"/>
  <c r="AQ389" i="2"/>
  <c r="AM389" i="2"/>
  <c r="U389" i="2" s="1"/>
  <c r="O389" i="2" s="1"/>
  <c r="AL389" i="2"/>
  <c r="AG389" i="2"/>
  <c r="AF389" i="2"/>
  <c r="AY388" i="2"/>
  <c r="AX388" i="2"/>
  <c r="AW388" i="2"/>
  <c r="AV388" i="2"/>
  <c r="AU388" i="2"/>
  <c r="AT388" i="2"/>
  <c r="AJ388" i="2" s="1"/>
  <c r="AS388" i="2"/>
  <c r="AR388" i="2"/>
  <c r="AQ388" i="2"/>
  <c r="AH388" i="2" s="1"/>
  <c r="AL388" i="2"/>
  <c r="T388" i="2" s="1"/>
  <c r="AG388" i="2"/>
  <c r="AF388" i="2"/>
  <c r="AE388" i="2"/>
  <c r="AY387" i="2"/>
  <c r="AX387" i="2"/>
  <c r="AW387" i="2"/>
  <c r="AV387" i="2"/>
  <c r="AU387" i="2"/>
  <c r="AT387" i="2"/>
  <c r="AS387" i="2"/>
  <c r="AR387" i="2"/>
  <c r="AJ387" i="2" s="1"/>
  <c r="AQ387" i="2"/>
  <c r="AH387" i="2" s="1"/>
  <c r="J387" i="2" s="1"/>
  <c r="AL387" i="2"/>
  <c r="AK387" i="2" s="1"/>
  <c r="AG387" i="2"/>
  <c r="AF387" i="2"/>
  <c r="AE387" i="2"/>
  <c r="H387" i="2"/>
  <c r="AY386" i="2"/>
  <c r="AX386" i="2"/>
  <c r="AW386" i="2"/>
  <c r="AV386" i="2"/>
  <c r="AU386" i="2"/>
  <c r="AT386" i="2"/>
  <c r="AJ386" i="2" s="1"/>
  <c r="AS386" i="2"/>
  <c r="AR386" i="2"/>
  <c r="AQ386" i="2"/>
  <c r="AH386" i="2" s="1"/>
  <c r="AL386" i="2"/>
  <c r="T386" i="2" s="1"/>
  <c r="AG386" i="2"/>
  <c r="AF386" i="2"/>
  <c r="AE386" i="2"/>
  <c r="AY385" i="2"/>
  <c r="AJ385" i="2" s="1"/>
  <c r="AX385" i="2"/>
  <c r="AW385" i="2"/>
  <c r="AV385" i="2"/>
  <c r="AU385" i="2"/>
  <c r="AT385" i="2"/>
  <c r="AS385" i="2"/>
  <c r="AR385" i="2"/>
  <c r="AQ385" i="2"/>
  <c r="AH385" i="2" s="1"/>
  <c r="AL385" i="2"/>
  <c r="U385" i="2" s="1"/>
  <c r="AA385" i="2" s="1"/>
  <c r="AG385" i="2"/>
  <c r="AF385" i="2"/>
  <c r="AE385" i="2"/>
  <c r="AY384" i="2"/>
  <c r="AX384" i="2"/>
  <c r="AW384" i="2"/>
  <c r="AV384" i="2"/>
  <c r="AU384" i="2"/>
  <c r="AT384" i="2"/>
  <c r="AS384" i="2"/>
  <c r="AR384" i="2"/>
  <c r="AQ384" i="2"/>
  <c r="AH384" i="2" s="1"/>
  <c r="AL384" i="2"/>
  <c r="AG384" i="2"/>
  <c r="AF384" i="2"/>
  <c r="AE384" i="2"/>
  <c r="H384" i="2"/>
  <c r="AY383" i="2"/>
  <c r="AX383" i="2"/>
  <c r="AW383" i="2"/>
  <c r="AV383" i="2"/>
  <c r="AU383" i="2"/>
  <c r="AT383" i="2"/>
  <c r="AJ383" i="2" s="1"/>
  <c r="AS383" i="2"/>
  <c r="AR383" i="2"/>
  <c r="AQ383" i="2"/>
  <c r="AH383" i="2" s="1"/>
  <c r="AL383" i="2"/>
  <c r="AG383" i="2"/>
  <c r="AF383" i="2"/>
  <c r="AE383" i="2"/>
  <c r="AY382" i="2"/>
  <c r="AX382" i="2"/>
  <c r="AW382" i="2"/>
  <c r="AV382" i="2"/>
  <c r="AU382" i="2"/>
  <c r="AT382" i="2"/>
  <c r="AS382" i="2"/>
  <c r="AR382" i="2"/>
  <c r="AQ382" i="2"/>
  <c r="AH382" i="2" s="1"/>
  <c r="AL382" i="2"/>
  <c r="T382" i="2" s="1"/>
  <c r="AG382" i="2"/>
  <c r="AF382" i="2"/>
  <c r="AE382" i="2"/>
  <c r="H382" i="2"/>
  <c r="AY381" i="2"/>
  <c r="AJ381" i="2" s="1"/>
  <c r="AX381" i="2"/>
  <c r="AW381" i="2"/>
  <c r="AV381" i="2"/>
  <c r="AU381" i="2"/>
  <c r="AT381" i="2"/>
  <c r="AS381" i="2"/>
  <c r="AR381" i="2"/>
  <c r="AQ381" i="2"/>
  <c r="AH381" i="2" s="1"/>
  <c r="AL381" i="2"/>
  <c r="U381" i="2" s="1"/>
  <c r="AG381" i="2"/>
  <c r="AF381" i="2"/>
  <c r="AE381" i="2"/>
  <c r="AY380" i="2"/>
  <c r="H380" i="2" s="1"/>
  <c r="AX380" i="2"/>
  <c r="AW380" i="2"/>
  <c r="AV380" i="2"/>
  <c r="AU380" i="2"/>
  <c r="AT380" i="2"/>
  <c r="AS380" i="2"/>
  <c r="AR380" i="2"/>
  <c r="AQ380" i="2"/>
  <c r="AH380" i="2" s="1"/>
  <c r="AL380" i="2"/>
  <c r="AG380" i="2"/>
  <c r="AF380" i="2"/>
  <c r="AE380" i="2"/>
  <c r="AY379" i="2"/>
  <c r="AX379" i="2"/>
  <c r="AW379" i="2"/>
  <c r="AV379" i="2"/>
  <c r="AU379" i="2"/>
  <c r="AT379" i="2"/>
  <c r="AS379" i="2"/>
  <c r="AR379" i="2"/>
  <c r="AQ379" i="2"/>
  <c r="AH379" i="2" s="1"/>
  <c r="AL379" i="2"/>
  <c r="AG379" i="2"/>
  <c r="AF379" i="2"/>
  <c r="AE379" i="2"/>
  <c r="AY378" i="2"/>
  <c r="AX378" i="2"/>
  <c r="AW378" i="2"/>
  <c r="AV378" i="2"/>
  <c r="AU378" i="2"/>
  <c r="AT378" i="2"/>
  <c r="AS378" i="2"/>
  <c r="AR378" i="2"/>
  <c r="AQ378" i="2"/>
  <c r="AH378" i="2" s="1"/>
  <c r="AL378" i="2"/>
  <c r="T378" i="2" s="1"/>
  <c r="AG378" i="2"/>
  <c r="AF378" i="2"/>
  <c r="AE378" i="2"/>
  <c r="AY377" i="2"/>
  <c r="AJ377" i="2" s="1"/>
  <c r="AX377" i="2"/>
  <c r="AW377" i="2"/>
  <c r="AV377" i="2"/>
  <c r="AU377" i="2"/>
  <c r="AT377" i="2"/>
  <c r="AS377" i="2"/>
  <c r="AR377" i="2"/>
  <c r="AQ377" i="2"/>
  <c r="AH377" i="2" s="1"/>
  <c r="AL377" i="2"/>
  <c r="U377" i="2" s="1"/>
  <c r="AG377" i="2"/>
  <c r="AF377" i="2"/>
  <c r="AE377" i="2"/>
  <c r="AY376" i="2"/>
  <c r="H376" i="2" s="1"/>
  <c r="AX376" i="2"/>
  <c r="AW376" i="2"/>
  <c r="AV376" i="2"/>
  <c r="AU376" i="2"/>
  <c r="AT376" i="2"/>
  <c r="AS376" i="2"/>
  <c r="AR376" i="2"/>
  <c r="AQ376" i="2"/>
  <c r="AH376" i="2" s="1"/>
  <c r="AL376" i="2"/>
  <c r="AG376" i="2"/>
  <c r="AF376" i="2"/>
  <c r="AE376" i="2"/>
  <c r="U376" i="2"/>
  <c r="AA376" i="2" s="1"/>
  <c r="AY375" i="2"/>
  <c r="AX375" i="2"/>
  <c r="AW375" i="2"/>
  <c r="AV375" i="2"/>
  <c r="AU375" i="2"/>
  <c r="AT375" i="2"/>
  <c r="AJ375" i="2" s="1"/>
  <c r="AS375" i="2"/>
  <c r="AR375" i="2"/>
  <c r="AQ375" i="2"/>
  <c r="AH375" i="2" s="1"/>
  <c r="AL375" i="2"/>
  <c r="U375" i="2" s="1"/>
  <c r="AG375" i="2"/>
  <c r="AF375" i="2"/>
  <c r="AE375" i="2"/>
  <c r="AY374" i="2"/>
  <c r="AX374" i="2"/>
  <c r="AW374" i="2"/>
  <c r="AV374" i="2"/>
  <c r="AU374" i="2"/>
  <c r="AT374" i="2"/>
  <c r="AS374" i="2"/>
  <c r="AR374" i="2"/>
  <c r="AQ374" i="2"/>
  <c r="AH374" i="2" s="1"/>
  <c r="AL374" i="2"/>
  <c r="T374" i="2" s="1"/>
  <c r="AJ374" i="2"/>
  <c r="AG374" i="2"/>
  <c r="AF374" i="2"/>
  <c r="AE374" i="2"/>
  <c r="H374" i="2"/>
  <c r="AY373" i="2"/>
  <c r="AX373" i="2"/>
  <c r="AW373" i="2"/>
  <c r="AV373" i="2"/>
  <c r="AU373" i="2"/>
  <c r="AT373" i="2"/>
  <c r="AS373" i="2"/>
  <c r="AR373" i="2"/>
  <c r="AJ373" i="2" s="1"/>
  <c r="AQ373" i="2"/>
  <c r="AH373" i="2" s="1"/>
  <c r="AL373" i="2"/>
  <c r="AK373" i="2" s="1"/>
  <c r="AG373" i="2"/>
  <c r="AF373" i="2"/>
  <c r="AE373" i="2"/>
  <c r="H373" i="2"/>
  <c r="V373" i="2" s="1"/>
  <c r="AY372" i="2"/>
  <c r="H372" i="2" s="1"/>
  <c r="AX372" i="2"/>
  <c r="AW372" i="2"/>
  <c r="AV372" i="2"/>
  <c r="AU372" i="2"/>
  <c r="AT372" i="2"/>
  <c r="AS372" i="2"/>
  <c r="AR372" i="2"/>
  <c r="AQ372" i="2"/>
  <c r="AH372" i="2" s="1"/>
  <c r="AL372" i="2"/>
  <c r="U372" i="2" s="1"/>
  <c r="AA372" i="2" s="1"/>
  <c r="AG372" i="2"/>
  <c r="AF372" i="2"/>
  <c r="AE372" i="2"/>
  <c r="AY371" i="2"/>
  <c r="AX371" i="2"/>
  <c r="AW371" i="2"/>
  <c r="AV371" i="2"/>
  <c r="AU371" i="2"/>
  <c r="AT371" i="2"/>
  <c r="AS371" i="2"/>
  <c r="AR371" i="2"/>
  <c r="AQ371" i="2"/>
  <c r="AH371" i="2" s="1"/>
  <c r="AL371" i="2"/>
  <c r="U371" i="2" s="1"/>
  <c r="AG371" i="2"/>
  <c r="AF371" i="2"/>
  <c r="AE371" i="2"/>
  <c r="AY370" i="2"/>
  <c r="H370" i="2" s="1"/>
  <c r="AX370" i="2"/>
  <c r="AW370" i="2"/>
  <c r="AV370" i="2"/>
  <c r="AU370" i="2"/>
  <c r="AT370" i="2"/>
  <c r="AS370" i="2"/>
  <c r="AR370" i="2"/>
  <c r="AQ370" i="2"/>
  <c r="AH370" i="2" s="1"/>
  <c r="AL370" i="2"/>
  <c r="T370" i="2" s="1"/>
  <c r="AG370" i="2"/>
  <c r="AF370" i="2"/>
  <c r="AE370" i="2"/>
  <c r="AY369" i="2"/>
  <c r="AX369" i="2"/>
  <c r="AW369" i="2"/>
  <c r="AV369" i="2"/>
  <c r="AU369" i="2"/>
  <c r="AT369" i="2"/>
  <c r="AS369" i="2"/>
  <c r="AR369" i="2"/>
  <c r="AQ369" i="2"/>
  <c r="AH369" i="2" s="1"/>
  <c r="AL369" i="2"/>
  <c r="U369" i="2" s="1"/>
  <c r="AG369" i="2"/>
  <c r="AF369" i="2"/>
  <c r="AE369" i="2"/>
  <c r="AY368" i="2"/>
  <c r="H368" i="2" s="1"/>
  <c r="AX368" i="2"/>
  <c r="AW368" i="2"/>
  <c r="AV368" i="2"/>
  <c r="AU368" i="2"/>
  <c r="AT368" i="2"/>
  <c r="AS368" i="2"/>
  <c r="AR368" i="2"/>
  <c r="AQ368" i="2"/>
  <c r="AH368" i="2" s="1"/>
  <c r="AL368" i="2"/>
  <c r="T368" i="2" s="1"/>
  <c r="AG368" i="2"/>
  <c r="AF368" i="2"/>
  <c r="AE368" i="2"/>
  <c r="AY367" i="2"/>
  <c r="AX367" i="2"/>
  <c r="AW367" i="2"/>
  <c r="AV367" i="2"/>
  <c r="AU367" i="2"/>
  <c r="AT367" i="2"/>
  <c r="AS367" i="2"/>
  <c r="AR367" i="2"/>
  <c r="AQ367" i="2"/>
  <c r="AH367" i="2" s="1"/>
  <c r="AL367" i="2"/>
  <c r="U367" i="2" s="1"/>
  <c r="AG367" i="2"/>
  <c r="AF367" i="2"/>
  <c r="AE367" i="2"/>
  <c r="AY366" i="2"/>
  <c r="AX366" i="2"/>
  <c r="AW366" i="2"/>
  <c r="AV366" i="2"/>
  <c r="AU366" i="2"/>
  <c r="AT366" i="2"/>
  <c r="AS366" i="2"/>
  <c r="AR366" i="2"/>
  <c r="AQ366" i="2"/>
  <c r="AH366" i="2" s="1"/>
  <c r="J366" i="2" s="1"/>
  <c r="AL366" i="2"/>
  <c r="AJ366" i="2"/>
  <c r="AG366" i="2"/>
  <c r="AF366" i="2"/>
  <c r="AE366" i="2"/>
  <c r="H366" i="2"/>
  <c r="AY365" i="2"/>
  <c r="AX365" i="2"/>
  <c r="AW365" i="2"/>
  <c r="AV365" i="2"/>
  <c r="AU365" i="2"/>
  <c r="AT365" i="2"/>
  <c r="H365" i="2" s="1"/>
  <c r="AS365" i="2"/>
  <c r="AR365" i="2"/>
  <c r="AJ365" i="2" s="1"/>
  <c r="AQ365" i="2"/>
  <c r="AH365" i="2" s="1"/>
  <c r="AL365" i="2"/>
  <c r="AG365" i="2"/>
  <c r="AF365" i="2"/>
  <c r="AE365" i="2"/>
  <c r="AY364" i="2"/>
  <c r="AX364" i="2"/>
  <c r="AW364" i="2"/>
  <c r="AV364" i="2"/>
  <c r="AU364" i="2"/>
  <c r="AT364" i="2"/>
  <c r="AS364" i="2"/>
  <c r="AR364" i="2"/>
  <c r="AQ364" i="2"/>
  <c r="AH364" i="2" s="1"/>
  <c r="J364" i="2" s="1"/>
  <c r="AL364" i="2"/>
  <c r="T364" i="2" s="1"/>
  <c r="AJ364" i="2"/>
  <c r="AG364" i="2"/>
  <c r="AF364" i="2"/>
  <c r="AE364" i="2"/>
  <c r="H364" i="2"/>
  <c r="AY363" i="2"/>
  <c r="AX363" i="2"/>
  <c r="AW363" i="2"/>
  <c r="AV363" i="2"/>
  <c r="AU363" i="2"/>
  <c r="AT363" i="2"/>
  <c r="AS363" i="2"/>
  <c r="AR363" i="2"/>
  <c r="AQ363" i="2"/>
  <c r="AH363" i="2" s="1"/>
  <c r="AL363" i="2"/>
  <c r="U363" i="2" s="1"/>
  <c r="AG363" i="2"/>
  <c r="AF363" i="2"/>
  <c r="AE363" i="2"/>
  <c r="AY362" i="2"/>
  <c r="H362" i="2" s="1"/>
  <c r="AX362" i="2"/>
  <c r="AW362" i="2"/>
  <c r="AV362" i="2"/>
  <c r="AU362" i="2"/>
  <c r="AT362" i="2"/>
  <c r="AS362" i="2"/>
  <c r="AR362" i="2"/>
  <c r="AQ362" i="2"/>
  <c r="AH362" i="2" s="1"/>
  <c r="AL362" i="2"/>
  <c r="T362" i="2" s="1"/>
  <c r="AG362" i="2"/>
  <c r="AF362" i="2"/>
  <c r="AE362" i="2"/>
  <c r="AY361" i="2"/>
  <c r="AX361" i="2"/>
  <c r="AW361" i="2"/>
  <c r="AV361" i="2"/>
  <c r="AU361" i="2"/>
  <c r="AT361" i="2"/>
  <c r="AS361" i="2"/>
  <c r="AR361" i="2"/>
  <c r="AQ361" i="2"/>
  <c r="AH361" i="2" s="1"/>
  <c r="AL361" i="2"/>
  <c r="U361" i="2" s="1"/>
  <c r="AA361" i="2" s="1"/>
  <c r="AG361" i="2"/>
  <c r="AF361" i="2"/>
  <c r="AE361" i="2"/>
  <c r="AY360" i="2"/>
  <c r="H360" i="2" s="1"/>
  <c r="AX360" i="2"/>
  <c r="AW360" i="2"/>
  <c r="AV360" i="2"/>
  <c r="AU360" i="2"/>
  <c r="AT360" i="2"/>
  <c r="AS360" i="2"/>
  <c r="AR360" i="2"/>
  <c r="AQ360" i="2"/>
  <c r="AH360" i="2" s="1"/>
  <c r="AL360" i="2"/>
  <c r="AG360" i="2"/>
  <c r="AF360" i="2"/>
  <c r="AE360" i="2"/>
  <c r="AY359" i="2"/>
  <c r="AX359" i="2"/>
  <c r="AW359" i="2"/>
  <c r="AV359" i="2"/>
  <c r="AU359" i="2"/>
  <c r="AT359" i="2"/>
  <c r="AS359" i="2"/>
  <c r="AR359" i="2"/>
  <c r="AQ359" i="2"/>
  <c r="AH359" i="2" s="1"/>
  <c r="AL359" i="2"/>
  <c r="U359" i="2" s="1"/>
  <c r="AA359" i="2" s="1"/>
  <c r="AG359" i="2"/>
  <c r="AF359" i="2"/>
  <c r="AE359" i="2"/>
  <c r="AY358" i="2"/>
  <c r="H358" i="2" s="1"/>
  <c r="AX358" i="2"/>
  <c r="AW358" i="2"/>
  <c r="AV358" i="2"/>
  <c r="AU358" i="2"/>
  <c r="AT358" i="2"/>
  <c r="AS358" i="2"/>
  <c r="AR358" i="2"/>
  <c r="AQ358" i="2"/>
  <c r="AH358" i="2" s="1"/>
  <c r="AL358" i="2"/>
  <c r="T358" i="2" s="1"/>
  <c r="AG358" i="2"/>
  <c r="AF358" i="2"/>
  <c r="AE358" i="2"/>
  <c r="AY357" i="2"/>
  <c r="AX357" i="2"/>
  <c r="AW357" i="2"/>
  <c r="AV357" i="2"/>
  <c r="AU357" i="2"/>
  <c r="AT357" i="2"/>
  <c r="AS357" i="2"/>
  <c r="AJ357" i="2" s="1"/>
  <c r="AR357" i="2"/>
  <c r="AQ357" i="2"/>
  <c r="AL357" i="2"/>
  <c r="AK357" i="2" s="1"/>
  <c r="AG357" i="2"/>
  <c r="AF357" i="2"/>
  <c r="AE357" i="2"/>
  <c r="H357" i="2"/>
  <c r="AY356" i="2"/>
  <c r="AX356" i="2"/>
  <c r="AW356" i="2"/>
  <c r="AV356" i="2"/>
  <c r="AU356" i="2"/>
  <c r="AT356" i="2"/>
  <c r="AG356" i="2" s="1"/>
  <c r="AS356" i="2"/>
  <c r="AR356" i="2"/>
  <c r="AQ356" i="2"/>
  <c r="AL356" i="2"/>
  <c r="T356" i="2" s="1"/>
  <c r="AF356" i="2"/>
  <c r="AE356" i="2"/>
  <c r="H356" i="2"/>
  <c r="AY355" i="2"/>
  <c r="AX355" i="2"/>
  <c r="AW355" i="2"/>
  <c r="AV355" i="2"/>
  <c r="AU355" i="2"/>
  <c r="AT355" i="2"/>
  <c r="AS355" i="2"/>
  <c r="AJ355" i="2" s="1"/>
  <c r="AR355" i="2"/>
  <c r="AQ355" i="2"/>
  <c r="AL355" i="2"/>
  <c r="T355" i="2" s="1"/>
  <c r="AG355" i="2"/>
  <c r="AF355" i="2"/>
  <c r="AE355" i="2"/>
  <c r="H355" i="2"/>
  <c r="AY354" i="2"/>
  <c r="AX354" i="2"/>
  <c r="AW354" i="2"/>
  <c r="AV354" i="2"/>
  <c r="AU354" i="2"/>
  <c r="AT354" i="2"/>
  <c r="AG354" i="2" s="1"/>
  <c r="AS354" i="2"/>
  <c r="AR354" i="2"/>
  <c r="AQ354" i="2"/>
  <c r="AL354" i="2"/>
  <c r="T354" i="2" s="1"/>
  <c r="AF354" i="2"/>
  <c r="AE354" i="2"/>
  <c r="H354" i="2"/>
  <c r="AY353" i="2"/>
  <c r="AX353" i="2"/>
  <c r="AW353" i="2"/>
  <c r="AV353" i="2"/>
  <c r="AU353" i="2"/>
  <c r="AT353" i="2"/>
  <c r="AS353" i="2"/>
  <c r="AJ353" i="2" s="1"/>
  <c r="AR353" i="2"/>
  <c r="AQ353" i="2"/>
  <c r="AL353" i="2"/>
  <c r="T353" i="2" s="1"/>
  <c r="AG353" i="2"/>
  <c r="AF353" i="2"/>
  <c r="AE353" i="2"/>
  <c r="H353" i="2"/>
  <c r="AY352" i="2"/>
  <c r="AX352" i="2"/>
  <c r="H352" i="2" s="1"/>
  <c r="AW352" i="2"/>
  <c r="AV352" i="2"/>
  <c r="AU352" i="2"/>
  <c r="AT352" i="2"/>
  <c r="AG352" i="2" s="1"/>
  <c r="AS352" i="2"/>
  <c r="AR352" i="2"/>
  <c r="AQ352" i="2"/>
  <c r="AL352" i="2"/>
  <c r="T352" i="2" s="1"/>
  <c r="AF352" i="2"/>
  <c r="AE352" i="2"/>
  <c r="AY351" i="2"/>
  <c r="AX351" i="2"/>
  <c r="H351" i="2" s="1"/>
  <c r="AW351" i="2"/>
  <c r="AV351" i="2"/>
  <c r="AU351" i="2"/>
  <c r="AT351" i="2"/>
  <c r="AS351" i="2"/>
  <c r="AJ351" i="2" s="1"/>
  <c r="AR351" i="2"/>
  <c r="AQ351" i="2"/>
  <c r="AH351" i="2" s="1"/>
  <c r="AL351" i="2"/>
  <c r="AG351" i="2"/>
  <c r="AF351" i="2"/>
  <c r="AE351" i="2"/>
  <c r="AY350" i="2"/>
  <c r="AX350" i="2"/>
  <c r="H350" i="2" s="1"/>
  <c r="AW350" i="2"/>
  <c r="AV350" i="2"/>
  <c r="AU350" i="2"/>
  <c r="AT350" i="2"/>
  <c r="AG350" i="2" s="1"/>
  <c r="AS350" i="2"/>
  <c r="AJ350" i="2" s="1"/>
  <c r="AR350" i="2"/>
  <c r="AQ350" i="2"/>
  <c r="AL350" i="2"/>
  <c r="T350" i="2" s="1"/>
  <c r="AF350" i="2"/>
  <c r="AE350" i="2"/>
  <c r="AY349" i="2"/>
  <c r="AX349" i="2"/>
  <c r="H349" i="2" s="1"/>
  <c r="AW349" i="2"/>
  <c r="AV349" i="2"/>
  <c r="AU349" i="2"/>
  <c r="AT349" i="2"/>
  <c r="AS349" i="2"/>
  <c r="AJ349" i="2" s="1"/>
  <c r="AR349" i="2"/>
  <c r="AQ349" i="2"/>
  <c r="AH349" i="2" s="1"/>
  <c r="AL349" i="2"/>
  <c r="AG349" i="2"/>
  <c r="AF349" i="2"/>
  <c r="AE349" i="2"/>
  <c r="AY348" i="2"/>
  <c r="AX348" i="2"/>
  <c r="H348" i="2" s="1"/>
  <c r="AW348" i="2"/>
  <c r="AV348" i="2"/>
  <c r="AU348" i="2"/>
  <c r="AT348" i="2"/>
  <c r="AG348" i="2" s="1"/>
  <c r="AS348" i="2"/>
  <c r="AR348" i="2"/>
  <c r="AQ348" i="2"/>
  <c r="AL348" i="2"/>
  <c r="T348" i="2" s="1"/>
  <c r="AF348" i="2"/>
  <c r="AE348" i="2"/>
  <c r="AY347" i="2"/>
  <c r="AX347" i="2"/>
  <c r="H347" i="2" s="1"/>
  <c r="AW347" i="2"/>
  <c r="AV347" i="2"/>
  <c r="AU347" i="2"/>
  <c r="AT347" i="2"/>
  <c r="AS347" i="2"/>
  <c r="AJ347" i="2" s="1"/>
  <c r="AR347" i="2"/>
  <c r="AQ347" i="2"/>
  <c r="AH347" i="2" s="1"/>
  <c r="AL347" i="2"/>
  <c r="AG347" i="2"/>
  <c r="AF347" i="2"/>
  <c r="AE347" i="2"/>
  <c r="AY346" i="2"/>
  <c r="AX346" i="2"/>
  <c r="H346" i="2" s="1"/>
  <c r="AW346" i="2"/>
  <c r="AV346" i="2"/>
  <c r="AU346" i="2"/>
  <c r="AT346" i="2"/>
  <c r="AG346" i="2" s="1"/>
  <c r="AS346" i="2"/>
  <c r="AR346" i="2"/>
  <c r="AQ346" i="2"/>
  <c r="AL346" i="2"/>
  <c r="T346" i="2" s="1"/>
  <c r="AF346" i="2"/>
  <c r="AE346" i="2"/>
  <c r="AY345" i="2"/>
  <c r="AX345" i="2"/>
  <c r="H345" i="2" s="1"/>
  <c r="AW345" i="2"/>
  <c r="AV345" i="2"/>
  <c r="AU345" i="2"/>
  <c r="AT345" i="2"/>
  <c r="AS345" i="2"/>
  <c r="AJ345" i="2" s="1"/>
  <c r="AR345" i="2"/>
  <c r="AQ345" i="2"/>
  <c r="AH345" i="2" s="1"/>
  <c r="AL345" i="2"/>
  <c r="AG345" i="2"/>
  <c r="AF345" i="2"/>
  <c r="AE345" i="2"/>
  <c r="AY344" i="2"/>
  <c r="AX344" i="2"/>
  <c r="H344" i="2" s="1"/>
  <c r="AW344" i="2"/>
  <c r="AV344" i="2"/>
  <c r="AU344" i="2"/>
  <c r="AT344" i="2"/>
  <c r="AS344" i="2"/>
  <c r="AR344" i="2"/>
  <c r="AQ344" i="2"/>
  <c r="AL344" i="2"/>
  <c r="T344" i="2" s="1"/>
  <c r="AG344" i="2"/>
  <c r="AF344" i="2"/>
  <c r="AE344" i="2"/>
  <c r="AY343" i="2"/>
  <c r="AX343" i="2"/>
  <c r="H343" i="2" s="1"/>
  <c r="AW343" i="2"/>
  <c r="AV343" i="2"/>
  <c r="AU343" i="2"/>
  <c r="AT343" i="2"/>
  <c r="AG343" i="2" s="1"/>
  <c r="AS343" i="2"/>
  <c r="AR343" i="2"/>
  <c r="AQ343" i="2"/>
  <c r="AH343" i="2" s="1"/>
  <c r="AL343" i="2"/>
  <c r="T343" i="2" s="1"/>
  <c r="AF343" i="2"/>
  <c r="AE343" i="2"/>
  <c r="AY342" i="2"/>
  <c r="AX342" i="2"/>
  <c r="H342" i="2" s="1"/>
  <c r="AW342" i="2"/>
  <c r="AV342" i="2"/>
  <c r="AU342" i="2"/>
  <c r="AT342" i="2"/>
  <c r="AG342" i="2" s="1"/>
  <c r="AS342" i="2"/>
  <c r="AR342" i="2"/>
  <c r="AQ342" i="2"/>
  <c r="AH342" i="2" s="1"/>
  <c r="AL342" i="2"/>
  <c r="AF342" i="2"/>
  <c r="AE342" i="2"/>
  <c r="AY341" i="2"/>
  <c r="AX341" i="2"/>
  <c r="H341" i="2" s="1"/>
  <c r="AW341" i="2"/>
  <c r="AV341" i="2"/>
  <c r="AU341" i="2"/>
  <c r="AT341" i="2"/>
  <c r="AS341" i="2"/>
  <c r="AJ341" i="2" s="1"/>
  <c r="AR341" i="2"/>
  <c r="AQ341" i="2"/>
  <c r="AL341" i="2"/>
  <c r="AG341" i="2"/>
  <c r="AF341" i="2"/>
  <c r="AE341" i="2"/>
  <c r="AY340" i="2"/>
  <c r="AX340" i="2"/>
  <c r="H340" i="2" s="1"/>
  <c r="AW340" i="2"/>
  <c r="AV340" i="2"/>
  <c r="AU340" i="2"/>
  <c r="AT340" i="2"/>
  <c r="AS340" i="2"/>
  <c r="AJ340" i="2" s="1"/>
  <c r="AR340" i="2"/>
  <c r="AQ340" i="2"/>
  <c r="AL340" i="2"/>
  <c r="T340" i="2" s="1"/>
  <c r="AG340" i="2"/>
  <c r="AF340" i="2"/>
  <c r="AE340" i="2"/>
  <c r="AY339" i="2"/>
  <c r="AX339" i="2"/>
  <c r="H339" i="2" s="1"/>
  <c r="AW339" i="2"/>
  <c r="AV339" i="2"/>
  <c r="AU339" i="2"/>
  <c r="AT339" i="2"/>
  <c r="AG339" i="2" s="1"/>
  <c r="AS339" i="2"/>
  <c r="AR339" i="2"/>
  <c r="AQ339" i="2"/>
  <c r="AH339" i="2" s="1"/>
  <c r="AL339" i="2"/>
  <c r="T339" i="2" s="1"/>
  <c r="AF339" i="2"/>
  <c r="AE339" i="2"/>
  <c r="AY338" i="2"/>
  <c r="AX338" i="2"/>
  <c r="H338" i="2" s="1"/>
  <c r="AW338" i="2"/>
  <c r="AV338" i="2"/>
  <c r="AU338" i="2"/>
  <c r="AT338" i="2"/>
  <c r="AS338" i="2"/>
  <c r="AJ338" i="2" s="1"/>
  <c r="AR338" i="2"/>
  <c r="AQ338" i="2"/>
  <c r="AH338" i="2" s="1"/>
  <c r="AL338" i="2"/>
  <c r="AG338" i="2"/>
  <c r="AF338" i="2"/>
  <c r="AE338" i="2"/>
  <c r="AY337" i="2"/>
  <c r="AX337" i="2"/>
  <c r="H337" i="2" s="1"/>
  <c r="AW337" i="2"/>
  <c r="AV337" i="2"/>
  <c r="AU337" i="2"/>
  <c r="AT337" i="2"/>
  <c r="AS337" i="2"/>
  <c r="AJ337" i="2" s="1"/>
  <c r="AR337" i="2"/>
  <c r="AQ337" i="2"/>
  <c r="AL337" i="2"/>
  <c r="T337" i="2" s="1"/>
  <c r="AG337" i="2"/>
  <c r="AF337" i="2"/>
  <c r="AE337" i="2"/>
  <c r="AY336" i="2"/>
  <c r="AX336" i="2"/>
  <c r="H336" i="2" s="1"/>
  <c r="AW336" i="2"/>
  <c r="AV336" i="2"/>
  <c r="AU336" i="2"/>
  <c r="AT336" i="2"/>
  <c r="AS336" i="2"/>
  <c r="AJ336" i="2" s="1"/>
  <c r="AR336" i="2"/>
  <c r="AQ336" i="2"/>
  <c r="AH336" i="2" s="1"/>
  <c r="AL336" i="2"/>
  <c r="T336" i="2" s="1"/>
  <c r="AG336" i="2"/>
  <c r="AF336" i="2"/>
  <c r="AE336" i="2"/>
  <c r="AY335" i="2"/>
  <c r="AX335" i="2"/>
  <c r="H335" i="2" s="1"/>
  <c r="AW335" i="2"/>
  <c r="AV335" i="2"/>
  <c r="AU335" i="2"/>
  <c r="AT335" i="2"/>
  <c r="AG335" i="2" s="1"/>
  <c r="AS335" i="2"/>
  <c r="AR335" i="2"/>
  <c r="AQ335" i="2"/>
  <c r="AH335" i="2" s="1"/>
  <c r="AL335" i="2"/>
  <c r="T335" i="2" s="1"/>
  <c r="AF335" i="2"/>
  <c r="AE335" i="2"/>
  <c r="AY334" i="2"/>
  <c r="AX334" i="2"/>
  <c r="H334" i="2" s="1"/>
  <c r="AW334" i="2"/>
  <c r="AV334" i="2"/>
  <c r="AU334" i="2"/>
  <c r="AT334" i="2"/>
  <c r="AS334" i="2"/>
  <c r="AJ334" i="2" s="1"/>
  <c r="AR334" i="2"/>
  <c r="AQ334" i="2"/>
  <c r="AH334" i="2" s="1"/>
  <c r="AL334" i="2"/>
  <c r="AG334" i="2"/>
  <c r="AF334" i="2"/>
  <c r="AE334" i="2"/>
  <c r="AY333" i="2"/>
  <c r="AX333" i="2"/>
  <c r="H333" i="2" s="1"/>
  <c r="AW333" i="2"/>
  <c r="AV333" i="2"/>
  <c r="AU333" i="2"/>
  <c r="AT333" i="2"/>
  <c r="AS333" i="2"/>
  <c r="AJ333" i="2" s="1"/>
  <c r="AR333" i="2"/>
  <c r="AQ333" i="2"/>
  <c r="AL333" i="2"/>
  <c r="T333" i="2" s="1"/>
  <c r="AG333" i="2"/>
  <c r="AF333" i="2"/>
  <c r="AE333" i="2"/>
  <c r="AY332" i="2"/>
  <c r="AX332" i="2"/>
  <c r="H332" i="2" s="1"/>
  <c r="AW332" i="2"/>
  <c r="AV332" i="2"/>
  <c r="AU332" i="2"/>
  <c r="AT332" i="2"/>
  <c r="AS332" i="2"/>
  <c r="AJ332" i="2" s="1"/>
  <c r="AR332" i="2"/>
  <c r="AQ332" i="2"/>
  <c r="AH332" i="2" s="1"/>
  <c r="AL332" i="2"/>
  <c r="T332" i="2" s="1"/>
  <c r="AG332" i="2"/>
  <c r="AF332" i="2"/>
  <c r="AE332" i="2"/>
  <c r="AY331" i="2"/>
  <c r="AX331" i="2"/>
  <c r="H331" i="2" s="1"/>
  <c r="AW331" i="2"/>
  <c r="AV331" i="2"/>
  <c r="AU331" i="2"/>
  <c r="AT331" i="2"/>
  <c r="AG331" i="2" s="1"/>
  <c r="AS331" i="2"/>
  <c r="AR331" i="2"/>
  <c r="AQ331" i="2"/>
  <c r="AH331" i="2" s="1"/>
  <c r="AL331" i="2"/>
  <c r="T331" i="2" s="1"/>
  <c r="AF331" i="2"/>
  <c r="AE331" i="2"/>
  <c r="AY330" i="2"/>
  <c r="AX330" i="2"/>
  <c r="H330" i="2" s="1"/>
  <c r="AW330" i="2"/>
  <c r="AV330" i="2"/>
  <c r="AU330" i="2"/>
  <c r="AT330" i="2"/>
  <c r="AS330" i="2"/>
  <c r="AJ330" i="2" s="1"/>
  <c r="AR330" i="2"/>
  <c r="AQ330" i="2"/>
  <c r="AH330" i="2" s="1"/>
  <c r="AL330" i="2"/>
  <c r="AG330" i="2"/>
  <c r="AF330" i="2"/>
  <c r="AE330" i="2"/>
  <c r="AY329" i="2"/>
  <c r="AX329" i="2"/>
  <c r="H329" i="2" s="1"/>
  <c r="AW329" i="2"/>
  <c r="AV329" i="2"/>
  <c r="AU329" i="2"/>
  <c r="AT329" i="2"/>
  <c r="AS329" i="2"/>
  <c r="AJ329" i="2" s="1"/>
  <c r="AR329" i="2"/>
  <c r="AQ329" i="2"/>
  <c r="AL329" i="2"/>
  <c r="T329" i="2" s="1"/>
  <c r="AG329" i="2"/>
  <c r="AF329" i="2"/>
  <c r="AE329" i="2"/>
  <c r="AY328" i="2"/>
  <c r="AX328" i="2"/>
  <c r="H328" i="2" s="1"/>
  <c r="AW328" i="2"/>
  <c r="AV328" i="2"/>
  <c r="AU328" i="2"/>
  <c r="AT328" i="2"/>
  <c r="AS328" i="2"/>
  <c r="AJ328" i="2" s="1"/>
  <c r="AR328" i="2"/>
  <c r="AQ328" i="2"/>
  <c r="AH328" i="2" s="1"/>
  <c r="AL328" i="2"/>
  <c r="T328" i="2" s="1"/>
  <c r="AG328" i="2"/>
  <c r="AF328" i="2"/>
  <c r="AE328" i="2"/>
  <c r="AY327" i="2"/>
  <c r="AX327" i="2"/>
  <c r="H327" i="2" s="1"/>
  <c r="AW327" i="2"/>
  <c r="AV327" i="2"/>
  <c r="AU327" i="2"/>
  <c r="AT327" i="2"/>
  <c r="AG327" i="2" s="1"/>
  <c r="AS327" i="2"/>
  <c r="AR327" i="2"/>
  <c r="AQ327" i="2"/>
  <c r="AH327" i="2" s="1"/>
  <c r="AL327" i="2"/>
  <c r="T327" i="2" s="1"/>
  <c r="AF327" i="2"/>
  <c r="AE327" i="2"/>
  <c r="AY326" i="2"/>
  <c r="AX326" i="2"/>
  <c r="H326" i="2" s="1"/>
  <c r="AW326" i="2"/>
  <c r="AV326" i="2"/>
  <c r="AU326" i="2"/>
  <c r="AT326" i="2"/>
  <c r="AS326" i="2"/>
  <c r="AJ326" i="2" s="1"/>
  <c r="AR326" i="2"/>
  <c r="AQ326" i="2"/>
  <c r="AH326" i="2" s="1"/>
  <c r="AL326" i="2"/>
  <c r="AG326" i="2"/>
  <c r="AF326" i="2"/>
  <c r="AE326" i="2"/>
  <c r="AY325" i="2"/>
  <c r="AX325" i="2"/>
  <c r="H325" i="2" s="1"/>
  <c r="AW325" i="2"/>
  <c r="AV325" i="2"/>
  <c r="AU325" i="2"/>
  <c r="AT325" i="2"/>
  <c r="AS325" i="2"/>
  <c r="AJ325" i="2" s="1"/>
  <c r="AR325" i="2"/>
  <c r="AQ325" i="2"/>
  <c r="AL325" i="2"/>
  <c r="T325" i="2" s="1"/>
  <c r="AG325" i="2"/>
  <c r="AF325" i="2"/>
  <c r="AE325" i="2"/>
  <c r="AY324" i="2"/>
  <c r="AX324" i="2"/>
  <c r="H324" i="2" s="1"/>
  <c r="AW324" i="2"/>
  <c r="AV324" i="2"/>
  <c r="AU324" i="2"/>
  <c r="AT324" i="2"/>
  <c r="AS324" i="2"/>
  <c r="AJ324" i="2" s="1"/>
  <c r="AR324" i="2"/>
  <c r="AQ324" i="2"/>
  <c r="AH324" i="2" s="1"/>
  <c r="AL324" i="2"/>
  <c r="T324" i="2" s="1"/>
  <c r="AG324" i="2"/>
  <c r="AF324" i="2"/>
  <c r="AE324" i="2"/>
  <c r="AY323" i="2"/>
  <c r="AX323" i="2"/>
  <c r="H323" i="2" s="1"/>
  <c r="AW323" i="2"/>
  <c r="AV323" i="2"/>
  <c r="AU323" i="2"/>
  <c r="AT323" i="2"/>
  <c r="AG323" i="2" s="1"/>
  <c r="AS323" i="2"/>
  <c r="AR323" i="2"/>
  <c r="AQ323" i="2"/>
  <c r="AH323" i="2" s="1"/>
  <c r="AL323" i="2"/>
  <c r="T323" i="2" s="1"/>
  <c r="AF323" i="2"/>
  <c r="AE323" i="2"/>
  <c r="AY322" i="2"/>
  <c r="AX322" i="2"/>
  <c r="H322" i="2" s="1"/>
  <c r="AW322" i="2"/>
  <c r="AV322" i="2"/>
  <c r="AU322" i="2"/>
  <c r="AT322" i="2"/>
  <c r="AS322" i="2"/>
  <c r="AJ322" i="2" s="1"/>
  <c r="AR322" i="2"/>
  <c r="AQ322" i="2"/>
  <c r="AH322" i="2" s="1"/>
  <c r="AL322" i="2"/>
  <c r="AG322" i="2"/>
  <c r="AF322" i="2"/>
  <c r="AE322" i="2"/>
  <c r="AY321" i="2"/>
  <c r="AX321" i="2"/>
  <c r="H321" i="2" s="1"/>
  <c r="AW321" i="2"/>
  <c r="AV321" i="2"/>
  <c r="AU321" i="2"/>
  <c r="AT321" i="2"/>
  <c r="AS321" i="2"/>
  <c r="AJ321" i="2" s="1"/>
  <c r="AR321" i="2"/>
  <c r="AQ321" i="2"/>
  <c r="AL321" i="2"/>
  <c r="T321" i="2" s="1"/>
  <c r="AG321" i="2"/>
  <c r="AF321" i="2"/>
  <c r="AE321" i="2"/>
  <c r="AY320" i="2"/>
  <c r="AX320" i="2"/>
  <c r="H320" i="2" s="1"/>
  <c r="AW320" i="2"/>
  <c r="AV320" i="2"/>
  <c r="AU320" i="2"/>
  <c r="AT320" i="2"/>
  <c r="AS320" i="2"/>
  <c r="AJ320" i="2" s="1"/>
  <c r="AR320" i="2"/>
  <c r="AQ320" i="2"/>
  <c r="AH320" i="2" s="1"/>
  <c r="AL320" i="2"/>
  <c r="T320" i="2" s="1"/>
  <c r="AG320" i="2"/>
  <c r="AF320" i="2"/>
  <c r="AE320" i="2"/>
  <c r="AY319" i="2"/>
  <c r="AX319" i="2"/>
  <c r="H319" i="2" s="1"/>
  <c r="AW319" i="2"/>
  <c r="AV319" i="2"/>
  <c r="AU319" i="2"/>
  <c r="AT319" i="2"/>
  <c r="AG319" i="2" s="1"/>
  <c r="AS319" i="2"/>
  <c r="AR319" i="2"/>
  <c r="AQ319" i="2"/>
  <c r="AH319" i="2" s="1"/>
  <c r="AL319" i="2"/>
  <c r="T319" i="2" s="1"/>
  <c r="AF319" i="2"/>
  <c r="AE319" i="2"/>
  <c r="AY318" i="2"/>
  <c r="AX318" i="2"/>
  <c r="H318" i="2" s="1"/>
  <c r="AW318" i="2"/>
  <c r="AV318" i="2"/>
  <c r="AU318" i="2"/>
  <c r="AT318" i="2"/>
  <c r="AS318" i="2"/>
  <c r="AJ318" i="2" s="1"/>
  <c r="AR318" i="2"/>
  <c r="AQ318" i="2"/>
  <c r="AH318" i="2" s="1"/>
  <c r="AL318" i="2"/>
  <c r="AG318" i="2"/>
  <c r="AF318" i="2"/>
  <c r="AE318" i="2"/>
  <c r="AY317" i="2"/>
  <c r="AX317" i="2"/>
  <c r="H317" i="2" s="1"/>
  <c r="AW317" i="2"/>
  <c r="AV317" i="2"/>
  <c r="AU317" i="2"/>
  <c r="AT317" i="2"/>
  <c r="AS317" i="2"/>
  <c r="AJ317" i="2" s="1"/>
  <c r="AR317" i="2"/>
  <c r="AQ317" i="2"/>
  <c r="AL317" i="2"/>
  <c r="T317" i="2" s="1"/>
  <c r="AG317" i="2"/>
  <c r="AF317" i="2"/>
  <c r="AE317" i="2"/>
  <c r="AY316" i="2"/>
  <c r="AX316" i="2"/>
  <c r="H316" i="2" s="1"/>
  <c r="AW316" i="2"/>
  <c r="AV316" i="2"/>
  <c r="AU316" i="2"/>
  <c r="AT316" i="2"/>
  <c r="AS316" i="2"/>
  <c r="AJ316" i="2" s="1"/>
  <c r="AR316" i="2"/>
  <c r="AQ316" i="2"/>
  <c r="AH316" i="2" s="1"/>
  <c r="AL316" i="2"/>
  <c r="T316" i="2" s="1"/>
  <c r="AG316" i="2"/>
  <c r="AF316" i="2"/>
  <c r="AE316" i="2"/>
  <c r="AY315" i="2"/>
  <c r="AX315" i="2"/>
  <c r="H315" i="2" s="1"/>
  <c r="AW315" i="2"/>
  <c r="AV315" i="2"/>
  <c r="AU315" i="2"/>
  <c r="AT315" i="2"/>
  <c r="AG315" i="2" s="1"/>
  <c r="AS315" i="2"/>
  <c r="AR315" i="2"/>
  <c r="AQ315" i="2"/>
  <c r="AH315" i="2" s="1"/>
  <c r="AL315" i="2"/>
  <c r="T315" i="2" s="1"/>
  <c r="AF315" i="2"/>
  <c r="AE315" i="2"/>
  <c r="AY314" i="2"/>
  <c r="AX314" i="2"/>
  <c r="H314" i="2" s="1"/>
  <c r="AW314" i="2"/>
  <c r="AV314" i="2"/>
  <c r="AU314" i="2"/>
  <c r="AT314" i="2"/>
  <c r="AS314" i="2"/>
  <c r="AJ314" i="2" s="1"/>
  <c r="AR314" i="2"/>
  <c r="AQ314" i="2"/>
  <c r="AH314" i="2" s="1"/>
  <c r="J314" i="2" s="1"/>
  <c r="AL314" i="2"/>
  <c r="AK314" i="2"/>
  <c r="AG314" i="2"/>
  <c r="AF314" i="2"/>
  <c r="AE314" i="2"/>
  <c r="AY313" i="2"/>
  <c r="AJ313" i="2" s="1"/>
  <c r="AX313" i="2"/>
  <c r="AW313" i="2"/>
  <c r="AV313" i="2"/>
  <c r="AU313" i="2"/>
  <c r="X313" i="2" s="1"/>
  <c r="AT313" i="2"/>
  <c r="AG313" i="2" s="1"/>
  <c r="AS313" i="2"/>
  <c r="AR313" i="2"/>
  <c r="AQ313" i="2"/>
  <c r="AM313" i="2"/>
  <c r="AL313" i="2"/>
  <c r="AH313" i="2"/>
  <c r="J313" i="2" s="1"/>
  <c r="AF313" i="2"/>
  <c r="AE313" i="2"/>
  <c r="AY312" i="2"/>
  <c r="AX312" i="2"/>
  <c r="AW312" i="2"/>
  <c r="AV312" i="2"/>
  <c r="AU312" i="2"/>
  <c r="X312" i="2" s="1"/>
  <c r="AT312" i="2"/>
  <c r="AG312" i="2" s="1"/>
  <c r="AS312" i="2"/>
  <c r="AR312" i="2"/>
  <c r="AQ312" i="2"/>
  <c r="AH312" i="2" s="1"/>
  <c r="AM312" i="2"/>
  <c r="AL312" i="2"/>
  <c r="AK312" i="2" s="1"/>
  <c r="AJ312" i="2"/>
  <c r="AF312" i="2"/>
  <c r="AE312" i="2"/>
  <c r="T312" i="2"/>
  <c r="Z312" i="2" s="1"/>
  <c r="AY311" i="2"/>
  <c r="AX311" i="2"/>
  <c r="AW311" i="2"/>
  <c r="AV311" i="2"/>
  <c r="AU311" i="2"/>
  <c r="AT311" i="2"/>
  <c r="AG311" i="2" s="1"/>
  <c r="AS311" i="2"/>
  <c r="AR311" i="2"/>
  <c r="AQ311" i="2"/>
  <c r="AM311" i="2"/>
  <c r="U311" i="2" s="1"/>
  <c r="AL311" i="2"/>
  <c r="AK311" i="2" s="1"/>
  <c r="AJ311" i="2"/>
  <c r="AH311" i="2"/>
  <c r="AF311" i="2"/>
  <c r="AE311" i="2"/>
  <c r="X311" i="2"/>
  <c r="AD311" i="2" s="1"/>
  <c r="AY310" i="2"/>
  <c r="AX310" i="2"/>
  <c r="AW310" i="2"/>
  <c r="AV310" i="2"/>
  <c r="AU310" i="2"/>
  <c r="X310" i="2" s="1"/>
  <c r="AT310" i="2"/>
  <c r="AG310" i="2" s="1"/>
  <c r="AS310" i="2"/>
  <c r="AR310" i="2"/>
  <c r="AQ310" i="2"/>
  <c r="AH310" i="2" s="1"/>
  <c r="AM310" i="2"/>
  <c r="AL310" i="2"/>
  <c r="T310" i="2" s="1"/>
  <c r="Z310" i="2" s="1"/>
  <c r="AJ310" i="2"/>
  <c r="AF310" i="2"/>
  <c r="AE310" i="2"/>
  <c r="AY309" i="2"/>
  <c r="AX309" i="2"/>
  <c r="AW309" i="2"/>
  <c r="AV309" i="2"/>
  <c r="AU309" i="2"/>
  <c r="AT309" i="2"/>
  <c r="AG309" i="2" s="1"/>
  <c r="AS309" i="2"/>
  <c r="AR309" i="2"/>
  <c r="AQ309" i="2"/>
  <c r="AM309" i="2"/>
  <c r="AL309" i="2"/>
  <c r="AJ309" i="2"/>
  <c r="AH309" i="2"/>
  <c r="AF309" i="2"/>
  <c r="AE309" i="2"/>
  <c r="AY308" i="2"/>
  <c r="AX308" i="2"/>
  <c r="AW308" i="2"/>
  <c r="AV308" i="2"/>
  <c r="AU308" i="2"/>
  <c r="X308" i="2" s="1"/>
  <c r="AT308" i="2"/>
  <c r="AS308" i="2"/>
  <c r="AR308" i="2"/>
  <c r="AQ308" i="2"/>
  <c r="AH308" i="2" s="1"/>
  <c r="J308" i="2" s="1"/>
  <c r="AM308" i="2"/>
  <c r="AL308" i="2"/>
  <c r="AJ308" i="2"/>
  <c r="AG308" i="2"/>
  <c r="AF308" i="2"/>
  <c r="AE308" i="2"/>
  <c r="AY307" i="2"/>
  <c r="AJ307" i="2" s="1"/>
  <c r="AX307" i="2"/>
  <c r="AW307" i="2"/>
  <c r="AV307" i="2"/>
  <c r="AU307" i="2"/>
  <c r="X307" i="2" s="1"/>
  <c r="AD307" i="2" s="1"/>
  <c r="AT307" i="2"/>
  <c r="AG307" i="2" s="1"/>
  <c r="AS307" i="2"/>
  <c r="AR307" i="2"/>
  <c r="AQ307" i="2"/>
  <c r="AM307" i="2"/>
  <c r="U307" i="2" s="1"/>
  <c r="AL307" i="2"/>
  <c r="AH307" i="2"/>
  <c r="AF307" i="2"/>
  <c r="AE307" i="2"/>
  <c r="AY306" i="2"/>
  <c r="AJ306" i="2" s="1"/>
  <c r="AX306" i="2"/>
  <c r="AW306" i="2"/>
  <c r="AV306" i="2"/>
  <c r="AU306" i="2"/>
  <c r="AT306" i="2"/>
  <c r="AG306" i="2" s="1"/>
  <c r="AS306" i="2"/>
  <c r="AR306" i="2"/>
  <c r="AQ306" i="2"/>
  <c r="AH306" i="2" s="1"/>
  <c r="AM306" i="2"/>
  <c r="AL306" i="2"/>
  <c r="T306" i="2" s="1"/>
  <c r="Z306" i="2" s="1"/>
  <c r="AF306" i="2"/>
  <c r="AE306" i="2"/>
  <c r="AY305" i="2"/>
  <c r="AX305" i="2"/>
  <c r="AW305" i="2"/>
  <c r="AV305" i="2"/>
  <c r="AU305" i="2"/>
  <c r="AT305" i="2"/>
  <c r="AG305" i="2" s="1"/>
  <c r="AS305" i="2"/>
  <c r="AR305" i="2"/>
  <c r="AQ305" i="2"/>
  <c r="AM305" i="2"/>
  <c r="U305" i="2" s="1"/>
  <c r="AL305" i="2"/>
  <c r="AJ305" i="2"/>
  <c r="AH305" i="2"/>
  <c r="AF305" i="2"/>
  <c r="AE305" i="2"/>
  <c r="X305" i="2"/>
  <c r="AD305" i="2" s="1"/>
  <c r="AY304" i="2"/>
  <c r="AX304" i="2"/>
  <c r="AW304" i="2"/>
  <c r="AV304" i="2"/>
  <c r="AU304" i="2"/>
  <c r="X304" i="2" s="1"/>
  <c r="AT304" i="2"/>
  <c r="AG304" i="2" s="1"/>
  <c r="AS304" i="2"/>
  <c r="AR304" i="2"/>
  <c r="AQ304" i="2"/>
  <c r="AH304" i="2" s="1"/>
  <c r="AM304" i="2"/>
  <c r="AL304" i="2"/>
  <c r="T304" i="2" s="1"/>
  <c r="Z304" i="2" s="1"/>
  <c r="AJ304" i="2"/>
  <c r="AF304" i="2"/>
  <c r="AE304" i="2"/>
  <c r="AY303" i="2"/>
  <c r="AX303" i="2"/>
  <c r="AW303" i="2"/>
  <c r="AV303" i="2"/>
  <c r="AU303" i="2"/>
  <c r="AT303" i="2"/>
  <c r="AG303" i="2" s="1"/>
  <c r="AS303" i="2"/>
  <c r="AR303" i="2"/>
  <c r="AQ303" i="2"/>
  <c r="AM303" i="2"/>
  <c r="AL303" i="2"/>
  <c r="AJ303" i="2"/>
  <c r="AH303" i="2"/>
  <c r="AF303" i="2"/>
  <c r="AE303" i="2"/>
  <c r="AY302" i="2"/>
  <c r="AX302" i="2"/>
  <c r="AW302" i="2"/>
  <c r="AV302" i="2"/>
  <c r="AU302" i="2"/>
  <c r="X302" i="2" s="1"/>
  <c r="AT302" i="2"/>
  <c r="AS302" i="2"/>
  <c r="AR302" i="2"/>
  <c r="AQ302" i="2"/>
  <c r="AH302" i="2" s="1"/>
  <c r="J302" i="2" s="1"/>
  <c r="AM302" i="2"/>
  <c r="AL302" i="2"/>
  <c r="AJ302" i="2"/>
  <c r="AG302" i="2"/>
  <c r="AF302" i="2"/>
  <c r="AE302" i="2"/>
  <c r="AY301" i="2"/>
  <c r="AJ301" i="2" s="1"/>
  <c r="AX301" i="2"/>
  <c r="AW301" i="2"/>
  <c r="AV301" i="2"/>
  <c r="AU301" i="2"/>
  <c r="X301" i="2" s="1"/>
  <c r="AD301" i="2" s="1"/>
  <c r="AT301" i="2"/>
  <c r="AG301" i="2" s="1"/>
  <c r="AS301" i="2"/>
  <c r="AR301" i="2"/>
  <c r="AQ301" i="2"/>
  <c r="AM301" i="2"/>
  <c r="U301" i="2" s="1"/>
  <c r="AL301" i="2"/>
  <c r="AH301" i="2"/>
  <c r="J301" i="2" s="1"/>
  <c r="AF301" i="2"/>
  <c r="AE301" i="2"/>
  <c r="AY300" i="2"/>
  <c r="AJ300" i="2" s="1"/>
  <c r="AX300" i="2"/>
  <c r="AW300" i="2"/>
  <c r="AV300" i="2"/>
  <c r="AU300" i="2"/>
  <c r="AT300" i="2"/>
  <c r="AG300" i="2" s="1"/>
  <c r="AS300" i="2"/>
  <c r="AR300" i="2"/>
  <c r="AQ300" i="2"/>
  <c r="AH300" i="2" s="1"/>
  <c r="AM300" i="2"/>
  <c r="AL300" i="2"/>
  <c r="T300" i="2" s="1"/>
  <c r="Z300" i="2" s="1"/>
  <c r="AF300" i="2"/>
  <c r="AE300" i="2"/>
  <c r="AY299" i="2"/>
  <c r="AX299" i="2"/>
  <c r="AW299" i="2"/>
  <c r="AV299" i="2"/>
  <c r="AU299" i="2"/>
  <c r="AT299" i="2"/>
  <c r="AG299" i="2" s="1"/>
  <c r="AS299" i="2"/>
  <c r="AR299" i="2"/>
  <c r="AQ299" i="2"/>
  <c r="AM299" i="2"/>
  <c r="AL299" i="2"/>
  <c r="AJ299" i="2"/>
  <c r="AH299" i="2"/>
  <c r="AF299" i="2"/>
  <c r="AE299" i="2"/>
  <c r="X299" i="2"/>
  <c r="AD299" i="2" s="1"/>
  <c r="AY298" i="2"/>
  <c r="AX298" i="2"/>
  <c r="AW298" i="2"/>
  <c r="AV298" i="2"/>
  <c r="AU298" i="2"/>
  <c r="X298" i="2" s="1"/>
  <c r="AT298" i="2"/>
  <c r="AG298" i="2" s="1"/>
  <c r="AS298" i="2"/>
  <c r="AR298" i="2"/>
  <c r="AQ298" i="2"/>
  <c r="AH298" i="2" s="1"/>
  <c r="AM298" i="2"/>
  <c r="AL298" i="2"/>
  <c r="AJ298" i="2"/>
  <c r="AF298" i="2"/>
  <c r="AE298" i="2"/>
  <c r="AY297" i="2"/>
  <c r="AX297" i="2"/>
  <c r="AW297" i="2"/>
  <c r="AV297" i="2"/>
  <c r="AU297" i="2"/>
  <c r="AT297" i="2"/>
  <c r="AG297" i="2" s="1"/>
  <c r="AS297" i="2"/>
  <c r="AR297" i="2"/>
  <c r="AQ297" i="2"/>
  <c r="AM297" i="2"/>
  <c r="AL297" i="2"/>
  <c r="AK297" i="2" s="1"/>
  <c r="AJ297" i="2"/>
  <c r="AH297" i="2"/>
  <c r="AF297" i="2"/>
  <c r="AE297" i="2"/>
  <c r="AY296" i="2"/>
  <c r="AX296" i="2"/>
  <c r="AW296" i="2"/>
  <c r="AV296" i="2"/>
  <c r="AU296" i="2"/>
  <c r="X296" i="2" s="1"/>
  <c r="AT296" i="2"/>
  <c r="AS296" i="2"/>
  <c r="AR296" i="2"/>
  <c r="AQ296" i="2"/>
  <c r="AH296" i="2" s="1"/>
  <c r="J296" i="2" s="1"/>
  <c r="AM296" i="2"/>
  <c r="AL296" i="2"/>
  <c r="AJ296" i="2"/>
  <c r="AG296" i="2"/>
  <c r="AF296" i="2"/>
  <c r="AE296" i="2"/>
  <c r="AY295" i="2"/>
  <c r="AJ295" i="2" s="1"/>
  <c r="AX295" i="2"/>
  <c r="AW295" i="2"/>
  <c r="AV295" i="2"/>
  <c r="AU295" i="2"/>
  <c r="X295" i="2" s="1"/>
  <c r="AD295" i="2" s="1"/>
  <c r="AT295" i="2"/>
  <c r="AG295" i="2" s="1"/>
  <c r="AS295" i="2"/>
  <c r="AR295" i="2"/>
  <c r="AQ295" i="2"/>
  <c r="AM295" i="2"/>
  <c r="U295" i="2" s="1"/>
  <c r="AL295" i="2"/>
  <c r="AH295" i="2"/>
  <c r="J295" i="2" s="1"/>
  <c r="AF295" i="2"/>
  <c r="AE295" i="2"/>
  <c r="AY294" i="2"/>
  <c r="AJ294" i="2" s="1"/>
  <c r="AX294" i="2"/>
  <c r="AW294" i="2"/>
  <c r="AV294" i="2"/>
  <c r="AU294" i="2"/>
  <c r="AT294" i="2"/>
  <c r="AG294" i="2" s="1"/>
  <c r="AS294" i="2"/>
  <c r="AR294" i="2"/>
  <c r="AQ294" i="2"/>
  <c r="AH294" i="2" s="1"/>
  <c r="J294" i="2" s="1"/>
  <c r="AM294" i="2"/>
  <c r="AL294" i="2"/>
  <c r="T294" i="2" s="1"/>
  <c r="Z294" i="2" s="1"/>
  <c r="AF294" i="2"/>
  <c r="AE294" i="2"/>
  <c r="AY293" i="2"/>
  <c r="AX293" i="2"/>
  <c r="AW293" i="2"/>
  <c r="AV293" i="2"/>
  <c r="AU293" i="2"/>
  <c r="AT293" i="2"/>
  <c r="AG293" i="2" s="1"/>
  <c r="AS293" i="2"/>
  <c r="AR293" i="2"/>
  <c r="AQ293" i="2"/>
  <c r="AM293" i="2"/>
  <c r="AL293" i="2"/>
  <c r="AJ293" i="2"/>
  <c r="AH293" i="2"/>
  <c r="AF293" i="2"/>
  <c r="AE293" i="2"/>
  <c r="X293" i="2"/>
  <c r="AD293" i="2" s="1"/>
  <c r="AY292" i="2"/>
  <c r="AX292" i="2"/>
  <c r="AW292" i="2"/>
  <c r="AV292" i="2"/>
  <c r="AG292" i="2" s="1"/>
  <c r="AU292" i="2"/>
  <c r="AT292" i="2"/>
  <c r="AS292" i="2"/>
  <c r="AR292" i="2"/>
  <c r="AQ292" i="2"/>
  <c r="AH292" i="2" s="1"/>
  <c r="AL292" i="2"/>
  <c r="AK292" i="2" s="1"/>
  <c r="AJ292" i="2"/>
  <c r="AF292" i="2"/>
  <c r="AE292" i="2"/>
  <c r="AY291" i="2"/>
  <c r="AX291" i="2"/>
  <c r="AJ291" i="2" s="1"/>
  <c r="AW291" i="2"/>
  <c r="AV291" i="2"/>
  <c r="AG291" i="2" s="1"/>
  <c r="AU291" i="2"/>
  <c r="AT291" i="2"/>
  <c r="AS291" i="2"/>
  <c r="AR291" i="2"/>
  <c r="AQ291" i="2"/>
  <c r="AH291" i="2" s="1"/>
  <c r="J291" i="2" s="1"/>
  <c r="AL291" i="2"/>
  <c r="AK291" i="2" s="1"/>
  <c r="AF291" i="2"/>
  <c r="AE291" i="2"/>
  <c r="AY290" i="2"/>
  <c r="AX290" i="2"/>
  <c r="AW290" i="2"/>
  <c r="AV290" i="2"/>
  <c r="AU290" i="2"/>
  <c r="AT290" i="2"/>
  <c r="AS290" i="2"/>
  <c r="AR290" i="2"/>
  <c r="AQ290" i="2"/>
  <c r="AL290" i="2"/>
  <c r="AH290" i="2"/>
  <c r="AG290" i="2"/>
  <c r="AF290" i="2"/>
  <c r="AE290" i="2"/>
  <c r="J290" i="2"/>
  <c r="AY289" i="2"/>
  <c r="AX289" i="2"/>
  <c r="AW289" i="2"/>
  <c r="AV289" i="2"/>
  <c r="AG289" i="2" s="1"/>
  <c r="AU289" i="2"/>
  <c r="AT289" i="2"/>
  <c r="AS289" i="2"/>
  <c r="AR289" i="2"/>
  <c r="AJ289" i="2" s="1"/>
  <c r="AQ289" i="2"/>
  <c r="AH289" i="2" s="1"/>
  <c r="J289" i="2" s="1"/>
  <c r="AL289" i="2"/>
  <c r="AF289" i="2"/>
  <c r="AE289" i="2"/>
  <c r="AY288" i="2"/>
  <c r="AX288" i="2"/>
  <c r="AW288" i="2"/>
  <c r="AV288" i="2"/>
  <c r="AG288" i="2" s="1"/>
  <c r="AU288" i="2"/>
  <c r="AT288" i="2"/>
  <c r="AS288" i="2"/>
  <c r="AR288" i="2"/>
  <c r="AJ288" i="2" s="1"/>
  <c r="AQ288" i="2"/>
  <c r="AH288" i="2" s="1"/>
  <c r="AL288" i="2"/>
  <c r="AK288" i="2" s="1"/>
  <c r="AF288" i="2"/>
  <c r="AE288" i="2"/>
  <c r="AY287" i="2"/>
  <c r="AX287" i="2"/>
  <c r="AW287" i="2"/>
  <c r="AV287" i="2"/>
  <c r="AG287" i="2" s="1"/>
  <c r="AU287" i="2"/>
  <c r="AT287" i="2"/>
  <c r="AS287" i="2"/>
  <c r="AR287" i="2"/>
  <c r="AQ287" i="2"/>
  <c r="AH287" i="2" s="1"/>
  <c r="J287" i="2" s="1"/>
  <c r="AL287" i="2"/>
  <c r="AF287" i="2"/>
  <c r="AE287" i="2"/>
  <c r="AY286" i="2"/>
  <c r="AX286" i="2"/>
  <c r="AW286" i="2"/>
  <c r="AV286" i="2"/>
  <c r="AU286" i="2"/>
  <c r="AT286" i="2"/>
  <c r="AS286" i="2"/>
  <c r="AR286" i="2"/>
  <c r="AQ286" i="2"/>
  <c r="AL286" i="2"/>
  <c r="AK286" i="2" s="1"/>
  <c r="AH286" i="2"/>
  <c r="AG286" i="2"/>
  <c r="AF286" i="2"/>
  <c r="AE286" i="2"/>
  <c r="J286" i="2"/>
  <c r="AY285" i="2"/>
  <c r="AX285" i="2"/>
  <c r="AW285" i="2"/>
  <c r="AV285" i="2"/>
  <c r="AG285" i="2" s="1"/>
  <c r="AU285" i="2"/>
  <c r="AT285" i="2"/>
  <c r="AS285" i="2"/>
  <c r="AR285" i="2"/>
  <c r="AJ285" i="2" s="1"/>
  <c r="AQ285" i="2"/>
  <c r="AH285" i="2" s="1"/>
  <c r="J285" i="2" s="1"/>
  <c r="AL285" i="2"/>
  <c r="AF285" i="2"/>
  <c r="AE285" i="2"/>
  <c r="AY284" i="2"/>
  <c r="AX284" i="2"/>
  <c r="AJ284" i="2" s="1"/>
  <c r="AW284" i="2"/>
  <c r="AV284" i="2"/>
  <c r="AG284" i="2" s="1"/>
  <c r="AU284" i="2"/>
  <c r="AT284" i="2"/>
  <c r="AS284" i="2"/>
  <c r="AR284" i="2"/>
  <c r="AQ284" i="2"/>
  <c r="AH284" i="2" s="1"/>
  <c r="AL284" i="2"/>
  <c r="AK284" i="2" s="1"/>
  <c r="AF284" i="2"/>
  <c r="AE284" i="2"/>
  <c r="AY283" i="2"/>
  <c r="AX283" i="2"/>
  <c r="AW283" i="2"/>
  <c r="AV283" i="2"/>
  <c r="AG283" i="2" s="1"/>
  <c r="AU283" i="2"/>
  <c r="AT283" i="2"/>
  <c r="AS283" i="2"/>
  <c r="AR283" i="2"/>
  <c r="AQ283" i="2"/>
  <c r="AH283" i="2" s="1"/>
  <c r="J283" i="2" s="1"/>
  <c r="AL283" i="2"/>
  <c r="AF283" i="2"/>
  <c r="AE283" i="2"/>
  <c r="AY282" i="2"/>
  <c r="AX282" i="2"/>
  <c r="AW282" i="2"/>
  <c r="AV282" i="2"/>
  <c r="AU282" i="2"/>
  <c r="AT282" i="2"/>
  <c r="AS282" i="2"/>
  <c r="AR282" i="2"/>
  <c r="AQ282" i="2"/>
  <c r="AH282" i="2" s="1"/>
  <c r="J282" i="2" s="1"/>
  <c r="AL282" i="2"/>
  <c r="AK282" i="2" s="1"/>
  <c r="AG282" i="2"/>
  <c r="AF282" i="2"/>
  <c r="AE282" i="2"/>
  <c r="AY281" i="2"/>
  <c r="AX281" i="2"/>
  <c r="AW281" i="2"/>
  <c r="AV281" i="2"/>
  <c r="AG281" i="2" s="1"/>
  <c r="AU281" i="2"/>
  <c r="AT281" i="2"/>
  <c r="AS281" i="2"/>
  <c r="AR281" i="2"/>
  <c r="AQ281" i="2"/>
  <c r="AH281" i="2" s="1"/>
  <c r="J281" i="2" s="1"/>
  <c r="AL281" i="2"/>
  <c r="AJ281" i="2"/>
  <c r="AF281" i="2"/>
  <c r="AE281" i="2"/>
  <c r="AY280" i="2"/>
  <c r="AX280" i="2"/>
  <c r="AJ280" i="2" s="1"/>
  <c r="AW280" i="2"/>
  <c r="AV280" i="2"/>
  <c r="AG280" i="2" s="1"/>
  <c r="AU280" i="2"/>
  <c r="AT280" i="2"/>
  <c r="AS280" i="2"/>
  <c r="AR280" i="2"/>
  <c r="AQ280" i="2"/>
  <c r="AH280" i="2" s="1"/>
  <c r="AL280" i="2"/>
  <c r="AK280" i="2" s="1"/>
  <c r="AF280" i="2"/>
  <c r="AE280" i="2"/>
  <c r="AY279" i="2"/>
  <c r="AX279" i="2"/>
  <c r="AW279" i="2"/>
  <c r="AV279" i="2"/>
  <c r="AG279" i="2" s="1"/>
  <c r="AU279" i="2"/>
  <c r="AT279" i="2"/>
  <c r="AS279" i="2"/>
  <c r="AR279" i="2"/>
  <c r="AQ279" i="2"/>
  <c r="AH279" i="2" s="1"/>
  <c r="J279" i="2" s="1"/>
  <c r="AL279" i="2"/>
  <c r="AF279" i="2"/>
  <c r="AE279" i="2"/>
  <c r="AY278" i="2"/>
  <c r="AX278" i="2"/>
  <c r="AW278" i="2"/>
  <c r="AV278" i="2"/>
  <c r="AU278" i="2"/>
  <c r="AT278" i="2"/>
  <c r="AS278" i="2"/>
  <c r="AR278" i="2"/>
  <c r="AQ278" i="2"/>
  <c r="AH278" i="2" s="1"/>
  <c r="J278" i="2" s="1"/>
  <c r="AL278" i="2"/>
  <c r="AK278" i="2" s="1"/>
  <c r="AG278" i="2"/>
  <c r="AF278" i="2"/>
  <c r="AE278" i="2"/>
  <c r="AY277" i="2"/>
  <c r="AX277" i="2"/>
  <c r="AW277" i="2"/>
  <c r="AV277" i="2"/>
  <c r="AU277" i="2"/>
  <c r="AT277" i="2"/>
  <c r="AS277" i="2"/>
  <c r="AR277" i="2"/>
  <c r="AQ277" i="2"/>
  <c r="AH277" i="2" s="1"/>
  <c r="J277" i="2" s="1"/>
  <c r="AL277" i="2"/>
  <c r="AK277" i="2" s="1"/>
  <c r="AJ277" i="2"/>
  <c r="AG277" i="2"/>
  <c r="AF277" i="2"/>
  <c r="AE277" i="2"/>
  <c r="AY276" i="2"/>
  <c r="AX276" i="2"/>
  <c r="AJ276" i="2" s="1"/>
  <c r="AW276" i="2"/>
  <c r="AV276" i="2"/>
  <c r="AG276" i="2" s="1"/>
  <c r="AU276" i="2"/>
  <c r="AT276" i="2"/>
  <c r="AS276" i="2"/>
  <c r="AR276" i="2"/>
  <c r="AQ276" i="2"/>
  <c r="AH276" i="2" s="1"/>
  <c r="AL276" i="2"/>
  <c r="AK276" i="2" s="1"/>
  <c r="AF276" i="2"/>
  <c r="AE276" i="2"/>
  <c r="AY275" i="2"/>
  <c r="AX275" i="2"/>
  <c r="AW275" i="2"/>
  <c r="AV275" i="2"/>
  <c r="AG275" i="2" s="1"/>
  <c r="AU275" i="2"/>
  <c r="AT275" i="2"/>
  <c r="AS275" i="2"/>
  <c r="AR275" i="2"/>
  <c r="AQ275" i="2"/>
  <c r="AH275" i="2" s="1"/>
  <c r="J275" i="2" s="1"/>
  <c r="AL275" i="2"/>
  <c r="AF275" i="2"/>
  <c r="AE275" i="2"/>
  <c r="AY274" i="2"/>
  <c r="AX274" i="2"/>
  <c r="AW274" i="2"/>
  <c r="AV274" i="2"/>
  <c r="AU274" i="2"/>
  <c r="AT274" i="2"/>
  <c r="AS274" i="2"/>
  <c r="AR274" i="2"/>
  <c r="AQ274" i="2"/>
  <c r="AH274" i="2" s="1"/>
  <c r="J274" i="2" s="1"/>
  <c r="AL274" i="2"/>
  <c r="AG274" i="2"/>
  <c r="AF274" i="2"/>
  <c r="AE274" i="2"/>
  <c r="AY273" i="2"/>
  <c r="AX273" i="2"/>
  <c r="AJ273" i="2" s="1"/>
  <c r="AW273" i="2"/>
  <c r="AV273" i="2"/>
  <c r="AG273" i="2" s="1"/>
  <c r="AU273" i="2"/>
  <c r="AT273" i="2"/>
  <c r="AS273" i="2"/>
  <c r="AR273" i="2"/>
  <c r="AQ273" i="2"/>
  <c r="AH273" i="2" s="1"/>
  <c r="J273" i="2" s="1"/>
  <c r="AL273" i="2"/>
  <c r="T273" i="2" s="1"/>
  <c r="S273" i="2" s="1"/>
  <c r="AF273" i="2"/>
  <c r="AE273" i="2"/>
  <c r="AY272" i="2"/>
  <c r="AX272" i="2"/>
  <c r="AW272" i="2"/>
  <c r="AV272" i="2"/>
  <c r="AG272" i="2" s="1"/>
  <c r="AU272" i="2"/>
  <c r="AT272" i="2"/>
  <c r="AS272" i="2"/>
  <c r="AR272" i="2"/>
  <c r="AQ272" i="2"/>
  <c r="AH272" i="2" s="1"/>
  <c r="AL272" i="2"/>
  <c r="AK272" i="2" s="1"/>
  <c r="AJ272" i="2"/>
  <c r="AF272" i="2"/>
  <c r="AE272" i="2"/>
  <c r="AY271" i="2"/>
  <c r="AX271" i="2"/>
  <c r="AW271" i="2"/>
  <c r="AV271" i="2"/>
  <c r="AG271" i="2" s="1"/>
  <c r="AU271" i="2"/>
  <c r="AT271" i="2"/>
  <c r="AS271" i="2"/>
  <c r="AR271" i="2"/>
  <c r="AQ271" i="2"/>
  <c r="AH271" i="2" s="1"/>
  <c r="J271" i="2" s="1"/>
  <c r="AL271" i="2"/>
  <c r="AK271" i="2" s="1"/>
  <c r="AF271" i="2"/>
  <c r="AE271" i="2"/>
  <c r="AY270" i="2"/>
  <c r="AX270" i="2"/>
  <c r="AW270" i="2"/>
  <c r="AV270" i="2"/>
  <c r="AU270" i="2"/>
  <c r="AT270" i="2"/>
  <c r="AS270" i="2"/>
  <c r="AR270" i="2"/>
  <c r="AQ270" i="2"/>
  <c r="AL270" i="2"/>
  <c r="AH270" i="2"/>
  <c r="AG270" i="2"/>
  <c r="AF270" i="2"/>
  <c r="AE270" i="2"/>
  <c r="J270" i="2"/>
  <c r="AY269" i="2"/>
  <c r="AX269" i="2"/>
  <c r="AW269" i="2"/>
  <c r="AV269" i="2"/>
  <c r="AU269" i="2"/>
  <c r="AT269" i="2"/>
  <c r="AS269" i="2"/>
  <c r="AR269" i="2"/>
  <c r="AQ269" i="2"/>
  <c r="AH269" i="2" s="1"/>
  <c r="J269" i="2" s="1"/>
  <c r="AL269" i="2"/>
  <c r="AK269" i="2" s="1"/>
  <c r="AG269" i="2"/>
  <c r="AF269" i="2"/>
  <c r="AE269" i="2"/>
  <c r="AY268" i="2"/>
  <c r="AX268" i="2"/>
  <c r="AW268" i="2"/>
  <c r="AV268" i="2"/>
  <c r="AU268" i="2"/>
  <c r="AT268" i="2"/>
  <c r="AS268" i="2"/>
  <c r="AR268" i="2"/>
  <c r="AQ268" i="2"/>
  <c r="AH268" i="2" s="1"/>
  <c r="AL268" i="2"/>
  <c r="AK268" i="2" s="1"/>
  <c r="AG268" i="2"/>
  <c r="AF268" i="2"/>
  <c r="AE268" i="2"/>
  <c r="AY267" i="2"/>
  <c r="AX267" i="2"/>
  <c r="AJ267" i="2" s="1"/>
  <c r="AW267" i="2"/>
  <c r="AV267" i="2"/>
  <c r="AU267" i="2"/>
  <c r="AT267" i="2"/>
  <c r="AS267" i="2"/>
  <c r="AR267" i="2"/>
  <c r="AQ267" i="2"/>
  <c r="AH267" i="2" s="1"/>
  <c r="J267" i="2" s="1"/>
  <c r="AL267" i="2"/>
  <c r="AK267" i="2" s="1"/>
  <c r="AG267" i="2"/>
  <c r="AF267" i="2"/>
  <c r="AE267" i="2"/>
  <c r="AY266" i="2"/>
  <c r="AX266" i="2"/>
  <c r="AW266" i="2"/>
  <c r="AV266" i="2"/>
  <c r="AU266" i="2"/>
  <c r="AT266" i="2"/>
  <c r="AS266" i="2"/>
  <c r="AR266" i="2"/>
  <c r="AQ266" i="2"/>
  <c r="AH266" i="2" s="1"/>
  <c r="AL266" i="2"/>
  <c r="AK266" i="2" s="1"/>
  <c r="AJ266" i="2"/>
  <c r="AG266" i="2"/>
  <c r="AF266" i="2"/>
  <c r="AE266" i="2"/>
  <c r="AY265" i="2"/>
  <c r="AX265" i="2"/>
  <c r="AW265" i="2"/>
  <c r="AV265" i="2"/>
  <c r="AG265" i="2" s="1"/>
  <c r="AU265" i="2"/>
  <c r="AT265" i="2"/>
  <c r="AS265" i="2"/>
  <c r="AR265" i="2"/>
  <c r="AJ265" i="2" s="1"/>
  <c r="AQ265" i="2"/>
  <c r="AH265" i="2" s="1"/>
  <c r="AL265" i="2"/>
  <c r="AK265" i="2" s="1"/>
  <c r="AF265" i="2"/>
  <c r="AE265" i="2"/>
  <c r="AY264" i="2"/>
  <c r="AX264" i="2"/>
  <c r="AW264" i="2"/>
  <c r="AV264" i="2"/>
  <c r="AG264" i="2" s="1"/>
  <c r="AU264" i="2"/>
  <c r="AT264" i="2"/>
  <c r="AS264" i="2"/>
  <c r="AR264" i="2"/>
  <c r="AQ264" i="2"/>
  <c r="AH264" i="2" s="1"/>
  <c r="AL264" i="2"/>
  <c r="AK264" i="2" s="1"/>
  <c r="AF264" i="2"/>
  <c r="AE264" i="2"/>
  <c r="AY263" i="2"/>
  <c r="AX263" i="2"/>
  <c r="AJ263" i="2" s="1"/>
  <c r="AW263" i="2"/>
  <c r="AV263" i="2"/>
  <c r="AU263" i="2"/>
  <c r="AT263" i="2"/>
  <c r="AS263" i="2"/>
  <c r="AR263" i="2"/>
  <c r="AQ263" i="2"/>
  <c r="AL263" i="2"/>
  <c r="AK263" i="2" s="1"/>
  <c r="AH263" i="2"/>
  <c r="AG263" i="2"/>
  <c r="AF263" i="2"/>
  <c r="AE263" i="2"/>
  <c r="J263" i="2"/>
  <c r="AY262" i="2"/>
  <c r="AX262" i="2"/>
  <c r="AW262" i="2"/>
  <c r="AV262" i="2"/>
  <c r="AU262" i="2"/>
  <c r="AT262" i="2"/>
  <c r="AS262" i="2"/>
  <c r="AR262" i="2"/>
  <c r="AJ262" i="2" s="1"/>
  <c r="AQ262" i="2"/>
  <c r="AH262" i="2" s="1"/>
  <c r="J262" i="2" s="1"/>
  <c r="AL262" i="2"/>
  <c r="AK262" i="2" s="1"/>
  <c r="AG262" i="2"/>
  <c r="AF262" i="2"/>
  <c r="AE262" i="2"/>
  <c r="AY261" i="2"/>
  <c r="AX261" i="2"/>
  <c r="AJ261" i="2" s="1"/>
  <c r="AW261" i="2"/>
  <c r="AV261" i="2"/>
  <c r="AG261" i="2" s="1"/>
  <c r="AU261" i="2"/>
  <c r="AT261" i="2"/>
  <c r="AS261" i="2"/>
  <c r="AR261" i="2"/>
  <c r="AQ261" i="2"/>
  <c r="AH261" i="2" s="1"/>
  <c r="AL261" i="2"/>
  <c r="AK261" i="2" s="1"/>
  <c r="AF261" i="2"/>
  <c r="AE261" i="2"/>
  <c r="AY260" i="2"/>
  <c r="AX260" i="2"/>
  <c r="AW260" i="2"/>
  <c r="AV260" i="2"/>
  <c r="AG260" i="2" s="1"/>
  <c r="AU260" i="2"/>
  <c r="AT260" i="2"/>
  <c r="AS260" i="2"/>
  <c r="AR260" i="2"/>
  <c r="AQ260" i="2"/>
  <c r="AH260" i="2" s="1"/>
  <c r="AL260" i="2"/>
  <c r="AK260" i="2" s="1"/>
  <c r="AF260" i="2"/>
  <c r="AE260" i="2"/>
  <c r="AY259" i="2"/>
  <c r="AX259" i="2"/>
  <c r="AW259" i="2"/>
  <c r="AV259" i="2"/>
  <c r="AU259" i="2"/>
  <c r="AT259" i="2"/>
  <c r="AS259" i="2"/>
  <c r="AR259" i="2"/>
  <c r="AQ259" i="2"/>
  <c r="AL259" i="2"/>
  <c r="AK259" i="2" s="1"/>
  <c r="AH259" i="2"/>
  <c r="AG259" i="2"/>
  <c r="AF259" i="2"/>
  <c r="AE259" i="2"/>
  <c r="J259" i="2"/>
  <c r="AY258" i="2"/>
  <c r="AX258" i="2"/>
  <c r="AW258" i="2"/>
  <c r="AV258" i="2"/>
  <c r="AU258" i="2"/>
  <c r="AT258" i="2"/>
  <c r="AS258" i="2"/>
  <c r="AR258" i="2"/>
  <c r="AJ258" i="2" s="1"/>
  <c r="AQ258" i="2"/>
  <c r="AH258" i="2" s="1"/>
  <c r="J258" i="2" s="1"/>
  <c r="AL258" i="2"/>
  <c r="AK258" i="2" s="1"/>
  <c r="AG258" i="2"/>
  <c r="AF258" i="2"/>
  <c r="AE258" i="2"/>
  <c r="AY257" i="2"/>
  <c r="AX257" i="2"/>
  <c r="AW257" i="2"/>
  <c r="AV257" i="2"/>
  <c r="AG257" i="2" s="1"/>
  <c r="AU257" i="2"/>
  <c r="AT257" i="2"/>
  <c r="AS257" i="2"/>
  <c r="AR257" i="2"/>
  <c r="AQ257" i="2"/>
  <c r="AH257" i="2" s="1"/>
  <c r="AL257" i="2"/>
  <c r="AK257" i="2" s="1"/>
  <c r="AJ257" i="2"/>
  <c r="AF257" i="2"/>
  <c r="AE257" i="2"/>
  <c r="AY256" i="2"/>
  <c r="AX256" i="2"/>
  <c r="AJ256" i="2" s="1"/>
  <c r="AW256" i="2"/>
  <c r="AV256" i="2"/>
  <c r="AU256" i="2"/>
  <c r="AT256" i="2"/>
  <c r="AS256" i="2"/>
  <c r="AR256" i="2"/>
  <c r="AQ256" i="2"/>
  <c r="AH256" i="2" s="1"/>
  <c r="AL256" i="2"/>
  <c r="AK256" i="2" s="1"/>
  <c r="AG256" i="2"/>
  <c r="AF256" i="2"/>
  <c r="AE256" i="2"/>
  <c r="AY255" i="2"/>
  <c r="AX255" i="2"/>
  <c r="AW255" i="2"/>
  <c r="AV255" i="2"/>
  <c r="AU255" i="2"/>
  <c r="AT255" i="2"/>
  <c r="AS255" i="2"/>
  <c r="AR255" i="2"/>
  <c r="AQ255" i="2"/>
  <c r="AH255" i="2" s="1"/>
  <c r="J255" i="2" s="1"/>
  <c r="AL255" i="2"/>
  <c r="AK255" i="2" s="1"/>
  <c r="AG255" i="2"/>
  <c r="AF255" i="2"/>
  <c r="AE255" i="2"/>
  <c r="AY254" i="2"/>
  <c r="AX254" i="2"/>
  <c r="AJ254" i="2" s="1"/>
  <c r="AW254" i="2"/>
  <c r="AV254" i="2"/>
  <c r="AU254" i="2"/>
  <c r="AT254" i="2"/>
  <c r="AS254" i="2"/>
  <c r="AR254" i="2"/>
  <c r="AQ254" i="2"/>
  <c r="AH254" i="2" s="1"/>
  <c r="AL254" i="2"/>
  <c r="AK254" i="2" s="1"/>
  <c r="AG254" i="2"/>
  <c r="AF254" i="2"/>
  <c r="AE254" i="2"/>
  <c r="AY253" i="2"/>
  <c r="AX253" i="2"/>
  <c r="AW253" i="2"/>
  <c r="AV253" i="2"/>
  <c r="AG253" i="2" s="1"/>
  <c r="AU253" i="2"/>
  <c r="AT253" i="2"/>
  <c r="AS253" i="2"/>
  <c r="AR253" i="2"/>
  <c r="AJ253" i="2" s="1"/>
  <c r="AQ253" i="2"/>
  <c r="AH253" i="2" s="1"/>
  <c r="AL253" i="2"/>
  <c r="AK253" i="2" s="1"/>
  <c r="AF253" i="2"/>
  <c r="AE253" i="2"/>
  <c r="AY252" i="2"/>
  <c r="AX252" i="2"/>
  <c r="AW252" i="2"/>
  <c r="AV252" i="2"/>
  <c r="AU252" i="2"/>
  <c r="AT252" i="2"/>
  <c r="AS252" i="2"/>
  <c r="AR252" i="2"/>
  <c r="AQ252" i="2"/>
  <c r="AH252" i="2" s="1"/>
  <c r="AL252" i="2"/>
  <c r="AK252" i="2" s="1"/>
  <c r="AG252" i="2"/>
  <c r="AF252" i="2"/>
  <c r="AE252" i="2"/>
  <c r="AY251" i="2"/>
  <c r="AX251" i="2"/>
  <c r="AJ251" i="2" s="1"/>
  <c r="AW251" i="2"/>
  <c r="AV251" i="2"/>
  <c r="AU251" i="2"/>
  <c r="AT251" i="2"/>
  <c r="AS251" i="2"/>
  <c r="AR251" i="2"/>
  <c r="AQ251" i="2"/>
  <c r="AH251" i="2" s="1"/>
  <c r="J251" i="2" s="1"/>
  <c r="AL251" i="2"/>
  <c r="AK251" i="2" s="1"/>
  <c r="AG251" i="2"/>
  <c r="AF251" i="2"/>
  <c r="AE251" i="2"/>
  <c r="AY250" i="2"/>
  <c r="AX250" i="2"/>
  <c r="AW250" i="2"/>
  <c r="AV250" i="2"/>
  <c r="AU250" i="2"/>
  <c r="AT250" i="2"/>
  <c r="AS250" i="2"/>
  <c r="AR250" i="2"/>
  <c r="AQ250" i="2"/>
  <c r="AH250" i="2" s="1"/>
  <c r="J250" i="2" s="1"/>
  <c r="AL250" i="2"/>
  <c r="AK250" i="2" s="1"/>
  <c r="AJ250" i="2"/>
  <c r="AG250" i="2"/>
  <c r="AF250" i="2"/>
  <c r="AE250" i="2"/>
  <c r="AY249" i="2"/>
  <c r="AX249" i="2"/>
  <c r="AW249" i="2"/>
  <c r="AV249" i="2"/>
  <c r="AG249" i="2" s="1"/>
  <c r="AU249" i="2"/>
  <c r="AT249" i="2"/>
  <c r="AS249" i="2"/>
  <c r="AR249" i="2"/>
  <c r="AQ249" i="2"/>
  <c r="AH249" i="2" s="1"/>
  <c r="AL249" i="2"/>
  <c r="AK249" i="2" s="1"/>
  <c r="AJ249" i="2"/>
  <c r="AF249" i="2"/>
  <c r="AE249" i="2"/>
  <c r="AY248" i="2"/>
  <c r="AX248" i="2"/>
  <c r="AJ248" i="2" s="1"/>
  <c r="AW248" i="2"/>
  <c r="AV248" i="2"/>
  <c r="AU248" i="2"/>
  <c r="AT248" i="2"/>
  <c r="AS248" i="2"/>
  <c r="AR248" i="2"/>
  <c r="AQ248" i="2"/>
  <c r="AH248" i="2" s="1"/>
  <c r="AL248" i="2"/>
  <c r="AK248" i="2" s="1"/>
  <c r="AG248" i="2"/>
  <c r="AF248" i="2"/>
  <c r="AE248" i="2"/>
  <c r="AY247" i="2"/>
  <c r="AX247" i="2"/>
  <c r="AW247" i="2"/>
  <c r="AV247" i="2"/>
  <c r="AU247" i="2"/>
  <c r="AT247" i="2"/>
  <c r="AS247" i="2"/>
  <c r="AR247" i="2"/>
  <c r="AQ247" i="2"/>
  <c r="AH247" i="2" s="1"/>
  <c r="J247" i="2" s="1"/>
  <c r="AL247" i="2"/>
  <c r="AK247" i="2" s="1"/>
  <c r="AG247" i="2"/>
  <c r="AF247" i="2"/>
  <c r="AE247" i="2"/>
  <c r="AY246" i="2"/>
  <c r="AX246" i="2"/>
  <c r="AJ246" i="2" s="1"/>
  <c r="AW246" i="2"/>
  <c r="AV246" i="2"/>
  <c r="AU246" i="2"/>
  <c r="AT246" i="2"/>
  <c r="AS246" i="2"/>
  <c r="AR246" i="2"/>
  <c r="AQ246" i="2"/>
  <c r="AH246" i="2" s="1"/>
  <c r="J246" i="2" s="1"/>
  <c r="AL246" i="2"/>
  <c r="AK246" i="2" s="1"/>
  <c r="AG246" i="2"/>
  <c r="AF246" i="2"/>
  <c r="AE246" i="2"/>
  <c r="AY245" i="2"/>
  <c r="AX245" i="2"/>
  <c r="AJ245" i="2" s="1"/>
  <c r="AW245" i="2"/>
  <c r="AV245" i="2"/>
  <c r="AG245" i="2" s="1"/>
  <c r="AU245" i="2"/>
  <c r="AT245" i="2"/>
  <c r="AS245" i="2"/>
  <c r="AR245" i="2"/>
  <c r="AQ245" i="2"/>
  <c r="AH245" i="2" s="1"/>
  <c r="AL245" i="2"/>
  <c r="AK245" i="2" s="1"/>
  <c r="AF245" i="2"/>
  <c r="AE245" i="2"/>
  <c r="AY244" i="2"/>
  <c r="AX244" i="2"/>
  <c r="AW244" i="2"/>
  <c r="AV244" i="2"/>
  <c r="AG244" i="2" s="1"/>
  <c r="AU244" i="2"/>
  <c r="AT244" i="2"/>
  <c r="AS244" i="2"/>
  <c r="AR244" i="2"/>
  <c r="AQ244" i="2"/>
  <c r="AH244" i="2" s="1"/>
  <c r="AL244" i="2"/>
  <c r="AK244" i="2" s="1"/>
  <c r="AF244" i="2"/>
  <c r="AE244" i="2"/>
  <c r="AY243" i="2"/>
  <c r="AX243" i="2"/>
  <c r="AW243" i="2"/>
  <c r="AV243" i="2"/>
  <c r="AU243" i="2"/>
  <c r="AT243" i="2"/>
  <c r="AS243" i="2"/>
  <c r="AR243" i="2"/>
  <c r="AQ243" i="2"/>
  <c r="AL243" i="2"/>
  <c r="AK243" i="2" s="1"/>
  <c r="AH243" i="2"/>
  <c r="AG243" i="2"/>
  <c r="AF243" i="2"/>
  <c r="AE243" i="2"/>
  <c r="J243" i="2"/>
  <c r="AY242" i="2"/>
  <c r="AX242" i="2"/>
  <c r="AW242" i="2"/>
  <c r="AV242" i="2"/>
  <c r="AU242" i="2"/>
  <c r="AT242" i="2"/>
  <c r="AS242" i="2"/>
  <c r="AR242" i="2"/>
  <c r="AJ242" i="2" s="1"/>
  <c r="AQ242" i="2"/>
  <c r="AH242" i="2" s="1"/>
  <c r="J242" i="2" s="1"/>
  <c r="AL242" i="2"/>
  <c r="AK242" i="2" s="1"/>
  <c r="AG242" i="2"/>
  <c r="AF242" i="2"/>
  <c r="AE242" i="2"/>
  <c r="AY241" i="2"/>
  <c r="AX241" i="2"/>
  <c r="AW241" i="2"/>
  <c r="AV241" i="2"/>
  <c r="AG241" i="2" s="1"/>
  <c r="AU241" i="2"/>
  <c r="AT241" i="2"/>
  <c r="AS241" i="2"/>
  <c r="AR241" i="2"/>
  <c r="AJ241" i="2" s="1"/>
  <c r="AQ241" i="2"/>
  <c r="AH241" i="2" s="1"/>
  <c r="AL241" i="2"/>
  <c r="AK241" i="2" s="1"/>
  <c r="AF241" i="2"/>
  <c r="AE241" i="2"/>
  <c r="AY240" i="2"/>
  <c r="AX240" i="2"/>
  <c r="AW240" i="2"/>
  <c r="AV240" i="2"/>
  <c r="AG240" i="2" s="1"/>
  <c r="AU240" i="2"/>
  <c r="AT240" i="2"/>
  <c r="AS240" i="2"/>
  <c r="AR240" i="2"/>
  <c r="AQ240" i="2"/>
  <c r="AH240" i="2" s="1"/>
  <c r="AL240" i="2"/>
  <c r="AK240" i="2" s="1"/>
  <c r="AF240" i="2"/>
  <c r="AE240" i="2"/>
  <c r="AY239" i="2"/>
  <c r="AX239" i="2"/>
  <c r="AW239" i="2"/>
  <c r="AV239" i="2"/>
  <c r="AU239" i="2"/>
  <c r="AT239" i="2"/>
  <c r="AS239" i="2"/>
  <c r="AR239" i="2"/>
  <c r="AQ239" i="2"/>
  <c r="AL239" i="2"/>
  <c r="AK239" i="2" s="1"/>
  <c r="AH239" i="2"/>
  <c r="AG239" i="2"/>
  <c r="AF239" i="2"/>
  <c r="AE239" i="2"/>
  <c r="J239" i="2"/>
  <c r="AY238" i="2"/>
  <c r="AX238" i="2"/>
  <c r="AW238" i="2"/>
  <c r="AV238" i="2"/>
  <c r="AG238" i="2" s="1"/>
  <c r="AU238" i="2"/>
  <c r="AT238" i="2"/>
  <c r="AS238" i="2"/>
  <c r="AR238" i="2"/>
  <c r="AJ238" i="2" s="1"/>
  <c r="AQ238" i="2"/>
  <c r="AL238" i="2"/>
  <c r="AK238" i="2" s="1"/>
  <c r="AH238" i="2"/>
  <c r="AF238" i="2"/>
  <c r="AE238" i="2"/>
  <c r="J238" i="2"/>
  <c r="AY237" i="2"/>
  <c r="AX237" i="2"/>
  <c r="AW237" i="2"/>
  <c r="AV237" i="2"/>
  <c r="AG237" i="2" s="1"/>
  <c r="AU237" i="2"/>
  <c r="AT237" i="2"/>
  <c r="AS237" i="2"/>
  <c r="AR237" i="2"/>
  <c r="AJ237" i="2" s="1"/>
  <c r="AQ237" i="2"/>
  <c r="AH237" i="2" s="1"/>
  <c r="AL237" i="2"/>
  <c r="AK237" i="2" s="1"/>
  <c r="AF237" i="2"/>
  <c r="AE237" i="2"/>
  <c r="AY236" i="2"/>
  <c r="AX236" i="2"/>
  <c r="AW236" i="2"/>
  <c r="AV236" i="2"/>
  <c r="AU236" i="2"/>
  <c r="AT236" i="2"/>
  <c r="AS236" i="2"/>
  <c r="AR236" i="2"/>
  <c r="AQ236" i="2"/>
  <c r="AH236" i="2" s="1"/>
  <c r="AL236" i="2"/>
  <c r="AK236" i="2" s="1"/>
  <c r="AG236" i="2"/>
  <c r="AF236" i="2"/>
  <c r="AE236" i="2"/>
  <c r="AY235" i="2"/>
  <c r="AX235" i="2"/>
  <c r="AW235" i="2"/>
  <c r="AV235" i="2"/>
  <c r="AU235" i="2"/>
  <c r="AT235" i="2"/>
  <c r="AS235" i="2"/>
  <c r="AR235" i="2"/>
  <c r="AQ235" i="2"/>
  <c r="AH235" i="2" s="1"/>
  <c r="J235" i="2" s="1"/>
  <c r="AL235" i="2"/>
  <c r="AK235" i="2" s="1"/>
  <c r="AG235" i="2"/>
  <c r="AF235" i="2"/>
  <c r="AE235" i="2"/>
  <c r="AY234" i="2"/>
  <c r="AX234" i="2"/>
  <c r="AW234" i="2"/>
  <c r="AV234" i="2"/>
  <c r="AU234" i="2"/>
  <c r="AT234" i="2"/>
  <c r="AS234" i="2"/>
  <c r="AR234" i="2"/>
  <c r="AQ234" i="2"/>
  <c r="AH234" i="2" s="1"/>
  <c r="J234" i="2" s="1"/>
  <c r="AL234" i="2"/>
  <c r="AK234" i="2" s="1"/>
  <c r="AJ234" i="2"/>
  <c r="AG234" i="2"/>
  <c r="AF234" i="2"/>
  <c r="AE234" i="2"/>
  <c r="AY233" i="2"/>
  <c r="AX233" i="2"/>
  <c r="AW233" i="2"/>
  <c r="AV233" i="2"/>
  <c r="AG233" i="2" s="1"/>
  <c r="AU233" i="2"/>
  <c r="AT233" i="2"/>
  <c r="AS233" i="2"/>
  <c r="AR233" i="2"/>
  <c r="AQ233" i="2"/>
  <c r="AH233" i="2" s="1"/>
  <c r="AL233" i="2"/>
  <c r="AK233" i="2" s="1"/>
  <c r="AJ233" i="2"/>
  <c r="AF233" i="2"/>
  <c r="AE233" i="2"/>
  <c r="AY232" i="2"/>
  <c r="AX232" i="2"/>
  <c r="AW232" i="2"/>
  <c r="AV232" i="2"/>
  <c r="AG232" i="2" s="1"/>
  <c r="AU232" i="2"/>
  <c r="AT232" i="2"/>
  <c r="AS232" i="2"/>
  <c r="AR232" i="2"/>
  <c r="AQ232" i="2"/>
  <c r="AH232" i="2" s="1"/>
  <c r="AL232" i="2"/>
  <c r="AK232" i="2" s="1"/>
  <c r="AF232" i="2"/>
  <c r="AE232" i="2"/>
  <c r="AY231" i="2"/>
  <c r="AX231" i="2"/>
  <c r="AW231" i="2"/>
  <c r="AV231" i="2"/>
  <c r="AU231" i="2"/>
  <c r="AT231" i="2"/>
  <c r="AS231" i="2"/>
  <c r="AR231" i="2"/>
  <c r="AQ231" i="2"/>
  <c r="AH231" i="2" s="1"/>
  <c r="J231" i="2" s="1"/>
  <c r="AL231" i="2"/>
  <c r="AK231" i="2" s="1"/>
  <c r="AG231" i="2"/>
  <c r="AF231" i="2"/>
  <c r="AE231" i="2"/>
  <c r="AY230" i="2"/>
  <c r="AX230" i="2"/>
  <c r="AJ230" i="2" s="1"/>
  <c r="AW230" i="2"/>
  <c r="AV230" i="2"/>
  <c r="AU230" i="2"/>
  <c r="AT230" i="2"/>
  <c r="AS230" i="2"/>
  <c r="AR230" i="2"/>
  <c r="AQ230" i="2"/>
  <c r="AL230" i="2"/>
  <c r="AK230" i="2" s="1"/>
  <c r="AG230" i="2"/>
  <c r="AF230" i="2"/>
  <c r="AE230" i="2"/>
  <c r="AY229" i="2"/>
  <c r="AX229" i="2"/>
  <c r="AW229" i="2"/>
  <c r="AV229" i="2"/>
  <c r="AU229" i="2"/>
  <c r="AT229" i="2"/>
  <c r="AS229" i="2"/>
  <c r="AR229" i="2"/>
  <c r="AQ229" i="2"/>
  <c r="AL229" i="2"/>
  <c r="AK229" i="2" s="1"/>
  <c r="AG229" i="2"/>
  <c r="AF229" i="2"/>
  <c r="AE229" i="2"/>
  <c r="AY228" i="2"/>
  <c r="AX228" i="2"/>
  <c r="AW228" i="2"/>
  <c r="AV228" i="2"/>
  <c r="AU228" i="2"/>
  <c r="AT228" i="2"/>
  <c r="AS228" i="2"/>
  <c r="AR228" i="2"/>
  <c r="AQ228" i="2"/>
  <c r="AL228" i="2"/>
  <c r="AK228" i="2" s="1"/>
  <c r="AJ228" i="2"/>
  <c r="AG228" i="2"/>
  <c r="AF228" i="2"/>
  <c r="AE228" i="2"/>
  <c r="AY227" i="2"/>
  <c r="AX227" i="2"/>
  <c r="AW227" i="2"/>
  <c r="AV227" i="2"/>
  <c r="AU227" i="2"/>
  <c r="AT227" i="2"/>
  <c r="AS227" i="2"/>
  <c r="AR227" i="2"/>
  <c r="AQ227" i="2"/>
  <c r="AH227" i="2" s="1"/>
  <c r="AL227" i="2"/>
  <c r="AK227" i="2" s="1"/>
  <c r="AG227" i="2"/>
  <c r="AF227" i="2"/>
  <c r="AE227" i="2"/>
  <c r="AY226" i="2"/>
  <c r="AX226" i="2"/>
  <c r="AW226" i="2"/>
  <c r="AV226" i="2"/>
  <c r="AU226" i="2"/>
  <c r="AT226" i="2"/>
  <c r="AS226" i="2"/>
  <c r="AR226" i="2"/>
  <c r="AH226" i="2" s="1"/>
  <c r="J226" i="2" s="1"/>
  <c r="AQ226" i="2"/>
  <c r="AL226" i="2"/>
  <c r="AK226" i="2" s="1"/>
  <c r="AJ226" i="2"/>
  <c r="AG226" i="2"/>
  <c r="AF226" i="2"/>
  <c r="AE226" i="2"/>
  <c r="AY225" i="2"/>
  <c r="AX225" i="2"/>
  <c r="AJ225" i="2" s="1"/>
  <c r="AW225" i="2"/>
  <c r="AV225" i="2"/>
  <c r="AU225" i="2"/>
  <c r="AT225" i="2"/>
  <c r="AS225" i="2"/>
  <c r="AR225" i="2"/>
  <c r="AQ225" i="2"/>
  <c r="AL225" i="2"/>
  <c r="AK225" i="2" s="1"/>
  <c r="AG225" i="2"/>
  <c r="AF225" i="2"/>
  <c r="AE225" i="2"/>
  <c r="AY224" i="2"/>
  <c r="AE224" i="2" s="1"/>
  <c r="AX224" i="2"/>
  <c r="AW224" i="2"/>
  <c r="AV224" i="2"/>
  <c r="AU224" i="2"/>
  <c r="AJ224" i="2" s="1"/>
  <c r="AT224" i="2"/>
  <c r="AS224" i="2"/>
  <c r="AR224" i="2"/>
  <c r="AQ224" i="2"/>
  <c r="AL224" i="2"/>
  <c r="AK224" i="2" s="1"/>
  <c r="AG224" i="2"/>
  <c r="AF224" i="2"/>
  <c r="AY223" i="2"/>
  <c r="AX223" i="2"/>
  <c r="AW223" i="2"/>
  <c r="AV223" i="2"/>
  <c r="AU223" i="2"/>
  <c r="AT223" i="2"/>
  <c r="AS223" i="2"/>
  <c r="AR223" i="2"/>
  <c r="AQ223" i="2"/>
  <c r="AL223" i="2"/>
  <c r="AK223" i="2" s="1"/>
  <c r="AG223" i="2"/>
  <c r="AF223" i="2"/>
  <c r="AE223" i="2"/>
  <c r="AY222" i="2"/>
  <c r="AX222" i="2"/>
  <c r="AJ222" i="2" s="1"/>
  <c r="AW222" i="2"/>
  <c r="AV222" i="2"/>
  <c r="AU222" i="2"/>
  <c r="AT222" i="2"/>
  <c r="AS222" i="2"/>
  <c r="AR222" i="2"/>
  <c r="AQ222" i="2"/>
  <c r="AL222" i="2"/>
  <c r="AK222" i="2" s="1"/>
  <c r="AG222" i="2"/>
  <c r="AF222" i="2"/>
  <c r="AE222" i="2"/>
  <c r="AY221" i="2"/>
  <c r="AX221" i="2"/>
  <c r="AW221" i="2"/>
  <c r="AV221" i="2"/>
  <c r="AU221" i="2"/>
  <c r="AT221" i="2"/>
  <c r="AS221" i="2"/>
  <c r="AR221" i="2"/>
  <c r="AQ221" i="2"/>
  <c r="AL221" i="2"/>
  <c r="AG221" i="2"/>
  <c r="AF221" i="2"/>
  <c r="AE221" i="2"/>
  <c r="AY220" i="2"/>
  <c r="AX220" i="2"/>
  <c r="AW220" i="2"/>
  <c r="AV220" i="2"/>
  <c r="AU220" i="2"/>
  <c r="AJ220" i="2" s="1"/>
  <c r="AT220" i="2"/>
  <c r="AS220" i="2"/>
  <c r="AR220" i="2"/>
  <c r="AQ220" i="2"/>
  <c r="AH220" i="2" s="1"/>
  <c r="AL220" i="2"/>
  <c r="AK220" i="2" s="1"/>
  <c r="AG220" i="2"/>
  <c r="AF220" i="2"/>
  <c r="AE220" i="2"/>
  <c r="AY219" i="2"/>
  <c r="AX219" i="2"/>
  <c r="AJ219" i="2" s="1"/>
  <c r="AW219" i="2"/>
  <c r="AV219" i="2"/>
  <c r="AU219" i="2"/>
  <c r="AT219" i="2"/>
  <c r="AS219" i="2"/>
  <c r="AR219" i="2"/>
  <c r="AQ219" i="2"/>
  <c r="AL219" i="2"/>
  <c r="AK219" i="2" s="1"/>
  <c r="AG219" i="2"/>
  <c r="AF219" i="2"/>
  <c r="AE219" i="2"/>
  <c r="X219" i="2"/>
  <c r="AD219" i="2" s="1"/>
  <c r="AY218" i="2"/>
  <c r="AX218" i="2"/>
  <c r="AW218" i="2"/>
  <c r="AV218" i="2"/>
  <c r="AU218" i="2"/>
  <c r="AT218" i="2"/>
  <c r="AS218" i="2"/>
  <c r="AR218" i="2"/>
  <c r="AQ218" i="2"/>
  <c r="AL218" i="2"/>
  <c r="AK218" i="2" s="1"/>
  <c r="AG218" i="2"/>
  <c r="AF218" i="2"/>
  <c r="AE218" i="2"/>
  <c r="AY217" i="2"/>
  <c r="AX217" i="2"/>
  <c r="AW217" i="2"/>
  <c r="AV217" i="2"/>
  <c r="AU217" i="2"/>
  <c r="AT217" i="2"/>
  <c r="AS217" i="2"/>
  <c r="AR217" i="2"/>
  <c r="AQ217" i="2"/>
  <c r="AH217" i="2" s="1"/>
  <c r="AL217" i="2"/>
  <c r="X217" i="2" s="1"/>
  <c r="AD217" i="2" s="1"/>
  <c r="AG217" i="2"/>
  <c r="AF217" i="2"/>
  <c r="AE217" i="2"/>
  <c r="AY216" i="2"/>
  <c r="AX216" i="2"/>
  <c r="AW216" i="2"/>
  <c r="AV216" i="2"/>
  <c r="AU216" i="2"/>
  <c r="AJ216" i="2" s="1"/>
  <c r="AT216" i="2"/>
  <c r="AS216" i="2"/>
  <c r="AR216" i="2"/>
  <c r="AQ216" i="2"/>
  <c r="AH216" i="2" s="1"/>
  <c r="AL216" i="2"/>
  <c r="AG216" i="2"/>
  <c r="AF216" i="2"/>
  <c r="AE216" i="2"/>
  <c r="AY215" i="2"/>
  <c r="AX215" i="2"/>
  <c r="AW215" i="2"/>
  <c r="AV215" i="2"/>
  <c r="AU215" i="2"/>
  <c r="AJ215" i="2" s="1"/>
  <c r="AT215" i="2"/>
  <c r="AS215" i="2"/>
  <c r="AR215" i="2"/>
  <c r="AQ215" i="2"/>
  <c r="AH215" i="2" s="1"/>
  <c r="AL215" i="2"/>
  <c r="AK215" i="2" s="1"/>
  <c r="AG215" i="2"/>
  <c r="AF215" i="2"/>
  <c r="AE215" i="2"/>
  <c r="AY214" i="2"/>
  <c r="AX214" i="2"/>
  <c r="AW214" i="2"/>
  <c r="AV214" i="2"/>
  <c r="AU214" i="2"/>
  <c r="AT214" i="2"/>
  <c r="AS214" i="2"/>
  <c r="AR214" i="2"/>
  <c r="AQ214" i="2"/>
  <c r="AL214" i="2"/>
  <c r="T214" i="2" s="1"/>
  <c r="Z214" i="2" s="1"/>
  <c r="AG214" i="2"/>
  <c r="AF214" i="2"/>
  <c r="AE214" i="2"/>
  <c r="AY213" i="2"/>
  <c r="AX213" i="2"/>
  <c r="AW213" i="2"/>
  <c r="AV213" i="2"/>
  <c r="AU213" i="2"/>
  <c r="AJ213" i="2" s="1"/>
  <c r="AT213" i="2"/>
  <c r="AS213" i="2"/>
  <c r="AR213" i="2"/>
  <c r="AQ213" i="2"/>
  <c r="AH213" i="2" s="1"/>
  <c r="AL213" i="2"/>
  <c r="AK213" i="2" s="1"/>
  <c r="AG213" i="2"/>
  <c r="AF213" i="2"/>
  <c r="AE213" i="2"/>
  <c r="AY212" i="2"/>
  <c r="AX212" i="2"/>
  <c r="AW212" i="2"/>
  <c r="AV212" i="2"/>
  <c r="AU212" i="2"/>
  <c r="AJ212" i="2" s="1"/>
  <c r="AT212" i="2"/>
  <c r="AS212" i="2"/>
  <c r="AR212" i="2"/>
  <c r="AQ212" i="2"/>
  <c r="AH212" i="2" s="1"/>
  <c r="AL212" i="2"/>
  <c r="AG212" i="2"/>
  <c r="AF212" i="2"/>
  <c r="AE212" i="2"/>
  <c r="AY211" i="2"/>
  <c r="AX211" i="2"/>
  <c r="AW211" i="2"/>
  <c r="AV211" i="2"/>
  <c r="AU211" i="2"/>
  <c r="AJ211" i="2" s="1"/>
  <c r="AT211" i="2"/>
  <c r="AS211" i="2"/>
  <c r="AR211" i="2"/>
  <c r="AQ211" i="2"/>
  <c r="AH211" i="2" s="1"/>
  <c r="AL211" i="2"/>
  <c r="AK211" i="2" s="1"/>
  <c r="AG211" i="2"/>
  <c r="AF211" i="2"/>
  <c r="AE211" i="2"/>
  <c r="AY210" i="2"/>
  <c r="AX210" i="2"/>
  <c r="AW210" i="2"/>
  <c r="AV210" i="2"/>
  <c r="AU210" i="2"/>
  <c r="AT210" i="2"/>
  <c r="AS210" i="2"/>
  <c r="AR210" i="2"/>
  <c r="AQ210" i="2"/>
  <c r="AL210" i="2"/>
  <c r="T210" i="2" s="1"/>
  <c r="Z210" i="2" s="1"/>
  <c r="AG210" i="2"/>
  <c r="AF210" i="2"/>
  <c r="AE210" i="2"/>
  <c r="AY209" i="2"/>
  <c r="AX209" i="2"/>
  <c r="AW209" i="2"/>
  <c r="AV209" i="2"/>
  <c r="AU209" i="2"/>
  <c r="AJ209" i="2" s="1"/>
  <c r="AT209" i="2"/>
  <c r="AS209" i="2"/>
  <c r="AR209" i="2"/>
  <c r="AQ209" i="2"/>
  <c r="AH209" i="2" s="1"/>
  <c r="AL209" i="2"/>
  <c r="AK209" i="2" s="1"/>
  <c r="AG209" i="2"/>
  <c r="AF209" i="2"/>
  <c r="AE209" i="2"/>
  <c r="AY208" i="2"/>
  <c r="AX208" i="2"/>
  <c r="AW208" i="2"/>
  <c r="AV208" i="2"/>
  <c r="AU208" i="2"/>
  <c r="AJ208" i="2" s="1"/>
  <c r="AT208" i="2"/>
  <c r="AS208" i="2"/>
  <c r="AR208" i="2"/>
  <c r="AQ208" i="2"/>
  <c r="AH208" i="2" s="1"/>
  <c r="AL208" i="2"/>
  <c r="AK208" i="2" s="1"/>
  <c r="AG208" i="2"/>
  <c r="AF208" i="2"/>
  <c r="AE208" i="2"/>
  <c r="AY207" i="2"/>
  <c r="AX207" i="2"/>
  <c r="AW207" i="2"/>
  <c r="AV207" i="2"/>
  <c r="AU207" i="2"/>
  <c r="AJ207" i="2" s="1"/>
  <c r="AT207" i="2"/>
  <c r="AS207" i="2"/>
  <c r="X207" i="2" s="1"/>
  <c r="AD207" i="2" s="1"/>
  <c r="AR207" i="2"/>
  <c r="AQ207" i="2"/>
  <c r="AL207" i="2"/>
  <c r="AK207" i="2" s="1"/>
  <c r="AG207" i="2"/>
  <c r="AF207" i="2"/>
  <c r="AE207" i="2"/>
  <c r="AY206" i="2"/>
  <c r="AX206" i="2"/>
  <c r="AW206" i="2"/>
  <c r="AV206" i="2"/>
  <c r="AU206" i="2"/>
  <c r="AT206" i="2"/>
  <c r="AS206" i="2"/>
  <c r="AR206" i="2"/>
  <c r="AQ206" i="2"/>
  <c r="AH206" i="2" s="1"/>
  <c r="J206" i="2" s="1"/>
  <c r="AL206" i="2"/>
  <c r="AK206" i="2" s="1"/>
  <c r="AJ206" i="2"/>
  <c r="AG206" i="2"/>
  <c r="AF206" i="2"/>
  <c r="AE206" i="2"/>
  <c r="AY205" i="2"/>
  <c r="AX205" i="2"/>
  <c r="AW205" i="2"/>
  <c r="AV205" i="2"/>
  <c r="AU205" i="2"/>
  <c r="AT205" i="2"/>
  <c r="AS205" i="2"/>
  <c r="AR205" i="2"/>
  <c r="AQ205" i="2"/>
  <c r="AL205" i="2"/>
  <c r="AK205" i="2" s="1"/>
  <c r="AG205" i="2"/>
  <c r="AF205" i="2"/>
  <c r="AE205" i="2"/>
  <c r="AY204" i="2"/>
  <c r="AX204" i="2"/>
  <c r="AJ204" i="2" s="1"/>
  <c r="AW204" i="2"/>
  <c r="AV204" i="2"/>
  <c r="AU204" i="2"/>
  <c r="AT204" i="2"/>
  <c r="AS204" i="2"/>
  <c r="AR204" i="2"/>
  <c r="AQ204" i="2"/>
  <c r="AH204" i="2" s="1"/>
  <c r="J204" i="2" s="1"/>
  <c r="AL204" i="2"/>
  <c r="AK204" i="2" s="1"/>
  <c r="AG204" i="2"/>
  <c r="AF204" i="2"/>
  <c r="AE204" i="2"/>
  <c r="AY203" i="2"/>
  <c r="AX203" i="2"/>
  <c r="AW203" i="2"/>
  <c r="AV203" i="2"/>
  <c r="AU203" i="2"/>
  <c r="AT203" i="2"/>
  <c r="AS203" i="2"/>
  <c r="AR203" i="2"/>
  <c r="AQ203" i="2"/>
  <c r="AL203" i="2"/>
  <c r="AK203" i="2" s="1"/>
  <c r="AG203" i="2"/>
  <c r="AF203" i="2"/>
  <c r="AE203" i="2"/>
  <c r="AY202" i="2"/>
  <c r="AE202" i="2" s="1"/>
  <c r="AX202" i="2"/>
  <c r="AJ202" i="2" s="1"/>
  <c r="AW202" i="2"/>
  <c r="AV202" i="2"/>
  <c r="AU202" i="2"/>
  <c r="AT202" i="2"/>
  <c r="AS202" i="2"/>
  <c r="AR202" i="2"/>
  <c r="AQ202" i="2"/>
  <c r="AH202" i="2" s="1"/>
  <c r="J202" i="2" s="1"/>
  <c r="AL202" i="2"/>
  <c r="AK202" i="2" s="1"/>
  <c r="AG202" i="2"/>
  <c r="AF202" i="2"/>
  <c r="AY201" i="2"/>
  <c r="AX201" i="2"/>
  <c r="AW201" i="2"/>
  <c r="AV201" i="2"/>
  <c r="AU201" i="2"/>
  <c r="AT201" i="2"/>
  <c r="AS201" i="2"/>
  <c r="AR201" i="2"/>
  <c r="AQ201" i="2"/>
  <c r="AH201" i="2" s="1"/>
  <c r="AL201" i="2"/>
  <c r="AK201" i="2" s="1"/>
  <c r="AG201" i="2"/>
  <c r="AF201" i="2"/>
  <c r="AE201" i="2"/>
  <c r="AY200" i="2"/>
  <c r="AE200" i="2" s="1"/>
  <c r="AX200" i="2"/>
  <c r="AJ200" i="2" s="1"/>
  <c r="AW200" i="2"/>
  <c r="AV200" i="2"/>
  <c r="AU200" i="2"/>
  <c r="AT200" i="2"/>
  <c r="AS200" i="2"/>
  <c r="AR200" i="2"/>
  <c r="AQ200" i="2"/>
  <c r="AH200" i="2" s="1"/>
  <c r="J200" i="2" s="1"/>
  <c r="AL200" i="2"/>
  <c r="AK200" i="2" s="1"/>
  <c r="AG200" i="2"/>
  <c r="AF200" i="2"/>
  <c r="AY199" i="2"/>
  <c r="AX199" i="2"/>
  <c r="AW199" i="2"/>
  <c r="AV199" i="2"/>
  <c r="AU199" i="2"/>
  <c r="AT199" i="2"/>
  <c r="AS199" i="2"/>
  <c r="AR199" i="2"/>
  <c r="AQ199" i="2"/>
  <c r="AH199" i="2" s="1"/>
  <c r="AL199" i="2"/>
  <c r="AK199" i="2" s="1"/>
  <c r="AG199" i="2"/>
  <c r="AF199" i="2"/>
  <c r="AE199" i="2"/>
  <c r="AY198" i="2"/>
  <c r="AX198" i="2"/>
  <c r="AW198" i="2"/>
  <c r="AV198" i="2"/>
  <c r="AU198" i="2"/>
  <c r="AT198" i="2"/>
  <c r="AS198" i="2"/>
  <c r="AR198" i="2"/>
  <c r="AQ198" i="2"/>
  <c r="AH198" i="2" s="1"/>
  <c r="J198" i="2" s="1"/>
  <c r="AL198" i="2"/>
  <c r="AK198" i="2" s="1"/>
  <c r="AG198" i="2"/>
  <c r="AF198" i="2"/>
  <c r="AE198" i="2"/>
  <c r="AY197" i="2"/>
  <c r="AX197" i="2"/>
  <c r="AW197" i="2"/>
  <c r="AV197" i="2"/>
  <c r="AU197" i="2"/>
  <c r="AT197" i="2"/>
  <c r="AS197" i="2"/>
  <c r="AR197" i="2"/>
  <c r="AQ197" i="2"/>
  <c r="AH197" i="2" s="1"/>
  <c r="J197" i="2" s="1"/>
  <c r="AL197" i="2"/>
  <c r="T197" i="2" s="1"/>
  <c r="AJ197" i="2"/>
  <c r="AG197" i="2"/>
  <c r="AF197" i="2"/>
  <c r="AE197" i="2"/>
  <c r="AY196" i="2"/>
  <c r="AX196" i="2"/>
  <c r="AW196" i="2"/>
  <c r="AV196" i="2"/>
  <c r="AG196" i="2" s="1"/>
  <c r="AU196" i="2"/>
  <c r="AT196" i="2"/>
  <c r="AS196" i="2"/>
  <c r="AR196" i="2"/>
  <c r="AQ196" i="2"/>
  <c r="AL196" i="2"/>
  <c r="T196" i="2" s="1"/>
  <c r="S196" i="2" s="1"/>
  <c r="AJ196" i="2"/>
  <c r="AF196" i="2"/>
  <c r="AE196" i="2"/>
  <c r="AY195" i="2"/>
  <c r="AJ195" i="2" s="1"/>
  <c r="AX195" i="2"/>
  <c r="AW195" i="2"/>
  <c r="AV195" i="2"/>
  <c r="AG195" i="2" s="1"/>
  <c r="AU195" i="2"/>
  <c r="AT195" i="2"/>
  <c r="AS195" i="2"/>
  <c r="AR195" i="2"/>
  <c r="AQ195" i="2"/>
  <c r="AH195" i="2" s="1"/>
  <c r="AL195" i="2"/>
  <c r="AK195" i="2" s="1"/>
  <c r="AF195" i="2"/>
  <c r="AE195" i="2"/>
  <c r="AY194" i="2"/>
  <c r="AX194" i="2"/>
  <c r="AW194" i="2"/>
  <c r="AV194" i="2"/>
  <c r="AU194" i="2"/>
  <c r="AT194" i="2"/>
  <c r="AS194" i="2"/>
  <c r="AR194" i="2"/>
  <c r="AQ194" i="2"/>
  <c r="AH194" i="2" s="1"/>
  <c r="J194" i="2" s="1"/>
  <c r="AL194" i="2"/>
  <c r="AK194" i="2" s="1"/>
  <c r="AG194" i="2"/>
  <c r="AF194" i="2"/>
  <c r="AE194" i="2"/>
  <c r="AY193" i="2"/>
  <c r="AX193" i="2"/>
  <c r="AJ193" i="2" s="1"/>
  <c r="AW193" i="2"/>
  <c r="AV193" i="2"/>
  <c r="AU193" i="2"/>
  <c r="AT193" i="2"/>
  <c r="AS193" i="2"/>
  <c r="AR193" i="2"/>
  <c r="AQ193" i="2"/>
  <c r="AH193" i="2" s="1"/>
  <c r="J193" i="2" s="1"/>
  <c r="AL193" i="2"/>
  <c r="AG193" i="2"/>
  <c r="AF193" i="2"/>
  <c r="AE193" i="2"/>
  <c r="AY192" i="2"/>
  <c r="AX192" i="2"/>
  <c r="AJ192" i="2" s="1"/>
  <c r="AW192" i="2"/>
  <c r="AV192" i="2"/>
  <c r="AG192" i="2" s="1"/>
  <c r="AU192" i="2"/>
  <c r="AT192" i="2"/>
  <c r="AS192" i="2"/>
  <c r="AR192" i="2"/>
  <c r="AQ192" i="2"/>
  <c r="AL192" i="2"/>
  <c r="T192" i="2" s="1"/>
  <c r="S192" i="2" s="1"/>
  <c r="AF192" i="2"/>
  <c r="AE192" i="2"/>
  <c r="AY191" i="2"/>
  <c r="AJ191" i="2" s="1"/>
  <c r="AX191" i="2"/>
  <c r="AW191" i="2"/>
  <c r="AV191" i="2"/>
  <c r="AG191" i="2" s="1"/>
  <c r="AU191" i="2"/>
  <c r="AT191" i="2"/>
  <c r="AS191" i="2"/>
  <c r="AR191" i="2"/>
  <c r="AQ191" i="2"/>
  <c r="AH191" i="2" s="1"/>
  <c r="AL191" i="2"/>
  <c r="AK191" i="2" s="1"/>
  <c r="AF191" i="2"/>
  <c r="AE191" i="2"/>
  <c r="AY190" i="2"/>
  <c r="AX190" i="2"/>
  <c r="AW190" i="2"/>
  <c r="AV190" i="2"/>
  <c r="AU190" i="2"/>
  <c r="AT190" i="2"/>
  <c r="AS190" i="2"/>
  <c r="AR190" i="2"/>
  <c r="AH190" i="2" s="1"/>
  <c r="J190" i="2" s="1"/>
  <c r="AQ190" i="2"/>
  <c r="AL190" i="2"/>
  <c r="AK190" i="2" s="1"/>
  <c r="AG190" i="2"/>
  <c r="AF190" i="2"/>
  <c r="AE190" i="2"/>
  <c r="AY189" i="2"/>
  <c r="AJ189" i="2" s="1"/>
  <c r="AX189" i="2"/>
  <c r="AW189" i="2"/>
  <c r="AV189" i="2"/>
  <c r="AU189" i="2"/>
  <c r="AT189" i="2"/>
  <c r="AS189" i="2"/>
  <c r="AR189" i="2"/>
  <c r="AQ189" i="2"/>
  <c r="AH189" i="2" s="1"/>
  <c r="J189" i="2" s="1"/>
  <c r="AL189" i="2"/>
  <c r="AK189" i="2" s="1"/>
  <c r="AG189" i="2"/>
  <c r="AF189" i="2"/>
  <c r="AE189" i="2"/>
  <c r="AY188" i="2"/>
  <c r="AJ188" i="2" s="1"/>
  <c r="AX188" i="2"/>
  <c r="AW188" i="2"/>
  <c r="AV188" i="2"/>
  <c r="AG188" i="2" s="1"/>
  <c r="AU188" i="2"/>
  <c r="AT188" i="2"/>
  <c r="AS188" i="2"/>
  <c r="AR188" i="2"/>
  <c r="AQ188" i="2"/>
  <c r="AL188" i="2"/>
  <c r="AK188" i="2" s="1"/>
  <c r="AF188" i="2"/>
  <c r="AE188" i="2"/>
  <c r="AY187" i="2"/>
  <c r="AJ187" i="2" s="1"/>
  <c r="AX187" i="2"/>
  <c r="AW187" i="2"/>
  <c r="AV187" i="2"/>
  <c r="AG187" i="2" s="1"/>
  <c r="AU187" i="2"/>
  <c r="AT187" i="2"/>
  <c r="AS187" i="2"/>
  <c r="AR187" i="2"/>
  <c r="AQ187" i="2"/>
  <c r="AL187" i="2"/>
  <c r="AK187" i="2" s="1"/>
  <c r="AF187" i="2"/>
  <c r="AE187" i="2"/>
  <c r="AY186" i="2"/>
  <c r="AX186" i="2"/>
  <c r="AJ186" i="2" s="1"/>
  <c r="AW186" i="2"/>
  <c r="AV186" i="2"/>
  <c r="AU186" i="2"/>
  <c r="AT186" i="2"/>
  <c r="AS186" i="2"/>
  <c r="AR186" i="2"/>
  <c r="AQ186" i="2"/>
  <c r="AL186" i="2"/>
  <c r="AK186" i="2" s="1"/>
  <c r="AH186" i="2"/>
  <c r="AG186" i="2"/>
  <c r="AF186" i="2"/>
  <c r="AE186" i="2"/>
  <c r="J186" i="2"/>
  <c r="AY185" i="2"/>
  <c r="AX185" i="2"/>
  <c r="AW185" i="2"/>
  <c r="AV185" i="2"/>
  <c r="AG185" i="2" s="1"/>
  <c r="AU185" i="2"/>
  <c r="AT185" i="2"/>
  <c r="AS185" i="2"/>
  <c r="AR185" i="2"/>
  <c r="AQ185" i="2"/>
  <c r="AL185" i="2"/>
  <c r="AK185" i="2" s="1"/>
  <c r="AJ185" i="2"/>
  <c r="AH185" i="2"/>
  <c r="AF185" i="2"/>
  <c r="AE185" i="2"/>
  <c r="J185" i="2" s="1"/>
  <c r="AY184" i="2"/>
  <c r="AX184" i="2"/>
  <c r="AW184" i="2"/>
  <c r="AV184" i="2"/>
  <c r="AG184" i="2" s="1"/>
  <c r="AU184" i="2"/>
  <c r="AT184" i="2"/>
  <c r="AS184" i="2"/>
  <c r="AR184" i="2"/>
  <c r="AH184" i="2" s="1"/>
  <c r="J184" i="2" s="1"/>
  <c r="AQ184" i="2"/>
  <c r="AL184" i="2"/>
  <c r="AK184" i="2" s="1"/>
  <c r="AJ184" i="2"/>
  <c r="AF184" i="2"/>
  <c r="AE184" i="2"/>
  <c r="AY183" i="2"/>
  <c r="AX183" i="2"/>
  <c r="AW183" i="2"/>
  <c r="AV183" i="2"/>
  <c r="AU183" i="2"/>
  <c r="AT183" i="2"/>
  <c r="AS183" i="2"/>
  <c r="AR183" i="2"/>
  <c r="AQ183" i="2"/>
  <c r="AH183" i="2" s="1"/>
  <c r="AL183" i="2"/>
  <c r="AK183" i="2" s="1"/>
  <c r="AG183" i="2"/>
  <c r="AF183" i="2"/>
  <c r="AE183" i="2"/>
  <c r="AY182" i="2"/>
  <c r="AX182" i="2"/>
  <c r="AW182" i="2"/>
  <c r="AV182" i="2"/>
  <c r="AU182" i="2"/>
  <c r="AT182" i="2"/>
  <c r="AS182" i="2"/>
  <c r="AR182" i="2"/>
  <c r="AQ182" i="2"/>
  <c r="AH182" i="2" s="1"/>
  <c r="J182" i="2" s="1"/>
  <c r="AL182" i="2"/>
  <c r="AK182" i="2" s="1"/>
  <c r="AG182" i="2"/>
  <c r="AF182" i="2"/>
  <c r="AE182" i="2"/>
  <c r="AY181" i="2"/>
  <c r="AX181" i="2"/>
  <c r="AW181" i="2"/>
  <c r="AV181" i="2"/>
  <c r="AU181" i="2"/>
  <c r="AT181" i="2"/>
  <c r="AS181" i="2"/>
  <c r="AR181" i="2"/>
  <c r="AQ181" i="2"/>
  <c r="AH181" i="2" s="1"/>
  <c r="J181" i="2" s="1"/>
  <c r="AL181" i="2"/>
  <c r="AK181" i="2" s="1"/>
  <c r="AJ181" i="2"/>
  <c r="AG181" i="2"/>
  <c r="AF181" i="2"/>
  <c r="AE181" i="2"/>
  <c r="AY180" i="2"/>
  <c r="AX180" i="2"/>
  <c r="AW180" i="2"/>
  <c r="AV180" i="2"/>
  <c r="AG180" i="2" s="1"/>
  <c r="AU180" i="2"/>
  <c r="AT180" i="2"/>
  <c r="AS180" i="2"/>
  <c r="AR180" i="2"/>
  <c r="AQ180" i="2"/>
  <c r="AL180" i="2"/>
  <c r="AK180" i="2" s="1"/>
  <c r="AJ180" i="2"/>
  <c r="AF180" i="2"/>
  <c r="AE180" i="2"/>
  <c r="AY179" i="2"/>
  <c r="AJ179" i="2" s="1"/>
  <c r="AX179" i="2"/>
  <c r="AW179" i="2"/>
  <c r="AV179" i="2"/>
  <c r="AG179" i="2" s="1"/>
  <c r="AU179" i="2"/>
  <c r="AT179" i="2"/>
  <c r="AS179" i="2"/>
  <c r="AR179" i="2"/>
  <c r="AQ179" i="2"/>
  <c r="AH179" i="2" s="1"/>
  <c r="AL179" i="2"/>
  <c r="AK179" i="2" s="1"/>
  <c r="AF179" i="2"/>
  <c r="AE179" i="2"/>
  <c r="AY178" i="2"/>
  <c r="AX178" i="2"/>
  <c r="AW178" i="2"/>
  <c r="AV178" i="2"/>
  <c r="AU178" i="2"/>
  <c r="AT178" i="2"/>
  <c r="AS178" i="2"/>
  <c r="AR178" i="2"/>
  <c r="AQ178" i="2"/>
  <c r="AH178" i="2" s="1"/>
  <c r="J178" i="2" s="1"/>
  <c r="AL178" i="2"/>
  <c r="AK178" i="2" s="1"/>
  <c r="AG178" i="2"/>
  <c r="AF178" i="2"/>
  <c r="AE178" i="2"/>
  <c r="AY177" i="2"/>
  <c r="AX177" i="2"/>
  <c r="AJ177" i="2" s="1"/>
  <c r="AW177" i="2"/>
  <c r="AV177" i="2"/>
  <c r="AU177" i="2"/>
  <c r="AT177" i="2"/>
  <c r="AS177" i="2"/>
  <c r="AR177" i="2"/>
  <c r="AQ177" i="2"/>
  <c r="AH177" i="2" s="1"/>
  <c r="J177" i="2" s="1"/>
  <c r="AL177" i="2"/>
  <c r="AK177" i="2" s="1"/>
  <c r="AG177" i="2"/>
  <c r="AF177" i="2"/>
  <c r="AE177" i="2"/>
  <c r="AY176" i="2"/>
  <c r="AX176" i="2"/>
  <c r="AJ176" i="2" s="1"/>
  <c r="AW176" i="2"/>
  <c r="AV176" i="2"/>
  <c r="AG176" i="2" s="1"/>
  <c r="AU176" i="2"/>
  <c r="AT176" i="2"/>
  <c r="AS176" i="2"/>
  <c r="AR176" i="2"/>
  <c r="AQ176" i="2"/>
  <c r="AL176" i="2"/>
  <c r="AK176" i="2" s="1"/>
  <c r="AF176" i="2"/>
  <c r="AE176" i="2"/>
  <c r="AY175" i="2"/>
  <c r="AX175" i="2"/>
  <c r="AW175" i="2"/>
  <c r="AV175" i="2"/>
  <c r="AU175" i="2"/>
  <c r="AT175" i="2"/>
  <c r="AS175" i="2"/>
  <c r="AR175" i="2"/>
  <c r="AQ175" i="2"/>
  <c r="AH175" i="2" s="1"/>
  <c r="J175" i="2" s="1"/>
  <c r="AL175" i="2"/>
  <c r="AK175" i="2" s="1"/>
  <c r="AJ175" i="2"/>
  <c r="AG175" i="2"/>
  <c r="AF175" i="2"/>
  <c r="AE175" i="2"/>
  <c r="AY174" i="2"/>
  <c r="AX174" i="2"/>
  <c r="AJ174" i="2" s="1"/>
  <c r="AW174" i="2"/>
  <c r="AV174" i="2"/>
  <c r="AU174" i="2"/>
  <c r="AT174" i="2"/>
  <c r="AS174" i="2"/>
  <c r="AR174" i="2"/>
  <c r="AQ174" i="2"/>
  <c r="AL174" i="2"/>
  <c r="AK174" i="2" s="1"/>
  <c r="AH174" i="2"/>
  <c r="AG174" i="2"/>
  <c r="AF174" i="2"/>
  <c r="AE174" i="2"/>
  <c r="J174" i="2" s="1"/>
  <c r="AY173" i="2"/>
  <c r="AX173" i="2"/>
  <c r="AW173" i="2"/>
  <c r="AV173" i="2"/>
  <c r="AG173" i="2" s="1"/>
  <c r="AU173" i="2"/>
  <c r="AT173" i="2"/>
  <c r="AS173" i="2"/>
  <c r="AR173" i="2"/>
  <c r="AQ173" i="2"/>
  <c r="AL173" i="2"/>
  <c r="AJ173" i="2"/>
  <c r="AH173" i="2"/>
  <c r="AF173" i="2"/>
  <c r="AE173" i="2"/>
  <c r="J173" i="2" s="1"/>
  <c r="AY172" i="2"/>
  <c r="AX172" i="2"/>
  <c r="AW172" i="2"/>
  <c r="AV172" i="2"/>
  <c r="AG172" i="2" s="1"/>
  <c r="AU172" i="2"/>
  <c r="AT172" i="2"/>
  <c r="AS172" i="2"/>
  <c r="AR172" i="2"/>
  <c r="AH172" i="2" s="1"/>
  <c r="J172" i="2" s="1"/>
  <c r="AQ172" i="2"/>
  <c r="AL172" i="2"/>
  <c r="AK172" i="2" s="1"/>
  <c r="AJ172" i="2"/>
  <c r="AF172" i="2"/>
  <c r="AE172" i="2"/>
  <c r="AY171" i="2"/>
  <c r="AX171" i="2"/>
  <c r="AW171" i="2"/>
  <c r="AV171" i="2"/>
  <c r="AU171" i="2"/>
  <c r="AT171" i="2"/>
  <c r="AS171" i="2"/>
  <c r="AR171" i="2"/>
  <c r="AQ171" i="2"/>
  <c r="AH171" i="2" s="1"/>
  <c r="AL171" i="2"/>
  <c r="AK171" i="2" s="1"/>
  <c r="AJ171" i="2"/>
  <c r="AG171" i="2"/>
  <c r="AF171" i="2"/>
  <c r="AE171" i="2"/>
  <c r="AY170" i="2"/>
  <c r="AX170" i="2"/>
  <c r="AJ170" i="2" s="1"/>
  <c r="AW170" i="2"/>
  <c r="AV170" i="2"/>
  <c r="AU170" i="2"/>
  <c r="AT170" i="2"/>
  <c r="AS170" i="2"/>
  <c r="AR170" i="2"/>
  <c r="AQ170" i="2"/>
  <c r="AH170" i="2" s="1"/>
  <c r="J170" i="2" s="1"/>
  <c r="AL170" i="2"/>
  <c r="AK170" i="2" s="1"/>
  <c r="AG170" i="2"/>
  <c r="AF170" i="2"/>
  <c r="AE170" i="2"/>
  <c r="AY169" i="2"/>
  <c r="AX169" i="2"/>
  <c r="AJ169" i="2" s="1"/>
  <c r="AW169" i="2"/>
  <c r="AV169" i="2"/>
  <c r="AU169" i="2"/>
  <c r="AT169" i="2"/>
  <c r="AS169" i="2"/>
  <c r="AR169" i="2"/>
  <c r="AQ169" i="2"/>
  <c r="AH169" i="2" s="1"/>
  <c r="J169" i="2" s="1"/>
  <c r="AL169" i="2"/>
  <c r="T169" i="2" s="1"/>
  <c r="AG169" i="2"/>
  <c r="AF169" i="2"/>
  <c r="AE169" i="2"/>
  <c r="AY168" i="2"/>
  <c r="AX168" i="2"/>
  <c r="AW168" i="2"/>
  <c r="AV168" i="2"/>
  <c r="AU168" i="2"/>
  <c r="AT168" i="2"/>
  <c r="AS168" i="2"/>
  <c r="AR168" i="2"/>
  <c r="AQ168" i="2"/>
  <c r="AH168" i="2" s="1"/>
  <c r="J168" i="2" s="1"/>
  <c r="AL168" i="2"/>
  <c r="AK168" i="2" s="1"/>
  <c r="AJ168" i="2"/>
  <c r="AG168" i="2"/>
  <c r="AF168" i="2"/>
  <c r="AE168" i="2"/>
  <c r="AY167" i="2"/>
  <c r="AX167" i="2"/>
  <c r="AW167" i="2"/>
  <c r="AV167" i="2"/>
  <c r="AU167" i="2"/>
  <c r="AT167" i="2"/>
  <c r="AS167" i="2"/>
  <c r="AR167" i="2"/>
  <c r="AQ167" i="2"/>
  <c r="AH167" i="2" s="1"/>
  <c r="AL167" i="2"/>
  <c r="AK167" i="2" s="1"/>
  <c r="AJ167" i="2"/>
  <c r="AG167" i="2"/>
  <c r="AF167" i="2"/>
  <c r="AE167" i="2"/>
  <c r="AY166" i="2"/>
  <c r="AX166" i="2"/>
  <c r="AW166" i="2"/>
  <c r="AV166" i="2"/>
  <c r="AU166" i="2"/>
  <c r="AT166" i="2"/>
  <c r="AS166" i="2"/>
  <c r="AR166" i="2"/>
  <c r="AQ166" i="2"/>
  <c r="AL166" i="2"/>
  <c r="AK166" i="2" s="1"/>
  <c r="AJ166" i="2"/>
  <c r="AH166" i="2"/>
  <c r="AG166" i="2"/>
  <c r="AF166" i="2"/>
  <c r="AE166" i="2"/>
  <c r="J166" i="2"/>
  <c r="AY165" i="2"/>
  <c r="AX165" i="2"/>
  <c r="AW165" i="2"/>
  <c r="AV165" i="2"/>
  <c r="AU165" i="2"/>
  <c r="AT165" i="2"/>
  <c r="AS165" i="2"/>
  <c r="AJ165" i="2" s="1"/>
  <c r="AR165" i="2"/>
  <c r="AQ165" i="2"/>
  <c r="AL165" i="2"/>
  <c r="AH165" i="2"/>
  <c r="AG165" i="2"/>
  <c r="AF165" i="2"/>
  <c r="AE165" i="2"/>
  <c r="J165" i="2"/>
  <c r="AY164" i="2"/>
  <c r="AX164" i="2"/>
  <c r="AW164" i="2"/>
  <c r="AV164" i="2"/>
  <c r="AU164" i="2"/>
  <c r="AT164" i="2"/>
  <c r="AS164" i="2"/>
  <c r="AR164" i="2"/>
  <c r="AQ164" i="2"/>
  <c r="AH164" i="2" s="1"/>
  <c r="J164" i="2" s="1"/>
  <c r="AL164" i="2"/>
  <c r="AK164" i="2" s="1"/>
  <c r="AJ164" i="2"/>
  <c r="AG164" i="2"/>
  <c r="AF164" i="2"/>
  <c r="AE164" i="2"/>
  <c r="AY163" i="2"/>
  <c r="AX163" i="2"/>
  <c r="AW163" i="2"/>
  <c r="AV163" i="2"/>
  <c r="AU163" i="2"/>
  <c r="AT163" i="2"/>
  <c r="AS163" i="2"/>
  <c r="AR163" i="2"/>
  <c r="AQ163" i="2"/>
  <c r="AH163" i="2" s="1"/>
  <c r="J163" i="2" s="1"/>
  <c r="AL163" i="2"/>
  <c r="AK163" i="2" s="1"/>
  <c r="AJ163" i="2"/>
  <c r="AG163" i="2"/>
  <c r="AF163" i="2"/>
  <c r="AE163" i="2"/>
  <c r="AY162" i="2"/>
  <c r="AX162" i="2"/>
  <c r="AW162" i="2"/>
  <c r="AV162" i="2"/>
  <c r="AU162" i="2"/>
  <c r="AT162" i="2"/>
  <c r="AS162" i="2"/>
  <c r="AR162" i="2"/>
  <c r="AQ162" i="2"/>
  <c r="AL162" i="2"/>
  <c r="AK162" i="2" s="1"/>
  <c r="AJ162" i="2"/>
  <c r="AH162" i="2"/>
  <c r="AG162" i="2"/>
  <c r="AF162" i="2"/>
  <c r="AE162" i="2"/>
  <c r="J162" i="2" s="1"/>
  <c r="AY161" i="2"/>
  <c r="AX161" i="2"/>
  <c r="AW161" i="2"/>
  <c r="AV161" i="2"/>
  <c r="AU161" i="2"/>
  <c r="AT161" i="2"/>
  <c r="AS161" i="2"/>
  <c r="AJ161" i="2" s="1"/>
  <c r="AR161" i="2"/>
  <c r="AQ161" i="2"/>
  <c r="AL161" i="2"/>
  <c r="T161" i="2" s="1"/>
  <c r="AH161" i="2"/>
  <c r="AG161" i="2"/>
  <c r="AF161" i="2"/>
  <c r="AE161" i="2"/>
  <c r="J161" i="2" s="1"/>
  <c r="AY160" i="2"/>
  <c r="AX160" i="2"/>
  <c r="AW160" i="2"/>
  <c r="AV160" i="2"/>
  <c r="AU160" i="2"/>
  <c r="AT160" i="2"/>
  <c r="AS160" i="2"/>
  <c r="AR160" i="2"/>
  <c r="AQ160" i="2"/>
  <c r="AL160" i="2"/>
  <c r="AK160" i="2" s="1"/>
  <c r="AJ160" i="2"/>
  <c r="AH160" i="2"/>
  <c r="AG160" i="2"/>
  <c r="AF160" i="2"/>
  <c r="AE160" i="2"/>
  <c r="J160" i="2" s="1"/>
  <c r="AY159" i="2"/>
  <c r="AX159" i="2"/>
  <c r="AW159" i="2"/>
  <c r="AV159" i="2"/>
  <c r="AU159" i="2"/>
  <c r="AT159" i="2"/>
  <c r="AS159" i="2"/>
  <c r="AR159" i="2"/>
  <c r="AQ159" i="2"/>
  <c r="AH159" i="2" s="1"/>
  <c r="AL159" i="2"/>
  <c r="AK159" i="2" s="1"/>
  <c r="AJ159" i="2"/>
  <c r="AG159" i="2"/>
  <c r="AF159" i="2"/>
  <c r="AE159" i="2"/>
  <c r="AY158" i="2"/>
  <c r="AX158" i="2"/>
  <c r="AW158" i="2"/>
  <c r="AV158" i="2"/>
  <c r="AU158" i="2"/>
  <c r="AT158" i="2"/>
  <c r="AS158" i="2"/>
  <c r="AR158" i="2"/>
  <c r="AQ158" i="2"/>
  <c r="AH158" i="2" s="1"/>
  <c r="J158" i="2" s="1"/>
  <c r="AL158" i="2"/>
  <c r="AK158" i="2" s="1"/>
  <c r="AJ158" i="2"/>
  <c r="AG158" i="2"/>
  <c r="AF158" i="2"/>
  <c r="AE158" i="2"/>
  <c r="AY157" i="2"/>
  <c r="AX157" i="2"/>
  <c r="AW157" i="2"/>
  <c r="AV157" i="2"/>
  <c r="AU157" i="2"/>
  <c r="AT157" i="2"/>
  <c r="AS157" i="2"/>
  <c r="AJ157" i="2" s="1"/>
  <c r="AR157" i="2"/>
  <c r="AQ157" i="2"/>
  <c r="AH157" i="2" s="1"/>
  <c r="J157" i="2" s="1"/>
  <c r="AL157" i="2"/>
  <c r="T157" i="2" s="1"/>
  <c r="AG157" i="2"/>
  <c r="AF157" i="2"/>
  <c r="AE157" i="2"/>
  <c r="AY156" i="2"/>
  <c r="AX156" i="2"/>
  <c r="AW156" i="2"/>
  <c r="AV156" i="2"/>
  <c r="AU156" i="2"/>
  <c r="AT156" i="2"/>
  <c r="AS156" i="2"/>
  <c r="AR156" i="2"/>
  <c r="AQ156" i="2"/>
  <c r="AH156" i="2" s="1"/>
  <c r="J156" i="2" s="1"/>
  <c r="AL156" i="2"/>
  <c r="AK156" i="2" s="1"/>
  <c r="AJ156" i="2"/>
  <c r="AG156" i="2"/>
  <c r="AF156" i="2"/>
  <c r="AE156" i="2"/>
  <c r="AY155" i="2"/>
  <c r="AX155" i="2"/>
  <c r="AW155" i="2"/>
  <c r="AV155" i="2"/>
  <c r="AU155" i="2"/>
  <c r="AT155" i="2"/>
  <c r="AS155" i="2"/>
  <c r="AR155" i="2"/>
  <c r="AQ155" i="2"/>
  <c r="AH155" i="2" s="1"/>
  <c r="AL155" i="2"/>
  <c r="AK155" i="2" s="1"/>
  <c r="AJ155" i="2"/>
  <c r="AG155" i="2"/>
  <c r="AF155" i="2"/>
  <c r="AE155" i="2"/>
  <c r="AY154" i="2"/>
  <c r="AX154" i="2"/>
  <c r="AW154" i="2"/>
  <c r="AV154" i="2"/>
  <c r="AU154" i="2"/>
  <c r="AT154" i="2"/>
  <c r="AS154" i="2"/>
  <c r="AR154" i="2"/>
  <c r="AQ154" i="2"/>
  <c r="AL154" i="2"/>
  <c r="AK154" i="2" s="1"/>
  <c r="AJ154" i="2"/>
  <c r="AH154" i="2"/>
  <c r="AG154" i="2"/>
  <c r="AF154" i="2"/>
  <c r="AE154" i="2"/>
  <c r="J154" i="2"/>
  <c r="AY153" i="2"/>
  <c r="AX153" i="2"/>
  <c r="AW153" i="2"/>
  <c r="AV153" i="2"/>
  <c r="AU153" i="2"/>
  <c r="AT153" i="2"/>
  <c r="AS153" i="2"/>
  <c r="AJ153" i="2" s="1"/>
  <c r="AR153" i="2"/>
  <c r="AQ153" i="2"/>
  <c r="AH153" i="2" s="1"/>
  <c r="J153" i="2" s="1"/>
  <c r="AL153" i="2"/>
  <c r="AG153" i="2"/>
  <c r="AF153" i="2"/>
  <c r="AE153" i="2"/>
  <c r="AY152" i="2"/>
  <c r="AX152" i="2"/>
  <c r="AW152" i="2"/>
  <c r="AV152" i="2"/>
  <c r="AU152" i="2"/>
  <c r="AT152" i="2"/>
  <c r="AS152" i="2"/>
  <c r="AR152" i="2"/>
  <c r="AQ152" i="2"/>
  <c r="AH152" i="2" s="1"/>
  <c r="J152" i="2" s="1"/>
  <c r="AL152" i="2"/>
  <c r="AK152" i="2" s="1"/>
  <c r="AJ152" i="2"/>
  <c r="AG152" i="2"/>
  <c r="AF152" i="2"/>
  <c r="AE152" i="2"/>
  <c r="AY151" i="2"/>
  <c r="AX151" i="2"/>
  <c r="AW151" i="2"/>
  <c r="AV151" i="2"/>
  <c r="AU151" i="2"/>
  <c r="AT151" i="2"/>
  <c r="AS151" i="2"/>
  <c r="AR151" i="2"/>
  <c r="AQ151" i="2"/>
  <c r="AH151" i="2" s="1"/>
  <c r="AL151" i="2"/>
  <c r="AK151" i="2" s="1"/>
  <c r="AJ151" i="2"/>
  <c r="AG151" i="2"/>
  <c r="AF151" i="2"/>
  <c r="AE151" i="2"/>
  <c r="AY150" i="2"/>
  <c r="AX150" i="2"/>
  <c r="AW150" i="2"/>
  <c r="AV150" i="2"/>
  <c r="AU150" i="2"/>
  <c r="AT150" i="2"/>
  <c r="AS150" i="2"/>
  <c r="AR150" i="2"/>
  <c r="AQ150" i="2"/>
  <c r="AL150" i="2"/>
  <c r="AK150" i="2" s="1"/>
  <c r="AJ150" i="2"/>
  <c r="AH150" i="2"/>
  <c r="AG150" i="2"/>
  <c r="AF150" i="2"/>
  <c r="AE150" i="2"/>
  <c r="J150" i="2"/>
  <c r="AY149" i="2"/>
  <c r="AX149" i="2"/>
  <c r="AW149" i="2"/>
  <c r="AV149" i="2"/>
  <c r="AU149" i="2"/>
  <c r="AT149" i="2"/>
  <c r="AS149" i="2"/>
  <c r="AJ149" i="2" s="1"/>
  <c r="AR149" i="2"/>
  <c r="AQ149" i="2"/>
  <c r="AL149" i="2"/>
  <c r="AH149" i="2"/>
  <c r="AG149" i="2"/>
  <c r="AF149" i="2"/>
  <c r="AE149" i="2"/>
  <c r="J149" i="2"/>
  <c r="AY148" i="2"/>
  <c r="AX148" i="2"/>
  <c r="AW148" i="2"/>
  <c r="AV148" i="2"/>
  <c r="AU148" i="2"/>
  <c r="AT148" i="2"/>
  <c r="AS148" i="2"/>
  <c r="AR148" i="2"/>
  <c r="AQ148" i="2"/>
  <c r="AH148" i="2" s="1"/>
  <c r="J148" i="2" s="1"/>
  <c r="AL148" i="2"/>
  <c r="AK148" i="2" s="1"/>
  <c r="AJ148" i="2"/>
  <c r="AG148" i="2"/>
  <c r="AF148" i="2"/>
  <c r="AE148" i="2"/>
  <c r="AY147" i="2"/>
  <c r="AJ147" i="2" s="1"/>
  <c r="AX147" i="2"/>
  <c r="AW147" i="2"/>
  <c r="AV147" i="2"/>
  <c r="AU147" i="2"/>
  <c r="AT147" i="2"/>
  <c r="AS147" i="2"/>
  <c r="AR147" i="2"/>
  <c r="AQ147" i="2"/>
  <c r="AH147" i="2" s="1"/>
  <c r="J147" i="2" s="1"/>
  <c r="AM147" i="2"/>
  <c r="AL147" i="2"/>
  <c r="AG147" i="2"/>
  <c r="AF147" i="2"/>
  <c r="AE147" i="2"/>
  <c r="AY146" i="2"/>
  <c r="AJ146" i="2" s="1"/>
  <c r="AX146" i="2"/>
  <c r="AW146" i="2"/>
  <c r="AV146" i="2"/>
  <c r="AU146" i="2"/>
  <c r="AT146" i="2"/>
  <c r="AS146" i="2"/>
  <c r="AR146" i="2"/>
  <c r="AQ146" i="2"/>
  <c r="AM146" i="2"/>
  <c r="U146" i="2" s="1"/>
  <c r="AA146" i="2" s="1"/>
  <c r="AL146" i="2"/>
  <c r="AH146" i="2"/>
  <c r="AG146" i="2"/>
  <c r="AF146" i="2"/>
  <c r="AE146" i="2"/>
  <c r="J146" i="2"/>
  <c r="AY145" i="2"/>
  <c r="AX145" i="2"/>
  <c r="AW145" i="2"/>
  <c r="AV145" i="2"/>
  <c r="AU145" i="2"/>
  <c r="AT145" i="2"/>
  <c r="AS145" i="2"/>
  <c r="AR145" i="2"/>
  <c r="AQ145" i="2"/>
  <c r="AM145" i="2"/>
  <c r="AL145" i="2"/>
  <c r="AJ145" i="2"/>
  <c r="AH145" i="2"/>
  <c r="AG145" i="2"/>
  <c r="AF145" i="2"/>
  <c r="AE145" i="2"/>
  <c r="AY144" i="2"/>
  <c r="AX144" i="2"/>
  <c r="AW144" i="2"/>
  <c r="AV144" i="2"/>
  <c r="AU144" i="2"/>
  <c r="AT144" i="2"/>
  <c r="AS144" i="2"/>
  <c r="AR144" i="2"/>
  <c r="AQ144" i="2"/>
  <c r="AM144" i="2"/>
  <c r="AL144" i="2"/>
  <c r="T144" i="2" s="1"/>
  <c r="AJ144" i="2"/>
  <c r="AH144" i="2"/>
  <c r="AG144" i="2"/>
  <c r="AF144" i="2"/>
  <c r="AE144" i="2"/>
  <c r="J144" i="2" s="1"/>
  <c r="U144" i="2"/>
  <c r="O144" i="2" s="1"/>
  <c r="AY143" i="2"/>
  <c r="AJ143" i="2" s="1"/>
  <c r="AX143" i="2"/>
  <c r="AW143" i="2"/>
  <c r="AV143" i="2"/>
  <c r="AU143" i="2"/>
  <c r="AT143" i="2"/>
  <c r="AS143" i="2"/>
  <c r="AR143" i="2"/>
  <c r="AQ143" i="2"/>
  <c r="AH143" i="2" s="1"/>
  <c r="J143" i="2" s="1"/>
  <c r="AM143" i="2"/>
  <c r="AL143" i="2"/>
  <c r="AG143" i="2"/>
  <c r="AF143" i="2"/>
  <c r="AE143" i="2"/>
  <c r="AY142" i="2"/>
  <c r="AX142" i="2"/>
  <c r="AW142" i="2"/>
  <c r="AV142" i="2"/>
  <c r="AU142" i="2"/>
  <c r="AT142" i="2"/>
  <c r="AS142" i="2"/>
  <c r="AR142" i="2"/>
  <c r="AQ142" i="2"/>
  <c r="AH142" i="2" s="1"/>
  <c r="AM142" i="2"/>
  <c r="AL142" i="2"/>
  <c r="AJ142" i="2"/>
  <c r="AG142" i="2"/>
  <c r="AF142" i="2"/>
  <c r="AE142" i="2"/>
  <c r="AY141" i="2"/>
  <c r="AX141" i="2"/>
  <c r="AW141" i="2"/>
  <c r="AV141" i="2"/>
  <c r="AU141" i="2"/>
  <c r="AT141" i="2"/>
  <c r="AS141" i="2"/>
  <c r="AR141" i="2"/>
  <c r="AQ141" i="2"/>
  <c r="AM141" i="2"/>
  <c r="AL141" i="2"/>
  <c r="AJ141" i="2"/>
  <c r="AH141" i="2"/>
  <c r="AG141" i="2"/>
  <c r="AF141" i="2"/>
  <c r="AE141" i="2"/>
  <c r="AY140" i="2"/>
  <c r="AX140" i="2"/>
  <c r="AW140" i="2"/>
  <c r="AV140" i="2"/>
  <c r="AU140" i="2"/>
  <c r="AT140" i="2"/>
  <c r="AS140" i="2"/>
  <c r="AR140" i="2"/>
  <c r="AQ140" i="2"/>
  <c r="AM140" i="2"/>
  <c r="AL140" i="2"/>
  <c r="AJ140" i="2"/>
  <c r="AH140" i="2"/>
  <c r="AG140" i="2"/>
  <c r="AF140" i="2"/>
  <c r="AE140" i="2"/>
  <c r="J140" i="2" s="1"/>
  <c r="AY139" i="2"/>
  <c r="AX139" i="2"/>
  <c r="AW139" i="2"/>
  <c r="AV139" i="2"/>
  <c r="AU139" i="2"/>
  <c r="AT139" i="2"/>
  <c r="AS139" i="2"/>
  <c r="AR139" i="2"/>
  <c r="AQ139" i="2"/>
  <c r="AH139" i="2" s="1"/>
  <c r="AM139" i="2"/>
  <c r="AL139" i="2"/>
  <c r="AJ139" i="2"/>
  <c r="AG139" i="2"/>
  <c r="AF139" i="2"/>
  <c r="AE139" i="2"/>
  <c r="AY138" i="2"/>
  <c r="AX138" i="2"/>
  <c r="AW138" i="2"/>
  <c r="AV138" i="2"/>
  <c r="AU138" i="2"/>
  <c r="AT138" i="2"/>
  <c r="AS138" i="2"/>
  <c r="AR138" i="2"/>
  <c r="AQ138" i="2"/>
  <c r="AH138" i="2" s="1"/>
  <c r="J138" i="2" s="1"/>
  <c r="AM138" i="2"/>
  <c r="AL138" i="2"/>
  <c r="AJ138" i="2"/>
  <c r="AG138" i="2"/>
  <c r="AF138" i="2"/>
  <c r="AE138" i="2"/>
  <c r="AY137" i="2"/>
  <c r="AX137" i="2"/>
  <c r="AW137" i="2"/>
  <c r="AV137" i="2"/>
  <c r="AU137" i="2"/>
  <c r="AT137" i="2"/>
  <c r="AS137" i="2"/>
  <c r="AR137" i="2"/>
  <c r="AQ137" i="2"/>
  <c r="AM137" i="2"/>
  <c r="AL137" i="2"/>
  <c r="AJ137" i="2"/>
  <c r="AH137" i="2"/>
  <c r="AG137" i="2"/>
  <c r="AF137" i="2"/>
  <c r="AE137" i="2"/>
  <c r="AY136" i="2"/>
  <c r="AX136" i="2"/>
  <c r="AW136" i="2"/>
  <c r="AV136" i="2"/>
  <c r="AU136" i="2"/>
  <c r="AT136" i="2"/>
  <c r="AS136" i="2"/>
  <c r="AR136" i="2"/>
  <c r="AQ136" i="2"/>
  <c r="AM136" i="2"/>
  <c r="U136" i="2" s="1"/>
  <c r="AL136" i="2"/>
  <c r="AJ136" i="2"/>
  <c r="AH136" i="2"/>
  <c r="AG136" i="2"/>
  <c r="AF136" i="2"/>
  <c r="AE136" i="2"/>
  <c r="J136" i="2"/>
  <c r="AY135" i="2"/>
  <c r="AX135" i="2"/>
  <c r="AW135" i="2"/>
  <c r="AV135" i="2"/>
  <c r="AU135" i="2"/>
  <c r="AT135" i="2"/>
  <c r="AS135" i="2"/>
  <c r="AR135" i="2"/>
  <c r="AQ135" i="2"/>
  <c r="AH135" i="2" s="1"/>
  <c r="AM135" i="2"/>
  <c r="AL135" i="2"/>
  <c r="AJ135" i="2"/>
  <c r="AG135" i="2"/>
  <c r="AF135" i="2"/>
  <c r="AE135" i="2"/>
  <c r="AY134" i="2"/>
  <c r="AJ134" i="2" s="1"/>
  <c r="AX134" i="2"/>
  <c r="AW134" i="2"/>
  <c r="AV134" i="2"/>
  <c r="AU134" i="2"/>
  <c r="AT134" i="2"/>
  <c r="AS134" i="2"/>
  <c r="AR134" i="2"/>
  <c r="AQ134" i="2"/>
  <c r="AH134" i="2" s="1"/>
  <c r="J134" i="2" s="1"/>
  <c r="AM134" i="2"/>
  <c r="AL134" i="2"/>
  <c r="AG134" i="2"/>
  <c r="AF134" i="2"/>
  <c r="AE134" i="2"/>
  <c r="AY133" i="2"/>
  <c r="AX133" i="2"/>
  <c r="AW133" i="2"/>
  <c r="AV133" i="2"/>
  <c r="AU133" i="2"/>
  <c r="AT133" i="2"/>
  <c r="AS133" i="2"/>
  <c r="AR133" i="2"/>
  <c r="AQ133" i="2"/>
  <c r="AM133" i="2"/>
  <c r="AL133" i="2"/>
  <c r="AJ133" i="2"/>
  <c r="AH133" i="2"/>
  <c r="AG133" i="2"/>
  <c r="AF133" i="2"/>
  <c r="AE133" i="2"/>
  <c r="AY132" i="2"/>
  <c r="AX132" i="2"/>
  <c r="AW132" i="2"/>
  <c r="AV132" i="2"/>
  <c r="AU132" i="2"/>
  <c r="AT132" i="2"/>
  <c r="AS132" i="2"/>
  <c r="AR132" i="2"/>
  <c r="AQ132" i="2"/>
  <c r="AM132" i="2"/>
  <c r="U132" i="2" s="1"/>
  <c r="AL132" i="2"/>
  <c r="AJ132" i="2"/>
  <c r="AH132" i="2"/>
  <c r="AG132" i="2"/>
  <c r="AF132" i="2"/>
  <c r="AE132" i="2"/>
  <c r="J132" i="2" s="1"/>
  <c r="AY131" i="2"/>
  <c r="AJ131" i="2" s="1"/>
  <c r="AX131" i="2"/>
  <c r="AW131" i="2"/>
  <c r="AV131" i="2"/>
  <c r="AU131" i="2"/>
  <c r="AT131" i="2"/>
  <c r="AS131" i="2"/>
  <c r="AR131" i="2"/>
  <c r="AQ131" i="2"/>
  <c r="AH131" i="2" s="1"/>
  <c r="J131" i="2" s="1"/>
  <c r="AM131" i="2"/>
  <c r="AL131" i="2"/>
  <c r="T131" i="2" s="1"/>
  <c r="AG131" i="2"/>
  <c r="AF131" i="2"/>
  <c r="AE131" i="2"/>
  <c r="AY130" i="2"/>
  <c r="AX130" i="2"/>
  <c r="AW130" i="2"/>
  <c r="AV130" i="2"/>
  <c r="AU130" i="2"/>
  <c r="AT130" i="2"/>
  <c r="AS130" i="2"/>
  <c r="AR130" i="2"/>
  <c r="AQ130" i="2"/>
  <c r="AH130" i="2" s="1"/>
  <c r="AM130" i="2"/>
  <c r="AL130" i="2"/>
  <c r="AJ130" i="2"/>
  <c r="AG130" i="2"/>
  <c r="AF130" i="2"/>
  <c r="AE130" i="2"/>
  <c r="AY129" i="2"/>
  <c r="AX129" i="2"/>
  <c r="AW129" i="2"/>
  <c r="AV129" i="2"/>
  <c r="AU129" i="2"/>
  <c r="AT129" i="2"/>
  <c r="AS129" i="2"/>
  <c r="AR129" i="2"/>
  <c r="AQ129" i="2"/>
  <c r="AM129" i="2"/>
  <c r="AL129" i="2"/>
  <c r="AJ129" i="2"/>
  <c r="AH129" i="2"/>
  <c r="J129" i="2" s="1"/>
  <c r="AG129" i="2"/>
  <c r="AF129" i="2"/>
  <c r="AE129" i="2"/>
  <c r="AY128" i="2"/>
  <c r="AX128" i="2"/>
  <c r="AW128" i="2"/>
  <c r="U128" i="2" s="1"/>
  <c r="AV128" i="2"/>
  <c r="AU128" i="2"/>
  <c r="AT128" i="2"/>
  <c r="AS128" i="2"/>
  <c r="AR128" i="2"/>
  <c r="AQ128" i="2"/>
  <c r="AM128" i="2"/>
  <c r="AL128" i="2"/>
  <c r="T128" i="2" s="1"/>
  <c r="AJ128" i="2"/>
  <c r="AH128" i="2"/>
  <c r="AG128" i="2"/>
  <c r="AF128" i="2"/>
  <c r="AE128" i="2"/>
  <c r="J128" i="2"/>
  <c r="AY127" i="2"/>
  <c r="AX127" i="2"/>
  <c r="AW127" i="2"/>
  <c r="AV127" i="2"/>
  <c r="AU127" i="2"/>
  <c r="AT127" i="2"/>
  <c r="AS127" i="2"/>
  <c r="AR127" i="2"/>
  <c r="AQ127" i="2"/>
  <c r="AH127" i="2" s="1"/>
  <c r="AM127" i="2"/>
  <c r="AL127" i="2"/>
  <c r="T127" i="2" s="1"/>
  <c r="AJ127" i="2"/>
  <c r="AG127" i="2"/>
  <c r="AF127" i="2"/>
  <c r="AE127" i="2"/>
  <c r="AY126" i="2"/>
  <c r="AJ126" i="2" s="1"/>
  <c r="AX126" i="2"/>
  <c r="AW126" i="2"/>
  <c r="AV126" i="2"/>
  <c r="AU126" i="2"/>
  <c r="AT126" i="2"/>
  <c r="AS126" i="2"/>
  <c r="AR126" i="2"/>
  <c r="AQ126" i="2"/>
  <c r="AM126" i="2"/>
  <c r="AL126" i="2"/>
  <c r="AH126" i="2"/>
  <c r="J126" i="2" s="1"/>
  <c r="AG126" i="2"/>
  <c r="AF126" i="2"/>
  <c r="AE126" i="2"/>
  <c r="U126" i="2"/>
  <c r="AA126" i="2" s="1"/>
  <c r="AY125" i="2"/>
  <c r="AX125" i="2"/>
  <c r="AW125" i="2"/>
  <c r="AV125" i="2"/>
  <c r="AU125" i="2"/>
  <c r="AT125" i="2"/>
  <c r="AS125" i="2"/>
  <c r="AR125" i="2"/>
  <c r="AQ125" i="2"/>
  <c r="AM125" i="2"/>
  <c r="AL125" i="2"/>
  <c r="T125" i="2" s="1"/>
  <c r="Z125" i="2" s="1"/>
  <c r="AJ125" i="2"/>
  <c r="AH125" i="2"/>
  <c r="J125" i="2" s="1"/>
  <c r="AG125" i="2"/>
  <c r="AF125" i="2"/>
  <c r="AE125" i="2"/>
  <c r="AY124" i="2"/>
  <c r="AX124" i="2"/>
  <c r="AW124" i="2"/>
  <c r="AV124" i="2"/>
  <c r="AU124" i="2"/>
  <c r="AT124" i="2"/>
  <c r="AS124" i="2"/>
  <c r="AR124" i="2"/>
  <c r="AQ124" i="2"/>
  <c r="AH124" i="2" s="1"/>
  <c r="AM124" i="2"/>
  <c r="AL124" i="2"/>
  <c r="AJ124" i="2"/>
  <c r="AG124" i="2"/>
  <c r="AF124" i="2"/>
  <c r="AE124" i="2"/>
  <c r="AY123" i="2"/>
  <c r="AX123" i="2"/>
  <c r="AW123" i="2"/>
  <c r="AV123" i="2"/>
  <c r="AU123" i="2"/>
  <c r="AT123" i="2"/>
  <c r="AS123" i="2"/>
  <c r="AR123" i="2"/>
  <c r="AQ123" i="2"/>
  <c r="AH123" i="2" s="1"/>
  <c r="AM123" i="2"/>
  <c r="AL123" i="2"/>
  <c r="AJ123" i="2"/>
  <c r="AG123" i="2"/>
  <c r="AF123" i="2"/>
  <c r="AE123" i="2"/>
  <c r="AY122" i="2"/>
  <c r="AJ122" i="2" s="1"/>
  <c r="AX122" i="2"/>
  <c r="AW122" i="2"/>
  <c r="AV122" i="2"/>
  <c r="AU122" i="2"/>
  <c r="AT122" i="2"/>
  <c r="AS122" i="2"/>
  <c r="AR122" i="2"/>
  <c r="AQ122" i="2"/>
  <c r="AH122" i="2" s="1"/>
  <c r="J122" i="2" s="1"/>
  <c r="AM122" i="2"/>
  <c r="AL122" i="2"/>
  <c r="AG122" i="2"/>
  <c r="AF122" i="2"/>
  <c r="AE122" i="2"/>
  <c r="U122" i="2"/>
  <c r="AA122" i="2" s="1"/>
  <c r="AY121" i="2"/>
  <c r="AX121" i="2"/>
  <c r="AW121" i="2"/>
  <c r="AV121" i="2"/>
  <c r="AU121" i="2"/>
  <c r="AT121" i="2"/>
  <c r="AS121" i="2"/>
  <c r="AR121" i="2"/>
  <c r="AQ121" i="2"/>
  <c r="AM121" i="2"/>
  <c r="AL121" i="2"/>
  <c r="T121" i="2" s="1"/>
  <c r="Z121" i="2" s="1"/>
  <c r="AJ121" i="2"/>
  <c r="AH121" i="2"/>
  <c r="AG121" i="2"/>
  <c r="AF121" i="2"/>
  <c r="AE121" i="2"/>
  <c r="AY120" i="2"/>
  <c r="AX120" i="2"/>
  <c r="AW120" i="2"/>
  <c r="AV120" i="2"/>
  <c r="AU120" i="2"/>
  <c r="AT120" i="2"/>
  <c r="AS120" i="2"/>
  <c r="AR120" i="2"/>
  <c r="AQ120" i="2"/>
  <c r="AH120" i="2" s="1"/>
  <c r="AM120" i="2"/>
  <c r="AL120" i="2"/>
  <c r="AK120" i="2" s="1"/>
  <c r="AJ120" i="2"/>
  <c r="AG120" i="2"/>
  <c r="AF120" i="2"/>
  <c r="AE120" i="2"/>
  <c r="AY119" i="2"/>
  <c r="AX119" i="2"/>
  <c r="AW119" i="2"/>
  <c r="AV119" i="2"/>
  <c r="AU119" i="2"/>
  <c r="AT119" i="2"/>
  <c r="AS119" i="2"/>
  <c r="AR119" i="2"/>
  <c r="AQ119" i="2"/>
  <c r="AH119" i="2" s="1"/>
  <c r="J119" i="2" s="1"/>
  <c r="AM119" i="2"/>
  <c r="AL119" i="2"/>
  <c r="AJ119" i="2"/>
  <c r="AG119" i="2"/>
  <c r="AF119" i="2"/>
  <c r="AE119" i="2"/>
  <c r="AY118" i="2"/>
  <c r="AJ118" i="2" s="1"/>
  <c r="AX118" i="2"/>
  <c r="AW118" i="2"/>
  <c r="AV118" i="2"/>
  <c r="AU118" i="2"/>
  <c r="AT118" i="2"/>
  <c r="AS118" i="2"/>
  <c r="AR118" i="2"/>
  <c r="AQ118" i="2"/>
  <c r="AH118" i="2" s="1"/>
  <c r="J118" i="2" s="1"/>
  <c r="AM118" i="2"/>
  <c r="AL118" i="2"/>
  <c r="AG118" i="2"/>
  <c r="AF118" i="2"/>
  <c r="AE118" i="2"/>
  <c r="U118" i="2"/>
  <c r="AA118" i="2" s="1"/>
  <c r="AY117" i="2"/>
  <c r="AX117" i="2"/>
  <c r="AW117" i="2"/>
  <c r="AV117" i="2"/>
  <c r="AE117" i="2" s="1"/>
  <c r="AU117" i="2"/>
  <c r="AT117" i="2"/>
  <c r="AS117" i="2"/>
  <c r="AR117" i="2"/>
  <c r="AQ117" i="2"/>
  <c r="AH117" i="2" s="1"/>
  <c r="AL117" i="2"/>
  <c r="AK117" i="2" s="1"/>
  <c r="AJ117" i="2"/>
  <c r="AG117" i="2"/>
  <c r="AF117" i="2"/>
  <c r="AY116" i="2"/>
  <c r="AX116" i="2"/>
  <c r="AW116" i="2"/>
  <c r="AV116" i="2"/>
  <c r="AU116" i="2"/>
  <c r="AT116" i="2"/>
  <c r="AS116" i="2"/>
  <c r="AR116" i="2"/>
  <c r="AQ116" i="2"/>
  <c r="AH116" i="2" s="1"/>
  <c r="J116" i="2" s="1"/>
  <c r="AL116" i="2"/>
  <c r="AJ116" i="2"/>
  <c r="AG116" i="2"/>
  <c r="AF116" i="2"/>
  <c r="AE116" i="2"/>
  <c r="AY115" i="2"/>
  <c r="AX115" i="2"/>
  <c r="AV115" i="2"/>
  <c r="AE115" i="2" s="1"/>
  <c r="AU115" i="2"/>
  <c r="AT115" i="2"/>
  <c r="AS115" i="2"/>
  <c r="AR115" i="2"/>
  <c r="AQ115" i="2"/>
  <c r="AH115" i="2" s="1"/>
  <c r="AL115" i="2"/>
  <c r="AK115" i="2" s="1"/>
  <c r="AJ115" i="2"/>
  <c r="AG115" i="2"/>
  <c r="AF115" i="2"/>
  <c r="AY114" i="2"/>
  <c r="AX114" i="2"/>
  <c r="AW114" i="2"/>
  <c r="AV114" i="2"/>
  <c r="AU114" i="2"/>
  <c r="AT114" i="2"/>
  <c r="AS114" i="2"/>
  <c r="AR114" i="2"/>
  <c r="AQ114" i="2"/>
  <c r="AH114" i="2" s="1"/>
  <c r="AL114" i="2"/>
  <c r="X114" i="2" s="1"/>
  <c r="AD114" i="2" s="1"/>
  <c r="AJ114" i="2"/>
  <c r="AG114" i="2"/>
  <c r="AF114" i="2"/>
  <c r="AE114" i="2"/>
  <c r="AY113" i="2"/>
  <c r="AX113" i="2"/>
  <c r="AW113" i="2"/>
  <c r="AV113" i="2"/>
  <c r="AE113" i="2" s="1"/>
  <c r="AU113" i="2"/>
  <c r="AT113" i="2"/>
  <c r="AS113" i="2"/>
  <c r="AR113" i="2"/>
  <c r="AQ113" i="2"/>
  <c r="AH113" i="2" s="1"/>
  <c r="AL113" i="2"/>
  <c r="AK113" i="2" s="1"/>
  <c r="AJ113" i="2"/>
  <c r="AG113" i="2"/>
  <c r="AF113" i="2"/>
  <c r="AY112" i="2"/>
  <c r="AX112" i="2"/>
  <c r="AV112" i="2"/>
  <c r="AE112" i="2" s="1"/>
  <c r="AU112" i="2"/>
  <c r="AT112" i="2"/>
  <c r="AS112" i="2"/>
  <c r="AR112" i="2"/>
  <c r="AQ112" i="2"/>
  <c r="AH112" i="2" s="1"/>
  <c r="AL112" i="2"/>
  <c r="AK112" i="2" s="1"/>
  <c r="AJ112" i="2"/>
  <c r="AG112" i="2"/>
  <c r="AF112" i="2"/>
  <c r="AY111" i="2"/>
  <c r="AX111" i="2"/>
  <c r="AW111" i="2"/>
  <c r="AV111" i="2"/>
  <c r="AU111" i="2"/>
  <c r="AT111" i="2"/>
  <c r="AS111" i="2"/>
  <c r="AR111" i="2"/>
  <c r="AQ111" i="2"/>
  <c r="AH111" i="2" s="1"/>
  <c r="J111" i="2" s="1"/>
  <c r="AL111" i="2"/>
  <c r="AK111" i="2" s="1"/>
  <c r="AJ111" i="2"/>
  <c r="AG111" i="2"/>
  <c r="AF111" i="2"/>
  <c r="AE111" i="2"/>
  <c r="AY110" i="2"/>
  <c r="AX110" i="2"/>
  <c r="AW110" i="2"/>
  <c r="AV110" i="2"/>
  <c r="AE110" i="2" s="1"/>
  <c r="AU110" i="2"/>
  <c r="AT110" i="2"/>
  <c r="AS110" i="2"/>
  <c r="AR110" i="2"/>
  <c r="AQ110" i="2"/>
  <c r="AH110" i="2" s="1"/>
  <c r="AL110" i="2"/>
  <c r="AJ110" i="2"/>
  <c r="AG110" i="2"/>
  <c r="AF110" i="2"/>
  <c r="AY109" i="2"/>
  <c r="AX109" i="2"/>
  <c r="AV109" i="2"/>
  <c r="AU109" i="2"/>
  <c r="AT109" i="2"/>
  <c r="AS109" i="2"/>
  <c r="AR109" i="2"/>
  <c r="AQ109" i="2"/>
  <c r="AH109" i="2" s="1"/>
  <c r="AL109" i="2"/>
  <c r="AK109" i="2" s="1"/>
  <c r="AJ109" i="2"/>
  <c r="AG109" i="2"/>
  <c r="AF109" i="2"/>
  <c r="AE109" i="2"/>
  <c r="AY108" i="2"/>
  <c r="AX108" i="2"/>
  <c r="AW108" i="2"/>
  <c r="AV108" i="2"/>
  <c r="AE108" i="2" s="1"/>
  <c r="AU108" i="2"/>
  <c r="AT108" i="2"/>
  <c r="AS108" i="2"/>
  <c r="AR108" i="2"/>
  <c r="AQ108" i="2"/>
  <c r="AH108" i="2" s="1"/>
  <c r="AL108" i="2"/>
  <c r="AJ108" i="2"/>
  <c r="AG108" i="2"/>
  <c r="AF108" i="2"/>
  <c r="AY107" i="2"/>
  <c r="AX107" i="2"/>
  <c r="AW107" i="2"/>
  <c r="AV107" i="2"/>
  <c r="AU107" i="2"/>
  <c r="AT107" i="2"/>
  <c r="AS107" i="2"/>
  <c r="AR107" i="2"/>
  <c r="AQ107" i="2"/>
  <c r="AH107" i="2" s="1"/>
  <c r="AL107" i="2"/>
  <c r="AK107" i="2" s="1"/>
  <c r="AJ107" i="2"/>
  <c r="AG107" i="2"/>
  <c r="AF107" i="2"/>
  <c r="AE107" i="2"/>
  <c r="AY106" i="2"/>
  <c r="AX106" i="2"/>
  <c r="AW106" i="2"/>
  <c r="AV106" i="2"/>
  <c r="AU106" i="2"/>
  <c r="AT106" i="2"/>
  <c r="AG106" i="2" s="1"/>
  <c r="AS106" i="2"/>
  <c r="AE106" i="2" s="1"/>
  <c r="AR106" i="2"/>
  <c r="AQ106" i="2"/>
  <c r="AH106" i="2" s="1"/>
  <c r="AL106" i="2"/>
  <c r="AK106" i="2" s="1"/>
  <c r="AY105" i="2"/>
  <c r="AJ105" i="2" s="1"/>
  <c r="AX105" i="2"/>
  <c r="AW105" i="2"/>
  <c r="AV105" i="2"/>
  <c r="AU105" i="2"/>
  <c r="AT105" i="2"/>
  <c r="AS105" i="2"/>
  <c r="AE105" i="2" s="1"/>
  <c r="AR105" i="2"/>
  <c r="AQ105" i="2"/>
  <c r="AH105" i="2" s="1"/>
  <c r="J105" i="2" s="1"/>
  <c r="AL105" i="2"/>
  <c r="AK105" i="2" s="1"/>
  <c r="AG105" i="2"/>
  <c r="AY104" i="2"/>
  <c r="AX104" i="2"/>
  <c r="AW104" i="2"/>
  <c r="AV104" i="2"/>
  <c r="AU104" i="2"/>
  <c r="AT104" i="2"/>
  <c r="AG104" i="2" s="1"/>
  <c r="AS104" i="2"/>
  <c r="AE104" i="2" s="1"/>
  <c r="AR104" i="2"/>
  <c r="AQ104" i="2"/>
  <c r="AH104" i="2" s="1"/>
  <c r="AL104" i="2"/>
  <c r="AK104" i="2" s="1"/>
  <c r="AY103" i="2"/>
  <c r="AX103" i="2"/>
  <c r="AW103" i="2"/>
  <c r="AV103" i="2"/>
  <c r="AU103" i="2"/>
  <c r="AT103" i="2"/>
  <c r="AS103" i="2"/>
  <c r="AE103" i="2" s="1"/>
  <c r="AR103" i="2"/>
  <c r="AQ103" i="2"/>
  <c r="AH103" i="2" s="1"/>
  <c r="AL103" i="2"/>
  <c r="AK103" i="2" s="1"/>
  <c r="AJ103" i="2"/>
  <c r="AG103" i="2"/>
  <c r="AY102" i="2"/>
  <c r="AX102" i="2"/>
  <c r="AW102" i="2"/>
  <c r="AV102" i="2"/>
  <c r="AU102" i="2"/>
  <c r="AT102" i="2"/>
  <c r="AS102" i="2"/>
  <c r="AE102" i="2" s="1"/>
  <c r="AR102" i="2"/>
  <c r="AQ102" i="2"/>
  <c r="AH102" i="2" s="1"/>
  <c r="AL102" i="2"/>
  <c r="AK102" i="2" s="1"/>
  <c r="AG102" i="2"/>
  <c r="AY101" i="2"/>
  <c r="AX101" i="2"/>
  <c r="AW101" i="2"/>
  <c r="AV101" i="2"/>
  <c r="AU101" i="2"/>
  <c r="AT101" i="2"/>
  <c r="AS101" i="2"/>
  <c r="AE101" i="2" s="1"/>
  <c r="AR101" i="2"/>
  <c r="AQ101" i="2"/>
  <c r="AH101" i="2" s="1"/>
  <c r="AL101" i="2"/>
  <c r="AJ101" i="2"/>
  <c r="AG101" i="2"/>
  <c r="AY100" i="2"/>
  <c r="AJ100" i="2" s="1"/>
  <c r="AX100" i="2"/>
  <c r="AW100" i="2"/>
  <c r="AV100" i="2"/>
  <c r="AU100" i="2"/>
  <c r="AT100" i="2"/>
  <c r="AG100" i="2" s="1"/>
  <c r="AS100" i="2"/>
  <c r="AR100" i="2"/>
  <c r="AQ100" i="2"/>
  <c r="AH100" i="2" s="1"/>
  <c r="AL100" i="2"/>
  <c r="AK100" i="2" s="1"/>
  <c r="AE100" i="2"/>
  <c r="AY99" i="2"/>
  <c r="AX99" i="2"/>
  <c r="AW99" i="2"/>
  <c r="AV99" i="2"/>
  <c r="AU99" i="2"/>
  <c r="AT99" i="2"/>
  <c r="AG99" i="2" s="1"/>
  <c r="AS99" i="2"/>
  <c r="AE99" i="2" s="1"/>
  <c r="AR99" i="2"/>
  <c r="AQ99" i="2"/>
  <c r="AL99" i="2"/>
  <c r="AK99" i="2" s="1"/>
  <c r="AJ99" i="2"/>
  <c r="AH99" i="2"/>
  <c r="J99" i="2" s="1"/>
  <c r="AY98" i="2"/>
  <c r="AJ98" i="2" s="1"/>
  <c r="AX98" i="2"/>
  <c r="AW98" i="2"/>
  <c r="AV98" i="2"/>
  <c r="AU98" i="2"/>
  <c r="AT98" i="2"/>
  <c r="AG98" i="2" s="1"/>
  <c r="AS98" i="2"/>
  <c r="AR98" i="2"/>
  <c r="AQ98" i="2"/>
  <c r="AH98" i="2" s="1"/>
  <c r="J98" i="2" s="1"/>
  <c r="AL98" i="2"/>
  <c r="AK98" i="2" s="1"/>
  <c r="AE98" i="2"/>
  <c r="AY97" i="2"/>
  <c r="AX97" i="2"/>
  <c r="AW97" i="2"/>
  <c r="AV97" i="2"/>
  <c r="AU97" i="2"/>
  <c r="AT97" i="2"/>
  <c r="AG97" i="2" s="1"/>
  <c r="AS97" i="2"/>
  <c r="AE97" i="2" s="1"/>
  <c r="AR97" i="2"/>
  <c r="AQ97" i="2"/>
  <c r="AH97" i="2" s="1"/>
  <c r="J97" i="2" s="1"/>
  <c r="AL97" i="2"/>
  <c r="AK97" i="2" s="1"/>
  <c r="AJ97" i="2"/>
  <c r="AY96" i="2"/>
  <c r="AJ96" i="2" s="1"/>
  <c r="AX96" i="2"/>
  <c r="AW96" i="2"/>
  <c r="AV96" i="2"/>
  <c r="AU96" i="2"/>
  <c r="AT96" i="2"/>
  <c r="AG96" i="2" s="1"/>
  <c r="AS96" i="2"/>
  <c r="AR96" i="2"/>
  <c r="AQ96" i="2"/>
  <c r="AH96" i="2" s="1"/>
  <c r="J96" i="2" s="1"/>
  <c r="AL96" i="2"/>
  <c r="AK96" i="2" s="1"/>
  <c r="AE96" i="2"/>
  <c r="AY95" i="2"/>
  <c r="AX95" i="2"/>
  <c r="AW95" i="2"/>
  <c r="AV95" i="2"/>
  <c r="AU95" i="2"/>
  <c r="AT95" i="2"/>
  <c r="AG95" i="2" s="1"/>
  <c r="AS95" i="2"/>
  <c r="AE95" i="2" s="1"/>
  <c r="AR95" i="2"/>
  <c r="AQ95" i="2"/>
  <c r="AH95" i="2" s="1"/>
  <c r="J95" i="2" s="1"/>
  <c r="AL95" i="2"/>
  <c r="AK95" i="2" s="1"/>
  <c r="AJ95" i="2"/>
  <c r="AY94" i="2"/>
  <c r="AJ94" i="2" s="1"/>
  <c r="AX94" i="2"/>
  <c r="AW94" i="2"/>
  <c r="AV94" i="2"/>
  <c r="AU94" i="2"/>
  <c r="AT94" i="2"/>
  <c r="AG94" i="2" s="1"/>
  <c r="AS94" i="2"/>
  <c r="AR94" i="2"/>
  <c r="AQ94" i="2"/>
  <c r="AH94" i="2" s="1"/>
  <c r="J94" i="2" s="1"/>
  <c r="AL94" i="2"/>
  <c r="AK94" i="2" s="1"/>
  <c r="AE94" i="2"/>
  <c r="AY93" i="2"/>
  <c r="AX93" i="2"/>
  <c r="AW93" i="2"/>
  <c r="AV93" i="2"/>
  <c r="AU93" i="2"/>
  <c r="AT93" i="2"/>
  <c r="AG93" i="2" s="1"/>
  <c r="AS93" i="2"/>
  <c r="AE93" i="2" s="1"/>
  <c r="AR93" i="2"/>
  <c r="AQ93" i="2"/>
  <c r="AH93" i="2" s="1"/>
  <c r="J93" i="2" s="1"/>
  <c r="AL93" i="2"/>
  <c r="AK93" i="2" s="1"/>
  <c r="AJ93" i="2"/>
  <c r="AY92" i="2"/>
  <c r="AJ92" i="2" s="1"/>
  <c r="AX92" i="2"/>
  <c r="AW92" i="2"/>
  <c r="AV92" i="2"/>
  <c r="AU92" i="2"/>
  <c r="AT92" i="2"/>
  <c r="AG92" i="2" s="1"/>
  <c r="AS92" i="2"/>
  <c r="AR92" i="2"/>
  <c r="AQ92" i="2"/>
  <c r="AH92" i="2" s="1"/>
  <c r="J92" i="2" s="1"/>
  <c r="AL92" i="2"/>
  <c r="AK92" i="2" s="1"/>
  <c r="AE92" i="2"/>
  <c r="AY91" i="2"/>
  <c r="AX91" i="2"/>
  <c r="AW91" i="2"/>
  <c r="AV91" i="2"/>
  <c r="AU91" i="2"/>
  <c r="AT91" i="2"/>
  <c r="AG91" i="2" s="1"/>
  <c r="AS91" i="2"/>
  <c r="AE91" i="2" s="1"/>
  <c r="AR91" i="2"/>
  <c r="AQ91" i="2"/>
  <c r="AH91" i="2" s="1"/>
  <c r="J91" i="2" s="1"/>
  <c r="AL91" i="2"/>
  <c r="AK91" i="2" s="1"/>
  <c r="AJ91" i="2"/>
  <c r="AY90" i="2"/>
  <c r="AJ90" i="2" s="1"/>
  <c r="AX90" i="2"/>
  <c r="AW90" i="2"/>
  <c r="AV90" i="2"/>
  <c r="AU90" i="2"/>
  <c r="AT90" i="2"/>
  <c r="AG90" i="2" s="1"/>
  <c r="AS90" i="2"/>
  <c r="AR90" i="2"/>
  <c r="AQ90" i="2"/>
  <c r="AH90" i="2" s="1"/>
  <c r="J90" i="2" s="1"/>
  <c r="AL90" i="2"/>
  <c r="AK90" i="2" s="1"/>
  <c r="AE90" i="2"/>
  <c r="AY89" i="2"/>
  <c r="AX89" i="2"/>
  <c r="AW89" i="2"/>
  <c r="AV89" i="2"/>
  <c r="AU89" i="2"/>
  <c r="AT89" i="2"/>
  <c r="AG89" i="2" s="1"/>
  <c r="AS89" i="2"/>
  <c r="AE89" i="2" s="1"/>
  <c r="AR89" i="2"/>
  <c r="AQ89" i="2"/>
  <c r="AH89" i="2" s="1"/>
  <c r="J89" i="2" s="1"/>
  <c r="AL89" i="2"/>
  <c r="AK89" i="2" s="1"/>
  <c r="AJ89" i="2"/>
  <c r="AY88" i="2"/>
  <c r="AJ88" i="2" s="1"/>
  <c r="AX88" i="2"/>
  <c r="AW88" i="2"/>
  <c r="AV88" i="2"/>
  <c r="AU88" i="2"/>
  <c r="AT88" i="2"/>
  <c r="AG88" i="2" s="1"/>
  <c r="AS88" i="2"/>
  <c r="AR88" i="2"/>
  <c r="AQ88" i="2"/>
  <c r="AH88" i="2" s="1"/>
  <c r="J88" i="2" s="1"/>
  <c r="AL88" i="2"/>
  <c r="AK88" i="2" s="1"/>
  <c r="AE88" i="2"/>
  <c r="AY87" i="2"/>
  <c r="AX87" i="2"/>
  <c r="AW87" i="2"/>
  <c r="AV87" i="2"/>
  <c r="AU87" i="2"/>
  <c r="AT87" i="2"/>
  <c r="AG87" i="2" s="1"/>
  <c r="AS87" i="2"/>
  <c r="AE87" i="2" s="1"/>
  <c r="AR87" i="2"/>
  <c r="AQ87" i="2"/>
  <c r="AH87" i="2" s="1"/>
  <c r="J87" i="2" s="1"/>
  <c r="AL87" i="2"/>
  <c r="AK87" i="2" s="1"/>
  <c r="AJ87" i="2"/>
  <c r="AY86" i="2"/>
  <c r="AJ86" i="2" s="1"/>
  <c r="AX86" i="2"/>
  <c r="AW86" i="2"/>
  <c r="AV86" i="2"/>
  <c r="AU86" i="2"/>
  <c r="AT86" i="2"/>
  <c r="AG86" i="2" s="1"/>
  <c r="AS86" i="2"/>
  <c r="AR86" i="2"/>
  <c r="AQ86" i="2"/>
  <c r="AH86" i="2" s="1"/>
  <c r="J86" i="2" s="1"/>
  <c r="AL86" i="2"/>
  <c r="AK86" i="2" s="1"/>
  <c r="AE86" i="2"/>
  <c r="AY85" i="2"/>
  <c r="AX85" i="2"/>
  <c r="AW85" i="2"/>
  <c r="AV85" i="2"/>
  <c r="AU85" i="2"/>
  <c r="AT85" i="2"/>
  <c r="AG85" i="2" s="1"/>
  <c r="AS85" i="2"/>
  <c r="AE85" i="2" s="1"/>
  <c r="AR85" i="2"/>
  <c r="AQ85" i="2"/>
  <c r="AH85" i="2" s="1"/>
  <c r="J85" i="2" s="1"/>
  <c r="AL85" i="2"/>
  <c r="AK85" i="2" s="1"/>
  <c r="AJ85" i="2"/>
  <c r="AY84" i="2"/>
  <c r="AJ84" i="2" s="1"/>
  <c r="AX84" i="2"/>
  <c r="AW84" i="2"/>
  <c r="AV84" i="2"/>
  <c r="AU84" i="2"/>
  <c r="AT84" i="2"/>
  <c r="AG84" i="2" s="1"/>
  <c r="AS84" i="2"/>
  <c r="AR84" i="2"/>
  <c r="AQ84" i="2"/>
  <c r="AH84" i="2" s="1"/>
  <c r="J84" i="2" s="1"/>
  <c r="AL84" i="2"/>
  <c r="AK84" i="2" s="1"/>
  <c r="AE84" i="2"/>
  <c r="AY83" i="2"/>
  <c r="AJ83" i="2" s="1"/>
  <c r="AX83" i="2"/>
  <c r="AW83" i="2"/>
  <c r="AV83" i="2"/>
  <c r="AU83" i="2"/>
  <c r="AT83" i="2"/>
  <c r="AG83" i="2" s="1"/>
  <c r="AS83" i="2"/>
  <c r="AE83" i="2" s="1"/>
  <c r="AR83" i="2"/>
  <c r="AQ83" i="2"/>
  <c r="AL83" i="2"/>
  <c r="AK83" i="2" s="1"/>
  <c r="AH83" i="2"/>
  <c r="AY82" i="2"/>
  <c r="AJ82" i="2" s="1"/>
  <c r="AX82" i="2"/>
  <c r="AW82" i="2"/>
  <c r="AV82" i="2"/>
  <c r="AU82" i="2"/>
  <c r="AT82" i="2"/>
  <c r="AG82" i="2" s="1"/>
  <c r="AS82" i="2"/>
  <c r="AR82" i="2"/>
  <c r="AQ82" i="2"/>
  <c r="AL82" i="2"/>
  <c r="AH82" i="2"/>
  <c r="AE82" i="2"/>
  <c r="AY81" i="2"/>
  <c r="AX81" i="2"/>
  <c r="AW81" i="2"/>
  <c r="AV81" i="2"/>
  <c r="AU81" i="2"/>
  <c r="AT81" i="2"/>
  <c r="AS81" i="2"/>
  <c r="AE81" i="2" s="1"/>
  <c r="AR81" i="2"/>
  <c r="AQ81" i="2"/>
  <c r="AH81" i="2" s="1"/>
  <c r="AL81" i="2"/>
  <c r="AK81" i="2" s="1"/>
  <c r="AJ81" i="2"/>
  <c r="AG81" i="2"/>
  <c r="AY80" i="2"/>
  <c r="AJ80" i="2" s="1"/>
  <c r="AX80" i="2"/>
  <c r="AW80" i="2"/>
  <c r="AV80" i="2"/>
  <c r="AU80" i="2"/>
  <c r="AT80" i="2"/>
  <c r="AG80" i="2" s="1"/>
  <c r="AS80" i="2"/>
  <c r="AR80" i="2"/>
  <c r="AQ80" i="2"/>
  <c r="AH80" i="2" s="1"/>
  <c r="J80" i="2" s="1"/>
  <c r="AL80" i="2"/>
  <c r="AK80" i="2" s="1"/>
  <c r="AE80" i="2"/>
  <c r="AY79" i="2"/>
  <c r="AX79" i="2"/>
  <c r="AW79" i="2"/>
  <c r="AV79" i="2"/>
  <c r="AU79" i="2"/>
  <c r="AT79" i="2"/>
  <c r="AG79" i="2" s="1"/>
  <c r="AS79" i="2"/>
  <c r="AE79" i="2" s="1"/>
  <c r="AR79" i="2"/>
  <c r="AQ79" i="2"/>
  <c r="AL79" i="2"/>
  <c r="AK79" i="2" s="1"/>
  <c r="AJ79" i="2"/>
  <c r="AH79" i="2"/>
  <c r="J79" i="2" s="1"/>
  <c r="AY78" i="2"/>
  <c r="AJ78" i="2" s="1"/>
  <c r="AX78" i="2"/>
  <c r="AW78" i="2"/>
  <c r="AV78" i="2"/>
  <c r="AU78" i="2"/>
  <c r="AT78" i="2"/>
  <c r="AG78" i="2" s="1"/>
  <c r="AS78" i="2"/>
  <c r="AR78" i="2"/>
  <c r="AQ78" i="2"/>
  <c r="AH78" i="2" s="1"/>
  <c r="J78" i="2" s="1"/>
  <c r="AL78" i="2"/>
  <c r="AK78" i="2" s="1"/>
  <c r="AE78" i="2"/>
  <c r="AY77" i="2"/>
  <c r="AX77" i="2"/>
  <c r="AW77" i="2"/>
  <c r="AV77" i="2"/>
  <c r="AU77" i="2"/>
  <c r="AT77" i="2"/>
  <c r="AG77" i="2" s="1"/>
  <c r="AS77" i="2"/>
  <c r="AE77" i="2" s="1"/>
  <c r="AR77" i="2"/>
  <c r="AQ77" i="2"/>
  <c r="AL77" i="2"/>
  <c r="AK77" i="2" s="1"/>
  <c r="AJ77" i="2"/>
  <c r="AH77" i="2"/>
  <c r="J77" i="2" s="1"/>
  <c r="AY76" i="2"/>
  <c r="AJ76" i="2" s="1"/>
  <c r="AX76" i="2"/>
  <c r="AW76" i="2"/>
  <c r="AV76" i="2"/>
  <c r="AU76" i="2"/>
  <c r="AT76" i="2"/>
  <c r="AG76" i="2" s="1"/>
  <c r="AS76" i="2"/>
  <c r="AE76" i="2" s="1"/>
  <c r="AR76" i="2"/>
  <c r="AQ76" i="2"/>
  <c r="AH76" i="2" s="1"/>
  <c r="AL76" i="2"/>
  <c r="AK76" i="2" s="1"/>
  <c r="AC53" i="2"/>
  <c r="AQ208" i="1"/>
  <c r="AM208" i="1"/>
  <c r="U208" i="1" s="1"/>
  <c r="AL208" i="1"/>
  <c r="AK208" i="1" s="1"/>
  <c r="AJ208" i="1"/>
  <c r="AI208" i="1"/>
  <c r="AH208" i="1"/>
  <c r="J208" i="1" s="1"/>
  <c r="AG208" i="1"/>
  <c r="AE208" i="1"/>
  <c r="X208" i="1"/>
  <c r="AD208" i="1" s="1"/>
  <c r="R208" i="1"/>
  <c r="AQ207" i="1"/>
  <c r="AH207" i="1" s="1"/>
  <c r="J207" i="1" s="1"/>
  <c r="AL207" i="1"/>
  <c r="AK207" i="1" s="1"/>
  <c r="AJ207" i="1"/>
  <c r="AI207" i="1"/>
  <c r="AC207" i="1" s="1"/>
  <c r="AG207" i="1"/>
  <c r="AE207" i="1"/>
  <c r="W207" i="1"/>
  <c r="V207" i="1"/>
  <c r="AB207" i="1" s="1"/>
  <c r="U207" i="1"/>
  <c r="AA207" i="1" s="1"/>
  <c r="H207" i="1"/>
  <c r="AQ206" i="1"/>
  <c r="AL206" i="1"/>
  <c r="X206" i="1" s="1"/>
  <c r="AJ206" i="1"/>
  <c r="AI206" i="1"/>
  <c r="AH206" i="1"/>
  <c r="J206" i="1" s="1"/>
  <c r="AG206" i="1"/>
  <c r="AE206" i="1"/>
  <c r="U206" i="1"/>
  <c r="AA206" i="1" s="1"/>
  <c r="O206" i="1"/>
  <c r="AQ205" i="1"/>
  <c r="AL205" i="1"/>
  <c r="X205" i="1" s="1"/>
  <c r="AJ205" i="1"/>
  <c r="AI205" i="1"/>
  <c r="AH205" i="1"/>
  <c r="J205" i="1" s="1"/>
  <c r="AG205" i="1"/>
  <c r="AE205" i="1"/>
  <c r="U205" i="1"/>
  <c r="AA205" i="1" s="1"/>
  <c r="O205" i="1"/>
  <c r="AQ204" i="1"/>
  <c r="AM204" i="1"/>
  <c r="U204" i="1" s="1"/>
  <c r="AL204" i="1"/>
  <c r="AK204" i="1" s="1"/>
  <c r="AJ204" i="1"/>
  <c r="AI204" i="1"/>
  <c r="AH204" i="1"/>
  <c r="J204" i="1" s="1"/>
  <c r="AG204" i="1"/>
  <c r="AE204" i="1"/>
  <c r="X204" i="1"/>
  <c r="AD204" i="1" s="1"/>
  <c r="R204" i="1"/>
  <c r="AQ203" i="1"/>
  <c r="AH203" i="1" s="1"/>
  <c r="J203" i="1" s="1"/>
  <c r="AM203" i="1"/>
  <c r="U203" i="1" s="1"/>
  <c r="AL203" i="1"/>
  <c r="AJ203" i="1"/>
  <c r="AI203" i="1"/>
  <c r="N203" i="1" s="1"/>
  <c r="AG203" i="1"/>
  <c r="AE203" i="1"/>
  <c r="X203" i="1"/>
  <c r="AD203" i="1" s="1"/>
  <c r="T203" i="1"/>
  <c r="Z203" i="1" s="1"/>
  <c r="R203" i="1"/>
  <c r="AQ202" i="1"/>
  <c r="AH202" i="1" s="1"/>
  <c r="J202" i="1" s="1"/>
  <c r="AL202" i="1"/>
  <c r="AK202" i="1"/>
  <c r="AJ202" i="1"/>
  <c r="AI202" i="1"/>
  <c r="O202" i="1" s="1"/>
  <c r="AG202" i="1"/>
  <c r="AE202" i="1"/>
  <c r="X202" i="1"/>
  <c r="AD202" i="1" s="1"/>
  <c r="U202" i="1"/>
  <c r="AA202" i="1" s="1"/>
  <c r="T202" i="1"/>
  <c r="Z202" i="1" s="1"/>
  <c r="S202" i="1"/>
  <c r="R202" i="1"/>
  <c r="AQ201" i="1"/>
  <c r="AH201" i="1" s="1"/>
  <c r="J201" i="1" s="1"/>
  <c r="AL201" i="1"/>
  <c r="AK201" i="1"/>
  <c r="AJ201" i="1"/>
  <c r="AI201" i="1"/>
  <c r="AG201" i="1"/>
  <c r="AE201" i="1"/>
  <c r="AA201" i="1"/>
  <c r="Z201" i="1"/>
  <c r="W201" i="1"/>
  <c r="AC201" i="1" s="1"/>
  <c r="V201" i="1"/>
  <c r="AB201" i="1" s="1"/>
  <c r="U201" i="1"/>
  <c r="T201" i="1"/>
  <c r="O201" i="1"/>
  <c r="N201" i="1"/>
  <c r="H201" i="1"/>
  <c r="X201" i="1" s="1"/>
  <c r="AQ200" i="1"/>
  <c r="AH200" i="1" s="1"/>
  <c r="J200" i="1" s="1"/>
  <c r="AM200" i="1"/>
  <c r="AJ200" i="1"/>
  <c r="AI200" i="1"/>
  <c r="AG200" i="1"/>
  <c r="AE200" i="1"/>
  <c r="U200" i="1"/>
  <c r="O200" i="1" s="1"/>
  <c r="H200" i="1"/>
  <c r="AL200" i="1" s="1"/>
  <c r="AQ199" i="1"/>
  <c r="AL199" i="1"/>
  <c r="T199" i="1" s="1"/>
  <c r="AJ199" i="1"/>
  <c r="AI199" i="1"/>
  <c r="AH199" i="1"/>
  <c r="J199" i="1" s="1"/>
  <c r="AG199" i="1"/>
  <c r="AE199" i="1"/>
  <c r="AQ198" i="1"/>
  <c r="AL198" i="1"/>
  <c r="V198" i="1" s="1"/>
  <c r="AJ198" i="1"/>
  <c r="AI198" i="1"/>
  <c r="AH198" i="1"/>
  <c r="J198" i="1" s="1"/>
  <c r="AG198" i="1"/>
  <c r="AE198" i="1"/>
  <c r="U198" i="1"/>
  <c r="AA198" i="1" s="1"/>
  <c r="H198" i="1"/>
  <c r="W198" i="1" s="1"/>
  <c r="AQ197" i="1"/>
  <c r="AM197" i="1"/>
  <c r="AL197" i="1"/>
  <c r="AK197" i="1" s="1"/>
  <c r="AJ197" i="1"/>
  <c r="AI197" i="1"/>
  <c r="AH197" i="1"/>
  <c r="J197" i="1" s="1"/>
  <c r="AG197" i="1"/>
  <c r="P197" i="1" s="1"/>
  <c r="AE197" i="1"/>
  <c r="V197" i="1"/>
  <c r="AB197" i="1" s="1"/>
  <c r="U197" i="1"/>
  <c r="AA197" i="1" s="1"/>
  <c r="O197" i="1"/>
  <c r="AQ196" i="1"/>
  <c r="AM196" i="1"/>
  <c r="U196" i="1" s="1"/>
  <c r="AL196" i="1"/>
  <c r="AK196" i="1" s="1"/>
  <c r="AJ196" i="1"/>
  <c r="AI196" i="1"/>
  <c r="AH196" i="1"/>
  <c r="J196" i="1" s="1"/>
  <c r="AG196" i="1"/>
  <c r="AE196" i="1"/>
  <c r="T196" i="1"/>
  <c r="N196" i="1" s="1"/>
  <c r="H196" i="1"/>
  <c r="AQ195" i="1"/>
  <c r="AN195" i="1"/>
  <c r="V195" i="1" s="1"/>
  <c r="AM195" i="1"/>
  <c r="AL195" i="1"/>
  <c r="AK195" i="1" s="1"/>
  <c r="AJ195" i="1"/>
  <c r="AI195" i="1"/>
  <c r="AH195" i="1"/>
  <c r="AG195" i="1"/>
  <c r="AE195" i="1"/>
  <c r="J195" i="1" s="1"/>
  <c r="Z195" i="1"/>
  <c r="U195" i="1"/>
  <c r="AA195" i="1" s="1"/>
  <c r="T195" i="1"/>
  <c r="AQ194" i="1"/>
  <c r="AH194" i="1" s="1"/>
  <c r="J194" i="1" s="1"/>
  <c r="AM194" i="1"/>
  <c r="U194" i="1" s="1"/>
  <c r="AL194" i="1"/>
  <c r="AK194" i="1" s="1"/>
  <c r="AJ194" i="1"/>
  <c r="AI194" i="1"/>
  <c r="AG194" i="1"/>
  <c r="AE194" i="1"/>
  <c r="V194" i="1"/>
  <c r="AB194" i="1" s="1"/>
  <c r="P194" i="1"/>
  <c r="AQ193" i="1"/>
  <c r="AH193" i="1" s="1"/>
  <c r="J193" i="1" s="1"/>
  <c r="AL193" i="1"/>
  <c r="AK193" i="1" s="1"/>
  <c r="AJ193" i="1"/>
  <c r="AI193" i="1"/>
  <c r="AG193" i="1"/>
  <c r="AE193" i="1"/>
  <c r="X193" i="1"/>
  <c r="R193" i="1" s="1"/>
  <c r="T193" i="1"/>
  <c r="Z193" i="1" s="1"/>
  <c r="N193" i="1"/>
  <c r="M193" i="1" s="1"/>
  <c r="I193" i="1" s="1"/>
  <c r="AQ192" i="1"/>
  <c r="AM192" i="1"/>
  <c r="AL192" i="1"/>
  <c r="T192" i="1" s="1"/>
  <c r="AJ192" i="1"/>
  <c r="AI192" i="1"/>
  <c r="AH192" i="1"/>
  <c r="J192" i="1" s="1"/>
  <c r="AG192" i="1"/>
  <c r="AE192" i="1"/>
  <c r="U192" i="1"/>
  <c r="AA192" i="1" s="1"/>
  <c r="O192" i="1"/>
  <c r="AQ191" i="1"/>
  <c r="AH191" i="1" s="1"/>
  <c r="J191" i="1" s="1"/>
  <c r="AN191" i="1"/>
  <c r="AM191" i="1"/>
  <c r="AL191" i="1"/>
  <c r="AK191" i="1"/>
  <c r="AJ191" i="1"/>
  <c r="AI191" i="1"/>
  <c r="AG191" i="1"/>
  <c r="AE191" i="1"/>
  <c r="AA191" i="1"/>
  <c r="Z191" i="1"/>
  <c r="V191" i="1"/>
  <c r="AB191" i="1" s="1"/>
  <c r="U191" i="1"/>
  <c r="O191" i="1" s="1"/>
  <c r="T191" i="1"/>
  <c r="W191" i="1" s="1"/>
  <c r="AQ190" i="1"/>
  <c r="AH190" i="1" s="1"/>
  <c r="J190" i="1" s="1"/>
  <c r="AL190" i="1"/>
  <c r="AK190" i="1" s="1"/>
  <c r="AJ190" i="1"/>
  <c r="AI190" i="1"/>
  <c r="AG190" i="1"/>
  <c r="AE190" i="1"/>
  <c r="X190" i="1"/>
  <c r="R190" i="1" s="1"/>
  <c r="T190" i="1"/>
  <c r="Z190" i="1" s="1"/>
  <c r="N190" i="1"/>
  <c r="AQ189" i="1"/>
  <c r="AM189" i="1"/>
  <c r="AL189" i="1"/>
  <c r="AK189" i="1" s="1"/>
  <c r="AJ189" i="1"/>
  <c r="AI189" i="1"/>
  <c r="AH189" i="1"/>
  <c r="J189" i="1" s="1"/>
  <c r="AG189" i="1"/>
  <c r="P189" i="1" s="1"/>
  <c r="AE189" i="1"/>
  <c r="V189" i="1"/>
  <c r="AB189" i="1" s="1"/>
  <c r="U189" i="1"/>
  <c r="O189" i="1" s="1"/>
  <c r="AQ188" i="1"/>
  <c r="AM188" i="1"/>
  <c r="U188" i="1" s="1"/>
  <c r="AL188" i="1"/>
  <c r="AK188" i="1" s="1"/>
  <c r="AJ188" i="1"/>
  <c r="AI188" i="1"/>
  <c r="AH188" i="1"/>
  <c r="J188" i="1" s="1"/>
  <c r="AG188" i="1"/>
  <c r="AE188" i="1"/>
  <c r="T188" i="1"/>
  <c r="N188" i="1" s="1"/>
  <c r="AQ187" i="1"/>
  <c r="AH187" i="1" s="1"/>
  <c r="J187" i="1" s="1"/>
  <c r="AM187" i="1"/>
  <c r="AL187" i="1"/>
  <c r="AK187" i="1"/>
  <c r="AJ187" i="1"/>
  <c r="AI187" i="1"/>
  <c r="AG187" i="1"/>
  <c r="N187" i="1" s="1"/>
  <c r="M187" i="1" s="1"/>
  <c r="I187" i="1" s="1"/>
  <c r="AE187" i="1"/>
  <c r="U187" i="1"/>
  <c r="AA187" i="1" s="1"/>
  <c r="T187" i="1"/>
  <c r="Z187" i="1" s="1"/>
  <c r="O187" i="1"/>
  <c r="AQ186" i="1"/>
  <c r="AL186" i="1"/>
  <c r="T186" i="1" s="1"/>
  <c r="AJ186" i="1"/>
  <c r="AI186" i="1"/>
  <c r="AH186" i="1"/>
  <c r="J186" i="1" s="1"/>
  <c r="AG186" i="1"/>
  <c r="AE186" i="1"/>
  <c r="AQ185" i="1"/>
  <c r="AH185" i="1" s="1"/>
  <c r="J185" i="1" s="1"/>
  <c r="AN185" i="1"/>
  <c r="AM185" i="1"/>
  <c r="AL185" i="1"/>
  <c r="AK185" i="1"/>
  <c r="AJ185" i="1"/>
  <c r="AI185" i="1"/>
  <c r="AG185" i="1"/>
  <c r="AE185" i="1"/>
  <c r="AA185" i="1"/>
  <c r="Z185" i="1"/>
  <c r="V185" i="1"/>
  <c r="AB185" i="1" s="1"/>
  <c r="U185" i="1"/>
  <c r="O185" i="1" s="1"/>
  <c r="T185" i="1"/>
  <c r="W185" i="1" s="1"/>
  <c r="AQ184" i="1"/>
  <c r="AH184" i="1" s="1"/>
  <c r="J184" i="1" s="1"/>
  <c r="AL184" i="1"/>
  <c r="AK184" i="1" s="1"/>
  <c r="AJ184" i="1"/>
  <c r="AI184" i="1"/>
  <c r="AG184" i="1"/>
  <c r="AE184" i="1"/>
  <c r="X184" i="1"/>
  <c r="R184" i="1" s="1"/>
  <c r="T184" i="1"/>
  <c r="Z184" i="1" s="1"/>
  <c r="N184" i="1"/>
  <c r="AQ183" i="1"/>
  <c r="AM183" i="1"/>
  <c r="AL183" i="1"/>
  <c r="T183" i="1" s="1"/>
  <c r="AJ183" i="1"/>
  <c r="AI183" i="1"/>
  <c r="AH183" i="1"/>
  <c r="J183" i="1" s="1"/>
  <c r="AG183" i="1"/>
  <c r="AE183" i="1"/>
  <c r="U183" i="1"/>
  <c r="AA183" i="1" s="1"/>
  <c r="O183" i="1"/>
  <c r="AQ182" i="1"/>
  <c r="AH182" i="1" s="1"/>
  <c r="J182" i="1" s="1"/>
  <c r="AL182" i="1"/>
  <c r="X182" i="1" s="1"/>
  <c r="AJ182" i="1"/>
  <c r="AI182" i="1"/>
  <c r="AG182" i="1"/>
  <c r="AE182" i="1"/>
  <c r="T182" i="1"/>
  <c r="N182" i="1" s="1"/>
  <c r="AQ181" i="1"/>
  <c r="AH181" i="1" s="1"/>
  <c r="J181" i="1" s="1"/>
  <c r="AM181" i="1"/>
  <c r="AL181" i="1"/>
  <c r="AK181" i="1"/>
  <c r="AJ181" i="1"/>
  <c r="AI181" i="1"/>
  <c r="AG181" i="1"/>
  <c r="N181" i="1" s="1"/>
  <c r="M181" i="1" s="1"/>
  <c r="I181" i="1" s="1"/>
  <c r="AE181" i="1"/>
  <c r="U181" i="1"/>
  <c r="AA181" i="1" s="1"/>
  <c r="T181" i="1"/>
  <c r="Z181" i="1" s="1"/>
  <c r="Y181" i="1" s="1"/>
  <c r="O181" i="1"/>
  <c r="AQ180" i="1"/>
  <c r="AM180" i="1"/>
  <c r="U180" i="1" s="1"/>
  <c r="AL180" i="1"/>
  <c r="AK180" i="1" s="1"/>
  <c r="AJ180" i="1"/>
  <c r="AI180" i="1"/>
  <c r="AH180" i="1"/>
  <c r="J180" i="1" s="1"/>
  <c r="AG180" i="1"/>
  <c r="AE180" i="1"/>
  <c r="V180" i="1"/>
  <c r="AB180" i="1" s="1"/>
  <c r="AQ179" i="1"/>
  <c r="AH179" i="1" s="1"/>
  <c r="J179" i="1" s="1"/>
  <c r="AM179" i="1"/>
  <c r="AL179" i="1"/>
  <c r="AK179" i="1" s="1"/>
  <c r="AJ179" i="1"/>
  <c r="AI179" i="1"/>
  <c r="AG179" i="1"/>
  <c r="AE179" i="1"/>
  <c r="U179" i="1"/>
  <c r="O179" i="1" s="1"/>
  <c r="T179" i="1"/>
  <c r="Z179" i="1" s="1"/>
  <c r="N179" i="1"/>
  <c r="M179" i="1" s="1"/>
  <c r="I179" i="1" s="1"/>
  <c r="AQ178" i="1"/>
  <c r="AM178" i="1"/>
  <c r="AL178" i="1"/>
  <c r="T178" i="1" s="1"/>
  <c r="AJ178" i="1"/>
  <c r="AI178" i="1"/>
  <c r="AH178" i="1"/>
  <c r="J178" i="1" s="1"/>
  <c r="AG178" i="1"/>
  <c r="AE178" i="1"/>
  <c r="U178" i="1"/>
  <c r="AA178" i="1" s="1"/>
  <c r="O178" i="1"/>
  <c r="AQ177" i="1"/>
  <c r="AH177" i="1" s="1"/>
  <c r="J177" i="1" s="1"/>
  <c r="AL177" i="1"/>
  <c r="X177" i="1" s="1"/>
  <c r="AJ177" i="1"/>
  <c r="AI177" i="1"/>
  <c r="AG177" i="1"/>
  <c r="AE177" i="1"/>
  <c r="T177" i="1"/>
  <c r="N177" i="1" s="1"/>
  <c r="AQ176" i="1"/>
  <c r="AN176" i="1"/>
  <c r="AM176" i="1"/>
  <c r="AL176" i="1"/>
  <c r="T176" i="1" s="1"/>
  <c r="AJ176" i="1"/>
  <c r="AI176" i="1"/>
  <c r="AH176" i="1"/>
  <c r="AG176" i="1"/>
  <c r="AE176" i="1"/>
  <c r="AB176" i="1"/>
  <c r="AA176" i="1"/>
  <c r="V176" i="1"/>
  <c r="P176" i="1" s="1"/>
  <c r="U176" i="1"/>
  <c r="O176" i="1" s="1"/>
  <c r="J176" i="1"/>
  <c r="AQ175" i="1"/>
  <c r="AM175" i="1"/>
  <c r="AL175" i="1"/>
  <c r="T175" i="1" s="1"/>
  <c r="AJ175" i="1"/>
  <c r="AI175" i="1"/>
  <c r="AH175" i="1"/>
  <c r="J175" i="1" s="1"/>
  <c r="AG175" i="1"/>
  <c r="AE175" i="1"/>
  <c r="U175" i="1"/>
  <c r="AA175" i="1" s="1"/>
  <c r="O175" i="1"/>
  <c r="AQ174" i="1"/>
  <c r="AH174" i="1" s="1"/>
  <c r="J174" i="1" s="1"/>
  <c r="AL174" i="1"/>
  <c r="X174" i="1" s="1"/>
  <c r="AJ174" i="1"/>
  <c r="AI174" i="1"/>
  <c r="AG174" i="1"/>
  <c r="AE174" i="1"/>
  <c r="T174" i="1"/>
  <c r="N174" i="1" s="1"/>
  <c r="AQ173" i="1"/>
  <c r="AH173" i="1" s="1"/>
  <c r="J173" i="1" s="1"/>
  <c r="AM173" i="1"/>
  <c r="AL173" i="1"/>
  <c r="AK173" i="1"/>
  <c r="AJ173" i="1"/>
  <c r="AI173" i="1"/>
  <c r="AG173" i="1"/>
  <c r="N173" i="1" s="1"/>
  <c r="M173" i="1" s="1"/>
  <c r="I173" i="1" s="1"/>
  <c r="AE173" i="1"/>
  <c r="U173" i="1"/>
  <c r="AA173" i="1" s="1"/>
  <c r="T173" i="1"/>
  <c r="Z173" i="1" s="1"/>
  <c r="O173" i="1"/>
  <c r="AQ172" i="1"/>
  <c r="AL172" i="1"/>
  <c r="AK172" i="1" s="1"/>
  <c r="AJ172" i="1"/>
  <c r="AI172" i="1"/>
  <c r="AH172" i="1"/>
  <c r="J172" i="1" s="1"/>
  <c r="AG172" i="1"/>
  <c r="AE172" i="1"/>
  <c r="H172" i="1"/>
  <c r="AQ171" i="1"/>
  <c r="AH171" i="1" s="1"/>
  <c r="J171" i="1" s="1"/>
  <c r="AL171" i="1"/>
  <c r="AK171" i="1"/>
  <c r="AJ171" i="1"/>
  <c r="AI171" i="1"/>
  <c r="AG171" i="1"/>
  <c r="AE171" i="1"/>
  <c r="T171" i="1"/>
  <c r="S171" i="1" s="1"/>
  <c r="AQ170" i="1"/>
  <c r="AH170" i="1" s="1"/>
  <c r="J170" i="1" s="1"/>
  <c r="AL170" i="1"/>
  <c r="AK170" i="1" s="1"/>
  <c r="AJ170" i="1"/>
  <c r="AI170" i="1"/>
  <c r="AG170" i="1"/>
  <c r="AE170" i="1"/>
  <c r="AQ169" i="1"/>
  <c r="AM169" i="1"/>
  <c r="AL169" i="1"/>
  <c r="T169" i="1" s="1"/>
  <c r="AJ169" i="1"/>
  <c r="AI169" i="1"/>
  <c r="AH169" i="1"/>
  <c r="J169" i="1" s="1"/>
  <c r="AG169" i="1"/>
  <c r="AE169" i="1"/>
  <c r="U169" i="1"/>
  <c r="AA169" i="1" s="1"/>
  <c r="O169" i="1"/>
  <c r="AQ168" i="1"/>
  <c r="AH168" i="1" s="1"/>
  <c r="J168" i="1" s="1"/>
  <c r="AM168" i="1"/>
  <c r="AL168" i="1"/>
  <c r="AK168" i="1" s="1"/>
  <c r="AJ168" i="1"/>
  <c r="AI168" i="1"/>
  <c r="AG168" i="1"/>
  <c r="AE168" i="1"/>
  <c r="U168" i="1"/>
  <c r="O168" i="1" s="1"/>
  <c r="T168" i="1"/>
  <c r="Z168" i="1" s="1"/>
  <c r="N168" i="1"/>
  <c r="AQ167" i="1"/>
  <c r="AH167" i="1" s="1"/>
  <c r="J167" i="1" s="1"/>
  <c r="AL167" i="1"/>
  <c r="AK167" i="1"/>
  <c r="AJ167" i="1"/>
  <c r="AI167" i="1"/>
  <c r="AG167" i="1"/>
  <c r="AE167" i="1"/>
  <c r="T167" i="1"/>
  <c r="S167" i="1" s="1"/>
  <c r="AQ166" i="1"/>
  <c r="AH166" i="1" s="1"/>
  <c r="J166" i="1" s="1"/>
  <c r="AL166" i="1"/>
  <c r="AK166" i="1" s="1"/>
  <c r="AJ166" i="1"/>
  <c r="AI166" i="1"/>
  <c r="AG166" i="1"/>
  <c r="AE166" i="1"/>
  <c r="H166" i="1"/>
  <c r="AQ165" i="1"/>
  <c r="AM165" i="1"/>
  <c r="U165" i="1" s="1"/>
  <c r="AL165" i="1"/>
  <c r="AK165" i="1" s="1"/>
  <c r="AJ165" i="1"/>
  <c r="AI165" i="1"/>
  <c r="AH165" i="1"/>
  <c r="J165" i="1" s="1"/>
  <c r="AG165" i="1"/>
  <c r="AE165" i="1"/>
  <c r="T165" i="1"/>
  <c r="N165" i="1" s="1"/>
  <c r="AQ164" i="1"/>
  <c r="AH164" i="1" s="1"/>
  <c r="J164" i="1" s="1"/>
  <c r="AL164" i="1"/>
  <c r="T164" i="1" s="1"/>
  <c r="AJ164" i="1"/>
  <c r="AI164" i="1"/>
  <c r="O164" i="1" s="1"/>
  <c r="AG164" i="1"/>
  <c r="AE164" i="1"/>
  <c r="U164" i="1"/>
  <c r="AA164" i="1" s="1"/>
  <c r="H164" i="1"/>
  <c r="AK164" i="1" s="1"/>
  <c r="AQ163" i="1"/>
  <c r="AH163" i="1" s="1"/>
  <c r="J163" i="1" s="1"/>
  <c r="AL163" i="1"/>
  <c r="AK163" i="1"/>
  <c r="AJ163" i="1"/>
  <c r="AI163" i="1"/>
  <c r="AG163" i="1"/>
  <c r="AE163" i="1"/>
  <c r="T163" i="1"/>
  <c r="S163" i="1" s="1"/>
  <c r="AQ162" i="1"/>
  <c r="AH162" i="1" s="1"/>
  <c r="J162" i="1" s="1"/>
  <c r="AL162" i="1"/>
  <c r="AK162" i="1" s="1"/>
  <c r="AJ162" i="1"/>
  <c r="AI162" i="1"/>
  <c r="AG162" i="1"/>
  <c r="AE162" i="1"/>
  <c r="AQ161" i="1"/>
  <c r="AM161" i="1"/>
  <c r="AL161" i="1"/>
  <c r="T161" i="1" s="1"/>
  <c r="AJ161" i="1"/>
  <c r="AI161" i="1"/>
  <c r="AH161" i="1"/>
  <c r="J161" i="1" s="1"/>
  <c r="AG161" i="1"/>
  <c r="AE161" i="1"/>
  <c r="U161" i="1"/>
  <c r="AA161" i="1" s="1"/>
  <c r="O161" i="1"/>
  <c r="AQ160" i="1"/>
  <c r="AH160" i="1" s="1"/>
  <c r="J160" i="1" s="1"/>
  <c r="AM160" i="1"/>
  <c r="U160" i="1" s="1"/>
  <c r="AL160" i="1"/>
  <c r="AK160" i="1" s="1"/>
  <c r="AJ160" i="1"/>
  <c r="AI160" i="1"/>
  <c r="AG160" i="1"/>
  <c r="AE160" i="1"/>
  <c r="AQ159" i="1"/>
  <c r="AH159" i="1" s="1"/>
  <c r="J159" i="1" s="1"/>
  <c r="AM159" i="1"/>
  <c r="AL159" i="1"/>
  <c r="AK159" i="1"/>
  <c r="AJ159" i="1"/>
  <c r="AI159" i="1"/>
  <c r="AG159" i="1"/>
  <c r="N159" i="1" s="1"/>
  <c r="M159" i="1" s="1"/>
  <c r="I159" i="1" s="1"/>
  <c r="AE159" i="1"/>
  <c r="U159" i="1"/>
  <c r="AA159" i="1" s="1"/>
  <c r="T159" i="1"/>
  <c r="Z159" i="1" s="1"/>
  <c r="O159" i="1"/>
  <c r="AQ158" i="1"/>
  <c r="AL158" i="1"/>
  <c r="AK158" i="1" s="1"/>
  <c r="AJ158" i="1"/>
  <c r="AI158" i="1"/>
  <c r="AH158" i="1"/>
  <c r="J158" i="1" s="1"/>
  <c r="AG158" i="1"/>
  <c r="AE158" i="1"/>
  <c r="AQ157" i="1"/>
  <c r="AH157" i="1" s="1"/>
  <c r="J157" i="1" s="1"/>
  <c r="AL157" i="1"/>
  <c r="AK157" i="1" s="1"/>
  <c r="AJ157" i="1"/>
  <c r="AI157" i="1"/>
  <c r="AG157" i="1"/>
  <c r="AE157" i="1"/>
  <c r="X157" i="1"/>
  <c r="R157" i="1" s="1"/>
  <c r="T157" i="1"/>
  <c r="Z157" i="1" s="1"/>
  <c r="N157" i="1"/>
  <c r="M157" i="1" s="1"/>
  <c r="I157" i="1" s="1"/>
  <c r="AQ156" i="1"/>
  <c r="AH156" i="1" s="1"/>
  <c r="J156" i="1" s="1"/>
  <c r="AL156" i="1"/>
  <c r="AK156" i="1"/>
  <c r="AJ156" i="1"/>
  <c r="AI156" i="1"/>
  <c r="AG156" i="1"/>
  <c r="AE156" i="1"/>
  <c r="T156" i="1"/>
  <c r="S156" i="1" s="1"/>
  <c r="AQ152" i="1"/>
  <c r="AH152" i="1" s="1"/>
  <c r="J152" i="1" s="1"/>
  <c r="AL152" i="1"/>
  <c r="X152" i="1" s="1"/>
  <c r="AJ152" i="1"/>
  <c r="AI152" i="1"/>
  <c r="AG152" i="1"/>
  <c r="AE152" i="1"/>
  <c r="T152" i="1"/>
  <c r="N152" i="1" s="1"/>
  <c r="AQ151" i="1"/>
  <c r="AH151" i="1" s="1"/>
  <c r="J151" i="1" s="1"/>
  <c r="AM151" i="1"/>
  <c r="U151" i="1" s="1"/>
  <c r="AL151" i="1"/>
  <c r="AK151" i="1" s="1"/>
  <c r="AJ151" i="1"/>
  <c r="AI151" i="1"/>
  <c r="AG151" i="1"/>
  <c r="AE151" i="1"/>
  <c r="X151" i="1"/>
  <c r="AD151" i="1" s="1"/>
  <c r="R151" i="1"/>
  <c r="AQ150" i="1"/>
  <c r="AH150" i="1" s="1"/>
  <c r="J150" i="1" s="1"/>
  <c r="AM150" i="1"/>
  <c r="U150" i="1" s="1"/>
  <c r="AL150" i="1"/>
  <c r="AK150" i="1" s="1"/>
  <c r="AJ150" i="1"/>
  <c r="AI150" i="1"/>
  <c r="AG150" i="1"/>
  <c r="AE150" i="1"/>
  <c r="V150" i="1"/>
  <c r="AB150" i="1" s="1"/>
  <c r="P150" i="1"/>
  <c r="AQ149" i="1"/>
  <c r="AH149" i="1" s="1"/>
  <c r="J149" i="1" s="1"/>
  <c r="AM149" i="1"/>
  <c r="AL149" i="1"/>
  <c r="AK149" i="1" s="1"/>
  <c r="AJ149" i="1"/>
  <c r="AI149" i="1"/>
  <c r="AG149" i="1"/>
  <c r="AE149" i="1"/>
  <c r="U149" i="1"/>
  <c r="O149" i="1" s="1"/>
  <c r="T149" i="1"/>
  <c r="Z149" i="1" s="1"/>
  <c r="N149" i="1"/>
  <c r="AQ148" i="1"/>
  <c r="AH148" i="1" s="1"/>
  <c r="J148" i="1" s="1"/>
  <c r="AL148" i="1"/>
  <c r="AK148" i="1" s="1"/>
  <c r="AJ148" i="1"/>
  <c r="AI148" i="1"/>
  <c r="AG148" i="1"/>
  <c r="AE148" i="1"/>
  <c r="AA148" i="1"/>
  <c r="W148" i="1"/>
  <c r="AC148" i="1" s="1"/>
  <c r="V148" i="1"/>
  <c r="AB148" i="1" s="1"/>
  <c r="U148" i="1"/>
  <c r="O148" i="1"/>
  <c r="H148" i="1"/>
  <c r="AQ147" i="1"/>
  <c r="AL147" i="1"/>
  <c r="AK147" i="1" s="1"/>
  <c r="AJ147" i="1"/>
  <c r="AI147" i="1"/>
  <c r="AH147" i="1"/>
  <c r="J147" i="1" s="1"/>
  <c r="AG147" i="1"/>
  <c r="AE147" i="1"/>
  <c r="H147" i="1"/>
  <c r="AQ146" i="1"/>
  <c r="AH146" i="1" s="1"/>
  <c r="J146" i="1" s="1"/>
  <c r="AL146" i="1"/>
  <c r="AK146" i="1" s="1"/>
  <c r="AJ146" i="1"/>
  <c r="AI146" i="1"/>
  <c r="AG146" i="1"/>
  <c r="AE146" i="1"/>
  <c r="AQ145" i="1"/>
  <c r="AM145" i="1"/>
  <c r="AL145" i="1"/>
  <c r="AK145" i="1" s="1"/>
  <c r="AJ145" i="1"/>
  <c r="AI145" i="1"/>
  <c r="AH145" i="1"/>
  <c r="J145" i="1" s="1"/>
  <c r="AG145" i="1"/>
  <c r="AE145" i="1"/>
  <c r="U145" i="1"/>
  <c r="AA145" i="1" s="1"/>
  <c r="O145" i="1"/>
  <c r="H145" i="1"/>
  <c r="T145" i="1" s="1"/>
  <c r="AQ144" i="1"/>
  <c r="AH144" i="1" s="1"/>
  <c r="J144" i="1" s="1"/>
  <c r="AL144" i="1"/>
  <c r="AK144" i="1" s="1"/>
  <c r="AJ144" i="1"/>
  <c r="AI144" i="1"/>
  <c r="O144" i="1" s="1"/>
  <c r="AG144" i="1"/>
  <c r="AE144" i="1"/>
  <c r="X144" i="1"/>
  <c r="AD144" i="1" s="1"/>
  <c r="U144" i="1"/>
  <c r="AA144" i="1" s="1"/>
  <c r="AQ143" i="1"/>
  <c r="AN143" i="1"/>
  <c r="V143" i="1" s="1"/>
  <c r="AM143" i="1"/>
  <c r="AL143" i="1"/>
  <c r="AK143" i="1" s="1"/>
  <c r="AJ143" i="1"/>
  <c r="AI143" i="1"/>
  <c r="AH143" i="1"/>
  <c r="AG143" i="1"/>
  <c r="AE143" i="1"/>
  <c r="J143" i="1" s="1"/>
  <c r="Z143" i="1"/>
  <c r="U143" i="1"/>
  <c r="AA143" i="1" s="1"/>
  <c r="T143" i="1"/>
  <c r="W143" i="1" s="1"/>
  <c r="AQ142" i="1"/>
  <c r="AL142" i="1"/>
  <c r="X142" i="1" s="1"/>
  <c r="AJ142" i="1"/>
  <c r="AI142" i="1"/>
  <c r="AH142" i="1"/>
  <c r="AG142" i="1"/>
  <c r="AE142" i="1"/>
  <c r="J142" i="1"/>
  <c r="AQ141" i="1"/>
  <c r="AM141" i="1"/>
  <c r="AL141" i="1"/>
  <c r="AK141" i="1" s="1"/>
  <c r="AJ141" i="1"/>
  <c r="AI141" i="1"/>
  <c r="AH141" i="1"/>
  <c r="AG141" i="1"/>
  <c r="AE141" i="1"/>
  <c r="X141" i="1"/>
  <c r="AD141" i="1" s="1"/>
  <c r="U141" i="1"/>
  <c r="AA141" i="1" s="1"/>
  <c r="R141" i="1"/>
  <c r="O141" i="1"/>
  <c r="J141" i="1"/>
  <c r="AQ140" i="1"/>
  <c r="AM140" i="1"/>
  <c r="AL140" i="1"/>
  <c r="AK140" i="1" s="1"/>
  <c r="AJ140" i="1"/>
  <c r="AI140" i="1"/>
  <c r="AH140" i="1"/>
  <c r="AG140" i="1"/>
  <c r="AE140" i="1"/>
  <c r="X140" i="1"/>
  <c r="AD140" i="1" s="1"/>
  <c r="U140" i="1"/>
  <c r="AA140" i="1" s="1"/>
  <c r="R140" i="1"/>
  <c r="O140" i="1"/>
  <c r="J140" i="1"/>
  <c r="AQ139" i="1"/>
  <c r="AH139" i="1" s="1"/>
  <c r="J139" i="1" s="1"/>
  <c r="AL139" i="1"/>
  <c r="AK139" i="1"/>
  <c r="AJ139" i="1"/>
  <c r="AI139" i="1"/>
  <c r="AG139" i="1"/>
  <c r="AE139" i="1"/>
  <c r="T139" i="1"/>
  <c r="S139" i="1" s="1"/>
  <c r="AQ138" i="1"/>
  <c r="AM138" i="1"/>
  <c r="U138" i="1" s="1"/>
  <c r="AL138" i="1"/>
  <c r="AK138" i="1" s="1"/>
  <c r="AJ138" i="1"/>
  <c r="AI138" i="1"/>
  <c r="AH138" i="1"/>
  <c r="J138" i="1" s="1"/>
  <c r="AG138" i="1"/>
  <c r="AE138" i="1"/>
  <c r="T138" i="1"/>
  <c r="N138" i="1" s="1"/>
  <c r="AQ137" i="1"/>
  <c r="AH137" i="1" s="1"/>
  <c r="J137" i="1" s="1"/>
  <c r="AM137" i="1"/>
  <c r="U137" i="1" s="1"/>
  <c r="AL137" i="1"/>
  <c r="AK137" i="1" s="1"/>
  <c r="AJ137" i="1"/>
  <c r="AI137" i="1"/>
  <c r="AG137" i="1"/>
  <c r="AE137" i="1"/>
  <c r="V137" i="1"/>
  <c r="AB137" i="1" s="1"/>
  <c r="P137" i="1"/>
  <c r="AQ136" i="1"/>
  <c r="AH136" i="1" s="1"/>
  <c r="J136" i="1" s="1"/>
  <c r="AL136" i="1"/>
  <c r="X136" i="1" s="1"/>
  <c r="AJ136" i="1"/>
  <c r="AI136" i="1"/>
  <c r="AG136" i="1"/>
  <c r="AE136" i="1"/>
  <c r="T136" i="1"/>
  <c r="N136" i="1" s="1"/>
  <c r="AQ135" i="1"/>
  <c r="AH135" i="1" s="1"/>
  <c r="J135" i="1" s="1"/>
  <c r="AM135" i="1"/>
  <c r="AL135" i="1"/>
  <c r="AK135" i="1" s="1"/>
  <c r="AJ135" i="1"/>
  <c r="AI135" i="1"/>
  <c r="AG135" i="1"/>
  <c r="AE135" i="1"/>
  <c r="U135" i="1"/>
  <c r="O135" i="1" s="1"/>
  <c r="T135" i="1"/>
  <c r="Z135" i="1" s="1"/>
  <c r="N135" i="1"/>
  <c r="AQ134" i="1"/>
  <c r="AH134" i="1" s="1"/>
  <c r="J134" i="1" s="1"/>
  <c r="AL134" i="1"/>
  <c r="AK134" i="1" s="1"/>
  <c r="AJ134" i="1"/>
  <c r="AI134" i="1"/>
  <c r="AG134" i="1"/>
  <c r="AE134" i="1"/>
  <c r="AQ133" i="1"/>
  <c r="AH133" i="1" s="1"/>
  <c r="J133" i="1" s="1"/>
  <c r="AL133" i="1"/>
  <c r="AK133" i="1"/>
  <c r="AJ133" i="1"/>
  <c r="AI133" i="1"/>
  <c r="AG133" i="1"/>
  <c r="AE133" i="1"/>
  <c r="T133" i="1"/>
  <c r="S133" i="1" s="1"/>
  <c r="H133" i="1"/>
  <c r="AQ132" i="1"/>
  <c r="AH132" i="1" s="1"/>
  <c r="J132" i="1" s="1"/>
  <c r="AL132" i="1"/>
  <c r="AK132" i="1" s="1"/>
  <c r="AJ132" i="1"/>
  <c r="AI132" i="1"/>
  <c r="O132" i="1" s="1"/>
  <c r="AG132" i="1"/>
  <c r="AE132" i="1"/>
  <c r="X132" i="1"/>
  <c r="AD132" i="1" s="1"/>
  <c r="U132" i="1"/>
  <c r="AA132" i="1" s="1"/>
  <c r="R132" i="1"/>
  <c r="AQ131" i="1"/>
  <c r="AM131" i="1"/>
  <c r="U131" i="1" s="1"/>
  <c r="AL131" i="1"/>
  <c r="AK131" i="1" s="1"/>
  <c r="AJ131" i="1"/>
  <c r="AI131" i="1"/>
  <c r="AH131" i="1"/>
  <c r="J131" i="1" s="1"/>
  <c r="AG131" i="1"/>
  <c r="AE131" i="1"/>
  <c r="T131" i="1"/>
  <c r="N131" i="1" s="1"/>
  <c r="AQ130" i="1"/>
  <c r="AH130" i="1" s="1"/>
  <c r="J130" i="1" s="1"/>
  <c r="AL130" i="1"/>
  <c r="AK130" i="1" s="1"/>
  <c r="AJ130" i="1"/>
  <c r="AI130" i="1"/>
  <c r="AG130" i="1"/>
  <c r="AE130" i="1"/>
  <c r="V130" i="1"/>
  <c r="AB130" i="1" s="1"/>
  <c r="U130" i="1"/>
  <c r="AA130" i="1" s="1"/>
  <c r="H130" i="1"/>
  <c r="W130" i="1" s="1"/>
  <c r="AQ129" i="1"/>
  <c r="AM129" i="1"/>
  <c r="AL129" i="1"/>
  <c r="T129" i="1" s="1"/>
  <c r="N129" i="1" s="1"/>
  <c r="M129" i="1" s="1"/>
  <c r="I129" i="1" s="1"/>
  <c r="AJ129" i="1"/>
  <c r="AI129" i="1"/>
  <c r="AH129" i="1"/>
  <c r="J129" i="1" s="1"/>
  <c r="AG129" i="1"/>
  <c r="AE129" i="1"/>
  <c r="Z129" i="1"/>
  <c r="Y129" i="1" s="1"/>
  <c r="U129" i="1"/>
  <c r="AA129" i="1" s="1"/>
  <c r="S129" i="1"/>
  <c r="O129" i="1"/>
  <c r="AQ128" i="1"/>
  <c r="AL128" i="1"/>
  <c r="AJ128" i="1"/>
  <c r="AI128" i="1"/>
  <c r="AH128" i="1"/>
  <c r="AG128" i="1"/>
  <c r="AE128" i="1"/>
  <c r="J128" i="1"/>
  <c r="H128" i="1"/>
  <c r="AQ127" i="1"/>
  <c r="AL127" i="1"/>
  <c r="AJ127" i="1"/>
  <c r="AI127" i="1"/>
  <c r="AH127" i="1"/>
  <c r="J127" i="1" s="1"/>
  <c r="AG127" i="1"/>
  <c r="AE127" i="1"/>
  <c r="AQ126" i="1"/>
  <c r="AH126" i="1" s="1"/>
  <c r="J126" i="1" s="1"/>
  <c r="AN126" i="1"/>
  <c r="AM126" i="1"/>
  <c r="AL126" i="1"/>
  <c r="AK126" i="1"/>
  <c r="AJ126" i="1"/>
  <c r="AI126" i="1"/>
  <c r="AG126" i="1"/>
  <c r="AE126" i="1"/>
  <c r="AA126" i="1"/>
  <c r="Z126" i="1"/>
  <c r="V126" i="1"/>
  <c r="U126" i="1"/>
  <c r="O126" i="1" s="1"/>
  <c r="T126" i="1"/>
  <c r="W126" i="1" s="1"/>
  <c r="AC126" i="1" s="1"/>
  <c r="Q126" i="1"/>
  <c r="AQ125" i="1"/>
  <c r="AH125" i="1" s="1"/>
  <c r="J125" i="1" s="1"/>
  <c r="AL125" i="1"/>
  <c r="X125" i="1" s="1"/>
  <c r="R125" i="1" s="1"/>
  <c r="AJ125" i="1"/>
  <c r="AI125" i="1"/>
  <c r="AG125" i="1"/>
  <c r="AE125" i="1"/>
  <c r="AD125" i="1"/>
  <c r="T125" i="1"/>
  <c r="AQ124" i="1"/>
  <c r="AH124" i="1" s="1"/>
  <c r="J124" i="1" s="1"/>
  <c r="AL124" i="1"/>
  <c r="AK124" i="1" s="1"/>
  <c r="AJ124" i="1"/>
  <c r="AI124" i="1"/>
  <c r="AG124" i="1"/>
  <c r="AE124" i="1"/>
  <c r="AQ123" i="1"/>
  <c r="AH123" i="1" s="1"/>
  <c r="AM123" i="1"/>
  <c r="AK123" i="1"/>
  <c r="AJ123" i="1"/>
  <c r="AI123" i="1"/>
  <c r="AG123" i="1"/>
  <c r="AE123" i="1"/>
  <c r="U123" i="1"/>
  <c r="AA123" i="1" s="1"/>
  <c r="O123" i="1"/>
  <c r="J123" i="1"/>
  <c r="H123" i="1"/>
  <c r="AL123" i="1" s="1"/>
  <c r="T123" i="1" s="1"/>
  <c r="AQ122" i="1"/>
  <c r="AM122" i="1"/>
  <c r="U122" i="1" s="1"/>
  <c r="AL122" i="1"/>
  <c r="AK122" i="1" s="1"/>
  <c r="AJ122" i="1"/>
  <c r="AI122" i="1"/>
  <c r="AH122" i="1"/>
  <c r="AG122" i="1"/>
  <c r="AE122" i="1"/>
  <c r="AB122" i="1"/>
  <c r="V122" i="1"/>
  <c r="P122" i="1"/>
  <c r="J122" i="1"/>
  <c r="AQ121" i="1"/>
  <c r="AM121" i="1"/>
  <c r="U121" i="1" s="1"/>
  <c r="O121" i="1" s="1"/>
  <c r="AL121" i="1"/>
  <c r="AJ121" i="1"/>
  <c r="AI121" i="1"/>
  <c r="AH121" i="1"/>
  <c r="J121" i="1" s="1"/>
  <c r="AG121" i="1"/>
  <c r="AE121" i="1"/>
  <c r="T121" i="1"/>
  <c r="AQ120" i="1"/>
  <c r="AH120" i="1" s="1"/>
  <c r="AM120" i="1"/>
  <c r="AL120" i="1"/>
  <c r="AK120" i="1" s="1"/>
  <c r="AJ120" i="1"/>
  <c r="AI120" i="1"/>
  <c r="AG120" i="1"/>
  <c r="AE120" i="1"/>
  <c r="U120" i="1"/>
  <c r="T120" i="1"/>
  <c r="Z120" i="1" s="1"/>
  <c r="N120" i="1"/>
  <c r="AQ119" i="1"/>
  <c r="AH119" i="1" s="1"/>
  <c r="AM119" i="1"/>
  <c r="AL119" i="1"/>
  <c r="AK119" i="1"/>
  <c r="AJ119" i="1"/>
  <c r="AI119" i="1"/>
  <c r="AG119" i="1"/>
  <c r="N119" i="1" s="1"/>
  <c r="AE119" i="1"/>
  <c r="Y119" i="1"/>
  <c r="U119" i="1"/>
  <c r="AA119" i="1" s="1"/>
  <c r="T119" i="1"/>
  <c r="Z119" i="1" s="1"/>
  <c r="O119" i="1"/>
  <c r="J119" i="1"/>
  <c r="AQ118" i="1"/>
  <c r="AH118" i="1" s="1"/>
  <c r="AL118" i="1"/>
  <c r="AK118" i="1"/>
  <c r="AJ118" i="1"/>
  <c r="AI118" i="1"/>
  <c r="AG118" i="1"/>
  <c r="N118" i="1" s="1"/>
  <c r="AE118" i="1"/>
  <c r="X118" i="1"/>
  <c r="AD118" i="1" s="1"/>
  <c r="T118" i="1"/>
  <c r="Z118" i="1" s="1"/>
  <c r="Y118" i="1" s="1"/>
  <c r="R118" i="1"/>
  <c r="J118" i="1"/>
  <c r="AQ117" i="1"/>
  <c r="AM117" i="1"/>
  <c r="AL117" i="1"/>
  <c r="AJ117" i="1"/>
  <c r="AI117" i="1"/>
  <c r="AH117" i="1"/>
  <c r="J117" i="1" s="1"/>
  <c r="AG117" i="1"/>
  <c r="AE117" i="1"/>
  <c r="U117" i="1"/>
  <c r="X117" i="1" s="1"/>
  <c r="O117" i="1"/>
  <c r="AQ116" i="1"/>
  <c r="AN116" i="1"/>
  <c r="AM116" i="1"/>
  <c r="U116" i="1" s="1"/>
  <c r="AA116" i="1" s="1"/>
  <c r="AL116" i="1"/>
  <c r="AJ116" i="1"/>
  <c r="AI116" i="1"/>
  <c r="AB116" i="1" s="1"/>
  <c r="AH116" i="1"/>
  <c r="AG116" i="1"/>
  <c r="AE116" i="1"/>
  <c r="V116" i="1"/>
  <c r="T116" i="1"/>
  <c r="J116" i="1"/>
  <c r="AQ115" i="1"/>
  <c r="AH115" i="1" s="1"/>
  <c r="J115" i="1" s="1"/>
  <c r="AL115" i="1"/>
  <c r="AK115" i="1"/>
  <c r="AJ115" i="1"/>
  <c r="AI115" i="1"/>
  <c r="AG115" i="1"/>
  <c r="AE115" i="1"/>
  <c r="X115" i="1"/>
  <c r="R115" i="1" s="1"/>
  <c r="T115" i="1"/>
  <c r="Z115" i="1" s="1"/>
  <c r="Y115" i="1" s="1"/>
  <c r="N115" i="1"/>
  <c r="AQ114" i="1"/>
  <c r="AH114" i="1" s="1"/>
  <c r="AL114" i="1"/>
  <c r="AK114" i="1" s="1"/>
  <c r="AJ114" i="1"/>
  <c r="AI114" i="1"/>
  <c r="AG114" i="1"/>
  <c r="AE114" i="1"/>
  <c r="AA114" i="1"/>
  <c r="W114" i="1"/>
  <c r="V114" i="1"/>
  <c r="AB114" i="1" s="1"/>
  <c r="U114" i="1"/>
  <c r="O114" i="1"/>
  <c r="J114" i="1"/>
  <c r="H114" i="1"/>
  <c r="AQ113" i="1"/>
  <c r="AL113" i="1"/>
  <c r="AJ113" i="1"/>
  <c r="AI113" i="1"/>
  <c r="AH113" i="1"/>
  <c r="J113" i="1" s="1"/>
  <c r="AG113" i="1"/>
  <c r="AE113" i="1"/>
  <c r="AQ112" i="1"/>
  <c r="AM112" i="1"/>
  <c r="U112" i="1" s="1"/>
  <c r="O112" i="1" s="1"/>
  <c r="AL112" i="1"/>
  <c r="AK112" i="1" s="1"/>
  <c r="AJ112" i="1"/>
  <c r="AI112" i="1"/>
  <c r="AH112" i="1"/>
  <c r="J112" i="1" s="1"/>
  <c r="AG112" i="1"/>
  <c r="AE112" i="1"/>
  <c r="AA112" i="1"/>
  <c r="T112" i="1"/>
  <c r="AQ111" i="1"/>
  <c r="AH111" i="1" s="1"/>
  <c r="AM111" i="1"/>
  <c r="AL111" i="1"/>
  <c r="AK111" i="1" s="1"/>
  <c r="AJ111" i="1"/>
  <c r="AI111" i="1"/>
  <c r="AG111" i="1"/>
  <c r="AE111" i="1"/>
  <c r="U111" i="1"/>
  <c r="T111" i="1"/>
  <c r="Z111" i="1" s="1"/>
  <c r="N111" i="1"/>
  <c r="AQ110" i="1"/>
  <c r="AH110" i="1" s="1"/>
  <c r="AL110" i="1"/>
  <c r="AK110" i="1" s="1"/>
  <c r="AJ110" i="1"/>
  <c r="AI110" i="1"/>
  <c r="AG110" i="1"/>
  <c r="AE110" i="1"/>
  <c r="J110" i="1"/>
  <c r="AQ109" i="1"/>
  <c r="AH109" i="1" s="1"/>
  <c r="AL109" i="1"/>
  <c r="AK109" i="1"/>
  <c r="AJ109" i="1"/>
  <c r="AI109" i="1"/>
  <c r="AG109" i="1"/>
  <c r="N109" i="1" s="1"/>
  <c r="AE109" i="1"/>
  <c r="X109" i="1"/>
  <c r="AD109" i="1" s="1"/>
  <c r="T109" i="1"/>
  <c r="Z109" i="1" s="1"/>
  <c r="Y109" i="1" s="1"/>
  <c r="R109" i="1"/>
  <c r="J109" i="1"/>
  <c r="AQ108" i="1"/>
  <c r="AH108" i="1" s="1"/>
  <c r="AL108" i="1"/>
  <c r="AK108" i="1"/>
  <c r="AJ108" i="1"/>
  <c r="AI108" i="1"/>
  <c r="AG108" i="1"/>
  <c r="N108" i="1" s="1"/>
  <c r="AE108" i="1"/>
  <c r="X108" i="1"/>
  <c r="AD108" i="1" s="1"/>
  <c r="T108" i="1"/>
  <c r="Z108" i="1" s="1"/>
  <c r="Y108" i="1" s="1"/>
  <c r="R108" i="1"/>
  <c r="J108" i="1"/>
  <c r="AQ107" i="1"/>
  <c r="AH107" i="1" s="1"/>
  <c r="J107" i="1" s="1"/>
  <c r="AL107" i="1"/>
  <c r="AK107" i="1"/>
  <c r="AJ107" i="1"/>
  <c r="AI107" i="1"/>
  <c r="AG107" i="1"/>
  <c r="AE107" i="1"/>
  <c r="T107" i="1"/>
  <c r="AQ106" i="1"/>
  <c r="AM106" i="1"/>
  <c r="AL106" i="1"/>
  <c r="AJ106" i="1"/>
  <c r="AI106" i="1"/>
  <c r="O106" i="1" s="1"/>
  <c r="AH106" i="1"/>
  <c r="J106" i="1" s="1"/>
  <c r="AG106" i="1"/>
  <c r="AE106" i="1"/>
  <c r="AA106" i="1"/>
  <c r="U106" i="1"/>
  <c r="T106" i="1"/>
  <c r="AQ105" i="1"/>
  <c r="AH105" i="1" s="1"/>
  <c r="J105" i="1" s="1"/>
  <c r="AM105" i="1"/>
  <c r="U105" i="1" s="1"/>
  <c r="AL105" i="1"/>
  <c r="AK105" i="1" s="1"/>
  <c r="AJ105" i="1"/>
  <c r="AI105" i="1"/>
  <c r="AG105" i="1"/>
  <c r="AE105" i="1"/>
  <c r="V105" i="1"/>
  <c r="AB105" i="1" s="1"/>
  <c r="P105" i="1"/>
  <c r="AQ104" i="1"/>
  <c r="AH104" i="1" s="1"/>
  <c r="J104" i="1" s="1"/>
  <c r="AM104" i="1"/>
  <c r="AL104" i="1"/>
  <c r="AK104" i="1" s="1"/>
  <c r="AJ104" i="1"/>
  <c r="AI104" i="1"/>
  <c r="AG104" i="1"/>
  <c r="AE104" i="1"/>
  <c r="U104" i="1"/>
  <c r="T104" i="1"/>
  <c r="Z104" i="1" s="1"/>
  <c r="N104" i="1"/>
  <c r="AQ103" i="1"/>
  <c r="AH103" i="1" s="1"/>
  <c r="AM103" i="1"/>
  <c r="AL103" i="1"/>
  <c r="AK103" i="1"/>
  <c r="AJ103" i="1"/>
  <c r="AI103" i="1"/>
  <c r="AG103" i="1"/>
  <c r="N103" i="1" s="1"/>
  <c r="M103" i="1" s="1"/>
  <c r="I103" i="1" s="1"/>
  <c r="AE103" i="1"/>
  <c r="U103" i="1"/>
  <c r="AA103" i="1" s="1"/>
  <c r="T103" i="1"/>
  <c r="Z103" i="1" s="1"/>
  <c r="Y103" i="1" s="1"/>
  <c r="O103" i="1"/>
  <c r="J103" i="1"/>
  <c r="AQ102" i="1"/>
  <c r="AH102" i="1" s="1"/>
  <c r="J102" i="1" s="1"/>
  <c r="AL102" i="1"/>
  <c r="AK102" i="1"/>
  <c r="AJ102" i="1"/>
  <c r="AI102" i="1"/>
  <c r="AG102" i="1"/>
  <c r="N102" i="1" s="1"/>
  <c r="AE102" i="1"/>
  <c r="X102" i="1"/>
  <c r="AD102" i="1" s="1"/>
  <c r="T102" i="1"/>
  <c r="Z102" i="1" s="1"/>
  <c r="Y102" i="1" s="1"/>
  <c r="AQ101" i="1"/>
  <c r="AN101" i="1"/>
  <c r="AM101" i="1"/>
  <c r="U101" i="1" s="1"/>
  <c r="AL101" i="1"/>
  <c r="AJ101" i="1"/>
  <c r="AI101" i="1"/>
  <c r="AB101" i="1" s="1"/>
  <c r="AH101" i="1"/>
  <c r="AG101" i="1"/>
  <c r="AE101" i="1"/>
  <c r="V101" i="1"/>
  <c r="T101" i="1"/>
  <c r="J101" i="1"/>
  <c r="AQ100" i="1"/>
  <c r="AM100" i="1"/>
  <c r="AL100" i="1"/>
  <c r="AJ100" i="1"/>
  <c r="AI100" i="1"/>
  <c r="AH100" i="1"/>
  <c r="J100" i="1" s="1"/>
  <c r="AG100" i="1"/>
  <c r="AE100" i="1"/>
  <c r="U100" i="1"/>
  <c r="AA100" i="1" s="1"/>
  <c r="O100" i="1"/>
  <c r="AQ96" i="1"/>
  <c r="AL96" i="1"/>
  <c r="AJ96" i="1"/>
  <c r="AI96" i="1"/>
  <c r="AH96" i="1"/>
  <c r="J96" i="1" s="1"/>
  <c r="AG96" i="1"/>
  <c r="AE96" i="1"/>
  <c r="AQ95" i="1"/>
  <c r="AL95" i="1"/>
  <c r="AJ95" i="1"/>
  <c r="AI95" i="1"/>
  <c r="AH95" i="1"/>
  <c r="J95" i="1" s="1"/>
  <c r="AG95" i="1"/>
  <c r="AE95" i="1"/>
  <c r="AC95" i="1"/>
  <c r="U95" i="1"/>
  <c r="Q95" i="1"/>
  <c r="H95" i="1"/>
  <c r="W95" i="1" s="1"/>
  <c r="AQ94" i="1"/>
  <c r="AH94" i="1" s="1"/>
  <c r="J94" i="1" s="1"/>
  <c r="AL94" i="1"/>
  <c r="AK94" i="1"/>
  <c r="AJ94" i="1"/>
  <c r="AI94" i="1"/>
  <c r="AG94" i="1"/>
  <c r="O94" i="1" s="1"/>
  <c r="AE94" i="1"/>
  <c r="AB94" i="1"/>
  <c r="AA94" i="1"/>
  <c r="X94" i="1"/>
  <c r="V94" i="1"/>
  <c r="U94" i="1"/>
  <c r="T94" i="1"/>
  <c r="P94" i="1"/>
  <c r="H94" i="1"/>
  <c r="W94" i="1" s="1"/>
  <c r="AQ93" i="1"/>
  <c r="AH93" i="1" s="1"/>
  <c r="AL93" i="1"/>
  <c r="AK93" i="1" s="1"/>
  <c r="AJ93" i="1"/>
  <c r="AI93" i="1"/>
  <c r="AG93" i="1"/>
  <c r="AE93" i="1"/>
  <c r="AA93" i="1"/>
  <c r="W93" i="1"/>
  <c r="V93" i="1"/>
  <c r="AB93" i="1" s="1"/>
  <c r="U93" i="1"/>
  <c r="O93" i="1"/>
  <c r="H93" i="1"/>
  <c r="AQ92" i="1"/>
  <c r="AH92" i="1" s="1"/>
  <c r="AM92" i="1"/>
  <c r="AJ92" i="1"/>
  <c r="AI92" i="1"/>
  <c r="AG92" i="1"/>
  <c r="AE92" i="1"/>
  <c r="U92" i="1"/>
  <c r="J92" i="1"/>
  <c r="H92" i="1"/>
  <c r="AL92" i="1" s="1"/>
  <c r="AQ91" i="1"/>
  <c r="AM91" i="1"/>
  <c r="U91" i="1" s="1"/>
  <c r="AL91" i="1"/>
  <c r="AJ91" i="1"/>
  <c r="AI91" i="1"/>
  <c r="AH91" i="1"/>
  <c r="J91" i="1" s="1"/>
  <c r="AG91" i="1"/>
  <c r="AE91" i="1"/>
  <c r="AQ90" i="1"/>
  <c r="AH90" i="1" s="1"/>
  <c r="J90" i="1" s="1"/>
  <c r="AM90" i="1"/>
  <c r="U90" i="1" s="1"/>
  <c r="AL90" i="1"/>
  <c r="AK90" i="1" s="1"/>
  <c r="AJ90" i="1"/>
  <c r="AI90" i="1"/>
  <c r="AG90" i="1"/>
  <c r="AE90" i="1"/>
  <c r="X90" i="1"/>
  <c r="AD90" i="1" s="1"/>
  <c r="R90" i="1"/>
  <c r="AQ89" i="1"/>
  <c r="AH89" i="1" s="1"/>
  <c r="J89" i="1" s="1"/>
  <c r="AM89" i="1"/>
  <c r="U89" i="1" s="1"/>
  <c r="AL89" i="1"/>
  <c r="AK89" i="1"/>
  <c r="AJ89" i="1"/>
  <c r="AI89" i="1"/>
  <c r="AG89" i="1"/>
  <c r="AE89" i="1"/>
  <c r="Z89" i="1"/>
  <c r="X89" i="1"/>
  <c r="AD89" i="1" s="1"/>
  <c r="T89" i="1"/>
  <c r="S89" i="1" s="1"/>
  <c r="R89" i="1"/>
  <c r="N89" i="1"/>
  <c r="AQ88" i="1"/>
  <c r="AH88" i="1" s="1"/>
  <c r="AL88" i="1"/>
  <c r="AK88" i="1"/>
  <c r="AJ88" i="1"/>
  <c r="AI88" i="1"/>
  <c r="O88" i="1" s="1"/>
  <c r="AG88" i="1"/>
  <c r="AE88" i="1"/>
  <c r="X88" i="1"/>
  <c r="AD88" i="1" s="1"/>
  <c r="U88" i="1"/>
  <c r="AA88" i="1" s="1"/>
  <c r="T88" i="1"/>
  <c r="S88" i="1" s="1"/>
  <c r="R88" i="1"/>
  <c r="J88" i="1"/>
  <c r="AQ87" i="1"/>
  <c r="AH87" i="1" s="1"/>
  <c r="J87" i="1" s="1"/>
  <c r="AL87" i="1"/>
  <c r="AK87" i="1"/>
  <c r="AJ87" i="1"/>
  <c r="AI87" i="1"/>
  <c r="O87" i="1" s="1"/>
  <c r="AG87" i="1"/>
  <c r="AE87" i="1"/>
  <c r="X87" i="1"/>
  <c r="AD87" i="1" s="1"/>
  <c r="U87" i="1"/>
  <c r="AA87" i="1" s="1"/>
  <c r="T87" i="1"/>
  <c r="S87" i="1" s="1"/>
  <c r="R87" i="1"/>
  <c r="N87" i="1"/>
  <c r="M87" i="1" s="1"/>
  <c r="I87" i="1" s="1"/>
  <c r="AQ86" i="1"/>
  <c r="AH86" i="1" s="1"/>
  <c r="AL86" i="1"/>
  <c r="AK86" i="1"/>
  <c r="AJ86" i="1"/>
  <c r="AI86" i="1"/>
  <c r="O86" i="1" s="1"/>
  <c r="AG86" i="1"/>
  <c r="AE86" i="1"/>
  <c r="X86" i="1"/>
  <c r="AD86" i="1" s="1"/>
  <c r="U86" i="1"/>
  <c r="AA86" i="1" s="1"/>
  <c r="T86" i="1"/>
  <c r="S86" i="1" s="1"/>
  <c r="R86" i="1"/>
  <c r="J86" i="1"/>
  <c r="AQ85" i="1"/>
  <c r="AH85" i="1" s="1"/>
  <c r="J85" i="1" s="1"/>
  <c r="AL85" i="1"/>
  <c r="AK85" i="1"/>
  <c r="AJ85" i="1"/>
  <c r="AI85" i="1"/>
  <c r="AG85" i="1"/>
  <c r="N85" i="1" s="1"/>
  <c r="AE85" i="1"/>
  <c r="X85" i="1"/>
  <c r="AD85" i="1" s="1"/>
  <c r="Y85" i="1" s="1"/>
  <c r="T85" i="1"/>
  <c r="Z85" i="1" s="1"/>
  <c r="R85" i="1"/>
  <c r="AQ84" i="1"/>
  <c r="AL84" i="1"/>
  <c r="AJ84" i="1"/>
  <c r="AI84" i="1"/>
  <c r="AH84" i="1"/>
  <c r="J84" i="1" s="1"/>
  <c r="AG84" i="1"/>
  <c r="AE84" i="1"/>
  <c r="AQ83" i="1"/>
  <c r="AH83" i="1" s="1"/>
  <c r="J83" i="1" s="1"/>
  <c r="AL83" i="1"/>
  <c r="X83" i="1" s="1"/>
  <c r="R83" i="1" s="1"/>
  <c r="AJ83" i="1"/>
  <c r="AI83" i="1"/>
  <c r="AG83" i="1"/>
  <c r="AE83" i="1"/>
  <c r="AD83" i="1"/>
  <c r="T83" i="1"/>
  <c r="AQ82" i="1"/>
  <c r="AH82" i="1" s="1"/>
  <c r="J82" i="1" s="1"/>
  <c r="AL82" i="1"/>
  <c r="AK82" i="1" s="1"/>
  <c r="AJ82" i="1"/>
  <c r="AI82" i="1"/>
  <c r="AG82" i="1"/>
  <c r="AE82" i="1"/>
  <c r="X82" i="1"/>
  <c r="T82" i="1"/>
  <c r="Z82" i="1" s="1"/>
  <c r="N82" i="1"/>
  <c r="AQ81" i="1"/>
  <c r="AH81" i="1" s="1"/>
  <c r="J81" i="1" s="1"/>
  <c r="AL81" i="1"/>
  <c r="AK81" i="1"/>
  <c r="AJ81" i="1"/>
  <c r="AI81" i="1"/>
  <c r="AG81" i="1"/>
  <c r="N81" i="1" s="1"/>
  <c r="AE81" i="1"/>
  <c r="X81" i="1"/>
  <c r="AD81" i="1" s="1"/>
  <c r="T81" i="1"/>
  <c r="Z81" i="1" s="1"/>
  <c r="Y81" i="1" s="1"/>
  <c r="R81" i="1"/>
  <c r="AQ80" i="1"/>
  <c r="AL80" i="1"/>
  <c r="AJ80" i="1"/>
  <c r="AI80" i="1"/>
  <c r="AH80" i="1"/>
  <c r="J80" i="1" s="1"/>
  <c r="AG80" i="1"/>
  <c r="AE80" i="1"/>
  <c r="AQ79" i="1"/>
  <c r="AH79" i="1" s="1"/>
  <c r="J79" i="1" s="1"/>
  <c r="AM79" i="1"/>
  <c r="U79" i="1" s="1"/>
  <c r="AL79" i="1"/>
  <c r="AK79" i="1" s="1"/>
  <c r="AJ79" i="1"/>
  <c r="AI79" i="1"/>
  <c r="AG79" i="1"/>
  <c r="AE79" i="1"/>
  <c r="V79" i="1"/>
  <c r="AB79" i="1" s="1"/>
  <c r="P79" i="1"/>
  <c r="AQ78" i="1"/>
  <c r="AH78" i="1" s="1"/>
  <c r="AM78" i="1"/>
  <c r="U78" i="1" s="1"/>
  <c r="AL78" i="1"/>
  <c r="AK78" i="1"/>
  <c r="AJ78" i="1"/>
  <c r="AI78" i="1"/>
  <c r="AG78" i="1"/>
  <c r="P78" i="1" s="1"/>
  <c r="AE78" i="1"/>
  <c r="V78" i="1"/>
  <c r="AB78" i="1" s="1"/>
  <c r="T78" i="1"/>
  <c r="S78" i="1" s="1"/>
  <c r="N78" i="1"/>
  <c r="J78" i="1"/>
  <c r="AQ77" i="1"/>
  <c r="AM77" i="1"/>
  <c r="AL77" i="1"/>
  <c r="AJ77" i="1"/>
  <c r="AI77" i="1"/>
  <c r="AH77" i="1"/>
  <c r="J77" i="1" s="1"/>
  <c r="AG77" i="1"/>
  <c r="P77" i="1" s="1"/>
  <c r="AE77" i="1"/>
  <c r="V77" i="1"/>
  <c r="AB77" i="1" s="1"/>
  <c r="U77" i="1"/>
  <c r="O77" i="1" s="1"/>
  <c r="AQ76" i="1"/>
  <c r="AM76" i="1"/>
  <c r="U76" i="1" s="1"/>
  <c r="AL76" i="1"/>
  <c r="AJ76" i="1"/>
  <c r="AI76" i="1"/>
  <c r="AH76" i="1"/>
  <c r="J76" i="1" s="1"/>
  <c r="AG76" i="1"/>
  <c r="AE76" i="1"/>
  <c r="AQ75" i="1"/>
  <c r="AH75" i="1" s="1"/>
  <c r="J75" i="1" s="1"/>
  <c r="AM75" i="1"/>
  <c r="AL75" i="1"/>
  <c r="AK75" i="1" s="1"/>
  <c r="AJ75" i="1"/>
  <c r="AI75" i="1"/>
  <c r="AG75" i="1"/>
  <c r="AE75" i="1"/>
  <c r="U75" i="1"/>
  <c r="T75" i="1"/>
  <c r="Z75" i="1" s="1"/>
  <c r="N75" i="1"/>
  <c r="H75" i="1"/>
  <c r="AQ74" i="1"/>
  <c r="AM74" i="1"/>
  <c r="U74" i="1" s="1"/>
  <c r="O74" i="1" s="1"/>
  <c r="AL74" i="1"/>
  <c r="AJ74" i="1"/>
  <c r="AI74" i="1"/>
  <c r="AH74" i="1"/>
  <c r="J74" i="1" s="1"/>
  <c r="AG74" i="1"/>
  <c r="AE74" i="1"/>
  <c r="T74" i="1"/>
  <c r="AQ73" i="1"/>
  <c r="AH73" i="1" s="1"/>
  <c r="J73" i="1" s="1"/>
  <c r="AM73" i="1"/>
  <c r="AL73" i="1"/>
  <c r="AK73" i="1"/>
  <c r="AJ73" i="1"/>
  <c r="AI73" i="1"/>
  <c r="AG73" i="1"/>
  <c r="N73" i="1" s="1"/>
  <c r="AE73" i="1"/>
  <c r="U73" i="1"/>
  <c r="AA73" i="1" s="1"/>
  <c r="Y73" i="1" s="1"/>
  <c r="T73" i="1"/>
  <c r="Z73" i="1" s="1"/>
  <c r="O73" i="1"/>
  <c r="AQ72" i="1"/>
  <c r="AM72" i="1"/>
  <c r="U72" i="1" s="1"/>
  <c r="AL72" i="1"/>
  <c r="AJ72" i="1"/>
  <c r="AI72" i="1"/>
  <c r="AH72" i="1"/>
  <c r="J72" i="1" s="1"/>
  <c r="AG72" i="1"/>
  <c r="AE72" i="1"/>
  <c r="AA72" i="1"/>
  <c r="T72" i="1"/>
  <c r="AQ71" i="1"/>
  <c r="AH71" i="1" s="1"/>
  <c r="J71" i="1" s="1"/>
  <c r="AM71" i="1"/>
  <c r="AL71" i="1"/>
  <c r="AK71" i="1"/>
  <c r="AJ71" i="1"/>
  <c r="AI71" i="1"/>
  <c r="AG71" i="1"/>
  <c r="N71" i="1" s="1"/>
  <c r="AE71" i="1"/>
  <c r="Y71" i="1"/>
  <c r="U71" i="1"/>
  <c r="AA71" i="1" s="1"/>
  <c r="T71" i="1"/>
  <c r="Z71" i="1" s="1"/>
  <c r="O71" i="1"/>
  <c r="AQ70" i="1"/>
  <c r="AM70" i="1"/>
  <c r="AL70" i="1"/>
  <c r="AK70" i="1" s="1"/>
  <c r="AJ70" i="1"/>
  <c r="AI70" i="1"/>
  <c r="O70" i="1" s="1"/>
  <c r="AH70" i="1"/>
  <c r="J70" i="1" s="1"/>
  <c r="AG70" i="1"/>
  <c r="AE70" i="1"/>
  <c r="AA70" i="1"/>
  <c r="U70" i="1"/>
  <c r="T70" i="1"/>
  <c r="AQ69" i="1"/>
  <c r="AH69" i="1" s="1"/>
  <c r="J69" i="1" s="1"/>
  <c r="AM69" i="1"/>
  <c r="AL69" i="1"/>
  <c r="AK69" i="1"/>
  <c r="AJ69" i="1"/>
  <c r="AI69" i="1"/>
  <c r="AG69" i="1"/>
  <c r="N69" i="1" s="1"/>
  <c r="M69" i="1" s="1"/>
  <c r="I69" i="1" s="1"/>
  <c r="AE69" i="1"/>
  <c r="U69" i="1"/>
  <c r="AA69" i="1" s="1"/>
  <c r="T69" i="1"/>
  <c r="Z69" i="1" s="1"/>
  <c r="Y69" i="1" s="1"/>
  <c r="O69" i="1"/>
  <c r="AQ68" i="1"/>
  <c r="AM68" i="1"/>
  <c r="AL68" i="1"/>
  <c r="AJ68" i="1"/>
  <c r="AI68" i="1"/>
  <c r="AH68" i="1"/>
  <c r="J68" i="1" s="1"/>
  <c r="AG68" i="1"/>
  <c r="AE68" i="1"/>
  <c r="AA68" i="1"/>
  <c r="U68" i="1"/>
  <c r="O68" i="1" s="1"/>
  <c r="T68" i="1"/>
  <c r="AQ67" i="1"/>
  <c r="AH67" i="1" s="1"/>
  <c r="J67" i="1" s="1"/>
  <c r="AM67" i="1"/>
  <c r="AL67" i="1"/>
  <c r="T67" i="1" s="1"/>
  <c r="AK67" i="1"/>
  <c r="AJ67" i="1"/>
  <c r="AI67" i="1"/>
  <c r="AG67" i="1"/>
  <c r="AE67" i="1"/>
  <c r="U67" i="1"/>
  <c r="AA67" i="1" s="1"/>
  <c r="O67" i="1"/>
  <c r="AQ66" i="1"/>
  <c r="AN66" i="1"/>
  <c r="V66" i="1" s="1"/>
  <c r="AB66" i="1" s="1"/>
  <c r="AM66" i="1"/>
  <c r="AL66" i="1"/>
  <c r="AJ66" i="1"/>
  <c r="AI66" i="1"/>
  <c r="AH66" i="1"/>
  <c r="AG66" i="1"/>
  <c r="AE66" i="1"/>
  <c r="J66" i="1" s="1"/>
  <c r="Z66" i="1"/>
  <c r="U66" i="1"/>
  <c r="T66" i="1"/>
  <c r="P66" i="1"/>
  <c r="AQ65" i="1"/>
  <c r="AH65" i="1" s="1"/>
  <c r="J65" i="1" s="1"/>
  <c r="AN65" i="1"/>
  <c r="AM65" i="1"/>
  <c r="AL65" i="1"/>
  <c r="AK65" i="1"/>
  <c r="AJ65" i="1"/>
  <c r="AI65" i="1"/>
  <c r="AG65" i="1"/>
  <c r="AE65" i="1"/>
  <c r="AA65" i="1"/>
  <c r="Z65" i="1"/>
  <c r="V65" i="1"/>
  <c r="U65" i="1"/>
  <c r="T65" i="1"/>
  <c r="AQ64" i="1"/>
  <c r="AN64" i="1"/>
  <c r="AM64" i="1"/>
  <c r="AL64" i="1"/>
  <c r="AJ64" i="1"/>
  <c r="AI64" i="1"/>
  <c r="AH64" i="1"/>
  <c r="J64" i="1" s="1"/>
  <c r="AG64" i="1"/>
  <c r="AE64" i="1"/>
  <c r="AB64" i="1"/>
  <c r="AA64" i="1"/>
  <c r="V64" i="1"/>
  <c r="P64" i="1" s="1"/>
  <c r="U64" i="1"/>
  <c r="O64" i="1" s="1"/>
  <c r="AQ63" i="1"/>
  <c r="AN63" i="1"/>
  <c r="AM63" i="1"/>
  <c r="U63" i="1" s="1"/>
  <c r="AL63" i="1"/>
  <c r="AJ63" i="1"/>
  <c r="AI63" i="1"/>
  <c r="AB63" i="1" s="1"/>
  <c r="AH63" i="1"/>
  <c r="AG63" i="1"/>
  <c r="AE63" i="1"/>
  <c r="V63" i="1"/>
  <c r="T63" i="1"/>
  <c r="O63" i="1"/>
  <c r="J63" i="1"/>
  <c r="AQ62" i="1"/>
  <c r="AL62" i="1"/>
  <c r="AJ62" i="1"/>
  <c r="AI62" i="1"/>
  <c r="AH62" i="1"/>
  <c r="J62" i="1" s="1"/>
  <c r="AG62" i="1"/>
  <c r="AE62" i="1"/>
  <c r="AQ61" i="1"/>
  <c r="AH61" i="1" s="1"/>
  <c r="J61" i="1" s="1"/>
  <c r="AL61" i="1"/>
  <c r="T61" i="1" s="1"/>
  <c r="AJ61" i="1"/>
  <c r="AI61" i="1"/>
  <c r="O61" i="1" s="1"/>
  <c r="AG61" i="1"/>
  <c r="AE61" i="1"/>
  <c r="U61" i="1"/>
  <c r="AA61" i="1" s="1"/>
  <c r="H61" i="1"/>
  <c r="AK61" i="1" s="1"/>
  <c r="AQ60" i="1"/>
  <c r="AM60" i="1"/>
  <c r="AL60" i="1"/>
  <c r="AJ60" i="1"/>
  <c r="AI60" i="1"/>
  <c r="AH60" i="1"/>
  <c r="J60" i="1" s="1"/>
  <c r="AG60" i="1"/>
  <c r="AE60" i="1"/>
  <c r="U60" i="1"/>
  <c r="AA60" i="1" s="1"/>
  <c r="O60" i="1"/>
  <c r="AQ59" i="1"/>
  <c r="AH59" i="1" s="1"/>
  <c r="AM59" i="1"/>
  <c r="AL59" i="1"/>
  <c r="AK59" i="1" s="1"/>
  <c r="AJ59" i="1"/>
  <c r="AI59" i="1"/>
  <c r="AG59" i="1"/>
  <c r="AE59" i="1"/>
  <c r="U59" i="1"/>
  <c r="T59" i="1"/>
  <c r="Z59" i="1" s="1"/>
  <c r="N59" i="1"/>
  <c r="J59" i="1"/>
  <c r="AQ58" i="1"/>
  <c r="AH58" i="1" s="1"/>
  <c r="J58" i="1" s="1"/>
  <c r="AL58" i="1"/>
  <c r="AK58" i="1"/>
  <c r="AJ58" i="1"/>
  <c r="AI58" i="1"/>
  <c r="AG58" i="1"/>
  <c r="AE58" i="1"/>
  <c r="T58" i="1"/>
  <c r="AQ57" i="1"/>
  <c r="AH57" i="1" s="1"/>
  <c r="AL57" i="1"/>
  <c r="AK57" i="1" s="1"/>
  <c r="AJ57" i="1"/>
  <c r="AI57" i="1"/>
  <c r="AG57" i="1"/>
  <c r="AE57" i="1"/>
  <c r="J57" i="1"/>
  <c r="AQ56" i="1"/>
  <c r="AH56" i="1" s="1"/>
  <c r="J56" i="1" s="1"/>
  <c r="AL56" i="1"/>
  <c r="AK56" i="1"/>
  <c r="AJ56" i="1"/>
  <c r="AI56" i="1"/>
  <c r="AG56" i="1"/>
  <c r="N56" i="1" s="1"/>
  <c r="AE56" i="1"/>
  <c r="X56" i="1"/>
  <c r="AD56" i="1" s="1"/>
  <c r="T56" i="1"/>
  <c r="Z56" i="1" s="1"/>
  <c r="Y56" i="1" s="1"/>
  <c r="AQ55" i="1"/>
  <c r="AM55" i="1"/>
  <c r="U55" i="1" s="1"/>
  <c r="O55" i="1" s="1"/>
  <c r="AL55" i="1"/>
  <c r="AK55" i="1" s="1"/>
  <c r="AJ55" i="1"/>
  <c r="AI55" i="1"/>
  <c r="AH55" i="1"/>
  <c r="J55" i="1" s="1"/>
  <c r="AG55" i="1"/>
  <c r="AE55" i="1"/>
  <c r="AA55" i="1"/>
  <c r="AQ54" i="1"/>
  <c r="AH54" i="1" s="1"/>
  <c r="J54" i="1" s="1"/>
  <c r="AM54" i="1"/>
  <c r="AL54" i="1"/>
  <c r="AK54" i="1"/>
  <c r="AJ54" i="1"/>
  <c r="AI54" i="1"/>
  <c r="AG54" i="1"/>
  <c r="AE54" i="1"/>
  <c r="Y54" i="1"/>
  <c r="U54" i="1"/>
  <c r="AA54" i="1" s="1"/>
  <c r="T54" i="1"/>
  <c r="Z54" i="1" s="1"/>
  <c r="O54" i="1"/>
  <c r="N54" i="1"/>
  <c r="AQ53" i="1"/>
  <c r="AM53" i="1"/>
  <c r="U53" i="1" s="1"/>
  <c r="AL53" i="1"/>
  <c r="AJ53" i="1"/>
  <c r="AI53" i="1"/>
  <c r="AH53" i="1"/>
  <c r="J53" i="1" s="1"/>
  <c r="AG53" i="1"/>
  <c r="AE53" i="1"/>
  <c r="AA53" i="1"/>
  <c r="Z53" i="1"/>
  <c r="T53" i="1"/>
  <c r="AQ52" i="1"/>
  <c r="AH52" i="1" s="1"/>
  <c r="AM52" i="1"/>
  <c r="AL52" i="1"/>
  <c r="AK52" i="1"/>
  <c r="AJ52" i="1"/>
  <c r="AI52" i="1"/>
  <c r="AG52" i="1"/>
  <c r="N52" i="1" s="1"/>
  <c r="AE52" i="1"/>
  <c r="U52" i="1"/>
  <c r="AA52" i="1" s="1"/>
  <c r="T52" i="1"/>
  <c r="Z52" i="1" s="1"/>
  <c r="Y52" i="1" s="1"/>
  <c r="J52" i="1"/>
  <c r="AQ51" i="1"/>
  <c r="AL51" i="1"/>
  <c r="AK51" i="1"/>
  <c r="AJ51" i="1"/>
  <c r="AI51" i="1"/>
  <c r="AH51" i="1"/>
  <c r="J51" i="1" s="1"/>
  <c r="AG51" i="1"/>
  <c r="AE51" i="1"/>
  <c r="T51" i="1"/>
  <c r="H51" i="1"/>
  <c r="S51" i="1" s="1"/>
  <c r="AQ50" i="1"/>
  <c r="AL50" i="1"/>
  <c r="AK50" i="1"/>
  <c r="AJ50" i="1"/>
  <c r="AI50" i="1"/>
  <c r="AH50" i="1"/>
  <c r="AG50" i="1"/>
  <c r="AE50" i="1"/>
  <c r="J50" i="1" s="1"/>
  <c r="T50" i="1"/>
  <c r="H50" i="1"/>
  <c r="S50" i="1" s="1"/>
  <c r="AQ49" i="1"/>
  <c r="AH49" i="1" s="1"/>
  <c r="J49" i="1" s="1"/>
  <c r="AL49" i="1"/>
  <c r="AK49" i="1" s="1"/>
  <c r="AJ49" i="1"/>
  <c r="AI49" i="1"/>
  <c r="AG49" i="1"/>
  <c r="AE49" i="1"/>
  <c r="AQ48" i="1"/>
  <c r="AL48" i="1"/>
  <c r="AK48" i="1" s="1"/>
  <c r="AJ48" i="1"/>
  <c r="AI48" i="1"/>
  <c r="AH48" i="1"/>
  <c r="J48" i="1" s="1"/>
  <c r="AG48" i="1"/>
  <c r="AE48" i="1"/>
  <c r="AQ47" i="1"/>
  <c r="AH47" i="1" s="1"/>
  <c r="AM47" i="1"/>
  <c r="U47" i="1" s="1"/>
  <c r="AL47" i="1"/>
  <c r="AK47" i="1" s="1"/>
  <c r="AJ47" i="1"/>
  <c r="AI47" i="1"/>
  <c r="AG47" i="1"/>
  <c r="AE47" i="1"/>
  <c r="AD47" i="1"/>
  <c r="X47" i="1"/>
  <c r="R47" i="1"/>
  <c r="AQ46" i="1"/>
  <c r="AH46" i="1" s="1"/>
  <c r="J46" i="1" s="1"/>
  <c r="AL46" i="1"/>
  <c r="AK46" i="1" s="1"/>
  <c r="AJ46" i="1"/>
  <c r="AI46" i="1"/>
  <c r="AG46" i="1"/>
  <c r="AE46" i="1"/>
  <c r="AQ45" i="1"/>
  <c r="AL45" i="1"/>
  <c r="AK45" i="1" s="1"/>
  <c r="AJ45" i="1"/>
  <c r="AI45" i="1"/>
  <c r="AH45" i="1"/>
  <c r="J45" i="1" s="1"/>
  <c r="AG45" i="1"/>
  <c r="AE45" i="1"/>
  <c r="T45" i="1"/>
  <c r="AQ44" i="1"/>
  <c r="AH44" i="1" s="1"/>
  <c r="J44" i="1" s="1"/>
  <c r="AL44" i="1"/>
  <c r="AK44" i="1" s="1"/>
  <c r="AJ44" i="1"/>
  <c r="AI44" i="1"/>
  <c r="AG44" i="1"/>
  <c r="AE44" i="1"/>
  <c r="AC21" i="1"/>
  <c r="J720" i="2" l="1"/>
  <c r="J538" i="2"/>
  <c r="J548" i="2"/>
  <c r="J535" i="2"/>
  <c r="J549" i="2"/>
  <c r="J552" i="2"/>
  <c r="J554" i="2"/>
  <c r="J556" i="2"/>
  <c r="J732" i="2"/>
  <c r="J739" i="2"/>
  <c r="J539" i="2"/>
  <c r="J541" i="2"/>
  <c r="N686" i="2"/>
  <c r="J82" i="2"/>
  <c r="J108" i="2"/>
  <c r="J113" i="2"/>
  <c r="J115" i="2"/>
  <c r="X116" i="2"/>
  <c r="AD116" i="2" s="1"/>
  <c r="J123" i="2"/>
  <c r="J127" i="2"/>
  <c r="AK132" i="2"/>
  <c r="T133" i="2"/>
  <c r="Z133" i="2" s="1"/>
  <c r="U134" i="2"/>
  <c r="AA134" i="2" s="1"/>
  <c r="J135" i="2"/>
  <c r="AK137" i="2"/>
  <c r="J76" i="2"/>
  <c r="J83" i="2"/>
  <c r="J100" i="2"/>
  <c r="T101" i="2"/>
  <c r="S101" i="2" s="1"/>
  <c r="J107" i="2"/>
  <c r="J109" i="2"/>
  <c r="X110" i="2"/>
  <c r="AD110" i="2" s="1"/>
  <c r="J114" i="2"/>
  <c r="U120" i="2"/>
  <c r="U124" i="2"/>
  <c r="AA124" i="2" s="1"/>
  <c r="J130" i="2"/>
  <c r="J133" i="2"/>
  <c r="AK135" i="2"/>
  <c r="J137" i="2"/>
  <c r="AK139" i="2"/>
  <c r="AD313" i="2"/>
  <c r="R313" i="2"/>
  <c r="J102" i="2"/>
  <c r="X108" i="2"/>
  <c r="AD108" i="2" s="1"/>
  <c r="J110" i="2"/>
  <c r="J112" i="2"/>
  <c r="J117" i="2"/>
  <c r="J120" i="2"/>
  <c r="J121" i="2"/>
  <c r="J124" i="2"/>
  <c r="AJ182" i="2"/>
  <c r="J191" i="2"/>
  <c r="T193" i="2"/>
  <c r="AJ198" i="2"/>
  <c r="J208" i="2"/>
  <c r="J212" i="2"/>
  <c r="J216" i="2"/>
  <c r="AJ217" i="2"/>
  <c r="AH219" i="2"/>
  <c r="J219" i="2" s="1"/>
  <c r="AJ223" i="2"/>
  <c r="AH224" i="2"/>
  <c r="J224" i="2" s="1"/>
  <c r="AH225" i="2"/>
  <c r="J225" i="2" s="1"/>
  <c r="J232" i="2"/>
  <c r="AJ236" i="2"/>
  <c r="AJ239" i="2"/>
  <c r="J245" i="2"/>
  <c r="J248" i="2"/>
  <c r="AJ252" i="2"/>
  <c r="J254" i="2"/>
  <c r="J256" i="2"/>
  <c r="J261" i="2"/>
  <c r="AJ268" i="2"/>
  <c r="J315" i="2"/>
  <c r="J319" i="2"/>
  <c r="J323" i="2"/>
  <c r="J327" i="2"/>
  <c r="J331" i="2"/>
  <c r="J335" i="2"/>
  <c r="J339" i="2"/>
  <c r="J343" i="2"/>
  <c r="J151" i="2"/>
  <c r="J167" i="2"/>
  <c r="J179" i="2"/>
  <c r="AH188" i="2"/>
  <c r="J188" i="2" s="1"/>
  <c r="J195" i="2"/>
  <c r="J209" i="2"/>
  <c r="J213" i="2"/>
  <c r="J217" i="2"/>
  <c r="J220" i="2"/>
  <c r="T221" i="2"/>
  <c r="AJ221" i="2"/>
  <c r="AH222" i="2"/>
  <c r="J222" i="2" s="1"/>
  <c r="AH223" i="2"/>
  <c r="J223" i="2" s="1"/>
  <c r="AJ229" i="2"/>
  <c r="AH230" i="2"/>
  <c r="J230" i="2" s="1"/>
  <c r="J233" i="2"/>
  <c r="J236" i="2"/>
  <c r="AJ240" i="2"/>
  <c r="AJ243" i="2"/>
  <c r="J249" i="2"/>
  <c r="J252" i="2"/>
  <c r="J257" i="2"/>
  <c r="AJ259" i="2"/>
  <c r="AJ264" i="2"/>
  <c r="J266" i="2"/>
  <c r="J268" i="2"/>
  <c r="T270" i="2"/>
  <c r="S270" i="2" s="1"/>
  <c r="AJ270" i="2"/>
  <c r="AJ271" i="2"/>
  <c r="J280" i="2"/>
  <c r="J284" i="2"/>
  <c r="J288" i="2"/>
  <c r="U293" i="2"/>
  <c r="U299" i="2"/>
  <c r="J300" i="2"/>
  <c r="J306" i="2"/>
  <c r="J307" i="2"/>
  <c r="AK310" i="2"/>
  <c r="J316" i="2"/>
  <c r="J320" i="2"/>
  <c r="J324" i="2"/>
  <c r="J328" i="2"/>
  <c r="J332" i="2"/>
  <c r="J336" i="2"/>
  <c r="AH340" i="2"/>
  <c r="J340" i="2" s="1"/>
  <c r="T341" i="2"/>
  <c r="AJ342" i="2"/>
  <c r="AH344" i="2"/>
  <c r="J344" i="2" s="1"/>
  <c r="J139" i="2"/>
  <c r="U140" i="2"/>
  <c r="J142" i="2"/>
  <c r="T149" i="2"/>
  <c r="Z149" i="2" s="1"/>
  <c r="Y149" i="2" s="1"/>
  <c r="J155" i="2"/>
  <c r="T165" i="2"/>
  <c r="J171" i="2"/>
  <c r="T173" i="2"/>
  <c r="Z173" i="2" s="1"/>
  <c r="Y173" i="2" s="1"/>
  <c r="AH176" i="2"/>
  <c r="J176" i="2" s="1"/>
  <c r="J183" i="2"/>
  <c r="AJ183" i="2"/>
  <c r="AJ190" i="2"/>
  <c r="AH192" i="2"/>
  <c r="J192" i="2" s="1"/>
  <c r="J199" i="2"/>
  <c r="AJ199" i="2"/>
  <c r="J201" i="2"/>
  <c r="AJ201" i="2"/>
  <c r="AH203" i="2"/>
  <c r="J203" i="2" s="1"/>
  <c r="AJ203" i="2"/>
  <c r="AH205" i="2"/>
  <c r="J205" i="2" s="1"/>
  <c r="AJ205" i="2"/>
  <c r="AH210" i="2"/>
  <c r="J210" i="2" s="1"/>
  <c r="AJ210" i="2"/>
  <c r="AH214" i="2"/>
  <c r="J214" i="2" s="1"/>
  <c r="AJ214" i="2"/>
  <c r="AH218" i="2"/>
  <c r="J218" i="2" s="1"/>
  <c r="AJ218" i="2"/>
  <c r="AH221" i="2"/>
  <c r="J221" i="2" s="1"/>
  <c r="AJ227" i="2"/>
  <c r="AH228" i="2"/>
  <c r="J228" i="2" s="1"/>
  <c r="AH229" i="2"/>
  <c r="J229" i="2" s="1"/>
  <c r="AJ231" i="2"/>
  <c r="J237" i="2"/>
  <c r="J240" i="2"/>
  <c r="AJ244" i="2"/>
  <c r="AJ247" i="2"/>
  <c r="J253" i="2"/>
  <c r="AJ255" i="2"/>
  <c r="AJ260" i="2"/>
  <c r="J264" i="2"/>
  <c r="AJ269" i="2"/>
  <c r="T274" i="2"/>
  <c r="S274" i="2" s="1"/>
  <c r="AJ274" i="2"/>
  <c r="AJ275" i="2"/>
  <c r="AJ278" i="2"/>
  <c r="AJ282" i="2"/>
  <c r="AJ286" i="2"/>
  <c r="T290" i="2"/>
  <c r="AJ290" i="2"/>
  <c r="J292" i="2"/>
  <c r="J293" i="2"/>
  <c r="T296" i="2"/>
  <c r="Z296" i="2" s="1"/>
  <c r="U297" i="2"/>
  <c r="J298" i="2"/>
  <c r="J299" i="2"/>
  <c r="U303" i="2"/>
  <c r="O303" i="2" s="1"/>
  <c r="J304" i="2"/>
  <c r="J305" i="2"/>
  <c r="U309" i="2"/>
  <c r="J310" i="2"/>
  <c r="J311" i="2"/>
  <c r="J312" i="2"/>
  <c r="U313" i="2"/>
  <c r="T314" i="2"/>
  <c r="S314" i="2" s="1"/>
  <c r="AJ315" i="2"/>
  <c r="AH317" i="2"/>
  <c r="J317" i="2" s="1"/>
  <c r="T318" i="2"/>
  <c r="AJ319" i="2"/>
  <c r="AH321" i="2"/>
  <c r="J321" i="2" s="1"/>
  <c r="T322" i="2"/>
  <c r="AJ323" i="2"/>
  <c r="AH325" i="2"/>
  <c r="J325" i="2" s="1"/>
  <c r="T326" i="2"/>
  <c r="AJ327" i="2"/>
  <c r="AH329" i="2"/>
  <c r="J329" i="2" s="1"/>
  <c r="T330" i="2"/>
  <c r="S330" i="2" s="1"/>
  <c r="AJ331" i="2"/>
  <c r="AH333" i="2"/>
  <c r="J333" i="2" s="1"/>
  <c r="T334" i="2"/>
  <c r="AJ335" i="2"/>
  <c r="AH337" i="2"/>
  <c r="J337" i="2" s="1"/>
  <c r="T338" i="2"/>
  <c r="AJ339" i="2"/>
  <c r="AH341" i="2"/>
  <c r="J341" i="2" s="1"/>
  <c r="T342" i="2"/>
  <c r="AJ343" i="2"/>
  <c r="J345" i="2"/>
  <c r="J141" i="2"/>
  <c r="T143" i="2"/>
  <c r="J145" i="2"/>
  <c r="T153" i="2"/>
  <c r="J159" i="2"/>
  <c r="AJ178" i="2"/>
  <c r="AH180" i="2"/>
  <c r="J180" i="2" s="1"/>
  <c r="AH187" i="2"/>
  <c r="J187" i="2" s="1"/>
  <c r="AJ194" i="2"/>
  <c r="AH196" i="2"/>
  <c r="J196" i="2" s="1"/>
  <c r="AH207" i="2"/>
  <c r="J207" i="2" s="1"/>
  <c r="J211" i="2"/>
  <c r="J215" i="2"/>
  <c r="J227" i="2"/>
  <c r="AJ232" i="2"/>
  <c r="AJ235" i="2"/>
  <c r="J241" i="2"/>
  <c r="J244" i="2"/>
  <c r="J260" i="2"/>
  <c r="J265" i="2"/>
  <c r="AJ279" i="2"/>
  <c r="T281" i="2"/>
  <c r="AJ283" i="2"/>
  <c r="T285" i="2"/>
  <c r="AJ287" i="2"/>
  <c r="T289" i="2"/>
  <c r="S289" i="2" s="1"/>
  <c r="J297" i="2"/>
  <c r="J303" i="2"/>
  <c r="J309" i="2"/>
  <c r="J318" i="2"/>
  <c r="J322" i="2"/>
  <c r="J326" i="2"/>
  <c r="J330" i="2"/>
  <c r="J334" i="2"/>
  <c r="J338" i="2"/>
  <c r="J342" i="2"/>
  <c r="J347" i="2"/>
  <c r="J351" i="2"/>
  <c r="J358" i="2"/>
  <c r="J362" i="2"/>
  <c r="J368" i="2"/>
  <c r="J372" i="2"/>
  <c r="J377" i="2"/>
  <c r="J381" i="2"/>
  <c r="AK383" i="2"/>
  <c r="J385" i="2"/>
  <c r="J413" i="2"/>
  <c r="J433" i="2"/>
  <c r="J438" i="2"/>
  <c r="J445" i="2"/>
  <c r="J446" i="2"/>
  <c r="J449" i="2"/>
  <c r="AB457" i="2"/>
  <c r="AA471" i="2"/>
  <c r="AA479" i="2"/>
  <c r="AH484" i="2"/>
  <c r="J484" i="2" s="1"/>
  <c r="T345" i="2"/>
  <c r="AJ346" i="2"/>
  <c r="AH348" i="2"/>
  <c r="J348" i="2" s="1"/>
  <c r="T349" i="2"/>
  <c r="AH352" i="2"/>
  <c r="J352" i="2" s="1"/>
  <c r="AH354" i="2"/>
  <c r="J354" i="2" s="1"/>
  <c r="AH356" i="2"/>
  <c r="J356" i="2" s="1"/>
  <c r="J359" i="2"/>
  <c r="AJ359" i="2"/>
  <c r="T360" i="2"/>
  <c r="J363" i="2"/>
  <c r="AJ363" i="2"/>
  <c r="U366" i="2"/>
  <c r="AA366" i="2" s="1"/>
  <c r="J369" i="2"/>
  <c r="AJ369" i="2"/>
  <c r="J375" i="2"/>
  <c r="J378" i="2"/>
  <c r="H378" i="2"/>
  <c r="U379" i="2"/>
  <c r="AJ382" i="2"/>
  <c r="J383" i="2"/>
  <c r="J386" i="2"/>
  <c r="H386" i="2"/>
  <c r="J388" i="2"/>
  <c r="H388" i="2"/>
  <c r="U394" i="2"/>
  <c r="T396" i="2"/>
  <c r="N396" i="2" s="1"/>
  <c r="J404" i="2"/>
  <c r="U406" i="2"/>
  <c r="J407" i="2"/>
  <c r="T408" i="2"/>
  <c r="N408" i="2" s="1"/>
  <c r="J409" i="2"/>
  <c r="J417" i="2"/>
  <c r="AK418" i="2"/>
  <c r="AK426" i="2"/>
  <c r="AJ433" i="2"/>
  <c r="AH437" i="2"/>
  <c r="J437" i="2" s="1"/>
  <c r="AH439" i="2"/>
  <c r="J439" i="2" s="1"/>
  <c r="AJ442" i="2"/>
  <c r="AH447" i="2"/>
  <c r="J447" i="2" s="1"/>
  <c r="U447" i="2"/>
  <c r="AH450" i="2"/>
  <c r="J450" i="2" s="1"/>
  <c r="AH452" i="2"/>
  <c r="J452" i="2" s="1"/>
  <c r="AH453" i="2"/>
  <c r="J453" i="2" s="1"/>
  <c r="U454" i="2"/>
  <c r="AH454" i="2"/>
  <c r="J454" i="2" s="1"/>
  <c r="AH455" i="2"/>
  <c r="J455" i="2" s="1"/>
  <c r="T457" i="2"/>
  <c r="AI457" i="2"/>
  <c r="AH459" i="2"/>
  <c r="J459" i="2" s="1"/>
  <c r="V461" i="2"/>
  <c r="AH463" i="2"/>
  <c r="J463" i="2" s="1"/>
  <c r="AH464" i="2"/>
  <c r="J464" i="2" s="1"/>
  <c r="U465" i="2"/>
  <c r="AA465" i="2" s="1"/>
  <c r="T466" i="2"/>
  <c r="Z466" i="2" s="1"/>
  <c r="T467" i="2"/>
  <c r="AI467" i="2"/>
  <c r="AB467" i="2" s="1"/>
  <c r="V469" i="2"/>
  <c r="AH471" i="2"/>
  <c r="J471" i="2" s="1"/>
  <c r="AH472" i="2"/>
  <c r="J472" i="2" s="1"/>
  <c r="AA475" i="2"/>
  <c r="AJ485" i="2"/>
  <c r="V485" i="2"/>
  <c r="AB485" i="2" s="1"/>
  <c r="AH485" i="2"/>
  <c r="J485" i="2" s="1"/>
  <c r="J349" i="2"/>
  <c r="J360" i="2"/>
  <c r="AK365" i="2"/>
  <c r="J370" i="2"/>
  <c r="J374" i="2"/>
  <c r="T376" i="2"/>
  <c r="Z376" i="2" s="1"/>
  <c r="J379" i="2"/>
  <c r="AJ379" i="2"/>
  <c r="T380" i="2"/>
  <c r="AJ380" i="2"/>
  <c r="J382" i="2"/>
  <c r="T384" i="2"/>
  <c r="AJ384" i="2"/>
  <c r="AH389" i="2"/>
  <c r="AH392" i="2"/>
  <c r="J392" i="2" s="1"/>
  <c r="U393" i="2"/>
  <c r="O393" i="2" s="1"/>
  <c r="AJ401" i="2"/>
  <c r="AK405" i="2"/>
  <c r="AK407" i="2"/>
  <c r="AJ409" i="2"/>
  <c r="J411" i="2"/>
  <c r="AJ416" i="2"/>
  <c r="AJ417" i="2"/>
  <c r="AH418" i="2"/>
  <c r="J418" i="2" s="1"/>
  <c r="AJ420" i="2"/>
  <c r="AJ422" i="2"/>
  <c r="J426" i="2"/>
  <c r="AH426" i="2"/>
  <c r="AH428" i="2"/>
  <c r="J428" i="2" s="1"/>
  <c r="AH430" i="2"/>
  <c r="J430" i="2" s="1"/>
  <c r="AJ434" i="2"/>
  <c r="U437" i="2"/>
  <c r="AJ437" i="2"/>
  <c r="U440" i="2"/>
  <c r="O440" i="2" s="1"/>
  <c r="AH442" i="2"/>
  <c r="J442" i="2" s="1"/>
  <c r="AJ444" i="2"/>
  <c r="U445" i="2"/>
  <c r="AJ445" i="2"/>
  <c r="U448" i="2"/>
  <c r="O448" i="2" s="1"/>
  <c r="U449" i="2"/>
  <c r="O449" i="2" s="1"/>
  <c r="AJ449" i="2"/>
  <c r="T451" i="2"/>
  <c r="AI451" i="2"/>
  <c r="U456" i="2"/>
  <c r="AH456" i="2"/>
  <c r="J456" i="2" s="1"/>
  <c r="U457" i="2"/>
  <c r="AA457" i="2" s="1"/>
  <c r="V459" i="2"/>
  <c r="AB459" i="2" s="1"/>
  <c r="AH460" i="2"/>
  <c r="J460" i="2" s="1"/>
  <c r="T461" i="2"/>
  <c r="AI461" i="2"/>
  <c r="AA461" i="2" s="1"/>
  <c r="V463" i="2"/>
  <c r="AH466" i="2"/>
  <c r="J466" i="2" s="1"/>
  <c r="U467" i="2"/>
  <c r="AA467" i="2" s="1"/>
  <c r="T468" i="2"/>
  <c r="Z468" i="2" s="1"/>
  <c r="T469" i="2"/>
  <c r="AI469" i="2"/>
  <c r="V471" i="2"/>
  <c r="AB471" i="2" s="1"/>
  <c r="AB479" i="2"/>
  <c r="AJ344" i="2"/>
  <c r="AH346" i="2"/>
  <c r="J346" i="2" s="1"/>
  <c r="T347" i="2"/>
  <c r="N347" i="2" s="1"/>
  <c r="M347" i="2" s="1"/>
  <c r="I347" i="2" s="1"/>
  <c r="AJ348" i="2"/>
  <c r="AH350" i="2"/>
  <c r="J350" i="2" s="1"/>
  <c r="T351" i="2"/>
  <c r="AJ352" i="2"/>
  <c r="AH353" i="2"/>
  <c r="J353" i="2" s="1"/>
  <c r="AJ354" i="2"/>
  <c r="AH355" i="2"/>
  <c r="J355" i="2" s="1"/>
  <c r="AJ356" i="2"/>
  <c r="AH357" i="2"/>
  <c r="J357" i="2" s="1"/>
  <c r="J361" i="2"/>
  <c r="AJ361" i="2"/>
  <c r="J365" i="2"/>
  <c r="J367" i="2"/>
  <c r="AJ367" i="2"/>
  <c r="J371" i="2"/>
  <c r="AJ371" i="2"/>
  <c r="J373" i="2"/>
  <c r="H375" i="2"/>
  <c r="J376" i="2"/>
  <c r="J380" i="2"/>
  <c r="H383" i="2"/>
  <c r="J384" i="2"/>
  <c r="J393" i="2"/>
  <c r="AK394" i="2"/>
  <c r="J396" i="2"/>
  <c r="U396" i="2"/>
  <c r="U397" i="2"/>
  <c r="O397" i="2" s="1"/>
  <c r="AH405" i="2"/>
  <c r="J405" i="2" s="1"/>
  <c r="AH410" i="2"/>
  <c r="J410" i="2" s="1"/>
  <c r="AH414" i="2"/>
  <c r="J414" i="2" s="1"/>
  <c r="AH415" i="2"/>
  <c r="AK416" i="2"/>
  <c r="AK420" i="2"/>
  <c r="AH420" i="2"/>
  <c r="J420" i="2" s="1"/>
  <c r="AH422" i="2"/>
  <c r="J422" i="2" s="1"/>
  <c r="AJ424" i="2"/>
  <c r="N425" i="2"/>
  <c r="AH427" i="2"/>
  <c r="J427" i="2" s="1"/>
  <c r="U428" i="2"/>
  <c r="AH429" i="2"/>
  <c r="J429" i="2" s="1"/>
  <c r="AK432" i="2"/>
  <c r="J443" i="2"/>
  <c r="U451" i="2"/>
  <c r="AA451" i="2" s="1"/>
  <c r="AI463" i="2"/>
  <c r="AA463" i="2" s="1"/>
  <c r="AB465" i="2"/>
  <c r="AH468" i="2"/>
  <c r="J468" i="2" s="1"/>
  <c r="U469" i="2"/>
  <c r="AA469" i="2" s="1"/>
  <c r="T471" i="2"/>
  <c r="S471" i="2" s="1"/>
  <c r="AI471" i="2"/>
  <c r="AI473" i="2"/>
  <c r="AA473" i="2" s="1"/>
  <c r="AH476" i="2"/>
  <c r="J476" i="2" s="1"/>
  <c r="T479" i="2"/>
  <c r="Z479" i="2" s="1"/>
  <c r="Y479" i="2" s="1"/>
  <c r="AI479" i="2"/>
  <c r="AA613" i="2"/>
  <c r="T487" i="2"/>
  <c r="S487" i="2" s="1"/>
  <c r="AI487" i="2"/>
  <c r="AB487" i="2" s="1"/>
  <c r="AH489" i="2"/>
  <c r="J489" i="2" s="1"/>
  <c r="T491" i="2"/>
  <c r="AI491" i="2"/>
  <c r="AB491" i="2" s="1"/>
  <c r="AH495" i="2"/>
  <c r="J495" i="2" s="1"/>
  <c r="U497" i="2"/>
  <c r="T498" i="2"/>
  <c r="Z498" i="2" s="1"/>
  <c r="V499" i="2"/>
  <c r="AI501" i="2"/>
  <c r="AH505" i="2"/>
  <c r="J505" i="2" s="1"/>
  <c r="AH513" i="2"/>
  <c r="J513" i="2" s="1"/>
  <c r="AH517" i="2"/>
  <c r="J517" i="2" s="1"/>
  <c r="AH521" i="2"/>
  <c r="J521" i="2" s="1"/>
  <c r="AH527" i="2"/>
  <c r="J527" i="2" s="1"/>
  <c r="AB533" i="2"/>
  <c r="AI533" i="2"/>
  <c r="U544" i="2"/>
  <c r="U546" i="2"/>
  <c r="AA546" i="2" s="1"/>
  <c r="U550" i="2"/>
  <c r="U553" i="2"/>
  <c r="AA553" i="2" s="1"/>
  <c r="U555" i="2"/>
  <c r="AA555" i="2" s="1"/>
  <c r="U558" i="2"/>
  <c r="AA558" i="2" s="1"/>
  <c r="AH558" i="2"/>
  <c r="J558" i="2" s="1"/>
  <c r="T560" i="2"/>
  <c r="U564" i="2"/>
  <c r="AA564" i="2" s="1"/>
  <c r="AH564" i="2"/>
  <c r="J564" i="2" s="1"/>
  <c r="V566" i="2"/>
  <c r="AB566" i="2" s="1"/>
  <c r="AH567" i="2"/>
  <c r="J567" i="2" s="1"/>
  <c r="AI567" i="2"/>
  <c r="T572" i="2"/>
  <c r="Z572" i="2" s="1"/>
  <c r="T580" i="2"/>
  <c r="Z580" i="2" s="1"/>
  <c r="AK589" i="2"/>
  <c r="U598" i="2"/>
  <c r="AA598" i="2" s="1"/>
  <c r="AH598" i="2"/>
  <c r="J598" i="2" s="1"/>
  <c r="V603" i="2"/>
  <c r="AB603" i="2" s="1"/>
  <c r="V605" i="2"/>
  <c r="AB605" i="2" s="1"/>
  <c r="U607" i="2"/>
  <c r="AH607" i="2"/>
  <c r="U609" i="2"/>
  <c r="AH609" i="2"/>
  <c r="J609" i="2" s="1"/>
  <c r="AH610" i="2"/>
  <c r="J610" i="2" s="1"/>
  <c r="AB627" i="2"/>
  <c r="AH645" i="2"/>
  <c r="J645" i="2" s="1"/>
  <c r="AB653" i="2"/>
  <c r="U667" i="2"/>
  <c r="AH667" i="2"/>
  <c r="AH668" i="2"/>
  <c r="J668" i="2" s="1"/>
  <c r="AH676" i="2"/>
  <c r="J676" i="2" s="1"/>
  <c r="O683" i="2"/>
  <c r="AI481" i="2"/>
  <c r="AB481" i="2" s="1"/>
  <c r="U486" i="2"/>
  <c r="AH486" i="2"/>
  <c r="J486" i="2" s="1"/>
  <c r="U487" i="2"/>
  <c r="AA487" i="2" s="1"/>
  <c r="V489" i="2"/>
  <c r="AB489" i="2" s="1"/>
  <c r="U490" i="2"/>
  <c r="AH490" i="2"/>
  <c r="J490" i="2" s="1"/>
  <c r="U491" i="2"/>
  <c r="AA491" i="2" s="1"/>
  <c r="T493" i="2"/>
  <c r="AI493" i="2"/>
  <c r="AH496" i="2"/>
  <c r="J496" i="2" s="1"/>
  <c r="AH498" i="2"/>
  <c r="J498" i="2" s="1"/>
  <c r="AI499" i="2"/>
  <c r="AJ502" i="2"/>
  <c r="T504" i="2"/>
  <c r="Z504" i="2" s="1"/>
  <c r="V505" i="2"/>
  <c r="AB505" i="2" s="1"/>
  <c r="AI507" i="2"/>
  <c r="AJ510" i="2"/>
  <c r="T512" i="2"/>
  <c r="V513" i="2"/>
  <c r="AB513" i="2" s="1"/>
  <c r="AK514" i="2"/>
  <c r="AH514" i="2"/>
  <c r="J514" i="2" s="1"/>
  <c r="T516" i="2"/>
  <c r="V517" i="2"/>
  <c r="AB517" i="2" s="1"/>
  <c r="AH518" i="2"/>
  <c r="J518" i="2" s="1"/>
  <c r="T520" i="2"/>
  <c r="Z520" i="2" s="1"/>
  <c r="V521" i="2"/>
  <c r="AH522" i="2"/>
  <c r="J522" i="2" s="1"/>
  <c r="U523" i="2"/>
  <c r="AJ524" i="2"/>
  <c r="T526" i="2"/>
  <c r="V527" i="2"/>
  <c r="AH528" i="2"/>
  <c r="J528" i="2" s="1"/>
  <c r="AK529" i="2"/>
  <c r="AI529" i="2"/>
  <c r="AB529" i="2" s="1"/>
  <c r="T532" i="2"/>
  <c r="N532" i="2" s="1"/>
  <c r="U533" i="2"/>
  <c r="AA533" i="2" s="1"/>
  <c r="AJ534" i="2"/>
  <c r="J537" i="2"/>
  <c r="AJ538" i="2"/>
  <c r="H542" i="2"/>
  <c r="U549" i="2"/>
  <c r="J553" i="2"/>
  <c r="J555" i="2"/>
  <c r="V558" i="2"/>
  <c r="AH559" i="2"/>
  <c r="J559" i="2" s="1"/>
  <c r="AI559" i="2"/>
  <c r="AH560" i="2"/>
  <c r="J560" i="2" s="1"/>
  <c r="U562" i="2"/>
  <c r="AA562" i="2" s="1"/>
  <c r="AH562" i="2"/>
  <c r="J562" i="2" s="1"/>
  <c r="V564" i="2"/>
  <c r="AB564" i="2" s="1"/>
  <c r="AH565" i="2"/>
  <c r="J565" i="2" s="1"/>
  <c r="AI565" i="2"/>
  <c r="T568" i="2"/>
  <c r="AH568" i="2"/>
  <c r="J568" i="2" s="1"/>
  <c r="U572" i="2"/>
  <c r="AA572" i="2" s="1"/>
  <c r="AH572" i="2"/>
  <c r="J572" i="2" s="1"/>
  <c r="U574" i="2"/>
  <c r="AA574" i="2" s="1"/>
  <c r="AH574" i="2"/>
  <c r="J574" i="2" s="1"/>
  <c r="U580" i="2"/>
  <c r="AA580" i="2" s="1"/>
  <c r="AH580" i="2"/>
  <c r="J580" i="2" s="1"/>
  <c r="U582" i="2"/>
  <c r="AA582" i="2" s="1"/>
  <c r="AH582" i="2"/>
  <c r="J582" i="2" s="1"/>
  <c r="U592" i="2"/>
  <c r="AA592" i="2" s="1"/>
  <c r="AH592" i="2"/>
  <c r="J592" i="2" s="1"/>
  <c r="AH594" i="2"/>
  <c r="J594" i="2" s="1"/>
  <c r="U596" i="2"/>
  <c r="AA596" i="2" s="1"/>
  <c r="AH596" i="2"/>
  <c r="J596" i="2" s="1"/>
  <c r="AH599" i="2"/>
  <c r="J599" i="2" s="1"/>
  <c r="U600" i="2"/>
  <c r="AA600" i="2" s="1"/>
  <c r="AH606" i="2"/>
  <c r="J606" i="2" s="1"/>
  <c r="AH608" i="2"/>
  <c r="J608" i="2" s="1"/>
  <c r="Z611" i="2"/>
  <c r="AB613" i="2"/>
  <c r="AK614" i="2"/>
  <c r="U617" i="2"/>
  <c r="AA617" i="2" s="1"/>
  <c r="AH617" i="2"/>
  <c r="J617" i="2" s="1"/>
  <c r="Z621" i="2"/>
  <c r="AA625" i="2"/>
  <c r="AB629" i="2"/>
  <c r="U631" i="2"/>
  <c r="AA631" i="2" s="1"/>
  <c r="AH631" i="2"/>
  <c r="J631" i="2" s="1"/>
  <c r="AB637" i="2"/>
  <c r="U639" i="2"/>
  <c r="AA639" i="2" s="1"/>
  <c r="AH639" i="2"/>
  <c r="J639" i="2" s="1"/>
  <c r="U643" i="2"/>
  <c r="AA643" i="2" s="1"/>
  <c r="AH643" i="2"/>
  <c r="J643" i="2" s="1"/>
  <c r="Z647" i="2"/>
  <c r="AA651" i="2"/>
  <c r="U655" i="2"/>
  <c r="AI661" i="2"/>
  <c r="V661" i="2"/>
  <c r="P661" i="2" s="1"/>
  <c r="U663" i="2"/>
  <c r="AA663" i="2" s="1"/>
  <c r="V669" i="2"/>
  <c r="AB669" i="2" s="1"/>
  <c r="T669" i="2"/>
  <c r="U671" i="2"/>
  <c r="AH671" i="2"/>
  <c r="J671" i="2" s="1"/>
  <c r="AH672" i="2"/>
  <c r="J672" i="2" s="1"/>
  <c r="Z673" i="2"/>
  <c r="AB675" i="2"/>
  <c r="U677" i="2"/>
  <c r="AH677" i="2"/>
  <c r="AH678" i="2"/>
  <c r="J678" i="2" s="1"/>
  <c r="U493" i="2"/>
  <c r="AH504" i="2"/>
  <c r="J504" i="2" s="1"/>
  <c r="U506" i="2"/>
  <c r="AH506" i="2"/>
  <c r="J506" i="2" s="1"/>
  <c r="U507" i="2"/>
  <c r="AH512" i="2"/>
  <c r="J512" i="2" s="1"/>
  <c r="AI513" i="2"/>
  <c r="AH516" i="2"/>
  <c r="J516" i="2" s="1"/>
  <c r="AI517" i="2"/>
  <c r="AH520" i="2"/>
  <c r="J520" i="2" s="1"/>
  <c r="AK521" i="2"/>
  <c r="AI521" i="2"/>
  <c r="AA521" i="2" s="1"/>
  <c r="AB525" i="2"/>
  <c r="AH526" i="2"/>
  <c r="J526" i="2" s="1"/>
  <c r="AI527" i="2"/>
  <c r="AB531" i="2"/>
  <c r="AH532" i="2"/>
  <c r="J532" i="2" s="1"/>
  <c r="J536" i="2"/>
  <c r="J540" i="2"/>
  <c r="AE542" i="2"/>
  <c r="J542" i="2" s="1"/>
  <c r="T543" i="2"/>
  <c r="AE543" i="2"/>
  <c r="J543" i="2" s="1"/>
  <c r="T544" i="2"/>
  <c r="AE544" i="2"/>
  <c r="J544" i="2" s="1"/>
  <c r="AE545" i="2"/>
  <c r="J545" i="2" s="1"/>
  <c r="AI557" i="2"/>
  <c r="U560" i="2"/>
  <c r="AA560" i="2" s="1"/>
  <c r="AI561" i="2"/>
  <c r="AI563" i="2"/>
  <c r="U568" i="2"/>
  <c r="AA568" i="2" s="1"/>
  <c r="AI569" i="2"/>
  <c r="V572" i="2"/>
  <c r="AB572" i="2" s="1"/>
  <c r="AI573" i="2"/>
  <c r="V574" i="2"/>
  <c r="AI575" i="2"/>
  <c r="AA576" i="2"/>
  <c r="V580" i="2"/>
  <c r="AB580" i="2" s="1"/>
  <c r="AI581" i="2"/>
  <c r="V582" i="2"/>
  <c r="AI583" i="2"/>
  <c r="AA584" i="2"/>
  <c r="AA588" i="2"/>
  <c r="AA590" i="2"/>
  <c r="V592" i="2"/>
  <c r="P592" i="2" s="1"/>
  <c r="V594" i="2"/>
  <c r="AB594" i="2" s="1"/>
  <c r="AK613" i="2"/>
  <c r="AA615" i="2"/>
  <c r="V617" i="2"/>
  <c r="P617" i="2" s="1"/>
  <c r="AH622" i="2"/>
  <c r="J622" i="2" s="1"/>
  <c r="AH626" i="2"/>
  <c r="J626" i="2" s="1"/>
  <c r="AA635" i="2"/>
  <c r="AH636" i="2"/>
  <c r="J636" i="2" s="1"/>
  <c r="AL695" i="2"/>
  <c r="AM695" i="2"/>
  <c r="AA499" i="2"/>
  <c r="AB501" i="2"/>
  <c r="AB560" i="2"/>
  <c r="AB562" i="2"/>
  <c r="Z564" i="2"/>
  <c r="AA566" i="2"/>
  <c r="AB568" i="2"/>
  <c r="Z574" i="2"/>
  <c r="AB578" i="2"/>
  <c r="Z582" i="2"/>
  <c r="AB586" i="2"/>
  <c r="AA594" i="2"/>
  <c r="AB596" i="2"/>
  <c r="AA605" i="2"/>
  <c r="AB611" i="2"/>
  <c r="AB615" i="2"/>
  <c r="AB625" i="2"/>
  <c r="AB635" i="2"/>
  <c r="V645" i="2"/>
  <c r="AB645" i="2" s="1"/>
  <c r="AB651" i="2"/>
  <c r="T655" i="2"/>
  <c r="AI655" i="2"/>
  <c r="AA661" i="2"/>
  <c r="AH614" i="2"/>
  <c r="J614" i="2" s="1"/>
  <c r="T617" i="2"/>
  <c r="Z617" i="2" s="1"/>
  <c r="U621" i="2"/>
  <c r="AA621" i="2" s="1"/>
  <c r="AH621" i="2"/>
  <c r="J621" i="2" s="1"/>
  <c r="V623" i="2"/>
  <c r="AB623" i="2" s="1"/>
  <c r="AH624" i="2"/>
  <c r="J624" i="2" s="1"/>
  <c r="AH625" i="2"/>
  <c r="J625" i="2" s="1"/>
  <c r="U627" i="2"/>
  <c r="AA627" i="2" s="1"/>
  <c r="AH627" i="2"/>
  <c r="J627" i="2" s="1"/>
  <c r="U629" i="2"/>
  <c r="AA629" i="2" s="1"/>
  <c r="AH629" i="2"/>
  <c r="J629" i="2" s="1"/>
  <c r="V631" i="2"/>
  <c r="AH632" i="2"/>
  <c r="J632" i="2" s="1"/>
  <c r="T639" i="2"/>
  <c r="Z639" i="2" s="1"/>
  <c r="U641" i="2"/>
  <c r="AA641" i="2" s="1"/>
  <c r="AH641" i="2"/>
  <c r="J641" i="2" s="1"/>
  <c r="T645" i="2"/>
  <c r="U647" i="2"/>
  <c r="AA647" i="2" s="1"/>
  <c r="AH647" i="2"/>
  <c r="J647" i="2" s="1"/>
  <c r="V649" i="2"/>
  <c r="AH650" i="2"/>
  <c r="J650" i="2" s="1"/>
  <c r="AH651" i="2"/>
  <c r="J651" i="2" s="1"/>
  <c r="U653" i="2"/>
  <c r="AA653" i="2" s="1"/>
  <c r="U657" i="2"/>
  <c r="AA657" i="2" s="1"/>
  <c r="AH660" i="2"/>
  <c r="J660" i="2" s="1"/>
  <c r="T661" i="2"/>
  <c r="U665" i="2"/>
  <c r="AA665" i="2" s="1"/>
  <c r="AH665" i="2"/>
  <c r="V667" i="2"/>
  <c r="T671" i="2"/>
  <c r="Z671" i="2" s="1"/>
  <c r="U673" i="2"/>
  <c r="AH673" i="2"/>
  <c r="J673" i="2" s="1"/>
  <c r="U675" i="2"/>
  <c r="AH675" i="2"/>
  <c r="V677" i="2"/>
  <c r="V679" i="2"/>
  <c r="AB679" i="2" s="1"/>
  <c r="J682" i="2"/>
  <c r="AM683" i="2"/>
  <c r="AJ683" i="2"/>
  <c r="AE685" i="2"/>
  <c r="J685" i="2" s="1"/>
  <c r="AJ686" i="2"/>
  <c r="AE687" i="2"/>
  <c r="J687" i="2" s="1"/>
  <c r="AE688" i="2"/>
  <c r="J688" i="2" s="1"/>
  <c r="AE690" i="2"/>
  <c r="J690" i="2" s="1"/>
  <c r="U691" i="2"/>
  <c r="O691" i="2" s="1"/>
  <c r="J691" i="2"/>
  <c r="AE694" i="2"/>
  <c r="U695" i="2"/>
  <c r="O695" i="2" s="1"/>
  <c r="J695" i="2"/>
  <c r="AE698" i="2"/>
  <c r="J698" i="2" s="1"/>
  <c r="AE699" i="2"/>
  <c r="AE700" i="2"/>
  <c r="J700" i="2" s="1"/>
  <c r="AJ702" i="2"/>
  <c r="AE703" i="2"/>
  <c r="J703" i="2" s="1"/>
  <c r="AE704" i="2"/>
  <c r="AJ706" i="2"/>
  <c r="AE707" i="2"/>
  <c r="AE708" i="2"/>
  <c r="AJ710" i="2"/>
  <c r="AE711" i="2"/>
  <c r="J711" i="2" s="1"/>
  <c r="AE712" i="2"/>
  <c r="J714" i="2"/>
  <c r="AM715" i="2"/>
  <c r="AJ715" i="2"/>
  <c r="AE719" i="2"/>
  <c r="AE724" i="2"/>
  <c r="J724" i="2" s="1"/>
  <c r="AJ740" i="2"/>
  <c r="AM744" i="2"/>
  <c r="AJ769" i="2"/>
  <c r="AG929" i="2"/>
  <c r="H929" i="2"/>
  <c r="W929" i="2" s="1"/>
  <c r="AC929" i="2" s="1"/>
  <c r="H949" i="2"/>
  <c r="AL949" i="2" s="1"/>
  <c r="AJ949" i="2"/>
  <c r="X917" i="2"/>
  <c r="AK917" i="2"/>
  <c r="V619" i="2"/>
  <c r="T623" i="2"/>
  <c r="Z623" i="2" s="1"/>
  <c r="T631" i="2"/>
  <c r="Z631" i="2" s="1"/>
  <c r="AA633" i="2"/>
  <c r="AA637" i="2"/>
  <c r="V639" i="2"/>
  <c r="T649" i="2"/>
  <c r="W649" i="2" s="1"/>
  <c r="V663" i="2"/>
  <c r="T667" i="2"/>
  <c r="Z667" i="2" s="1"/>
  <c r="T677" i="2"/>
  <c r="Z677" i="2" s="1"/>
  <c r="T679" i="2"/>
  <c r="Z679" i="2" s="1"/>
  <c r="AE681" i="2"/>
  <c r="J681" i="2" s="1"/>
  <c r="AJ682" i="2"/>
  <c r="AE683" i="2"/>
  <c r="J683" i="2" s="1"/>
  <c r="AE684" i="2"/>
  <c r="J684" i="2" s="1"/>
  <c r="AJ687" i="2"/>
  <c r="AE689" i="2"/>
  <c r="J689" i="2" s="1"/>
  <c r="U690" i="2"/>
  <c r="AE693" i="2"/>
  <c r="U694" i="2"/>
  <c r="AE697" i="2"/>
  <c r="U698" i="2"/>
  <c r="U699" i="2"/>
  <c r="O699" i="2" s="1"/>
  <c r="AJ699" i="2"/>
  <c r="AJ701" i="2"/>
  <c r="AJ703" i="2"/>
  <c r="AJ705" i="2"/>
  <c r="AJ707" i="2"/>
  <c r="AJ709" i="2"/>
  <c r="AJ711" i="2"/>
  <c r="AE713" i="2"/>
  <c r="AL714" i="2"/>
  <c r="T714" i="2" s="1"/>
  <c r="AJ714" i="2"/>
  <c r="AE715" i="2"/>
  <c r="J715" i="2" s="1"/>
  <c r="AE716" i="2"/>
  <c r="AE718" i="2"/>
  <c r="J718" i="2" s="1"/>
  <c r="AE721" i="2"/>
  <c r="J721" i="2" s="1"/>
  <c r="AL721" i="2"/>
  <c r="AM721" i="2"/>
  <c r="AE722" i="2"/>
  <c r="J722" i="2" s="1"/>
  <c r="U723" i="2"/>
  <c r="O723" i="2" s="1"/>
  <c r="J725" i="2"/>
  <c r="J726" i="2"/>
  <c r="AJ693" i="2"/>
  <c r="AJ697" i="2"/>
  <c r="J699" i="2"/>
  <c r="O703" i="2"/>
  <c r="O707" i="2"/>
  <c r="J707" i="2"/>
  <c r="O711" i="2"/>
  <c r="AM717" i="2"/>
  <c r="AK717" i="2" s="1"/>
  <c r="AL725" i="2"/>
  <c r="AM725" i="2"/>
  <c r="U727" i="2"/>
  <c r="O727" i="2" s="1"/>
  <c r="AM729" i="2"/>
  <c r="AM732" i="2"/>
  <c r="U735" i="2"/>
  <c r="O735" i="2" s="1"/>
  <c r="AL739" i="2"/>
  <c r="T739" i="2" s="1"/>
  <c r="AJ742" i="2"/>
  <c r="AJ771" i="2"/>
  <c r="T780" i="2"/>
  <c r="H926" i="2"/>
  <c r="X926" i="2" s="1"/>
  <c r="AG926" i="2"/>
  <c r="AG938" i="2"/>
  <c r="R938" i="2" s="1"/>
  <c r="H938" i="2"/>
  <c r="AJ721" i="2"/>
  <c r="AJ723" i="2"/>
  <c r="AJ725" i="2"/>
  <c r="AJ727" i="2"/>
  <c r="AE731" i="2"/>
  <c r="J731" i="2" s="1"/>
  <c r="U731" i="2"/>
  <c r="O731" i="2" s="1"/>
  <c r="AE733" i="2"/>
  <c r="J733" i="2" s="1"/>
  <c r="AE734" i="2"/>
  <c r="AE736" i="2"/>
  <c r="J736" i="2" s="1"/>
  <c r="AE737" i="2"/>
  <c r="J737" i="2" s="1"/>
  <c r="AJ739" i="2"/>
  <c r="AE742" i="2"/>
  <c r="J742" i="2" s="1"/>
  <c r="AJ743" i="2"/>
  <c r="AJ744" i="2"/>
  <c r="AE745" i="2"/>
  <c r="J745" i="2" s="1"/>
  <c r="U746" i="2"/>
  <c r="AE747" i="2"/>
  <c r="J747" i="2" s="1"/>
  <c r="AE752" i="2"/>
  <c r="J752" i="2" s="1"/>
  <c r="AE753" i="2"/>
  <c r="AJ758" i="2"/>
  <c r="AL759" i="2"/>
  <c r="T759" i="2" s="1"/>
  <c r="Z759" i="2" s="1"/>
  <c r="AM760" i="2"/>
  <c r="AE762" i="2"/>
  <c r="J762" i="2" s="1"/>
  <c r="AM765" i="2"/>
  <c r="AJ765" i="2"/>
  <c r="AE768" i="2"/>
  <c r="AE769" i="2"/>
  <c r="J769" i="2" s="1"/>
  <c r="AE771" i="2"/>
  <c r="AL775" i="2"/>
  <c r="T775" i="2" s="1"/>
  <c r="Z775" i="2" s="1"/>
  <c r="U775" i="2"/>
  <c r="U776" i="2"/>
  <c r="AA776" i="2" s="1"/>
  <c r="U778" i="2"/>
  <c r="AJ779" i="2"/>
  <c r="U782" i="2"/>
  <c r="AA782" i="2" s="1"/>
  <c r="AE783" i="2"/>
  <c r="J787" i="2"/>
  <c r="AJ788" i="2"/>
  <c r="AE791" i="2"/>
  <c r="AE796" i="2"/>
  <c r="J796" i="2" s="1"/>
  <c r="AE801" i="2"/>
  <c r="AJ804" i="2"/>
  <c r="T825" i="2"/>
  <c r="T831" i="2"/>
  <c r="X843" i="2"/>
  <c r="X847" i="2"/>
  <c r="X851" i="2"/>
  <c r="T883" i="2"/>
  <c r="Z883" i="2" s="1"/>
  <c r="T887" i="2"/>
  <c r="Z887" i="2" s="1"/>
  <c r="J893" i="2"/>
  <c r="X918" i="2"/>
  <c r="U918" i="2"/>
  <c r="AA918" i="2" s="1"/>
  <c r="J935" i="2"/>
  <c r="H944" i="2"/>
  <c r="AL944" i="2" s="1"/>
  <c r="AJ730" i="2"/>
  <c r="AJ733" i="2"/>
  <c r="AJ735" i="2"/>
  <c r="U736" i="2"/>
  <c r="AE740" i="2"/>
  <c r="J740" i="2" s="1"/>
  <c r="J741" i="2"/>
  <c r="U749" i="2"/>
  <c r="AE750" i="2"/>
  <c r="J750" i="2" s="1"/>
  <c r="J756" i="2"/>
  <c r="AE757" i="2"/>
  <c r="J757" i="2" s="1"/>
  <c r="AE759" i="2"/>
  <c r="AE760" i="2"/>
  <c r="J760" i="2" s="1"/>
  <c r="AE764" i="2"/>
  <c r="AE765" i="2"/>
  <c r="J765" i="2" s="1"/>
  <c r="AE766" i="2"/>
  <c r="J766" i="2" s="1"/>
  <c r="AE767" i="2"/>
  <c r="J767" i="2" s="1"/>
  <c r="U768" i="2"/>
  <c r="AA768" i="2" s="1"/>
  <c r="AJ770" i="2"/>
  <c r="AE773" i="2"/>
  <c r="AE775" i="2"/>
  <c r="AE776" i="2"/>
  <c r="AE777" i="2"/>
  <c r="AJ778" i="2"/>
  <c r="AE781" i="2"/>
  <c r="J781" i="2" s="1"/>
  <c r="AJ782" i="2"/>
  <c r="AE786" i="2"/>
  <c r="J786" i="2" s="1"/>
  <c r="AE789" i="2"/>
  <c r="J789" i="2" s="1"/>
  <c r="AJ790" i="2"/>
  <c r="AE793" i="2"/>
  <c r="AJ794" i="2"/>
  <c r="AE795" i="2"/>
  <c r="U796" i="2"/>
  <c r="AE798" i="2"/>
  <c r="T823" i="2"/>
  <c r="X841" i="2"/>
  <c r="X845" i="2"/>
  <c r="X849" i="2"/>
  <c r="X853" i="2"/>
  <c r="T857" i="2"/>
  <c r="X928" i="2"/>
  <c r="H928" i="2"/>
  <c r="AG936" i="2"/>
  <c r="H936" i="2"/>
  <c r="AJ938" i="2"/>
  <c r="H941" i="2"/>
  <c r="J963" i="2"/>
  <c r="J971" i="2"/>
  <c r="U792" i="2"/>
  <c r="O792" i="2" s="1"/>
  <c r="AJ795" i="2"/>
  <c r="AJ798" i="2"/>
  <c r="T867" i="2"/>
  <c r="Z867" i="2" s="1"/>
  <c r="T879" i="2"/>
  <c r="Z879" i="2" s="1"/>
  <c r="T884" i="2"/>
  <c r="T888" i="2"/>
  <c r="T892" i="2"/>
  <c r="Z892" i="2" s="1"/>
  <c r="J905" i="2"/>
  <c r="J909" i="2"/>
  <c r="J912" i="2"/>
  <c r="J914" i="2"/>
  <c r="J916" i="2"/>
  <c r="X934" i="2"/>
  <c r="J937" i="2"/>
  <c r="O946" i="2"/>
  <c r="J947" i="2"/>
  <c r="R975" i="2"/>
  <c r="J976" i="2"/>
  <c r="X855" i="2"/>
  <c r="J856" i="2"/>
  <c r="T859" i="2"/>
  <c r="T863" i="2"/>
  <c r="X867" i="2"/>
  <c r="J869" i="2"/>
  <c r="J870" i="2"/>
  <c r="J878" i="2"/>
  <c r="T881" i="2"/>
  <c r="Z881" i="2" s="1"/>
  <c r="T882" i="2"/>
  <c r="X883" i="2"/>
  <c r="J885" i="2"/>
  <c r="J886" i="2"/>
  <c r="J889" i="2"/>
  <c r="J891" i="2"/>
  <c r="J892" i="2"/>
  <c r="T895" i="2"/>
  <c r="Z895" i="2" s="1"/>
  <c r="J897" i="2"/>
  <c r="J898" i="2"/>
  <c r="J904" i="2"/>
  <c r="H911" i="2"/>
  <c r="X911" i="2" s="1"/>
  <c r="H912" i="2"/>
  <c r="X913" i="2"/>
  <c r="H913" i="2"/>
  <c r="X914" i="2"/>
  <c r="H914" i="2"/>
  <c r="X915" i="2"/>
  <c r="H915" i="2"/>
  <c r="H916" i="2"/>
  <c r="V917" i="2"/>
  <c r="X919" i="2"/>
  <c r="X920" i="2"/>
  <c r="X927" i="2"/>
  <c r="J928" i="2"/>
  <c r="AJ928" i="2"/>
  <c r="J929" i="2"/>
  <c r="AJ929" i="2"/>
  <c r="J930" i="2"/>
  <c r="AJ930" i="2"/>
  <c r="J931" i="2"/>
  <c r="AJ931" i="2"/>
  <c r="J932" i="2"/>
  <c r="AJ932" i="2"/>
  <c r="U947" i="2"/>
  <c r="U950" i="2"/>
  <c r="AJ950" i="2"/>
  <c r="U951" i="2"/>
  <c r="AA951" i="2" s="1"/>
  <c r="AJ951" i="2"/>
  <c r="U955" i="2"/>
  <c r="AH957" i="2"/>
  <c r="J957" i="2" s="1"/>
  <c r="T960" i="2"/>
  <c r="T964" i="2"/>
  <c r="AH969" i="2"/>
  <c r="T972" i="2"/>
  <c r="T861" i="2"/>
  <c r="AK875" i="2"/>
  <c r="AK877" i="2"/>
  <c r="X879" i="2"/>
  <c r="J882" i="2"/>
  <c r="X887" i="2"/>
  <c r="X889" i="2"/>
  <c r="X891" i="2"/>
  <c r="J900" i="2"/>
  <c r="J901" i="2"/>
  <c r="J902" i="2"/>
  <c r="J908" i="2"/>
  <c r="AJ917" i="2"/>
  <c r="J918" i="2"/>
  <c r="AJ918" i="2"/>
  <c r="X921" i="2"/>
  <c r="U922" i="2"/>
  <c r="AA922" i="2" s="1"/>
  <c r="X923" i="2"/>
  <c r="X925" i="2"/>
  <c r="J926" i="2"/>
  <c r="AJ926" i="2"/>
  <c r="AJ933" i="2"/>
  <c r="X935" i="2"/>
  <c r="AD935" i="2" s="1"/>
  <c r="J941" i="2"/>
  <c r="AJ941" i="2"/>
  <c r="U944" i="2"/>
  <c r="U945" i="2"/>
  <c r="AJ945" i="2"/>
  <c r="J946" i="2"/>
  <c r="U949" i="2"/>
  <c r="O949" i="2" s="1"/>
  <c r="J956" i="2"/>
  <c r="AH960" i="2"/>
  <c r="J960" i="2" s="1"/>
  <c r="AH964" i="2"/>
  <c r="J964" i="2" s="1"/>
  <c r="AH967" i="2"/>
  <c r="J967" i="2" s="1"/>
  <c r="AH972" i="2"/>
  <c r="J972" i="2" s="1"/>
  <c r="AH975" i="2"/>
  <c r="J975" i="2" s="1"/>
  <c r="AH977" i="2"/>
  <c r="J977" i="2" s="1"/>
  <c r="O136" i="2"/>
  <c r="O128" i="2"/>
  <c r="P607" i="2"/>
  <c r="N714" i="2"/>
  <c r="AJ748" i="2"/>
  <c r="J749" i="2"/>
  <c r="U756" i="2"/>
  <c r="AA756" i="2" s="1"/>
  <c r="J758" i="2"/>
  <c r="AJ759" i="2"/>
  <c r="U760" i="2"/>
  <c r="AA760" i="2" s="1"/>
  <c r="AJ766" i="2"/>
  <c r="AJ772" i="2"/>
  <c r="AJ773" i="2"/>
  <c r="AJ775" i="2"/>
  <c r="J776" i="2"/>
  <c r="U780" i="2"/>
  <c r="J782" i="2"/>
  <c r="AJ785" i="2"/>
  <c r="AJ786" i="2"/>
  <c r="AM800" i="2"/>
  <c r="U800" i="2" s="1"/>
  <c r="J802" i="2"/>
  <c r="AJ802" i="2"/>
  <c r="J819" i="2"/>
  <c r="T822" i="2"/>
  <c r="T826" i="2"/>
  <c r="T830" i="2"/>
  <c r="AJ750" i="2"/>
  <c r="U752" i="2"/>
  <c r="AA752" i="2" s="1"/>
  <c r="U763" i="2"/>
  <c r="O763" i="2" s="1"/>
  <c r="J764" i="2"/>
  <c r="U764" i="2"/>
  <c r="AA764" i="2" s="1"/>
  <c r="AL767" i="2"/>
  <c r="T767" i="2" s="1"/>
  <c r="Z767" i="2" s="1"/>
  <c r="J768" i="2"/>
  <c r="AL771" i="2"/>
  <c r="T771" i="2" s="1"/>
  <c r="AL779" i="2"/>
  <c r="AK779" i="2" s="1"/>
  <c r="X811" i="2"/>
  <c r="R811" i="2" s="1"/>
  <c r="T824" i="2"/>
  <c r="T828" i="2"/>
  <c r="Z828" i="2" s="1"/>
  <c r="AM749" i="2"/>
  <c r="J751" i="2"/>
  <c r="AJ753" i="2"/>
  <c r="AJ754" i="2"/>
  <c r="AJ760" i="2"/>
  <c r="AJ761" i="2"/>
  <c r="AJ763" i="2"/>
  <c r="AJ764" i="2"/>
  <c r="AJ774" i="2"/>
  <c r="AM777" i="2"/>
  <c r="J780" i="2"/>
  <c r="J784" i="2"/>
  <c r="U784" i="2"/>
  <c r="AM789" i="2"/>
  <c r="U789" i="2" s="1"/>
  <c r="AA789" i="2" s="1"/>
  <c r="AJ789" i="2"/>
  <c r="AJ791" i="2"/>
  <c r="AM793" i="2"/>
  <c r="U793" i="2" s="1"/>
  <c r="O793" i="2" s="1"/>
  <c r="AJ800" i="2"/>
  <c r="J820" i="2"/>
  <c r="AK142" i="2"/>
  <c r="T280" i="2"/>
  <c r="U477" i="2"/>
  <c r="AA477" i="2" s="1"/>
  <c r="AK660" i="2"/>
  <c r="AK126" i="2"/>
  <c r="U147" i="2"/>
  <c r="T156" i="2"/>
  <c r="S156" i="2" s="1"/>
  <c r="R305" i="2"/>
  <c r="R311" i="2"/>
  <c r="AK334" i="2"/>
  <c r="T361" i="2"/>
  <c r="Z361" i="2" s="1"/>
  <c r="AK435" i="2"/>
  <c r="AK445" i="2"/>
  <c r="AK496" i="2"/>
  <c r="AK539" i="2"/>
  <c r="AK540" i="2"/>
  <c r="T540" i="2"/>
  <c r="S540" i="2" s="1"/>
  <c r="AK543" i="2"/>
  <c r="AK946" i="2"/>
  <c r="AK953" i="2"/>
  <c r="AK302" i="2"/>
  <c r="AK303" i="2"/>
  <c r="AK304" i="2"/>
  <c r="AK321" i="2"/>
  <c r="AK439" i="2"/>
  <c r="AK440" i="2"/>
  <c r="AK441" i="2"/>
  <c r="AK627" i="2"/>
  <c r="AK628" i="2"/>
  <c r="AK676" i="2"/>
  <c r="U923" i="2"/>
  <c r="AA923" i="2" s="1"/>
  <c r="AK951" i="2"/>
  <c r="T99" i="2"/>
  <c r="S99" i="2" s="1"/>
  <c r="T105" i="2"/>
  <c r="S105" i="2" s="1"/>
  <c r="T106" i="2"/>
  <c r="AK118" i="2"/>
  <c r="T118" i="2"/>
  <c r="N118" i="2" s="1"/>
  <c r="AK141" i="2"/>
  <c r="T249" i="2"/>
  <c r="S249" i="2" s="1"/>
  <c r="AK281" i="2"/>
  <c r="AK298" i="2"/>
  <c r="U402" i="2"/>
  <c r="AK421" i="2"/>
  <c r="AK434" i="2"/>
  <c r="U435" i="2"/>
  <c r="AA435" i="2" s="1"/>
  <c r="AK444" i="2"/>
  <c r="AK447" i="2"/>
  <c r="N468" i="2"/>
  <c r="AK505" i="2"/>
  <c r="AK506" i="2"/>
  <c r="AK515" i="2"/>
  <c r="AK544" i="2"/>
  <c r="AK551" i="2"/>
  <c r="AK563" i="2"/>
  <c r="AK635" i="2"/>
  <c r="AK636" i="2"/>
  <c r="T642" i="2"/>
  <c r="AK643" i="2"/>
  <c r="T644" i="2"/>
  <c r="AK672" i="2"/>
  <c r="AK772" i="2"/>
  <c r="AK145" i="2"/>
  <c r="AK400" i="2"/>
  <c r="AK419" i="2"/>
  <c r="T435" i="2"/>
  <c r="S435" i="2" s="1"/>
  <c r="V453" i="2"/>
  <c r="AK454" i="2"/>
  <c r="AK456" i="2"/>
  <c r="W560" i="2"/>
  <c r="AC560" i="2" s="1"/>
  <c r="Y560" i="2" s="1"/>
  <c r="AK560" i="2"/>
  <c r="AK561" i="2"/>
  <c r="AK565" i="2"/>
  <c r="AK569" i="2"/>
  <c r="AK597" i="2"/>
  <c r="AK633" i="2"/>
  <c r="AK651" i="2"/>
  <c r="AK652" i="2"/>
  <c r="AK678" i="2"/>
  <c r="AK710" i="2"/>
  <c r="AK714" i="2"/>
  <c r="T837" i="2"/>
  <c r="N837" i="2" s="1"/>
  <c r="U910" i="2"/>
  <c r="AA910" i="2" s="1"/>
  <c r="W935" i="2"/>
  <c r="T83" i="2"/>
  <c r="AK124" i="2"/>
  <c r="T219" i="2"/>
  <c r="Z219" i="2" s="1"/>
  <c r="T225" i="2"/>
  <c r="Z225" i="2" s="1"/>
  <c r="AK305" i="2"/>
  <c r="AK306" i="2"/>
  <c r="AK313" i="2"/>
  <c r="AK317" i="2"/>
  <c r="AK326" i="2"/>
  <c r="T385" i="2"/>
  <c r="AK397" i="2"/>
  <c r="T434" i="2"/>
  <c r="AK436" i="2"/>
  <c r="AK464" i="2"/>
  <c r="AK486" i="2"/>
  <c r="AK488" i="2"/>
  <c r="AK510" i="2"/>
  <c r="AK523" i="2"/>
  <c r="AK531" i="2"/>
  <c r="T542" i="2"/>
  <c r="AK547" i="2"/>
  <c r="AK554" i="2"/>
  <c r="AK571" i="2"/>
  <c r="AK585" i="2"/>
  <c r="AK605" i="2"/>
  <c r="AK612" i="2"/>
  <c r="AK883" i="2"/>
  <c r="U899" i="2"/>
  <c r="AA899" i="2" s="1"/>
  <c r="AK926" i="2"/>
  <c r="V926" i="2"/>
  <c r="T957" i="2"/>
  <c r="T91" i="2"/>
  <c r="S91" i="2" s="1"/>
  <c r="T132" i="2"/>
  <c r="AK140" i="2"/>
  <c r="AK210" i="2"/>
  <c r="X210" i="2"/>
  <c r="S210" i="2" s="1"/>
  <c r="AK587" i="2"/>
  <c r="AK702" i="2"/>
  <c r="T838" i="2"/>
  <c r="Z838" i="2" s="1"/>
  <c r="T877" i="2"/>
  <c r="X899" i="2"/>
  <c r="AK908" i="2"/>
  <c r="U911" i="2"/>
  <c r="AA911" i="2" s="1"/>
  <c r="AK944" i="2"/>
  <c r="AK945" i="2"/>
  <c r="AK957" i="2"/>
  <c r="AK130" i="2"/>
  <c r="T130" i="2"/>
  <c r="U142" i="2"/>
  <c r="AA142" i="2" s="1"/>
  <c r="T212" i="2"/>
  <c r="Z212" i="2" s="1"/>
  <c r="AK212" i="2"/>
  <c r="T216" i="2"/>
  <c r="AK216" i="2"/>
  <c r="T95" i="2"/>
  <c r="S95" i="2" s="1"/>
  <c r="AK122" i="2"/>
  <c r="U145" i="2"/>
  <c r="AA145" i="2" s="1"/>
  <c r="Y145" i="2" s="1"/>
  <c r="AK146" i="2"/>
  <c r="T146" i="2"/>
  <c r="T152" i="2"/>
  <c r="S152" i="2" s="1"/>
  <c r="X203" i="2"/>
  <c r="X212" i="2"/>
  <c r="R212" i="2" s="1"/>
  <c r="T359" i="2"/>
  <c r="Z359" i="2" s="1"/>
  <c r="T366" i="2"/>
  <c r="Z366" i="2" s="1"/>
  <c r="T372" i="2"/>
  <c r="T373" i="2"/>
  <c r="Z373" i="2" s="1"/>
  <c r="T377" i="2"/>
  <c r="Z377" i="2" s="1"/>
  <c r="T383" i="2"/>
  <c r="Z383" i="2" s="1"/>
  <c r="T445" i="2"/>
  <c r="Z445" i="2" s="1"/>
  <c r="AK446" i="2"/>
  <c r="T447" i="2"/>
  <c r="AK455" i="2"/>
  <c r="N460" i="2"/>
  <c r="AK461" i="2"/>
  <c r="V473" i="2"/>
  <c r="AB473" i="2" s="1"/>
  <c r="N484" i="2"/>
  <c r="AK485" i="2"/>
  <c r="AK494" i="2"/>
  <c r="N496" i="2"/>
  <c r="U519" i="2"/>
  <c r="T612" i="2"/>
  <c r="T614" i="2"/>
  <c r="T633" i="2"/>
  <c r="V657" i="2"/>
  <c r="AA689" i="2"/>
  <c r="AA713" i="2"/>
  <c r="AA714" i="2"/>
  <c r="T832" i="2"/>
  <c r="T834" i="2"/>
  <c r="N834" i="2" s="1"/>
  <c r="T836" i="2"/>
  <c r="T839" i="2"/>
  <c r="N839" i="2" s="1"/>
  <c r="U871" i="2"/>
  <c r="S871" i="2" s="1"/>
  <c r="AK882" i="2"/>
  <c r="T903" i="2"/>
  <c r="V930" i="2"/>
  <c r="U932" i="2"/>
  <c r="O932" i="2" s="1"/>
  <c r="T940" i="2"/>
  <c r="Z940" i="2" s="1"/>
  <c r="AK214" i="2"/>
  <c r="X214" i="2"/>
  <c r="T218" i="2"/>
  <c r="N219" i="2"/>
  <c r="T226" i="2"/>
  <c r="T233" i="2"/>
  <c r="S233" i="2" s="1"/>
  <c r="T242" i="2"/>
  <c r="T276" i="2"/>
  <c r="N276" i="2" s="1"/>
  <c r="M276" i="2" s="1"/>
  <c r="I276" i="2" s="1"/>
  <c r="T277" i="2"/>
  <c r="S277" i="2" s="1"/>
  <c r="R295" i="2"/>
  <c r="R299" i="2"/>
  <c r="AK315" i="2"/>
  <c r="AK318" i="2"/>
  <c r="AK323" i="2"/>
  <c r="AK335" i="2"/>
  <c r="T371" i="2"/>
  <c r="Z371" i="2" s="1"/>
  <c r="T381" i="2"/>
  <c r="U383" i="2"/>
  <c r="AA383" i="2" s="1"/>
  <c r="T416" i="2"/>
  <c r="AA449" i="2"/>
  <c r="Y449" i="2" s="1"/>
  <c r="AK469" i="2"/>
  <c r="N494" i="2"/>
  <c r="AK577" i="2"/>
  <c r="AK606" i="2"/>
  <c r="AK626" i="2"/>
  <c r="AK634" i="2"/>
  <c r="T650" i="2"/>
  <c r="T652" i="2"/>
  <c r="T660" i="2"/>
  <c r="T840" i="2"/>
  <c r="Z840" i="2" s="1"/>
  <c r="T841" i="2"/>
  <c r="T842" i="2"/>
  <c r="T843" i="2"/>
  <c r="N843" i="2" s="1"/>
  <c r="T844" i="2"/>
  <c r="Z844" i="2" s="1"/>
  <c r="T845" i="2"/>
  <c r="T846" i="2"/>
  <c r="Z846" i="2" s="1"/>
  <c r="T847" i="2"/>
  <c r="T848" i="2"/>
  <c r="Z848" i="2" s="1"/>
  <c r="T849" i="2"/>
  <c r="T850" i="2"/>
  <c r="Z850" i="2" s="1"/>
  <c r="T851" i="2"/>
  <c r="T852" i="2"/>
  <c r="Z852" i="2" s="1"/>
  <c r="T853" i="2"/>
  <c r="T854" i="2"/>
  <c r="Z854" i="2" s="1"/>
  <c r="T855" i="2"/>
  <c r="T865" i="2"/>
  <c r="Z865" i="2" s="1"/>
  <c r="T866" i="2"/>
  <c r="U875" i="2"/>
  <c r="X898" i="2"/>
  <c r="AD898" i="2" s="1"/>
  <c r="AK913" i="2"/>
  <c r="V913" i="2"/>
  <c r="U914" i="2"/>
  <c r="AA914" i="2" s="1"/>
  <c r="AK921" i="2"/>
  <c r="V921" i="2"/>
  <c r="AK975" i="2"/>
  <c r="X216" i="2"/>
  <c r="AD216" i="2" s="1"/>
  <c r="AK351" i="2"/>
  <c r="U362" i="2"/>
  <c r="AA362" i="2" s="1"/>
  <c r="U368" i="2"/>
  <c r="AA368" i="2" s="1"/>
  <c r="T439" i="2"/>
  <c r="S439" i="2" s="1"/>
  <c r="N476" i="2"/>
  <c r="AK477" i="2"/>
  <c r="N492" i="2"/>
  <c r="T626" i="2"/>
  <c r="T628" i="2"/>
  <c r="T634" i="2"/>
  <c r="T636" i="2"/>
  <c r="AK811" i="2"/>
  <c r="T811" i="2"/>
  <c r="X812" i="2"/>
  <c r="AD812" i="2" s="1"/>
  <c r="T812" i="2"/>
  <c r="T833" i="2"/>
  <c r="Z833" i="2" s="1"/>
  <c r="T835" i="2"/>
  <c r="N835" i="2" s="1"/>
  <c r="X902" i="2"/>
  <c r="AD902" i="2" s="1"/>
  <c r="AK903" i="2"/>
  <c r="AK922" i="2"/>
  <c r="V922" i="2"/>
  <c r="P922" i="2" s="1"/>
  <c r="AK290" i="2"/>
  <c r="T292" i="2"/>
  <c r="AK294" i="2"/>
  <c r="AK300" i="2"/>
  <c r="R301" i="2"/>
  <c r="R307" i="2"/>
  <c r="AK327" i="2"/>
  <c r="N502" i="2"/>
  <c r="AK872" i="2"/>
  <c r="U877" i="2"/>
  <c r="O877" i="2" s="1"/>
  <c r="AK925" i="2"/>
  <c r="V925" i="2"/>
  <c r="AK928" i="2"/>
  <c r="V928" i="2"/>
  <c r="O775" i="2"/>
  <c r="AA775" i="2"/>
  <c r="J761" i="2"/>
  <c r="J763" i="2"/>
  <c r="J804" i="2"/>
  <c r="U750" i="2"/>
  <c r="O750" i="2" s="1"/>
  <c r="T760" i="2"/>
  <c r="AL764" i="2"/>
  <c r="AK764" i="2" s="1"/>
  <c r="U765" i="2"/>
  <c r="O765" i="2" s="1"/>
  <c r="U774" i="2"/>
  <c r="AL776" i="2"/>
  <c r="AK776" i="2" s="1"/>
  <c r="J790" i="2"/>
  <c r="AJ793" i="2"/>
  <c r="J806" i="2"/>
  <c r="J810" i="2"/>
  <c r="J813" i="2"/>
  <c r="J817" i="2"/>
  <c r="X819" i="2"/>
  <c r="J801" i="2"/>
  <c r="J814" i="2"/>
  <c r="J818" i="2"/>
  <c r="AJ751" i="2"/>
  <c r="AL752" i="2"/>
  <c r="T752" i="2" s="1"/>
  <c r="AJ752" i="2"/>
  <c r="J753" i="2"/>
  <c r="J755" i="2"/>
  <c r="U755" i="2"/>
  <c r="O755" i="2" s="1"/>
  <c r="AM757" i="2"/>
  <c r="U757" i="2" s="1"/>
  <c r="AL763" i="2"/>
  <c r="AK763" i="2" s="1"/>
  <c r="U767" i="2"/>
  <c r="O767" i="2" s="1"/>
  <c r="AM769" i="2"/>
  <c r="AK769" i="2" s="1"/>
  <c r="J774" i="2"/>
  <c r="J777" i="2"/>
  <c r="AM781" i="2"/>
  <c r="AJ781" i="2"/>
  <c r="U783" i="2"/>
  <c r="O783" i="2" s="1"/>
  <c r="AL784" i="2"/>
  <c r="AK784" i="2" s="1"/>
  <c r="AJ784" i="2"/>
  <c r="J785" i="2"/>
  <c r="AJ787" i="2"/>
  <c r="J788" i="2"/>
  <c r="AL792" i="2"/>
  <c r="AJ792" i="2"/>
  <c r="J792" i="2"/>
  <c r="J793" i="2"/>
  <c r="AM797" i="2"/>
  <c r="U797" i="2" s="1"/>
  <c r="O797" i="2" s="1"/>
  <c r="AJ797" i="2"/>
  <c r="AJ799" i="2"/>
  <c r="AL804" i="2"/>
  <c r="T804" i="2" s="1"/>
  <c r="J805" i="2"/>
  <c r="J809" i="2"/>
  <c r="J811" i="2"/>
  <c r="J812" i="2"/>
  <c r="J816" i="2"/>
  <c r="J773" i="2"/>
  <c r="J807" i="2"/>
  <c r="AL751" i="2"/>
  <c r="T751" i="2" s="1"/>
  <c r="Z751" i="2" s="1"/>
  <c r="AJ755" i="2"/>
  <c r="AJ756" i="2"/>
  <c r="J759" i="2"/>
  <c r="U759" i="2"/>
  <c r="AM761" i="2"/>
  <c r="AK761" i="2" s="1"/>
  <c r="AJ767" i="2"/>
  <c r="AJ768" i="2"/>
  <c r="J771" i="2"/>
  <c r="U771" i="2"/>
  <c r="AM773" i="2"/>
  <c r="U773" i="2" s="1"/>
  <c r="J775" i="2"/>
  <c r="J778" i="2"/>
  <c r="J779" i="2"/>
  <c r="AJ783" i="2"/>
  <c r="J794" i="2"/>
  <c r="T796" i="2"/>
  <c r="N796" i="2" s="1"/>
  <c r="AJ796" i="2"/>
  <c r="J797" i="2"/>
  <c r="J798" i="2"/>
  <c r="AM801" i="2"/>
  <c r="U801" i="2" s="1"/>
  <c r="O801" i="2" s="1"/>
  <c r="AJ801" i="2"/>
  <c r="AJ803" i="2"/>
  <c r="X807" i="2"/>
  <c r="R807" i="2" s="1"/>
  <c r="J808" i="2"/>
  <c r="J815" i="2"/>
  <c r="T819" i="2"/>
  <c r="Z819" i="2" s="1"/>
  <c r="T820" i="2"/>
  <c r="X835" i="2"/>
  <c r="X837" i="2"/>
  <c r="S837" i="2" s="1"/>
  <c r="X839" i="2"/>
  <c r="AD839" i="2" s="1"/>
  <c r="O544" i="2"/>
  <c r="O120" i="2"/>
  <c r="N404" i="2"/>
  <c r="N416" i="2"/>
  <c r="M416" i="2" s="1"/>
  <c r="I416" i="2" s="1"/>
  <c r="T181" i="2"/>
  <c r="AK192" i="2"/>
  <c r="X201" i="2"/>
  <c r="T208" i="2"/>
  <c r="Z208" i="2" s="1"/>
  <c r="T213" i="2"/>
  <c r="N213" i="2" s="1"/>
  <c r="AK295" i="2"/>
  <c r="AK308" i="2"/>
  <c r="AK309" i="2"/>
  <c r="AK319" i="2"/>
  <c r="AK330" i="2"/>
  <c r="AK347" i="2"/>
  <c r="AK356" i="2"/>
  <c r="T363" i="2"/>
  <c r="Z363" i="2" s="1"/>
  <c r="T365" i="2"/>
  <c r="V366" i="2"/>
  <c r="P366" i="2" s="1"/>
  <c r="AK366" i="2"/>
  <c r="T369" i="2"/>
  <c r="Z369" i="2" s="1"/>
  <c r="AK374" i="2"/>
  <c r="T375" i="2"/>
  <c r="U378" i="2"/>
  <c r="AA378" i="2" s="1"/>
  <c r="V382" i="2"/>
  <c r="AK389" i="2"/>
  <c r="AK392" i="2"/>
  <c r="AK401" i="2"/>
  <c r="AK424" i="2"/>
  <c r="AK427" i="2"/>
  <c r="U431" i="2"/>
  <c r="AK438" i="2"/>
  <c r="U439" i="2"/>
  <c r="AK443" i="2"/>
  <c r="AA444" i="2"/>
  <c r="P457" i="2"/>
  <c r="P465" i="2"/>
  <c r="P473" i="2"/>
  <c r="P481" i="2"/>
  <c r="P489" i="2"/>
  <c r="AK497" i="2"/>
  <c r="N506" i="2"/>
  <c r="AK507" i="2"/>
  <c r="T510" i="2"/>
  <c r="N510" i="2" s="1"/>
  <c r="AK513" i="2"/>
  <c r="N518" i="2"/>
  <c r="AK579" i="2"/>
  <c r="O751" i="2"/>
  <c r="AA751" i="2"/>
  <c r="AK815" i="2"/>
  <c r="X815" i="2"/>
  <c r="R815" i="2" s="1"/>
  <c r="AK873" i="2"/>
  <c r="T873" i="2"/>
  <c r="Z873" i="2" s="1"/>
  <c r="AA949" i="2"/>
  <c r="T976" i="2"/>
  <c r="X976" i="2"/>
  <c r="R976" i="2" s="1"/>
  <c r="T97" i="2"/>
  <c r="N97" i="2" s="1"/>
  <c r="M97" i="2" s="1"/>
  <c r="I97" i="2" s="1"/>
  <c r="T140" i="2"/>
  <c r="Z140" i="2" s="1"/>
  <c r="AK161" i="2"/>
  <c r="T164" i="2"/>
  <c r="T217" i="2"/>
  <c r="S217" i="2" s="1"/>
  <c r="T224" i="2"/>
  <c r="AB619" i="2"/>
  <c r="P619" i="2"/>
  <c r="O719" i="2"/>
  <c r="AA719" i="2"/>
  <c r="N893" i="2"/>
  <c r="Z893" i="2"/>
  <c r="AK906" i="2"/>
  <c r="U906" i="2"/>
  <c r="AA906" i="2" s="1"/>
  <c r="X916" i="2"/>
  <c r="U916" i="2"/>
  <c r="AA916" i="2" s="1"/>
  <c r="X924" i="2"/>
  <c r="AK924" i="2"/>
  <c r="AK967" i="2"/>
  <c r="T967" i="2"/>
  <c r="S128" i="2"/>
  <c r="AK128" i="2"/>
  <c r="T135" i="2"/>
  <c r="U135" i="2"/>
  <c r="T137" i="2"/>
  <c r="AK138" i="2"/>
  <c r="T138" i="2"/>
  <c r="T180" i="2"/>
  <c r="T188" i="2"/>
  <c r="S188" i="2" s="1"/>
  <c r="AK196" i="2"/>
  <c r="X205" i="2"/>
  <c r="X208" i="2"/>
  <c r="T211" i="2"/>
  <c r="T215" i="2"/>
  <c r="N215" i="2" s="1"/>
  <c r="AK217" i="2"/>
  <c r="X220" i="2"/>
  <c r="AD220" i="2" s="1"/>
  <c r="X223" i="2"/>
  <c r="X224" i="2"/>
  <c r="T257" i="2"/>
  <c r="T258" i="2"/>
  <c r="S258" i="2" s="1"/>
  <c r="T265" i="2"/>
  <c r="S265" i="2" s="1"/>
  <c r="T266" i="2"/>
  <c r="AK293" i="2"/>
  <c r="T298" i="2"/>
  <c r="AK339" i="2"/>
  <c r="U360" i="2"/>
  <c r="AA360" i="2" s="1"/>
  <c r="U373" i="2"/>
  <c r="V374" i="2"/>
  <c r="P374" i="2" s="1"/>
  <c r="AK375" i="2"/>
  <c r="U380" i="2"/>
  <c r="AA380" i="2" s="1"/>
  <c r="U390" i="2"/>
  <c r="U395" i="2"/>
  <c r="AK403" i="2"/>
  <c r="U404" i="2"/>
  <c r="AK409" i="2"/>
  <c r="U410" i="2"/>
  <c r="AA416" i="2"/>
  <c r="T424" i="2"/>
  <c r="AA432" i="2"/>
  <c r="O435" i="2"/>
  <c r="AA441" i="2"/>
  <c r="AK452" i="2"/>
  <c r="P469" i="2"/>
  <c r="V475" i="2"/>
  <c r="P477" i="2"/>
  <c r="N514" i="2"/>
  <c r="AK517" i="2"/>
  <c r="T668" i="2"/>
  <c r="AK668" i="2"/>
  <c r="O743" i="2"/>
  <c r="AA743" i="2"/>
  <c r="Y743" i="2" s="1"/>
  <c r="AK869" i="2"/>
  <c r="T869" i="2"/>
  <c r="AK891" i="2"/>
  <c r="T891" i="2"/>
  <c r="T87" i="2"/>
  <c r="T93" i="2"/>
  <c r="T107" i="2"/>
  <c r="N107" i="2" s="1"/>
  <c r="T113" i="2"/>
  <c r="T122" i="2"/>
  <c r="AK129" i="2"/>
  <c r="U129" i="2"/>
  <c r="AK136" i="2"/>
  <c r="S144" i="2"/>
  <c r="AK144" i="2"/>
  <c r="AK147" i="2"/>
  <c r="T148" i="2"/>
  <c r="T163" i="2"/>
  <c r="AK325" i="2"/>
  <c r="AK331" i="2"/>
  <c r="AK343" i="2"/>
  <c r="U358" i="2"/>
  <c r="AA358" i="2" s="1"/>
  <c r="V364" i="2"/>
  <c r="U370" i="2"/>
  <c r="T379" i="2"/>
  <c r="Z379" i="2" s="1"/>
  <c r="T387" i="2"/>
  <c r="Z387" i="2" s="1"/>
  <c r="AK393" i="2"/>
  <c r="U398" i="2"/>
  <c r="AA398" i="2" s="1"/>
  <c r="Y398" i="2" s="1"/>
  <c r="AK402" i="2"/>
  <c r="U403" i="2"/>
  <c r="AA403" i="2" s="1"/>
  <c r="AK411" i="2"/>
  <c r="T414" i="2"/>
  <c r="U418" i="2"/>
  <c r="AA418" i="2" s="1"/>
  <c r="T418" i="2"/>
  <c r="AK423" i="2"/>
  <c r="T446" i="2"/>
  <c r="N446" i="2" s="1"/>
  <c r="AK448" i="2"/>
  <c r="N452" i="2"/>
  <c r="N456" i="2"/>
  <c r="AK457" i="2"/>
  <c r="N464" i="2"/>
  <c r="AK465" i="2"/>
  <c r="N472" i="2"/>
  <c r="AK473" i="2"/>
  <c r="N480" i="2"/>
  <c r="AK481" i="2"/>
  <c r="N488" i="2"/>
  <c r="AK489" i="2"/>
  <c r="AK490" i="2"/>
  <c r="AK492" i="2"/>
  <c r="AK501" i="2"/>
  <c r="AK511" i="2"/>
  <c r="U515" i="2"/>
  <c r="AA515" i="2" s="1"/>
  <c r="AK595" i="2"/>
  <c r="T776" i="2"/>
  <c r="Z776" i="2" s="1"/>
  <c r="Y776" i="2" s="1"/>
  <c r="T875" i="2"/>
  <c r="X885" i="2"/>
  <c r="AK885" i="2"/>
  <c r="U885" i="2"/>
  <c r="T896" i="2"/>
  <c r="AK896" i="2"/>
  <c r="X912" i="2"/>
  <c r="U912" i="2"/>
  <c r="AA912" i="2" s="1"/>
  <c r="T953" i="2"/>
  <c r="N953" i="2" s="1"/>
  <c r="M953" i="2" s="1"/>
  <c r="AK534" i="2"/>
  <c r="AK535" i="2"/>
  <c r="T535" i="2"/>
  <c r="N535" i="2" s="1"/>
  <c r="AK536" i="2"/>
  <c r="T536" i="2"/>
  <c r="AK537" i="2"/>
  <c r="T537" i="2"/>
  <c r="AK538" i="2"/>
  <c r="T538" i="2"/>
  <c r="AK541" i="2"/>
  <c r="T541" i="2"/>
  <c r="S541" i="2" s="1"/>
  <c r="T545" i="2"/>
  <c r="T546" i="2"/>
  <c r="AK552" i="2"/>
  <c r="AK559" i="2"/>
  <c r="AK570" i="2"/>
  <c r="AK578" i="2"/>
  <c r="AK586" i="2"/>
  <c r="AK594" i="2"/>
  <c r="AK608" i="2"/>
  <c r="P609" i="2"/>
  <c r="AK622" i="2"/>
  <c r="AK624" i="2"/>
  <c r="W625" i="2"/>
  <c r="AC625" i="2" s="1"/>
  <c r="Y625" i="2" s="1"/>
  <c r="AK625" i="2"/>
  <c r="AK641" i="2"/>
  <c r="AK649" i="2"/>
  <c r="P653" i="2"/>
  <c r="V659" i="2"/>
  <c r="AK666" i="2"/>
  <c r="Z669" i="2"/>
  <c r="AK698" i="2"/>
  <c r="T736" i="2"/>
  <c r="U741" i="2"/>
  <c r="AK748" i="2"/>
  <c r="T768" i="2"/>
  <c r="S768" i="2" s="1"/>
  <c r="U790" i="2"/>
  <c r="AK807" i="2"/>
  <c r="T807" i="2"/>
  <c r="S807" i="2" s="1"/>
  <c r="X808" i="2"/>
  <c r="AD808" i="2" s="1"/>
  <c r="T808" i="2"/>
  <c r="AK870" i="2"/>
  <c r="T904" i="2"/>
  <c r="X904" i="2"/>
  <c r="R904" i="2" s="1"/>
  <c r="V935" i="2"/>
  <c r="AB935" i="2" s="1"/>
  <c r="X936" i="2"/>
  <c r="T938" i="2"/>
  <c r="V941" i="2"/>
  <c r="AB941" i="2" s="1"/>
  <c r="AK954" i="2"/>
  <c r="N968" i="2"/>
  <c r="AK557" i="2"/>
  <c r="W568" i="2"/>
  <c r="Q568" i="2" s="1"/>
  <c r="AK568" i="2"/>
  <c r="AK573" i="2"/>
  <c r="W576" i="2"/>
  <c r="AK576" i="2"/>
  <c r="AK581" i="2"/>
  <c r="AK583" i="2"/>
  <c r="W584" i="2"/>
  <c r="Q584" i="2" s="1"/>
  <c r="AK584" i="2"/>
  <c r="AK592" i="2"/>
  <c r="AK618" i="2"/>
  <c r="AK620" i="2"/>
  <c r="AK632" i="2"/>
  <c r="AK640" i="2"/>
  <c r="AK648" i="2"/>
  <c r="AK654" i="2"/>
  <c r="AK664" i="2"/>
  <c r="AK674" i="2"/>
  <c r="AK680" i="2"/>
  <c r="AK739" i="2"/>
  <c r="AK759" i="2"/>
  <c r="AK871" i="2"/>
  <c r="U873" i="2"/>
  <c r="O873" i="2" s="1"/>
  <c r="AK884" i="2"/>
  <c r="T889" i="2"/>
  <c r="U891" i="2"/>
  <c r="X910" i="2"/>
  <c r="AK911" i="2"/>
  <c r="AK915" i="2"/>
  <c r="V915" i="2"/>
  <c r="P915" i="2" s="1"/>
  <c r="AK923" i="2"/>
  <c r="U928" i="2"/>
  <c r="AA953" i="2"/>
  <c r="AK519" i="2"/>
  <c r="AK527" i="2"/>
  <c r="U539" i="2"/>
  <c r="AK545" i="2"/>
  <c r="AK556" i="2"/>
  <c r="AK562" i="2"/>
  <c r="AK567" i="2"/>
  <c r="AK575" i="2"/>
  <c r="AK591" i="2"/>
  <c r="T592" i="2"/>
  <c r="Z592" i="2" s="1"/>
  <c r="AK593" i="2"/>
  <c r="AK599" i="2"/>
  <c r="AK610" i="2"/>
  <c r="AK616" i="2"/>
  <c r="AK630" i="2"/>
  <c r="AK638" i="2"/>
  <c r="AK642" i="2"/>
  <c r="AK646" i="2"/>
  <c r="AK650" i="2"/>
  <c r="T653" i="2"/>
  <c r="N653" i="2" s="1"/>
  <c r="T654" i="2"/>
  <c r="AK656" i="2"/>
  <c r="AK658" i="2"/>
  <c r="AK706" i="2"/>
  <c r="U737" i="2"/>
  <c r="AA737" i="2" s="1"/>
  <c r="T744" i="2"/>
  <c r="AK756" i="2"/>
  <c r="T815" i="2"/>
  <c r="X816" i="2"/>
  <c r="T816" i="2"/>
  <c r="AK881" i="2"/>
  <c r="U883" i="2"/>
  <c r="U889" i="2"/>
  <c r="O889" i="2" s="1"/>
  <c r="X901" i="2"/>
  <c r="AD901" i="2" s="1"/>
  <c r="U903" i="2"/>
  <c r="X907" i="2"/>
  <c r="AD907" i="2" s="1"/>
  <c r="X909" i="2"/>
  <c r="AD909" i="2" s="1"/>
  <c r="O910" i="2"/>
  <c r="U920" i="2"/>
  <c r="AA920" i="2" s="1"/>
  <c r="U921" i="2"/>
  <c r="AA921" i="2" s="1"/>
  <c r="V924" i="2"/>
  <c r="U926" i="2"/>
  <c r="X930" i="2"/>
  <c r="U930" i="2"/>
  <c r="T939" i="2"/>
  <c r="AK952" i="2"/>
  <c r="T961" i="2"/>
  <c r="T963" i="2"/>
  <c r="N963" i="2" s="1"/>
  <c r="N127" i="2"/>
  <c r="O952" i="2"/>
  <c r="M952" i="2" s="1"/>
  <c r="I952" i="2" s="1"/>
  <c r="O955" i="2"/>
  <c r="N972" i="2"/>
  <c r="N417" i="2"/>
  <c r="O551" i="2"/>
  <c r="P655" i="2"/>
  <c r="O667" i="2"/>
  <c r="P677" i="2"/>
  <c r="N964" i="2"/>
  <c r="N967" i="2"/>
  <c r="O549" i="2"/>
  <c r="N724" i="2"/>
  <c r="N732" i="2"/>
  <c r="O132" i="2"/>
  <c r="N143" i="2"/>
  <c r="O497" i="2"/>
  <c r="O547" i="2"/>
  <c r="N131" i="2"/>
  <c r="N424" i="2"/>
  <c r="M424" i="2" s="1"/>
  <c r="I424" i="2" s="1"/>
  <c r="N434" i="2"/>
  <c r="O453" i="2"/>
  <c r="O556" i="2"/>
  <c r="O663" i="2"/>
  <c r="P673" i="2"/>
  <c r="R819" i="2"/>
  <c r="N841" i="2"/>
  <c r="N845" i="2"/>
  <c r="N849" i="2"/>
  <c r="N853" i="2"/>
  <c r="N855" i="2"/>
  <c r="N866" i="2"/>
  <c r="O950" i="2"/>
  <c r="N960" i="2"/>
  <c r="O140" i="2"/>
  <c r="N221" i="2"/>
  <c r="Z221" i="2"/>
  <c r="T77" i="2"/>
  <c r="T79" i="2"/>
  <c r="T81" i="2"/>
  <c r="AK101" i="2"/>
  <c r="T103" i="2"/>
  <c r="X107" i="2"/>
  <c r="X113" i="2"/>
  <c r="T120" i="2"/>
  <c r="T124" i="2"/>
  <c r="Z128" i="2"/>
  <c r="AK131" i="2"/>
  <c r="U131" i="2"/>
  <c r="S132" i="2"/>
  <c r="T136" i="2"/>
  <c r="N136" i="2" s="1"/>
  <c r="M136" i="2" s="1"/>
  <c r="I136" i="2" s="1"/>
  <c r="U137" i="2"/>
  <c r="T139" i="2"/>
  <c r="N139" i="2" s="1"/>
  <c r="U139" i="2"/>
  <c r="T141" i="2"/>
  <c r="Z141" i="2" s="1"/>
  <c r="Z144" i="2"/>
  <c r="T147" i="2"/>
  <c r="N147" i="2" s="1"/>
  <c r="T209" i="2"/>
  <c r="X211" i="2"/>
  <c r="X213" i="2"/>
  <c r="AD213" i="2" s="1"/>
  <c r="X215" i="2"/>
  <c r="AD215" i="2" s="1"/>
  <c r="AA367" i="2"/>
  <c r="O367" i="2"/>
  <c r="AA371" i="2"/>
  <c r="O371" i="2"/>
  <c r="AA375" i="2"/>
  <c r="O375" i="2"/>
  <c r="O428" i="2"/>
  <c r="AA428" i="2"/>
  <c r="O445" i="2"/>
  <c r="AA445" i="2"/>
  <c r="T85" i="2"/>
  <c r="AK108" i="2"/>
  <c r="AK110" i="2"/>
  <c r="X111" i="2"/>
  <c r="AK114" i="2"/>
  <c r="AK116" i="2"/>
  <c r="X117" i="2"/>
  <c r="AK119" i="2"/>
  <c r="U119" i="2"/>
  <c r="AK121" i="2"/>
  <c r="U121" i="2"/>
  <c r="AA121" i="2" s="1"/>
  <c r="AK123" i="2"/>
  <c r="AK125" i="2"/>
  <c r="U125" i="2"/>
  <c r="T126" i="2"/>
  <c r="S126" i="2" s="1"/>
  <c r="AK127" i="2"/>
  <c r="U130" i="2"/>
  <c r="AA130" i="2" s="1"/>
  <c r="AK133" i="2"/>
  <c r="U133" i="2"/>
  <c r="T142" i="2"/>
  <c r="AK143" i="2"/>
  <c r="AK149" i="2"/>
  <c r="AK153" i="2"/>
  <c r="AK157" i="2"/>
  <c r="T160" i="2"/>
  <c r="S160" i="2" s="1"/>
  <c r="T172" i="2"/>
  <c r="T176" i="2"/>
  <c r="T185" i="2"/>
  <c r="N185" i="2" s="1"/>
  <c r="M185" i="2" s="1"/>
  <c r="I185" i="2" s="1"/>
  <c r="T189" i="2"/>
  <c r="AK193" i="2"/>
  <c r="AK197" i="2"/>
  <c r="X209" i="2"/>
  <c r="AD209" i="2" s="1"/>
  <c r="N210" i="2"/>
  <c r="N212" i="2"/>
  <c r="N214" i="2"/>
  <c r="Z215" i="2"/>
  <c r="AA379" i="2"/>
  <c r="O379" i="2"/>
  <c r="T200" i="2"/>
  <c r="X200" i="2"/>
  <c r="T201" i="2"/>
  <c r="T202" i="2"/>
  <c r="X202" i="2"/>
  <c r="T203" i="2"/>
  <c r="T204" i="2"/>
  <c r="X204" i="2"/>
  <c r="T205" i="2"/>
  <c r="T206" i="2"/>
  <c r="X206" i="2"/>
  <c r="T207" i="2"/>
  <c r="S207" i="2" s="1"/>
  <c r="N208" i="2"/>
  <c r="AK221" i="2"/>
  <c r="X221" i="2"/>
  <c r="AA363" i="2"/>
  <c r="O363" i="2"/>
  <c r="AA369" i="2"/>
  <c r="O369" i="2"/>
  <c r="T89" i="2"/>
  <c r="N89" i="2" s="1"/>
  <c r="M89" i="2" s="1"/>
  <c r="I89" i="2" s="1"/>
  <c r="T102" i="2"/>
  <c r="T104" i="2"/>
  <c r="T108" i="2"/>
  <c r="N108" i="2" s="1"/>
  <c r="T110" i="2"/>
  <c r="Z110" i="2" s="1"/>
  <c r="Y110" i="2" s="1"/>
  <c r="T111" i="2"/>
  <c r="T114" i="2"/>
  <c r="T116" i="2"/>
  <c r="T117" i="2"/>
  <c r="Z117" i="2" s="1"/>
  <c r="T119" i="2"/>
  <c r="T123" i="2"/>
  <c r="N123" i="2" s="1"/>
  <c r="U123" i="2"/>
  <c r="AA123" i="2" s="1"/>
  <c r="O124" i="2"/>
  <c r="U127" i="2"/>
  <c r="N128" i="2"/>
  <c r="M128" i="2" s="1"/>
  <c r="I128" i="2" s="1"/>
  <c r="T129" i="2"/>
  <c r="AK134" i="2"/>
  <c r="T134" i="2"/>
  <c r="U138" i="2"/>
  <c r="AA138" i="2" s="1"/>
  <c r="U141" i="2"/>
  <c r="U143" i="2"/>
  <c r="S143" i="2" s="1"/>
  <c r="N144" i="2"/>
  <c r="M144" i="2" s="1"/>
  <c r="I144" i="2" s="1"/>
  <c r="T145" i="2"/>
  <c r="Z145" i="2" s="1"/>
  <c r="T151" i="2"/>
  <c r="T155" i="2"/>
  <c r="T159" i="2"/>
  <c r="AK165" i="2"/>
  <c r="T168" i="2"/>
  <c r="AK169" i="2"/>
  <c r="AK173" i="2"/>
  <c r="T177" i="2"/>
  <c r="T184" i="2"/>
  <c r="AA377" i="2"/>
  <c r="O377" i="2"/>
  <c r="AA381" i="2"/>
  <c r="O381" i="2"/>
  <c r="O420" i="2"/>
  <c r="AA420" i="2"/>
  <c r="O433" i="2"/>
  <c r="AA433" i="2"/>
  <c r="O437" i="2"/>
  <c r="AA437" i="2"/>
  <c r="X225" i="2"/>
  <c r="AD225" i="2" s="1"/>
  <c r="Y225" i="2" s="1"/>
  <c r="X226" i="2"/>
  <c r="R226" i="2" s="1"/>
  <c r="T227" i="2"/>
  <c r="S227" i="2" s="1"/>
  <c r="T228" i="2"/>
  <c r="T238" i="2"/>
  <c r="T245" i="2"/>
  <c r="T261" i="2"/>
  <c r="T262" i="2"/>
  <c r="AK273" i="2"/>
  <c r="T284" i="2"/>
  <c r="AK285" i="2"/>
  <c r="T288" i="2"/>
  <c r="AK289" i="2"/>
  <c r="N294" i="2"/>
  <c r="AK296" i="2"/>
  <c r="AK299" i="2"/>
  <c r="AK316" i="2"/>
  <c r="AK320" i="2"/>
  <c r="AK324" i="2"/>
  <c r="AK328" i="2"/>
  <c r="AK332" i="2"/>
  <c r="AK336" i="2"/>
  <c r="AK340" i="2"/>
  <c r="AK344" i="2"/>
  <c r="AK348" i="2"/>
  <c r="AK352" i="2"/>
  <c r="AK353" i="2"/>
  <c r="AK354" i="2"/>
  <c r="AK355" i="2"/>
  <c r="U364" i="2"/>
  <c r="U365" i="2"/>
  <c r="O376" i="2"/>
  <c r="N377" i="2"/>
  <c r="O378" i="2"/>
  <c r="O380" i="2"/>
  <c r="N387" i="2"/>
  <c r="AK422" i="2"/>
  <c r="AA424" i="2"/>
  <c r="T430" i="2"/>
  <c r="N430" i="2" s="1"/>
  <c r="T431" i="2"/>
  <c r="AK437" i="2"/>
  <c r="T442" i="2"/>
  <c r="AK451" i="2"/>
  <c r="V451" i="2"/>
  <c r="O493" i="2"/>
  <c r="AK495" i="2"/>
  <c r="V495" i="2"/>
  <c r="P499" i="2"/>
  <c r="X218" i="2"/>
  <c r="T222" i="2"/>
  <c r="X227" i="2"/>
  <c r="AD227" i="2" s="1"/>
  <c r="X228" i="2"/>
  <c r="T229" i="2"/>
  <c r="T230" i="2"/>
  <c r="T234" i="2"/>
  <c r="T241" i="2"/>
  <c r="T250" i="2"/>
  <c r="T308" i="2"/>
  <c r="Z308" i="2" s="1"/>
  <c r="N312" i="2"/>
  <c r="V365" i="2"/>
  <c r="T367" i="2"/>
  <c r="Z367" i="2" s="1"/>
  <c r="O368" i="2"/>
  <c r="N369" i="2"/>
  <c r="O370" i="2"/>
  <c r="U382" i="2"/>
  <c r="AA382" i="2" s="1"/>
  <c r="V383" i="2"/>
  <c r="S383" i="2" s="1"/>
  <c r="V384" i="2"/>
  <c r="U387" i="2"/>
  <c r="AK391" i="2"/>
  <c r="T395" i="2"/>
  <c r="AK399" i="2"/>
  <c r="T403" i="2"/>
  <c r="U405" i="2"/>
  <c r="O405" i="2" s="1"/>
  <c r="AK406" i="2"/>
  <c r="T407" i="2"/>
  <c r="S407" i="2" s="1"/>
  <c r="U408" i="2"/>
  <c r="AA412" i="2"/>
  <c r="U413" i="2"/>
  <c r="O413" i="2" s="1"/>
  <c r="U419" i="2"/>
  <c r="U423" i="2"/>
  <c r="U427" i="2"/>
  <c r="AA427" i="2" s="1"/>
  <c r="Y445" i="2"/>
  <c r="N450" i="2"/>
  <c r="O451" i="2"/>
  <c r="AK453" i="2"/>
  <c r="O457" i="2"/>
  <c r="AK458" i="2"/>
  <c r="AK462" i="2"/>
  <c r="O465" i="2"/>
  <c r="AK466" i="2"/>
  <c r="O469" i="2"/>
  <c r="AK470" i="2"/>
  <c r="O473" i="2"/>
  <c r="AK474" i="2"/>
  <c r="O477" i="2"/>
  <c r="AK478" i="2"/>
  <c r="O481" i="2"/>
  <c r="AK482" i="2"/>
  <c r="O485" i="2"/>
  <c r="O489" i="2"/>
  <c r="O495" i="2"/>
  <c r="W558" i="2"/>
  <c r="Z558" i="2"/>
  <c r="P566" i="2"/>
  <c r="AB574" i="2"/>
  <c r="P574" i="2"/>
  <c r="AB582" i="2"/>
  <c r="P582" i="2"/>
  <c r="AB592" i="2"/>
  <c r="AB621" i="2"/>
  <c r="P621" i="2"/>
  <c r="T220" i="2"/>
  <c r="N220" i="2" s="1"/>
  <c r="X222" i="2"/>
  <c r="T223" i="2"/>
  <c r="N225" i="2"/>
  <c r="X229" i="2"/>
  <c r="X230" i="2"/>
  <c r="T237" i="2"/>
  <c r="S237" i="2" s="1"/>
  <c r="T246" i="2"/>
  <c r="T253" i="2"/>
  <c r="T254" i="2"/>
  <c r="T271" i="2"/>
  <c r="T272" i="2"/>
  <c r="R293" i="2"/>
  <c r="T302" i="2"/>
  <c r="Z302" i="2" s="1"/>
  <c r="N306" i="2"/>
  <c r="AK307" i="2"/>
  <c r="N310" i="2"/>
  <c r="AK322" i="2"/>
  <c r="AK338" i="2"/>
  <c r="AK342" i="2"/>
  <c r="AK346" i="2"/>
  <c r="AK350" i="2"/>
  <c r="T357" i="2"/>
  <c r="O359" i="2"/>
  <c r="O361" i="2"/>
  <c r="AK364" i="2"/>
  <c r="N366" i="2"/>
  <c r="O372" i="2"/>
  <c r="U374" i="2"/>
  <c r="AK382" i="2"/>
  <c r="O383" i="2"/>
  <c r="U384" i="2"/>
  <c r="AA384" i="2" s="1"/>
  <c r="O385" i="2"/>
  <c r="V387" i="2"/>
  <c r="U388" i="2"/>
  <c r="AA388" i="2" s="1"/>
  <c r="AK390" i="2"/>
  <c r="U391" i="2"/>
  <c r="U392" i="2"/>
  <c r="AK396" i="2"/>
  <c r="AK398" i="2"/>
  <c r="U399" i="2"/>
  <c r="U400" i="2"/>
  <c r="AK404" i="2"/>
  <c r="U409" i="2"/>
  <c r="O409" i="2" s="1"/>
  <c r="AK410" i="2"/>
  <c r="T411" i="2"/>
  <c r="AK414" i="2"/>
  <c r="U415" i="2"/>
  <c r="Z416" i="2"/>
  <c r="T419" i="2"/>
  <c r="N419" i="2" s="1"/>
  <c r="T422" i="2"/>
  <c r="T423" i="2"/>
  <c r="N423" i="2" s="1"/>
  <c r="T426" i="2"/>
  <c r="T427" i="2"/>
  <c r="Z427" i="2" s="1"/>
  <c r="Y427" i="2" s="1"/>
  <c r="AK429" i="2"/>
  <c r="AK430" i="2"/>
  <c r="AA436" i="2"/>
  <c r="T438" i="2"/>
  <c r="AA440" i="2"/>
  <c r="AK442" i="2"/>
  <c r="U443" i="2"/>
  <c r="AA448" i="2"/>
  <c r="Y450" i="2"/>
  <c r="V455" i="2"/>
  <c r="N458" i="2"/>
  <c r="AK459" i="2"/>
  <c r="N462" i="2"/>
  <c r="AK463" i="2"/>
  <c r="AK467" i="2"/>
  <c r="N470" i="2"/>
  <c r="AK471" i="2"/>
  <c r="N474" i="2"/>
  <c r="AK475" i="2"/>
  <c r="N478" i="2"/>
  <c r="AK479" i="2"/>
  <c r="N482" i="2"/>
  <c r="AK483" i="2"/>
  <c r="N486" i="2"/>
  <c r="AK487" i="2"/>
  <c r="N490" i="2"/>
  <c r="AK491" i="2"/>
  <c r="AK498" i="2"/>
  <c r="AB590" i="2"/>
  <c r="P590" i="2"/>
  <c r="AB598" i="2"/>
  <c r="P598" i="2"/>
  <c r="AB617" i="2"/>
  <c r="N300" i="2"/>
  <c r="AK301" i="2"/>
  <c r="N304" i="2"/>
  <c r="AK329" i="2"/>
  <c r="AK333" i="2"/>
  <c r="AK337" i="2"/>
  <c r="AK341" i="2"/>
  <c r="AK345" i="2"/>
  <c r="AK349" i="2"/>
  <c r="O358" i="2"/>
  <c r="N359" i="2"/>
  <c r="O360" i="2"/>
  <c r="N361" i="2"/>
  <c r="O362" i="2"/>
  <c r="N363" i="2"/>
  <c r="O366" i="2"/>
  <c r="N373" i="2"/>
  <c r="V375" i="2"/>
  <c r="AB375" i="2" s="1"/>
  <c r="N376" i="2"/>
  <c r="N383" i="2"/>
  <c r="AK384" i="2"/>
  <c r="U386" i="2"/>
  <c r="AA386" i="2" s="1"/>
  <c r="T391" i="2"/>
  <c r="T392" i="2"/>
  <c r="T394" i="2"/>
  <c r="Z394" i="2" s="1"/>
  <c r="T399" i="2"/>
  <c r="T400" i="2"/>
  <c r="T402" i="2"/>
  <c r="N402" i="2" s="1"/>
  <c r="AK408" i="2"/>
  <c r="T412" i="2"/>
  <c r="N412" i="2" s="1"/>
  <c r="M412" i="2" s="1"/>
  <c r="I412" i="2" s="1"/>
  <c r="AK413" i="2"/>
  <c r="T415" i="2"/>
  <c r="Z415" i="2" s="1"/>
  <c r="N418" i="2"/>
  <c r="U426" i="2"/>
  <c r="AA426" i="2" s="1"/>
  <c r="AK428" i="2"/>
  <c r="AK433" i="2"/>
  <c r="U438" i="2"/>
  <c r="AA438" i="2" s="1"/>
  <c r="T441" i="2"/>
  <c r="Z441" i="2" s="1"/>
  <c r="T443" i="2"/>
  <c r="S443" i="2" s="1"/>
  <c r="U446" i="2"/>
  <c r="AK449" i="2"/>
  <c r="AK450" i="2"/>
  <c r="N454" i="2"/>
  <c r="O455" i="2"/>
  <c r="P459" i="2"/>
  <c r="O459" i="2"/>
  <c r="AK460" i="2"/>
  <c r="P467" i="2"/>
  <c r="O467" i="2"/>
  <c r="AK468" i="2"/>
  <c r="P471" i="2"/>
  <c r="O471" i="2"/>
  <c r="AK472" i="2"/>
  <c r="O475" i="2"/>
  <c r="AK476" i="2"/>
  <c r="P479" i="2"/>
  <c r="O479" i="2"/>
  <c r="AK480" i="2"/>
  <c r="P483" i="2"/>
  <c r="O483" i="2"/>
  <c r="AK484" i="2"/>
  <c r="P487" i="2"/>
  <c r="O487" i="2"/>
  <c r="P491" i="2"/>
  <c r="AK493" i="2"/>
  <c r="V493" i="2"/>
  <c r="P493" i="2" s="1"/>
  <c r="T499" i="2"/>
  <c r="Z499" i="2" s="1"/>
  <c r="AK499" i="2"/>
  <c r="O499" i="2"/>
  <c r="AK500" i="2"/>
  <c r="AB558" i="2"/>
  <c r="P558" i="2"/>
  <c r="Z566" i="2"/>
  <c r="N498" i="2"/>
  <c r="AK502" i="2"/>
  <c r="AK518" i="2"/>
  <c r="AK522" i="2"/>
  <c r="AK526" i="2"/>
  <c r="AK530" i="2"/>
  <c r="N534" i="2"/>
  <c r="U536" i="2"/>
  <c r="U538" i="2"/>
  <c r="T539" i="2"/>
  <c r="AK549" i="2"/>
  <c r="AK550" i="2"/>
  <c r="AK555" i="2"/>
  <c r="AA556" i="2"/>
  <c r="P560" i="2"/>
  <c r="Z560" i="2"/>
  <c r="T562" i="2"/>
  <c r="N562" i="2" s="1"/>
  <c r="AK564" i="2"/>
  <c r="P568" i="2"/>
  <c r="Z568" i="2"/>
  <c r="T570" i="2"/>
  <c r="N570" i="2" s="1"/>
  <c r="AK572" i="2"/>
  <c r="P576" i="2"/>
  <c r="Z576" i="2"/>
  <c r="T578" i="2"/>
  <c r="N578" i="2" s="1"/>
  <c r="AK580" i="2"/>
  <c r="P584" i="2"/>
  <c r="Z584" i="2"/>
  <c r="T586" i="2"/>
  <c r="N586" i="2" s="1"/>
  <c r="AK588" i="2"/>
  <c r="T594" i="2"/>
  <c r="AK596" i="2"/>
  <c r="AK602" i="2"/>
  <c r="P605" i="2"/>
  <c r="T613" i="2"/>
  <c r="N613" i="2" s="1"/>
  <c r="AK615" i="2"/>
  <c r="T616" i="2"/>
  <c r="AK619" i="2"/>
  <c r="T619" i="2"/>
  <c r="N619" i="2" s="1"/>
  <c r="T620" i="2"/>
  <c r="O694" i="2"/>
  <c r="AA694" i="2"/>
  <c r="O710" i="2"/>
  <c r="AA710" i="2"/>
  <c r="O788" i="2"/>
  <c r="AA788" i="2"/>
  <c r="O796" i="2"/>
  <c r="AA796" i="2"/>
  <c r="N522" i="2"/>
  <c r="N526" i="2"/>
  <c r="N530" i="2"/>
  <c r="W592" i="2"/>
  <c r="Z629" i="2"/>
  <c r="AB633" i="2"/>
  <c r="P633" i="2"/>
  <c r="W637" i="2"/>
  <c r="Z637" i="2"/>
  <c r="AB641" i="2"/>
  <c r="P641" i="2"/>
  <c r="Z645" i="2"/>
  <c r="AB649" i="2"/>
  <c r="P649" i="2"/>
  <c r="AB667" i="2"/>
  <c r="P667" i="2"/>
  <c r="O698" i="2"/>
  <c r="AA698" i="2"/>
  <c r="O800" i="2"/>
  <c r="AA800" i="2"/>
  <c r="AK504" i="2"/>
  <c r="AK508" i="2"/>
  <c r="AK512" i="2"/>
  <c r="AK516" i="2"/>
  <c r="AK520" i="2"/>
  <c r="AK524" i="2"/>
  <c r="AK528" i="2"/>
  <c r="AK532" i="2"/>
  <c r="AK533" i="2"/>
  <c r="U535" i="2"/>
  <c r="U537" i="2"/>
  <c r="U540" i="2"/>
  <c r="AA540" i="2" s="1"/>
  <c r="U543" i="2"/>
  <c r="U545" i="2"/>
  <c r="AK546" i="2"/>
  <c r="AK553" i="2"/>
  <c r="P564" i="2"/>
  <c r="P572" i="2"/>
  <c r="W574" i="2"/>
  <c r="P580" i="2"/>
  <c r="W582" i="2"/>
  <c r="AC582" i="2" s="1"/>
  <c r="Y582" i="2" s="1"/>
  <c r="P588" i="2"/>
  <c r="W590" i="2"/>
  <c r="P596" i="2"/>
  <c r="W598" i="2"/>
  <c r="Q598" i="2" s="1"/>
  <c r="AK600" i="2"/>
  <c r="P615" i="2"/>
  <c r="P623" i="2"/>
  <c r="AB631" i="2"/>
  <c r="P631" i="2"/>
  <c r="AB639" i="2"/>
  <c r="P639" i="2"/>
  <c r="AB647" i="2"/>
  <c r="P647" i="2"/>
  <c r="O702" i="2"/>
  <c r="AA702" i="2"/>
  <c r="N500" i="2"/>
  <c r="N504" i="2"/>
  <c r="N508" i="2"/>
  <c r="AK509" i="2"/>
  <c r="N512" i="2"/>
  <c r="N516" i="2"/>
  <c r="N520" i="2"/>
  <c r="N524" i="2"/>
  <c r="N528" i="2"/>
  <c r="U541" i="2"/>
  <c r="AA541" i="2" s="1"/>
  <c r="AK548" i="2"/>
  <c r="AK558" i="2"/>
  <c r="P562" i="2"/>
  <c r="W564" i="2"/>
  <c r="AK566" i="2"/>
  <c r="P570" i="2"/>
  <c r="AK574" i="2"/>
  <c r="P578" i="2"/>
  <c r="W580" i="2"/>
  <c r="AC580" i="2" s="1"/>
  <c r="Y580" i="2" s="1"/>
  <c r="AK582" i="2"/>
  <c r="P586" i="2"/>
  <c r="T588" i="2"/>
  <c r="N588" i="2" s="1"/>
  <c r="AK590" i="2"/>
  <c r="P594" i="2"/>
  <c r="T596" i="2"/>
  <c r="AK598" i="2"/>
  <c r="AK604" i="2"/>
  <c r="O605" i="2"/>
  <c r="P611" i="2"/>
  <c r="P613" i="2"/>
  <c r="T615" i="2"/>
  <c r="N615" i="2" s="1"/>
  <c r="AK617" i="2"/>
  <c r="T618" i="2"/>
  <c r="W623" i="2"/>
  <c r="O690" i="2"/>
  <c r="AA690" i="2"/>
  <c r="O706" i="2"/>
  <c r="AA706" i="2"/>
  <c r="W633" i="2"/>
  <c r="AC633" i="2" s="1"/>
  <c r="Y633" i="2" s="1"/>
  <c r="W641" i="2"/>
  <c r="AB655" i="2"/>
  <c r="P675" i="2"/>
  <c r="AK679" i="2"/>
  <c r="P679" i="2"/>
  <c r="AA681" i="2"/>
  <c r="AA682" i="2"/>
  <c r="AK682" i="2"/>
  <c r="M686" i="2"/>
  <c r="AK690" i="2"/>
  <c r="AK694" i="2"/>
  <c r="T740" i="2"/>
  <c r="U742" i="2"/>
  <c r="AK744" i="2"/>
  <c r="AA747" i="2"/>
  <c r="Y747" i="2" s="1"/>
  <c r="T755" i="2"/>
  <c r="Z755" i="2" s="1"/>
  <c r="AK760" i="2"/>
  <c r="T764" i="2"/>
  <c r="U766" i="2"/>
  <c r="O782" i="2"/>
  <c r="U785" i="2"/>
  <c r="AK788" i="2"/>
  <c r="AA792" i="2"/>
  <c r="M800" i="2"/>
  <c r="AK809" i="2"/>
  <c r="X809" i="2"/>
  <c r="R809" i="2" s="1"/>
  <c r="AD896" i="2"/>
  <c r="R896" i="2"/>
  <c r="P629" i="2"/>
  <c r="W631" i="2"/>
  <c r="P637" i="2"/>
  <c r="P645" i="2"/>
  <c r="W647" i="2"/>
  <c r="S647" i="2" s="1"/>
  <c r="AK659" i="2"/>
  <c r="N776" i="2"/>
  <c r="X805" i="2"/>
  <c r="R805" i="2" s="1"/>
  <c r="AK805" i="2"/>
  <c r="AD903" i="2"/>
  <c r="R903" i="2"/>
  <c r="Z907" i="2"/>
  <c r="N907" i="2"/>
  <c r="O922" i="2"/>
  <c r="O947" i="2"/>
  <c r="AA947" i="2"/>
  <c r="W621" i="2"/>
  <c r="AK623" i="2"/>
  <c r="T624" i="2"/>
  <c r="P627" i="2"/>
  <c r="AK631" i="2"/>
  <c r="T632" i="2"/>
  <c r="P635" i="2"/>
  <c r="AK639" i="2"/>
  <c r="T640" i="2"/>
  <c r="P643" i="2"/>
  <c r="AK647" i="2"/>
  <c r="T648" i="2"/>
  <c r="P651" i="2"/>
  <c r="AK653" i="2"/>
  <c r="T656" i="2"/>
  <c r="AK657" i="2"/>
  <c r="U659" i="2"/>
  <c r="T664" i="2"/>
  <c r="Z665" i="2"/>
  <c r="P669" i="2"/>
  <c r="AK669" i="2"/>
  <c r="P671" i="2"/>
  <c r="AK673" i="2"/>
  <c r="T682" i="2"/>
  <c r="AA685" i="2"/>
  <c r="AA686" i="2"/>
  <c r="AK686" i="2"/>
  <c r="T690" i="2"/>
  <c r="N690" i="2" s="1"/>
  <c r="T694" i="2"/>
  <c r="T698" i="2"/>
  <c r="N698" i="2" s="1"/>
  <c r="T702" i="2"/>
  <c r="T706" i="2"/>
  <c r="N706" i="2" s="1"/>
  <c r="T710" i="2"/>
  <c r="AA723" i="2"/>
  <c r="AA727" i="2"/>
  <c r="AA731" i="2"/>
  <c r="AA735" i="2"/>
  <c r="T748" i="2"/>
  <c r="Z748" i="2" s="1"/>
  <c r="Y748" i="2" s="1"/>
  <c r="AK752" i="2"/>
  <c r="U753" i="2"/>
  <c r="T756" i="2"/>
  <c r="Z756" i="2" s="1"/>
  <c r="U758" i="2"/>
  <c r="O758" i="2" s="1"/>
  <c r="T763" i="2"/>
  <c r="Z763" i="2" s="1"/>
  <c r="AK767" i="2"/>
  <c r="AK768" i="2"/>
  <c r="T772" i="2"/>
  <c r="N772" i="2" s="1"/>
  <c r="O777" i="2"/>
  <c r="AK817" i="2"/>
  <c r="X817" i="2"/>
  <c r="R817" i="2" s="1"/>
  <c r="AA894" i="2"/>
  <c r="O894" i="2"/>
  <c r="AK621" i="2"/>
  <c r="T622" i="2"/>
  <c r="P625" i="2"/>
  <c r="Z625" i="2"/>
  <c r="T627" i="2"/>
  <c r="N627" i="2" s="1"/>
  <c r="AK629" i="2"/>
  <c r="T630" i="2"/>
  <c r="Z633" i="2"/>
  <c r="T635" i="2"/>
  <c r="AK637" i="2"/>
  <c r="T638" i="2"/>
  <c r="Z641" i="2"/>
  <c r="T643" i="2"/>
  <c r="N643" i="2" s="1"/>
  <c r="AK645" i="2"/>
  <c r="T646" i="2"/>
  <c r="T651" i="2"/>
  <c r="N651" i="2" s="1"/>
  <c r="AK655" i="2"/>
  <c r="AK662" i="2"/>
  <c r="U724" i="2"/>
  <c r="U728" i="2"/>
  <c r="AA728" i="2" s="1"/>
  <c r="U732" i="2"/>
  <c r="X813" i="2"/>
  <c r="R813" i="2" s="1"/>
  <c r="AK813" i="2"/>
  <c r="U867" i="2"/>
  <c r="O871" i="2"/>
  <c r="AK879" i="2"/>
  <c r="N883" i="2"/>
  <c r="AK887" i="2"/>
  <c r="O892" i="2"/>
  <c r="X892" i="2"/>
  <c r="X894" i="2"/>
  <c r="U898" i="2"/>
  <c r="S898" i="2" s="1"/>
  <c r="AK898" i="2"/>
  <c r="U907" i="2"/>
  <c r="AK907" i="2"/>
  <c r="P941" i="2"/>
  <c r="Y954" i="2"/>
  <c r="T973" i="2"/>
  <c r="T805" i="2"/>
  <c r="N805" i="2" s="1"/>
  <c r="X806" i="2"/>
  <c r="AD806" i="2" s="1"/>
  <c r="T806" i="2"/>
  <c r="T813" i="2"/>
  <c r="X814" i="2"/>
  <c r="S814" i="2" s="1"/>
  <c r="T814" i="2"/>
  <c r="N814" i="2" s="1"/>
  <c r="AK867" i="2"/>
  <c r="N871" i="2"/>
  <c r="N873" i="2"/>
  <c r="N881" i="2"/>
  <c r="N897" i="2"/>
  <c r="W911" i="2"/>
  <c r="Q911" i="2" s="1"/>
  <c r="W913" i="2"/>
  <c r="W915" i="2"/>
  <c r="W917" i="2"/>
  <c r="Q917" i="2" s="1"/>
  <c r="AK918" i="2"/>
  <c r="V918" i="2"/>
  <c r="U919" i="2"/>
  <c r="AA919" i="2" s="1"/>
  <c r="AC920" i="2"/>
  <c r="U927" i="2"/>
  <c r="V929" i="2"/>
  <c r="X931" i="2"/>
  <c r="U931" i="2"/>
  <c r="T937" i="2"/>
  <c r="V938" i="2"/>
  <c r="AB938" i="2" s="1"/>
  <c r="V939" i="2"/>
  <c r="AB939" i="2" s="1"/>
  <c r="V940" i="2"/>
  <c r="AA946" i="2"/>
  <c r="AA950" i="2"/>
  <c r="T951" i="2"/>
  <c r="N951" i="2" s="1"/>
  <c r="X968" i="2"/>
  <c r="R968" i="2" s="1"/>
  <c r="T969" i="2"/>
  <c r="T971" i="2"/>
  <c r="N971" i="2" s="1"/>
  <c r="T975" i="2"/>
  <c r="N975" i="2" s="1"/>
  <c r="M975" i="2" s="1"/>
  <c r="AK977" i="2"/>
  <c r="N869" i="2"/>
  <c r="S873" i="2"/>
  <c r="N879" i="2"/>
  <c r="AK880" i="2"/>
  <c r="U881" i="2"/>
  <c r="O881" i="2" s="1"/>
  <c r="N887" i="2"/>
  <c r="AK888" i="2"/>
  <c r="AK890" i="2"/>
  <c r="T899" i="2"/>
  <c r="Z899" i="2" s="1"/>
  <c r="T900" i="2"/>
  <c r="X900" i="2"/>
  <c r="R902" i="2"/>
  <c r="X906" i="2"/>
  <c r="R907" i="2"/>
  <c r="U908" i="2"/>
  <c r="X908" i="2"/>
  <c r="V911" i="2"/>
  <c r="AB911" i="2" s="1"/>
  <c r="AK912" i="2"/>
  <c r="V912" i="2"/>
  <c r="U913" i="2"/>
  <c r="AA913" i="2" s="1"/>
  <c r="AK914" i="2"/>
  <c r="V914" i="2"/>
  <c r="U915" i="2"/>
  <c r="AA915" i="2" s="1"/>
  <c r="AK916" i="2"/>
  <c r="V916" i="2"/>
  <c r="P916" i="2" s="1"/>
  <c r="U917" i="2"/>
  <c r="AA917" i="2" s="1"/>
  <c r="AK919" i="2"/>
  <c r="V919" i="2"/>
  <c r="AK920" i="2"/>
  <c r="V920" i="2"/>
  <c r="U924" i="2"/>
  <c r="W927" i="2"/>
  <c r="AC927" i="2" s="1"/>
  <c r="X932" i="2"/>
  <c r="R932" i="2" s="1"/>
  <c r="AA932" i="2"/>
  <c r="T936" i="2"/>
  <c r="V937" i="2"/>
  <c r="AB937" i="2" s="1"/>
  <c r="X938" i="2"/>
  <c r="AD938" i="2" s="1"/>
  <c r="X939" i="2"/>
  <c r="X940" i="2"/>
  <c r="X941" i="2"/>
  <c r="U941" i="2"/>
  <c r="AA941" i="2" s="1"/>
  <c r="U942" i="2"/>
  <c r="U943" i="2"/>
  <c r="AA952" i="2"/>
  <c r="N954" i="2"/>
  <c r="AA955" i="2"/>
  <c r="X961" i="2"/>
  <c r="R961" i="2" s="1"/>
  <c r="X964" i="2"/>
  <c r="R964" i="2" s="1"/>
  <c r="T965" i="2"/>
  <c r="Z965" i="2" s="1"/>
  <c r="Y965" i="2" s="1"/>
  <c r="X969" i="2"/>
  <c r="R969" i="2" s="1"/>
  <c r="X973" i="2"/>
  <c r="R973" i="2" s="1"/>
  <c r="U794" i="2"/>
  <c r="AK796" i="2"/>
  <c r="U798" i="2"/>
  <c r="AK800" i="2"/>
  <c r="U802" i="2"/>
  <c r="T809" i="2"/>
  <c r="N809" i="2" s="1"/>
  <c r="X810" i="2"/>
  <c r="T810" i="2"/>
  <c r="T817" i="2"/>
  <c r="N817" i="2" s="1"/>
  <c r="M817" i="2" s="1"/>
  <c r="I817" i="2" s="1"/>
  <c r="X818" i="2"/>
  <c r="R818" i="2" s="1"/>
  <c r="T818" i="2"/>
  <c r="N867" i="2"/>
  <c r="AK868" i="2"/>
  <c r="U869" i="2"/>
  <c r="O869" i="2" s="1"/>
  <c r="N874" i="2"/>
  <c r="AK874" i="2"/>
  <c r="AK876" i="2"/>
  <c r="AK878" i="2"/>
  <c r="U879" i="2"/>
  <c r="O879" i="2" s="1"/>
  <c r="N885" i="2"/>
  <c r="AK886" i="2"/>
  <c r="U887" i="2"/>
  <c r="O887" i="2" s="1"/>
  <c r="AK894" i="2"/>
  <c r="N895" i="2"/>
  <c r="O896" i="2"/>
  <c r="AK897" i="2"/>
  <c r="R898" i="2"/>
  <c r="R901" i="2"/>
  <c r="U902" i="2"/>
  <c r="AK902" i="2"/>
  <c r="X905" i="2"/>
  <c r="O906" i="2"/>
  <c r="N908" i="2"/>
  <c r="R909" i="2"/>
  <c r="W912" i="2"/>
  <c r="W914" i="2"/>
  <c r="W916" i="2"/>
  <c r="U925" i="2"/>
  <c r="AK927" i="2"/>
  <c r="V927" i="2"/>
  <c r="W928" i="2"/>
  <c r="AC928" i="2" s="1"/>
  <c r="X929" i="2"/>
  <c r="U929" i="2"/>
  <c r="V931" i="2"/>
  <c r="V932" i="2"/>
  <c r="V934" i="2"/>
  <c r="V936" i="2"/>
  <c r="AB936" i="2" s="1"/>
  <c r="X937" i="2"/>
  <c r="T941" i="2"/>
  <c r="Z941" i="2" s="1"/>
  <c r="S954" i="2"/>
  <c r="X960" i="2"/>
  <c r="R960" i="2" s="1"/>
  <c r="X965" i="2"/>
  <c r="X972" i="2"/>
  <c r="R972" i="2" s="1"/>
  <c r="T977" i="2"/>
  <c r="N74" i="1"/>
  <c r="M74" i="1" s="1"/>
  <c r="I74" i="1" s="1"/>
  <c r="Z74" i="1"/>
  <c r="S74" i="1"/>
  <c r="AA90" i="1"/>
  <c r="O90" i="1"/>
  <c r="J47" i="1"/>
  <c r="O52" i="1"/>
  <c r="M52" i="1" s="1"/>
  <c r="I52" i="1" s="1"/>
  <c r="N53" i="1"/>
  <c r="AK53" i="1"/>
  <c r="R56" i="1"/>
  <c r="M56" i="1" s="1"/>
  <c r="I56" i="1" s="1"/>
  <c r="O59" i="1"/>
  <c r="AA59" i="1"/>
  <c r="AA63" i="1"/>
  <c r="T64" i="1"/>
  <c r="AK64" i="1"/>
  <c r="O65" i="1"/>
  <c r="AA66" i="1"/>
  <c r="O66" i="1"/>
  <c r="Z67" i="1"/>
  <c r="Y67" i="1" s="1"/>
  <c r="S67" i="1"/>
  <c r="N67" i="1"/>
  <c r="M67" i="1" s="1"/>
  <c r="I67" i="1" s="1"/>
  <c r="M71" i="1"/>
  <c r="I71" i="1" s="1"/>
  <c r="AK72" i="1"/>
  <c r="O75" i="1"/>
  <c r="M75" i="1" s="1"/>
  <c r="I75" i="1" s="1"/>
  <c r="AA75" i="1"/>
  <c r="AA77" i="1"/>
  <c r="AA78" i="1"/>
  <c r="O78" i="1"/>
  <c r="R82" i="1"/>
  <c r="AD82" i="1"/>
  <c r="N86" i="1"/>
  <c r="M86" i="1" s="1"/>
  <c r="I86" i="1" s="1"/>
  <c r="N88" i="1"/>
  <c r="M88" i="1" s="1"/>
  <c r="I88" i="1" s="1"/>
  <c r="AK92" i="1"/>
  <c r="T92" i="1"/>
  <c r="AC93" i="1"/>
  <c r="Q93" i="1"/>
  <c r="AC94" i="1"/>
  <c r="Q94" i="1"/>
  <c r="AA95" i="1"/>
  <c r="O95" i="1"/>
  <c r="V95" i="1"/>
  <c r="AK95" i="1"/>
  <c r="X95" i="1"/>
  <c r="T95" i="1"/>
  <c r="P101" i="1"/>
  <c r="AK101" i="1"/>
  <c r="O104" i="1"/>
  <c r="AA104" i="1"/>
  <c r="O111" i="1"/>
  <c r="AA111" i="1"/>
  <c r="M115" i="1"/>
  <c r="I115" i="1" s="1"/>
  <c r="Z116" i="1"/>
  <c r="W116" i="1"/>
  <c r="S116" i="1" s="1"/>
  <c r="N116" i="1"/>
  <c r="AA117" i="1"/>
  <c r="J120" i="1"/>
  <c r="V128" i="1"/>
  <c r="AA138" i="1"/>
  <c r="O138" i="1"/>
  <c r="Q143" i="1"/>
  <c r="AC143" i="1"/>
  <c r="N145" i="1"/>
  <c r="M145" i="1" s="1"/>
  <c r="I145" i="1" s="1"/>
  <c r="Z145" i="1"/>
  <c r="Y145" i="1" s="1"/>
  <c r="S145" i="1"/>
  <c r="X160" i="1"/>
  <c r="AA160" i="1"/>
  <c r="O160" i="1"/>
  <c r="Z164" i="1"/>
  <c r="N164" i="1"/>
  <c r="AD174" i="1"/>
  <c r="R174" i="1"/>
  <c r="Z178" i="1"/>
  <c r="Y178" i="1" s="1"/>
  <c r="S178" i="1"/>
  <c r="N178" i="1"/>
  <c r="M178" i="1" s="1"/>
  <c r="I178" i="1" s="1"/>
  <c r="AA180" i="1"/>
  <c r="O180" i="1"/>
  <c r="N192" i="1"/>
  <c r="M192" i="1" s="1"/>
  <c r="I192" i="1" s="1"/>
  <c r="Z192" i="1"/>
  <c r="Y192" i="1" s="1"/>
  <c r="S192" i="1"/>
  <c r="Z199" i="1"/>
  <c r="Y199" i="1" s="1"/>
  <c r="N199" i="1"/>
  <c r="Y202" i="1"/>
  <c r="AA204" i="1"/>
  <c r="O204" i="1"/>
  <c r="T60" i="1"/>
  <c r="AK60" i="1"/>
  <c r="V76" i="1"/>
  <c r="AK77" i="1"/>
  <c r="T77" i="1"/>
  <c r="M82" i="1"/>
  <c r="I82" i="1" s="1"/>
  <c r="X91" i="1"/>
  <c r="Z45" i="1"/>
  <c r="Y45" i="1" s="1"/>
  <c r="N45" i="1"/>
  <c r="M45" i="1" s="1"/>
  <c r="I45" i="1" s="1"/>
  <c r="S45" i="1"/>
  <c r="T48" i="1"/>
  <c r="X48" i="1"/>
  <c r="Y53" i="1"/>
  <c r="O53" i="1"/>
  <c r="M54" i="1"/>
  <c r="I54" i="1" s="1"/>
  <c r="S58" i="1"/>
  <c r="Z58" i="1"/>
  <c r="Y58" i="1" s="1"/>
  <c r="N58" i="1"/>
  <c r="M58" i="1" s="1"/>
  <c r="I58" i="1" s="1"/>
  <c r="AK62" i="1"/>
  <c r="T62" i="1"/>
  <c r="AB65" i="1"/>
  <c r="P65" i="1"/>
  <c r="N68" i="1"/>
  <c r="M68" i="1" s="1"/>
  <c r="I68" i="1" s="1"/>
  <c r="Z68" i="1"/>
  <c r="Y68" i="1" s="1"/>
  <c r="S68" i="1"/>
  <c r="AK68" i="1"/>
  <c r="N72" i="1"/>
  <c r="Z72" i="1"/>
  <c r="Y72" i="1" s="1"/>
  <c r="S72" i="1"/>
  <c r="O72" i="1"/>
  <c r="M73" i="1"/>
  <c r="I73" i="1" s="1"/>
  <c r="AK74" i="1"/>
  <c r="AK76" i="1"/>
  <c r="Z78" i="1"/>
  <c r="Y78" i="1" s="1"/>
  <c r="AA79" i="1"/>
  <c r="O79" i="1"/>
  <c r="N83" i="1"/>
  <c r="M83" i="1" s="1"/>
  <c r="I83" i="1" s="1"/>
  <c r="Z83" i="1"/>
  <c r="Y83" i="1" s="1"/>
  <c r="S83" i="1"/>
  <c r="T84" i="1"/>
  <c r="AK84" i="1"/>
  <c r="X84" i="1"/>
  <c r="M85" i="1"/>
  <c r="I85" i="1" s="1"/>
  <c r="Z86" i="1"/>
  <c r="Y86" i="1" s="1"/>
  <c r="Z88" i="1"/>
  <c r="Y88" i="1" s="1"/>
  <c r="AA89" i="1"/>
  <c r="Y89" i="1" s="1"/>
  <c r="O89" i="1"/>
  <c r="M89" i="1" s="1"/>
  <c r="I89" i="1" s="1"/>
  <c r="AK91" i="1"/>
  <c r="AA101" i="1"/>
  <c r="R102" i="1"/>
  <c r="M102" i="1" s="1"/>
  <c r="I102" i="1" s="1"/>
  <c r="N106" i="1"/>
  <c r="M106" i="1" s="1"/>
  <c r="I106" i="1" s="1"/>
  <c r="Z106" i="1"/>
  <c r="Y106" i="1" s="1"/>
  <c r="S106" i="1"/>
  <c r="AK106" i="1"/>
  <c r="S107" i="1"/>
  <c r="Z107" i="1"/>
  <c r="Y107" i="1" s="1"/>
  <c r="N107" i="1"/>
  <c r="M107" i="1" s="1"/>
  <c r="I107" i="1" s="1"/>
  <c r="N112" i="1"/>
  <c r="M112" i="1" s="1"/>
  <c r="I112" i="1" s="1"/>
  <c r="Z112" i="1"/>
  <c r="Y112" i="1" s="1"/>
  <c r="S112" i="1"/>
  <c r="P116" i="1"/>
  <c r="AK116" i="1"/>
  <c r="O120" i="1"/>
  <c r="AA120" i="1"/>
  <c r="Y120" i="1" s="1"/>
  <c r="AK121" i="1"/>
  <c r="Z123" i="1"/>
  <c r="Y123" i="1" s="1"/>
  <c r="S123" i="1"/>
  <c r="N123" i="1"/>
  <c r="M123" i="1" s="1"/>
  <c r="I123" i="1" s="1"/>
  <c r="AC130" i="1"/>
  <c r="Q130" i="1"/>
  <c r="O131" i="1"/>
  <c r="AA131" i="1"/>
  <c r="M138" i="1"/>
  <c r="I138" i="1" s="1"/>
  <c r="M149" i="1"/>
  <c r="I149" i="1" s="1"/>
  <c r="Y159" i="1"/>
  <c r="Z161" i="1"/>
  <c r="Y161" i="1" s="1"/>
  <c r="S161" i="1"/>
  <c r="N161" i="1"/>
  <c r="M161" i="1" s="1"/>
  <c r="I161" i="1" s="1"/>
  <c r="AA165" i="1"/>
  <c r="O165" i="1"/>
  <c r="Y173" i="1"/>
  <c r="Z175" i="1"/>
  <c r="Y175" i="1" s="1"/>
  <c r="S175" i="1"/>
  <c r="N175" i="1"/>
  <c r="M175" i="1" s="1"/>
  <c r="I175" i="1" s="1"/>
  <c r="Y187" i="1"/>
  <c r="W195" i="1"/>
  <c r="O196" i="1"/>
  <c r="AA196" i="1"/>
  <c r="AB198" i="1"/>
  <c r="P198" i="1"/>
  <c r="AD205" i="1"/>
  <c r="R205" i="1"/>
  <c r="Z81" i="2"/>
  <c r="Y81" i="2" s="1"/>
  <c r="N81" i="2"/>
  <c r="M81" i="2" s="1"/>
  <c r="I81" i="2" s="1"/>
  <c r="S81" i="2"/>
  <c r="S87" i="2"/>
  <c r="Z87" i="2"/>
  <c r="Y87" i="2" s="1"/>
  <c r="N87" i="2"/>
  <c r="M87" i="2" s="1"/>
  <c r="I87" i="2" s="1"/>
  <c r="M104" i="1"/>
  <c r="I104" i="1" s="1"/>
  <c r="AA105" i="1"/>
  <c r="O105" i="1"/>
  <c r="M111" i="1"/>
  <c r="I111" i="1" s="1"/>
  <c r="AK117" i="1"/>
  <c r="T117" i="1"/>
  <c r="N121" i="1"/>
  <c r="M121" i="1" s="1"/>
  <c r="I121" i="1" s="1"/>
  <c r="Z121" i="1"/>
  <c r="S121" i="1"/>
  <c r="AK127" i="1"/>
  <c r="T127" i="1"/>
  <c r="AK128" i="1"/>
  <c r="T128" i="1"/>
  <c r="M131" i="1"/>
  <c r="I131" i="1" s="1"/>
  <c r="R136" i="1"/>
  <c r="M136" i="1" s="1"/>
  <c r="I136" i="1" s="1"/>
  <c r="AD136" i="1"/>
  <c r="AD142" i="1"/>
  <c r="R142" i="1"/>
  <c r="Y143" i="1"/>
  <c r="AB143" i="1"/>
  <c r="P143" i="1"/>
  <c r="AA150" i="1"/>
  <c r="O150" i="1"/>
  <c r="R152" i="1"/>
  <c r="M152" i="1" s="1"/>
  <c r="I152" i="1" s="1"/>
  <c r="AD152" i="1"/>
  <c r="M165" i="1"/>
  <c r="I165" i="1" s="1"/>
  <c r="M168" i="1"/>
  <c r="I168" i="1" s="1"/>
  <c r="Z176" i="1"/>
  <c r="W176" i="1"/>
  <c r="N176" i="1"/>
  <c r="AD182" i="1"/>
  <c r="R182" i="1"/>
  <c r="M182" i="1" s="1"/>
  <c r="I182" i="1" s="1"/>
  <c r="M184" i="1"/>
  <c r="I184" i="1" s="1"/>
  <c r="Z186" i="1"/>
  <c r="N186" i="1"/>
  <c r="O188" i="1"/>
  <c r="AA188" i="1"/>
  <c r="M190" i="1"/>
  <c r="I190" i="1" s="1"/>
  <c r="M196" i="1"/>
  <c r="I196" i="1" s="1"/>
  <c r="AC198" i="1"/>
  <c r="Q198" i="1"/>
  <c r="AK200" i="1"/>
  <c r="T200" i="1"/>
  <c r="S201" i="1"/>
  <c r="AD201" i="1"/>
  <c r="Y201" i="1" s="1"/>
  <c r="R201" i="1"/>
  <c r="AA203" i="1"/>
  <c r="O203" i="1"/>
  <c r="S203" i="1"/>
  <c r="AD206" i="1"/>
  <c r="R206" i="1"/>
  <c r="AA208" i="1"/>
  <c r="O208" i="1"/>
  <c r="S85" i="2"/>
  <c r="Z85" i="2"/>
  <c r="Y85" i="2" s="1"/>
  <c r="N85" i="2"/>
  <c r="M85" i="2" s="1"/>
  <c r="I85" i="2" s="1"/>
  <c r="Z50" i="1"/>
  <c r="Y50" i="1" s="1"/>
  <c r="N50" i="1"/>
  <c r="M50" i="1" s="1"/>
  <c r="I50" i="1" s="1"/>
  <c r="T55" i="1"/>
  <c r="M59" i="1"/>
  <c r="I59" i="1" s="1"/>
  <c r="Z63" i="1"/>
  <c r="W63" i="1"/>
  <c r="S63" i="1"/>
  <c r="N63" i="1"/>
  <c r="AA76" i="1"/>
  <c r="O76" i="1"/>
  <c r="M78" i="1"/>
  <c r="I78" i="1" s="1"/>
  <c r="AA91" i="1"/>
  <c r="O91" i="1"/>
  <c r="AD94" i="1"/>
  <c r="R94" i="1"/>
  <c r="AK96" i="1"/>
  <c r="X96" i="1"/>
  <c r="R96" i="1" s="1"/>
  <c r="T96" i="1"/>
  <c r="T100" i="1"/>
  <c r="AK100" i="1"/>
  <c r="O101" i="1"/>
  <c r="AA47" i="1"/>
  <c r="O47" i="1"/>
  <c r="Z51" i="1"/>
  <c r="Y51" i="1" s="1"/>
  <c r="N51" i="1"/>
  <c r="M51" i="1" s="1"/>
  <c r="I51" i="1" s="1"/>
  <c r="S53" i="1"/>
  <c r="Y59" i="1"/>
  <c r="Z61" i="1"/>
  <c r="N61" i="1"/>
  <c r="P63" i="1"/>
  <c r="AK63" i="1"/>
  <c r="W65" i="1"/>
  <c r="W66" i="1"/>
  <c r="AK66" i="1"/>
  <c r="N70" i="1"/>
  <c r="M70" i="1" s="1"/>
  <c r="I70" i="1" s="1"/>
  <c r="Z70" i="1"/>
  <c r="Y70" i="1" s="1"/>
  <c r="S70" i="1"/>
  <c r="AA74" i="1"/>
  <c r="Y75" i="1"/>
  <c r="T80" i="1"/>
  <c r="AK80" i="1"/>
  <c r="X80" i="1"/>
  <c r="M81" i="1"/>
  <c r="I81" i="1" s="1"/>
  <c r="Y82" i="1"/>
  <c r="Z87" i="1"/>
  <c r="Y87" i="1" s="1"/>
  <c r="O92" i="1"/>
  <c r="AA92" i="1"/>
  <c r="J93" i="1"/>
  <c r="S94" i="1"/>
  <c r="Z94" i="1"/>
  <c r="Y94" i="1" s="1"/>
  <c r="N94" i="1"/>
  <c r="M94" i="1" s="1"/>
  <c r="I94" i="1" s="1"/>
  <c r="Z101" i="1"/>
  <c r="W101" i="1"/>
  <c r="S101" i="1"/>
  <c r="N101" i="1"/>
  <c r="Y104" i="1"/>
  <c r="M108" i="1"/>
  <c r="I108" i="1" s="1"/>
  <c r="M109" i="1"/>
  <c r="I109" i="1" s="1"/>
  <c r="Y111" i="1"/>
  <c r="J111" i="1"/>
  <c r="T113" i="1"/>
  <c r="AK113" i="1"/>
  <c r="X113" i="1"/>
  <c r="AC114" i="1"/>
  <c r="Q114" i="1"/>
  <c r="O116" i="1"/>
  <c r="AD117" i="1"/>
  <c r="R117" i="1"/>
  <c r="M118" i="1"/>
  <c r="I118" i="1" s="1"/>
  <c r="M119" i="1"/>
  <c r="I119" i="1" s="1"/>
  <c r="M120" i="1"/>
  <c r="I120" i="1" s="1"/>
  <c r="AA121" i="1"/>
  <c r="AA122" i="1"/>
  <c r="O122" i="1"/>
  <c r="N125" i="1"/>
  <c r="M125" i="1" s="1"/>
  <c r="I125" i="1" s="1"/>
  <c r="Z125" i="1"/>
  <c r="Y125" i="1" s="1"/>
  <c r="S125" i="1"/>
  <c r="AB126" i="1"/>
  <c r="Y126" i="1" s="1"/>
  <c r="P126" i="1"/>
  <c r="U128" i="1"/>
  <c r="M135" i="1"/>
  <c r="I135" i="1" s="1"/>
  <c r="AA137" i="1"/>
  <c r="O137" i="1"/>
  <c r="AA151" i="1"/>
  <c r="O151" i="1"/>
  <c r="N169" i="1"/>
  <c r="M169" i="1" s="1"/>
  <c r="I169" i="1" s="1"/>
  <c r="Z169" i="1"/>
  <c r="Y169" i="1" s="1"/>
  <c r="S169" i="1"/>
  <c r="M174" i="1"/>
  <c r="I174" i="1" s="1"/>
  <c r="AD177" i="1"/>
  <c r="R177" i="1"/>
  <c r="M177" i="1" s="1"/>
  <c r="I177" i="1" s="1"/>
  <c r="Z183" i="1"/>
  <c r="Y183" i="1" s="1"/>
  <c r="S183" i="1"/>
  <c r="N183" i="1"/>
  <c r="M183" i="1" s="1"/>
  <c r="I183" i="1" s="1"/>
  <c r="Q185" i="1"/>
  <c r="AC185" i="1"/>
  <c r="Y185" i="1" s="1"/>
  <c r="M188" i="1"/>
  <c r="I188" i="1" s="1"/>
  <c r="Q191" i="1"/>
  <c r="AC191" i="1"/>
  <c r="Y191" i="1" s="1"/>
  <c r="AA194" i="1"/>
  <c r="O194" i="1"/>
  <c r="P195" i="1"/>
  <c r="AB195" i="1"/>
  <c r="Y203" i="1"/>
  <c r="M203" i="1"/>
  <c r="I203" i="1" s="1"/>
  <c r="N83" i="2"/>
  <c r="M83" i="2" s="1"/>
  <c r="I83" i="2" s="1"/>
  <c r="R144" i="1"/>
  <c r="P180" i="1"/>
  <c r="AA189" i="1"/>
  <c r="T57" i="1"/>
  <c r="S59" i="1"/>
  <c r="N66" i="1"/>
  <c r="S66" i="1"/>
  <c r="S75" i="1"/>
  <c r="T76" i="1"/>
  <c r="S82" i="1"/>
  <c r="AK83" i="1"/>
  <c r="T91" i="1"/>
  <c r="S104" i="1"/>
  <c r="S111" i="1"/>
  <c r="S115" i="1"/>
  <c r="S120" i="1"/>
  <c r="T122" i="1"/>
  <c r="T124" i="1"/>
  <c r="AK125" i="1"/>
  <c r="P130" i="1"/>
  <c r="T130" i="1"/>
  <c r="X130" i="1"/>
  <c r="T132" i="1"/>
  <c r="N133" i="1"/>
  <c r="M133" i="1" s="1"/>
  <c r="I133" i="1" s="1"/>
  <c r="Z133" i="1"/>
  <c r="Y133" i="1" s="1"/>
  <c r="S135" i="1"/>
  <c r="AK136" i="1"/>
  <c r="N139" i="1"/>
  <c r="M139" i="1" s="1"/>
  <c r="I139" i="1" s="1"/>
  <c r="Z139" i="1"/>
  <c r="Y139" i="1" s="1"/>
  <c r="N143" i="1"/>
  <c r="S143" i="1"/>
  <c r="T144" i="1"/>
  <c r="Q148" i="1"/>
  <c r="S149" i="1"/>
  <c r="AK152" i="1"/>
  <c r="N156" i="1"/>
  <c r="M156" i="1" s="1"/>
  <c r="I156" i="1" s="1"/>
  <c r="Z156" i="1"/>
  <c r="Y156" i="1" s="1"/>
  <c r="S157" i="1"/>
  <c r="T162" i="1"/>
  <c r="N163" i="1"/>
  <c r="M163" i="1" s="1"/>
  <c r="I163" i="1" s="1"/>
  <c r="Z163" i="1"/>
  <c r="Y163" i="1" s="1"/>
  <c r="T166" i="1"/>
  <c r="S166" i="1" s="1"/>
  <c r="N167" i="1"/>
  <c r="M167" i="1" s="1"/>
  <c r="I167" i="1" s="1"/>
  <c r="Z167" i="1"/>
  <c r="Y167" i="1" s="1"/>
  <c r="S168" i="1"/>
  <c r="T170" i="1"/>
  <c r="N171" i="1"/>
  <c r="M171" i="1" s="1"/>
  <c r="I171" i="1" s="1"/>
  <c r="Z171" i="1"/>
  <c r="Y171" i="1" s="1"/>
  <c r="AK174" i="1"/>
  <c r="AK177" i="1"/>
  <c r="S179" i="1"/>
  <c r="T180" i="1"/>
  <c r="AK182" i="1"/>
  <c r="S184" i="1"/>
  <c r="X186" i="1"/>
  <c r="S190" i="1"/>
  <c r="S193" i="1"/>
  <c r="N195" i="1"/>
  <c r="S195" i="1"/>
  <c r="S196" i="1"/>
  <c r="Z196" i="1"/>
  <c r="Y196" i="1" s="1"/>
  <c r="T197" i="1"/>
  <c r="T198" i="1"/>
  <c r="X198" i="1"/>
  <c r="AK198" i="1"/>
  <c r="X199" i="1"/>
  <c r="R199" i="1" s="1"/>
  <c r="AK199" i="1"/>
  <c r="AA200" i="1"/>
  <c r="T205" i="1"/>
  <c r="AK205" i="1"/>
  <c r="T206" i="1"/>
  <c r="AK206" i="1"/>
  <c r="Q207" i="1"/>
  <c r="N102" i="2"/>
  <c r="M102" i="2" s="1"/>
  <c r="I102" i="2" s="1"/>
  <c r="J104" i="2"/>
  <c r="S104" i="2"/>
  <c r="Z104" i="2"/>
  <c r="Y104" i="2" s="1"/>
  <c r="N104" i="2"/>
  <c r="M104" i="2" s="1"/>
  <c r="I104" i="2" s="1"/>
  <c r="Z108" i="2"/>
  <c r="Y108" i="2" s="1"/>
  <c r="S108" i="2"/>
  <c r="S110" i="2"/>
  <c r="Z111" i="2"/>
  <c r="Z114" i="2"/>
  <c r="Y114" i="2" s="1"/>
  <c r="S114" i="2"/>
  <c r="N114" i="2"/>
  <c r="N116" i="2"/>
  <c r="O123" i="2"/>
  <c r="M123" i="2" s="1"/>
  <c r="I123" i="2" s="1"/>
  <c r="Z134" i="2"/>
  <c r="Y134" i="2" s="1"/>
  <c r="S151" i="2"/>
  <c r="S159" i="2"/>
  <c r="S177" i="2"/>
  <c r="Z177" i="2"/>
  <c r="Y177" i="2" s="1"/>
  <c r="N177" i="2"/>
  <c r="M177" i="2" s="1"/>
  <c r="I177" i="2" s="1"/>
  <c r="AD212" i="2"/>
  <c r="Y212" i="2" s="1"/>
  <c r="S212" i="2"/>
  <c r="R214" i="2"/>
  <c r="AD214" i="2"/>
  <c r="S214" i="2"/>
  <c r="Y219" i="2"/>
  <c r="R220" i="2"/>
  <c r="R224" i="2"/>
  <c r="AD224" i="2"/>
  <c r="N226" i="2"/>
  <c r="S242" i="2"/>
  <c r="Z242" i="2"/>
  <c r="Y242" i="2" s="1"/>
  <c r="N242" i="2"/>
  <c r="M242" i="2" s="1"/>
  <c r="I242" i="2" s="1"/>
  <c r="Z258" i="2"/>
  <c r="Y258" i="2" s="1"/>
  <c r="N258" i="2"/>
  <c r="M258" i="2" s="1"/>
  <c r="I258" i="2" s="1"/>
  <c r="V61" i="1"/>
  <c r="AK129" i="1"/>
  <c r="S131" i="1"/>
  <c r="Z131" i="1"/>
  <c r="Y131" i="1" s="1"/>
  <c r="AA135" i="1"/>
  <c r="Y135" i="1" s="1"/>
  <c r="S136" i="1"/>
  <c r="Z136" i="1"/>
  <c r="Y136" i="1" s="1"/>
  <c r="S138" i="1"/>
  <c r="Z138" i="1"/>
  <c r="Y138" i="1" s="1"/>
  <c r="T140" i="1"/>
  <c r="T141" i="1"/>
  <c r="T142" i="1"/>
  <c r="AK142" i="1"/>
  <c r="O143" i="1"/>
  <c r="T147" i="1"/>
  <c r="AA149" i="1"/>
  <c r="Y149" i="1" s="1"/>
  <c r="S152" i="1"/>
  <c r="Z152" i="1"/>
  <c r="Y152" i="1" s="1"/>
  <c r="AD157" i="1"/>
  <c r="Y157" i="1" s="1"/>
  <c r="T158" i="1"/>
  <c r="AK161" i="1"/>
  <c r="V164" i="1"/>
  <c r="S164" i="1" s="1"/>
  <c r="S165" i="1"/>
  <c r="Z165" i="1"/>
  <c r="Y165" i="1" s="1"/>
  <c r="AA168" i="1"/>
  <c r="Y168" i="1" s="1"/>
  <c r="AK169" i="1"/>
  <c r="T172" i="1"/>
  <c r="S172" i="1" s="1"/>
  <c r="S174" i="1"/>
  <c r="Z174" i="1"/>
  <c r="Y174" i="1" s="1"/>
  <c r="AK175" i="1"/>
  <c r="AK176" i="1"/>
  <c r="S177" i="1"/>
  <c r="Z177" i="1"/>
  <c r="Y177" i="1" s="1"/>
  <c r="AK178" i="1"/>
  <c r="AA179" i="1"/>
  <c r="Y179" i="1" s="1"/>
  <c r="S182" i="1"/>
  <c r="Z182" i="1"/>
  <c r="Y182" i="1" s="1"/>
  <c r="AK183" i="1"/>
  <c r="AD184" i="1"/>
  <c r="Y184" i="1" s="1"/>
  <c r="P185" i="1"/>
  <c r="AK186" i="1"/>
  <c r="S188" i="1"/>
  <c r="Z188" i="1"/>
  <c r="Y188" i="1" s="1"/>
  <c r="T189" i="1"/>
  <c r="AD190" i="1"/>
  <c r="Y190" i="1" s="1"/>
  <c r="P191" i="1"/>
  <c r="AK192" i="1"/>
  <c r="AD193" i="1"/>
  <c r="Y193" i="1" s="1"/>
  <c r="O195" i="1"/>
  <c r="AK82" i="2"/>
  <c r="T82" i="2"/>
  <c r="R113" i="2"/>
  <c r="AD113" i="2"/>
  <c r="N120" i="2"/>
  <c r="Z120" i="2"/>
  <c r="S120" i="2"/>
  <c r="S124" i="2"/>
  <c r="AA131" i="2"/>
  <c r="O131" i="2"/>
  <c r="O137" i="2"/>
  <c r="AA137" i="2"/>
  <c r="AA139" i="2"/>
  <c r="O139" i="2"/>
  <c r="M139" i="2" s="1"/>
  <c r="I139" i="2" s="1"/>
  <c r="AA147" i="2"/>
  <c r="O147" i="2"/>
  <c r="M147" i="2" s="1"/>
  <c r="I147" i="2" s="1"/>
  <c r="S165" i="2"/>
  <c r="Z165" i="2"/>
  <c r="Y165" i="2" s="1"/>
  <c r="N165" i="2"/>
  <c r="M165" i="2" s="1"/>
  <c r="I165" i="2" s="1"/>
  <c r="S169" i="2"/>
  <c r="Z169" i="2"/>
  <c r="Y169" i="2" s="1"/>
  <c r="N169" i="2"/>
  <c r="M169" i="2" s="1"/>
  <c r="I169" i="2" s="1"/>
  <c r="N173" i="2"/>
  <c r="M173" i="2" s="1"/>
  <c r="I173" i="2" s="1"/>
  <c r="R208" i="2"/>
  <c r="N218" i="2"/>
  <c r="Z218" i="2"/>
  <c r="AD226" i="2"/>
  <c r="S238" i="2"/>
  <c r="Z238" i="2"/>
  <c r="Y238" i="2" s="1"/>
  <c r="N238" i="2"/>
  <c r="M238" i="2" s="1"/>
  <c r="I238" i="2" s="1"/>
  <c r="Z262" i="2"/>
  <c r="Y262" i="2" s="1"/>
  <c r="P201" i="1"/>
  <c r="M201" i="1" s="1"/>
  <c r="I201" i="1" s="1"/>
  <c r="N202" i="1"/>
  <c r="M202" i="1" s="1"/>
  <c r="I202" i="1" s="1"/>
  <c r="AK203" i="1"/>
  <c r="O207" i="1"/>
  <c r="J101" i="2"/>
  <c r="Z118" i="2"/>
  <c r="Y118" i="2" s="1"/>
  <c r="S118" i="2"/>
  <c r="AA119" i="2"/>
  <c r="O119" i="2"/>
  <c r="O121" i="2"/>
  <c r="Z122" i="2"/>
  <c r="Y122" i="2" s="1"/>
  <c r="S122" i="2"/>
  <c r="N122" i="2"/>
  <c r="O125" i="2"/>
  <c r="AA125" i="2"/>
  <c r="Y125" i="2" s="1"/>
  <c r="AA135" i="2"/>
  <c r="O135" i="2"/>
  <c r="N142" i="2"/>
  <c r="S161" i="2"/>
  <c r="Z161" i="2"/>
  <c r="Y161" i="2" s="1"/>
  <c r="N161" i="2"/>
  <c r="M161" i="2" s="1"/>
  <c r="I161" i="2" s="1"/>
  <c r="S185" i="2"/>
  <c r="S189" i="2"/>
  <c r="Z189" i="2"/>
  <c r="Y189" i="2" s="1"/>
  <c r="N189" i="2"/>
  <c r="M189" i="2" s="1"/>
  <c r="I189" i="2" s="1"/>
  <c r="N222" i="2"/>
  <c r="Z222" i="2"/>
  <c r="S222" i="2"/>
  <c r="N230" i="2"/>
  <c r="Z230" i="2"/>
  <c r="S230" i="2"/>
  <c r="S234" i="2"/>
  <c r="Z234" i="2"/>
  <c r="Y234" i="2" s="1"/>
  <c r="N234" i="2"/>
  <c r="M234" i="2" s="1"/>
  <c r="I234" i="2" s="1"/>
  <c r="N250" i="2"/>
  <c r="M250" i="2" s="1"/>
  <c r="I250" i="2" s="1"/>
  <c r="S266" i="2"/>
  <c r="Z266" i="2"/>
  <c r="Y266" i="2" s="1"/>
  <c r="N266" i="2"/>
  <c r="M266" i="2" s="1"/>
  <c r="I266" i="2" s="1"/>
  <c r="U142" i="1"/>
  <c r="T44" i="1"/>
  <c r="T46" i="1"/>
  <c r="T47" i="1"/>
  <c r="T49" i="1"/>
  <c r="S52" i="1"/>
  <c r="S54" i="1"/>
  <c r="S56" i="1"/>
  <c r="N65" i="1"/>
  <c r="S65" i="1"/>
  <c r="S69" i="1"/>
  <c r="S71" i="1"/>
  <c r="S73" i="1"/>
  <c r="T79" i="1"/>
  <c r="S81" i="1"/>
  <c r="S85" i="1"/>
  <c r="T90" i="1"/>
  <c r="P93" i="1"/>
  <c r="T93" i="1"/>
  <c r="X93" i="1"/>
  <c r="S102" i="1"/>
  <c r="S103" i="1"/>
  <c r="T105" i="1"/>
  <c r="S108" i="1"/>
  <c r="S109" i="1"/>
  <c r="T110" i="1"/>
  <c r="P114" i="1"/>
  <c r="T114" i="1"/>
  <c r="X114" i="1"/>
  <c r="S118" i="1"/>
  <c r="S119" i="1"/>
  <c r="N126" i="1"/>
  <c r="M126" i="1" s="1"/>
  <c r="I126" i="1" s="1"/>
  <c r="S126" i="1"/>
  <c r="O130" i="1"/>
  <c r="T134" i="1"/>
  <c r="T137" i="1"/>
  <c r="T146" i="1"/>
  <c r="P148" i="1"/>
  <c r="T148" i="1"/>
  <c r="X148" i="1"/>
  <c r="T150" i="1"/>
  <c r="T151" i="1"/>
  <c r="S159" i="1"/>
  <c r="T160" i="1"/>
  <c r="S173" i="1"/>
  <c r="S181" i="1"/>
  <c r="N185" i="1"/>
  <c r="M185" i="1" s="1"/>
  <c r="I185" i="1" s="1"/>
  <c r="S185" i="1"/>
  <c r="S187" i="1"/>
  <c r="N191" i="1"/>
  <c r="M191" i="1" s="1"/>
  <c r="I191" i="1" s="1"/>
  <c r="S191" i="1"/>
  <c r="T194" i="1"/>
  <c r="O198" i="1"/>
  <c r="Q201" i="1"/>
  <c r="T204" i="1"/>
  <c r="P207" i="1"/>
  <c r="T207" i="1"/>
  <c r="X207" i="1"/>
  <c r="T208" i="1"/>
  <c r="AW112" i="2"/>
  <c r="X112" i="2" s="1"/>
  <c r="AW115" i="2"/>
  <c r="X115" i="2" s="1"/>
  <c r="AW109" i="2"/>
  <c r="X109" i="2" s="1"/>
  <c r="T76" i="2"/>
  <c r="T78" i="2"/>
  <c r="T80" i="2"/>
  <c r="J81" i="2"/>
  <c r="J103" i="2"/>
  <c r="J106" i="2"/>
  <c r="S106" i="2"/>
  <c r="Z106" i="2"/>
  <c r="Y106" i="2" s="1"/>
  <c r="N106" i="2"/>
  <c r="M106" i="2" s="1"/>
  <c r="I106" i="2" s="1"/>
  <c r="Z107" i="2"/>
  <c r="S107" i="2"/>
  <c r="Y121" i="2"/>
  <c r="S138" i="2"/>
  <c r="Z146" i="2"/>
  <c r="Y146" i="2" s="1"/>
  <c r="S146" i="2"/>
  <c r="N146" i="2"/>
  <c r="N149" i="2"/>
  <c r="M149" i="2" s="1"/>
  <c r="I149" i="2" s="1"/>
  <c r="S153" i="2"/>
  <c r="Z153" i="2"/>
  <c r="Y153" i="2" s="1"/>
  <c r="N153" i="2"/>
  <c r="M153" i="2" s="1"/>
  <c r="I153" i="2" s="1"/>
  <c r="S157" i="2"/>
  <c r="Z157" i="2"/>
  <c r="Y157" i="2" s="1"/>
  <c r="N157" i="2"/>
  <c r="M157" i="2" s="1"/>
  <c r="I157" i="2" s="1"/>
  <c r="Z163" i="2"/>
  <c r="Y163" i="2" s="1"/>
  <c r="N163" i="2"/>
  <c r="M163" i="2" s="1"/>
  <c r="I163" i="2" s="1"/>
  <c r="S163" i="2"/>
  <c r="S181" i="2"/>
  <c r="Z181" i="2"/>
  <c r="Y181" i="2" s="1"/>
  <c r="N181" i="2"/>
  <c r="M181" i="2" s="1"/>
  <c r="I181" i="2" s="1"/>
  <c r="S193" i="2"/>
  <c r="Z193" i="2"/>
  <c r="Y193" i="2" s="1"/>
  <c r="N193" i="2"/>
  <c r="M193" i="2" s="1"/>
  <c r="I193" i="2" s="1"/>
  <c r="S197" i="2"/>
  <c r="Z197" i="2"/>
  <c r="Y197" i="2" s="1"/>
  <c r="N197" i="2"/>
  <c r="M197" i="2" s="1"/>
  <c r="I197" i="2" s="1"/>
  <c r="R200" i="2"/>
  <c r="AD200" i="2"/>
  <c r="AD202" i="2"/>
  <c r="S204" i="2"/>
  <c r="R206" i="2"/>
  <c r="Y214" i="2"/>
  <c r="Z220" i="2"/>
  <c r="Y220" i="2" s="1"/>
  <c r="R222" i="2"/>
  <c r="AD222" i="2"/>
  <c r="N224" i="2"/>
  <c r="Z224" i="2"/>
  <c r="S224" i="2"/>
  <c r="R230" i="2"/>
  <c r="AD230" i="2"/>
  <c r="Z246" i="2"/>
  <c r="Y246" i="2" s="1"/>
  <c r="S254" i="2"/>
  <c r="Z254" i="2"/>
  <c r="Y254" i="2" s="1"/>
  <c r="N254" i="2"/>
  <c r="M254" i="2" s="1"/>
  <c r="I254" i="2" s="1"/>
  <c r="Z277" i="2"/>
  <c r="Y277" i="2" s="1"/>
  <c r="N277" i="2"/>
  <c r="M277" i="2" s="1"/>
  <c r="I277" i="2" s="1"/>
  <c r="Z280" i="2"/>
  <c r="Y280" i="2" s="1"/>
  <c r="N280" i="2"/>
  <c r="M280" i="2" s="1"/>
  <c r="I280" i="2" s="1"/>
  <c r="S285" i="2"/>
  <c r="Z285" i="2"/>
  <c r="Y285" i="2" s="1"/>
  <c r="N285" i="2"/>
  <c r="M285" i="2" s="1"/>
  <c r="I285" i="2" s="1"/>
  <c r="AK287" i="2"/>
  <c r="T287" i="2"/>
  <c r="AD296" i="2"/>
  <c r="R296" i="2"/>
  <c r="AD304" i="2"/>
  <c r="R304" i="2"/>
  <c r="AA307" i="2"/>
  <c r="O307" i="2"/>
  <c r="AA311" i="2"/>
  <c r="O311" i="2"/>
  <c r="Z314" i="2"/>
  <c r="Y314" i="2" s="1"/>
  <c r="Z318" i="2"/>
  <c r="Y318" i="2" s="1"/>
  <c r="N318" i="2"/>
  <c r="M318" i="2" s="1"/>
  <c r="I318" i="2" s="1"/>
  <c r="S318" i="2"/>
  <c r="Z322" i="2"/>
  <c r="Y322" i="2" s="1"/>
  <c r="N322" i="2"/>
  <c r="M322" i="2" s="1"/>
  <c r="I322" i="2" s="1"/>
  <c r="S322" i="2"/>
  <c r="Z326" i="2"/>
  <c r="Y326" i="2" s="1"/>
  <c r="N326" i="2"/>
  <c r="M326" i="2" s="1"/>
  <c r="I326" i="2" s="1"/>
  <c r="S326" i="2"/>
  <c r="Z330" i="2"/>
  <c r="Y330" i="2" s="1"/>
  <c r="Z334" i="2"/>
  <c r="Y334" i="2" s="1"/>
  <c r="N334" i="2"/>
  <c r="M334" i="2" s="1"/>
  <c r="I334" i="2" s="1"/>
  <c r="S334" i="2"/>
  <c r="Z338" i="2"/>
  <c r="Y338" i="2" s="1"/>
  <c r="N338" i="2"/>
  <c r="M338" i="2" s="1"/>
  <c r="I338" i="2" s="1"/>
  <c r="S338" i="2"/>
  <c r="Z342" i="2"/>
  <c r="Y342" i="2" s="1"/>
  <c r="N342" i="2"/>
  <c r="M342" i="2" s="1"/>
  <c r="I342" i="2" s="1"/>
  <c r="S342" i="2"/>
  <c r="Z346" i="2"/>
  <c r="Y346" i="2" s="1"/>
  <c r="N346" i="2"/>
  <c r="M346" i="2" s="1"/>
  <c r="I346" i="2" s="1"/>
  <c r="S346" i="2"/>
  <c r="Z350" i="2"/>
  <c r="Y350" i="2" s="1"/>
  <c r="N350" i="2"/>
  <c r="M350" i="2" s="1"/>
  <c r="I350" i="2" s="1"/>
  <c r="S350" i="2"/>
  <c r="Z364" i="2"/>
  <c r="N364" i="2"/>
  <c r="V368" i="2"/>
  <c r="AK368" i="2"/>
  <c r="V370" i="2"/>
  <c r="AK370" i="2"/>
  <c r="P375" i="2"/>
  <c r="S382" i="2"/>
  <c r="Z382" i="2"/>
  <c r="N382" i="2"/>
  <c r="Z388" i="2"/>
  <c r="N388" i="2"/>
  <c r="J390" i="2"/>
  <c r="N391" i="2"/>
  <c r="J398" i="2"/>
  <c r="N399" i="2"/>
  <c r="Z399" i="2"/>
  <c r="N400" i="2"/>
  <c r="J406" i="2"/>
  <c r="AA406" i="2"/>
  <c r="O406" i="2"/>
  <c r="AJ102" i="2"/>
  <c r="AJ104" i="2"/>
  <c r="AJ106" i="2"/>
  <c r="R110" i="2"/>
  <c r="R114" i="2"/>
  <c r="R116" i="2"/>
  <c r="O118" i="2"/>
  <c r="Z119" i="2"/>
  <c r="Y119" i="2" s="1"/>
  <c r="AA120" i="2"/>
  <c r="N121" i="2"/>
  <c r="O122" i="2"/>
  <c r="S123" i="2"/>
  <c r="Z123" i="2"/>
  <c r="Y123" i="2" s="1"/>
  <c r="N125" i="2"/>
  <c r="O126" i="2"/>
  <c r="S127" i="2"/>
  <c r="Z127" i="2"/>
  <c r="AA128" i="2"/>
  <c r="O130" i="2"/>
  <c r="S131" i="2"/>
  <c r="Z131" i="2"/>
  <c r="AA132" i="2"/>
  <c r="N133" i="2"/>
  <c r="O134" i="2"/>
  <c r="AA136" i="2"/>
  <c r="O138" i="2"/>
  <c r="S139" i="2"/>
  <c r="Z139" i="2"/>
  <c r="AA140" i="2"/>
  <c r="Y140" i="2" s="1"/>
  <c r="O142" i="2"/>
  <c r="Z143" i="2"/>
  <c r="AA144" i="2"/>
  <c r="Y144" i="2" s="1"/>
  <c r="N145" i="2"/>
  <c r="O146" i="2"/>
  <c r="S147" i="2"/>
  <c r="Z147" i="2"/>
  <c r="Y147" i="2" s="1"/>
  <c r="T167" i="2"/>
  <c r="T171" i="2"/>
  <c r="T175" i="2"/>
  <c r="T179" i="2"/>
  <c r="T183" i="2"/>
  <c r="T187" i="2"/>
  <c r="T191" i="2"/>
  <c r="T195" i="2"/>
  <c r="T199" i="2"/>
  <c r="R207" i="2"/>
  <c r="R213" i="2"/>
  <c r="R215" i="2"/>
  <c r="R217" i="2"/>
  <c r="R219" i="2"/>
  <c r="R223" i="2"/>
  <c r="R225" i="2"/>
  <c r="M225" i="2" s="1"/>
  <c r="I225" i="2" s="1"/>
  <c r="R227" i="2"/>
  <c r="T232" i="2"/>
  <c r="T236" i="2"/>
  <c r="T240" i="2"/>
  <c r="T244" i="2"/>
  <c r="T248" i="2"/>
  <c r="T252" i="2"/>
  <c r="T256" i="2"/>
  <c r="T260" i="2"/>
  <c r="T264" i="2"/>
  <c r="T268" i="2"/>
  <c r="Z270" i="2"/>
  <c r="Y270" i="2" s="1"/>
  <c r="N271" i="2"/>
  <c r="M271" i="2" s="1"/>
  <c r="I271" i="2" s="1"/>
  <c r="Z274" i="2"/>
  <c r="Y274" i="2" s="1"/>
  <c r="T278" i="2"/>
  <c r="S280" i="2"/>
  <c r="N284" i="2"/>
  <c r="M284" i="2" s="1"/>
  <c r="I284" i="2" s="1"/>
  <c r="S288" i="2"/>
  <c r="AD298" i="2"/>
  <c r="R298" i="2"/>
  <c r="AA301" i="2"/>
  <c r="O301" i="2"/>
  <c r="AA305" i="2"/>
  <c r="O305" i="2"/>
  <c r="X309" i="2"/>
  <c r="AA309" i="2"/>
  <c r="O309" i="2"/>
  <c r="Z317" i="2"/>
  <c r="Y317" i="2" s="1"/>
  <c r="N317" i="2"/>
  <c r="M317" i="2" s="1"/>
  <c r="I317" i="2" s="1"/>
  <c r="S317" i="2"/>
  <c r="Z321" i="2"/>
  <c r="Y321" i="2" s="1"/>
  <c r="N321" i="2"/>
  <c r="M321" i="2" s="1"/>
  <c r="I321" i="2" s="1"/>
  <c r="S321" i="2"/>
  <c r="Z325" i="2"/>
  <c r="Y325" i="2" s="1"/>
  <c r="N325" i="2"/>
  <c r="M325" i="2" s="1"/>
  <c r="I325" i="2" s="1"/>
  <c r="S325" i="2"/>
  <c r="Z329" i="2"/>
  <c r="Y329" i="2" s="1"/>
  <c r="N329" i="2"/>
  <c r="M329" i="2" s="1"/>
  <c r="I329" i="2" s="1"/>
  <c r="S329" i="2"/>
  <c r="Z333" i="2"/>
  <c r="Y333" i="2" s="1"/>
  <c r="N333" i="2"/>
  <c r="M333" i="2" s="1"/>
  <c r="I333" i="2" s="1"/>
  <c r="S333" i="2"/>
  <c r="Z337" i="2"/>
  <c r="Y337" i="2" s="1"/>
  <c r="N337" i="2"/>
  <c r="M337" i="2" s="1"/>
  <c r="I337" i="2" s="1"/>
  <c r="S337" i="2"/>
  <c r="Z341" i="2"/>
  <c r="Y341" i="2" s="1"/>
  <c r="N341" i="2"/>
  <c r="M341" i="2" s="1"/>
  <c r="I341" i="2" s="1"/>
  <c r="S341" i="2"/>
  <c r="Z345" i="2"/>
  <c r="Y345" i="2" s="1"/>
  <c r="N345" i="2"/>
  <c r="M345" i="2" s="1"/>
  <c r="I345" i="2" s="1"/>
  <c r="S345" i="2"/>
  <c r="Z349" i="2"/>
  <c r="Y349" i="2" s="1"/>
  <c r="N349" i="2"/>
  <c r="M349" i="2" s="1"/>
  <c r="I349" i="2" s="1"/>
  <c r="S349" i="2"/>
  <c r="Z358" i="2"/>
  <c r="N358" i="2"/>
  <c r="Z360" i="2"/>
  <c r="N360" i="2"/>
  <c r="Z362" i="2"/>
  <c r="N362" i="2"/>
  <c r="V372" i="2"/>
  <c r="AK372" i="2"/>
  <c r="AB382" i="2"/>
  <c r="P382" i="2"/>
  <c r="S384" i="2"/>
  <c r="Z384" i="2"/>
  <c r="N384" i="2"/>
  <c r="Z386" i="2"/>
  <c r="N386" i="2"/>
  <c r="V388" i="2"/>
  <c r="AK388" i="2"/>
  <c r="J389" i="2"/>
  <c r="O396" i="2"/>
  <c r="AA396" i="2"/>
  <c r="J397" i="2"/>
  <c r="O398" i="2"/>
  <c r="O404" i="2"/>
  <c r="M404" i="2" s="1"/>
  <c r="I404" i="2" s="1"/>
  <c r="AA404" i="2"/>
  <c r="O410" i="2"/>
  <c r="O425" i="2"/>
  <c r="M425" i="2" s="1"/>
  <c r="I425" i="2" s="1"/>
  <c r="AA425" i="2"/>
  <c r="T84" i="2"/>
  <c r="T86" i="2"/>
  <c r="T88" i="2"/>
  <c r="T90" i="2"/>
  <c r="T92" i="2"/>
  <c r="Z93" i="2"/>
  <c r="Y93" i="2" s="1"/>
  <c r="T94" i="2"/>
  <c r="N95" i="2"/>
  <c r="M95" i="2" s="1"/>
  <c r="I95" i="2" s="1"/>
  <c r="Z95" i="2"/>
  <c r="Y95" i="2" s="1"/>
  <c r="T96" i="2"/>
  <c r="T98" i="2"/>
  <c r="N99" i="2"/>
  <c r="M99" i="2" s="1"/>
  <c r="I99" i="2" s="1"/>
  <c r="Z99" i="2"/>
  <c r="Y99" i="2" s="1"/>
  <c r="T100" i="2"/>
  <c r="N101" i="2"/>
  <c r="M101" i="2" s="1"/>
  <c r="I101" i="2" s="1"/>
  <c r="Z101" i="2"/>
  <c r="Y101" i="2" s="1"/>
  <c r="N103" i="2"/>
  <c r="M103" i="2" s="1"/>
  <c r="I103" i="2" s="1"/>
  <c r="N105" i="2"/>
  <c r="M105" i="2" s="1"/>
  <c r="I105" i="2" s="1"/>
  <c r="Z105" i="2"/>
  <c r="Y105" i="2" s="1"/>
  <c r="T150" i="2"/>
  <c r="N152" i="2"/>
  <c r="M152" i="2" s="1"/>
  <c r="I152" i="2" s="1"/>
  <c r="Z152" i="2"/>
  <c r="Y152" i="2" s="1"/>
  <c r="T154" i="2"/>
  <c r="N156" i="2"/>
  <c r="M156" i="2" s="1"/>
  <c r="I156" i="2" s="1"/>
  <c r="Z156" i="2"/>
  <c r="Y156" i="2" s="1"/>
  <c r="T158" i="2"/>
  <c r="N160" i="2"/>
  <c r="M160" i="2" s="1"/>
  <c r="I160" i="2" s="1"/>
  <c r="Z160" i="2"/>
  <c r="Y160" i="2" s="1"/>
  <c r="T162" i="2"/>
  <c r="T166" i="2"/>
  <c r="T170" i="2"/>
  <c r="Z172" i="2"/>
  <c r="Y172" i="2" s="1"/>
  <c r="T174" i="2"/>
  <c r="Z176" i="2"/>
  <c r="Y176" i="2" s="1"/>
  <c r="T178" i="2"/>
  <c r="T182" i="2"/>
  <c r="N184" i="2"/>
  <c r="M184" i="2" s="1"/>
  <c r="I184" i="2" s="1"/>
  <c r="T186" i="2"/>
  <c r="N188" i="2"/>
  <c r="M188" i="2" s="1"/>
  <c r="I188" i="2" s="1"/>
  <c r="Z188" i="2"/>
  <c r="Y188" i="2" s="1"/>
  <c r="T190" i="2"/>
  <c r="N192" i="2"/>
  <c r="M192" i="2" s="1"/>
  <c r="I192" i="2" s="1"/>
  <c r="Z192" i="2"/>
  <c r="Y192" i="2" s="1"/>
  <c r="T194" i="2"/>
  <c r="N196" i="2"/>
  <c r="M196" i="2" s="1"/>
  <c r="I196" i="2" s="1"/>
  <c r="Z196" i="2"/>
  <c r="Y196" i="2" s="1"/>
  <c r="T198" i="2"/>
  <c r="S201" i="2"/>
  <c r="S211" i="2"/>
  <c r="S213" i="2"/>
  <c r="S215" i="2"/>
  <c r="S219" i="2"/>
  <c r="S225" i="2"/>
  <c r="T231" i="2"/>
  <c r="N233" i="2"/>
  <c r="M233" i="2" s="1"/>
  <c r="I233" i="2" s="1"/>
  <c r="Z233" i="2"/>
  <c r="Y233" i="2" s="1"/>
  <c r="T235" i="2"/>
  <c r="N237" i="2"/>
  <c r="M237" i="2" s="1"/>
  <c r="I237" i="2" s="1"/>
  <c r="Z237" i="2"/>
  <c r="Y237" i="2" s="1"/>
  <c r="T239" i="2"/>
  <c r="T243" i="2"/>
  <c r="Z245" i="2"/>
  <c r="Y245" i="2" s="1"/>
  <c r="T247" i="2"/>
  <c r="N249" i="2"/>
  <c r="M249" i="2" s="1"/>
  <c r="I249" i="2" s="1"/>
  <c r="Z249" i="2"/>
  <c r="Y249" i="2" s="1"/>
  <c r="T251" i="2"/>
  <c r="N253" i="2"/>
  <c r="M253" i="2" s="1"/>
  <c r="I253" i="2" s="1"/>
  <c r="T255" i="2"/>
  <c r="T259" i="2"/>
  <c r="T263" i="2"/>
  <c r="N265" i="2"/>
  <c r="M265" i="2" s="1"/>
  <c r="I265" i="2" s="1"/>
  <c r="Z265" i="2"/>
  <c r="Y265" i="2" s="1"/>
  <c r="T267" i="2"/>
  <c r="T269" i="2"/>
  <c r="N270" i="2"/>
  <c r="M270" i="2" s="1"/>
  <c r="I270" i="2" s="1"/>
  <c r="J272" i="2"/>
  <c r="Z273" i="2"/>
  <c r="Y273" i="2" s="1"/>
  <c r="AK279" i="2"/>
  <c r="T279" i="2"/>
  <c r="T282" i="2"/>
  <c r="S292" i="2"/>
  <c r="Z292" i="2"/>
  <c r="Y292" i="2" s="1"/>
  <c r="N292" i="2"/>
  <c r="M292" i="2" s="1"/>
  <c r="I292" i="2" s="1"/>
  <c r="AA295" i="2"/>
  <c r="O295" i="2"/>
  <c r="AA299" i="2"/>
  <c r="O299" i="2"/>
  <c r="X303" i="2"/>
  <c r="AA303" i="2"/>
  <c r="AD308" i="2"/>
  <c r="R308" i="2"/>
  <c r="AD312" i="2"/>
  <c r="R312" i="2"/>
  <c r="Z316" i="2"/>
  <c r="Y316" i="2" s="1"/>
  <c r="N316" i="2"/>
  <c r="M316" i="2" s="1"/>
  <c r="I316" i="2" s="1"/>
  <c r="S316" i="2"/>
  <c r="Z320" i="2"/>
  <c r="Y320" i="2" s="1"/>
  <c r="N320" i="2"/>
  <c r="M320" i="2" s="1"/>
  <c r="I320" i="2" s="1"/>
  <c r="S320" i="2"/>
  <c r="Z324" i="2"/>
  <c r="Y324" i="2" s="1"/>
  <c r="N324" i="2"/>
  <c r="M324" i="2" s="1"/>
  <c r="I324" i="2" s="1"/>
  <c r="S324" i="2"/>
  <c r="Z328" i="2"/>
  <c r="Y328" i="2" s="1"/>
  <c r="N328" i="2"/>
  <c r="M328" i="2" s="1"/>
  <c r="I328" i="2" s="1"/>
  <c r="S328" i="2"/>
  <c r="Z332" i="2"/>
  <c r="Y332" i="2" s="1"/>
  <c r="N332" i="2"/>
  <c r="M332" i="2" s="1"/>
  <c r="I332" i="2" s="1"/>
  <c r="S332" i="2"/>
  <c r="Z336" i="2"/>
  <c r="Y336" i="2" s="1"/>
  <c r="N336" i="2"/>
  <c r="M336" i="2" s="1"/>
  <c r="I336" i="2" s="1"/>
  <c r="S336" i="2"/>
  <c r="Z340" i="2"/>
  <c r="Y340" i="2" s="1"/>
  <c r="N340" i="2"/>
  <c r="M340" i="2" s="1"/>
  <c r="I340" i="2" s="1"/>
  <c r="S340" i="2"/>
  <c r="Z344" i="2"/>
  <c r="Y344" i="2" s="1"/>
  <c r="N344" i="2"/>
  <c r="M344" i="2" s="1"/>
  <c r="I344" i="2" s="1"/>
  <c r="S344" i="2"/>
  <c r="Z348" i="2"/>
  <c r="Y348" i="2" s="1"/>
  <c r="N348" i="2"/>
  <c r="M348" i="2" s="1"/>
  <c r="I348" i="2" s="1"/>
  <c r="S348" i="2"/>
  <c r="Z352" i="2"/>
  <c r="Y352" i="2" s="1"/>
  <c r="N352" i="2"/>
  <c r="M352" i="2" s="1"/>
  <c r="I352" i="2" s="1"/>
  <c r="S352" i="2"/>
  <c r="S353" i="2"/>
  <c r="Z353" i="2"/>
  <c r="Y353" i="2" s="1"/>
  <c r="N353" i="2"/>
  <c r="M353" i="2" s="1"/>
  <c r="I353" i="2" s="1"/>
  <c r="S354" i="2"/>
  <c r="Z354" i="2"/>
  <c r="Y354" i="2" s="1"/>
  <c r="N354" i="2"/>
  <c r="M354" i="2" s="1"/>
  <c r="I354" i="2" s="1"/>
  <c r="S355" i="2"/>
  <c r="Z355" i="2"/>
  <c r="Y355" i="2" s="1"/>
  <c r="N355" i="2"/>
  <c r="M355" i="2" s="1"/>
  <c r="I355" i="2" s="1"/>
  <c r="S356" i="2"/>
  <c r="Z356" i="2"/>
  <c r="Y356" i="2" s="1"/>
  <c r="N356" i="2"/>
  <c r="M356" i="2" s="1"/>
  <c r="I356" i="2" s="1"/>
  <c r="V358" i="2"/>
  <c r="AK358" i="2"/>
  <c r="V360" i="2"/>
  <c r="S360" i="2" s="1"/>
  <c r="AK360" i="2"/>
  <c r="V362" i="2"/>
  <c r="S362" i="2" s="1"/>
  <c r="AK362" i="2"/>
  <c r="AB365" i="2"/>
  <c r="P365" i="2"/>
  <c r="AB373" i="2"/>
  <c r="P373" i="2"/>
  <c r="AB374" i="2"/>
  <c r="Z374" i="2"/>
  <c r="N374" i="2"/>
  <c r="Z378" i="2"/>
  <c r="N378" i="2"/>
  <c r="Z380" i="2"/>
  <c r="N380" i="2"/>
  <c r="V386" i="2"/>
  <c r="AK386" i="2"/>
  <c r="N403" i="2"/>
  <c r="Z403" i="2"/>
  <c r="Y403" i="2" s="1"/>
  <c r="S403" i="2"/>
  <c r="Y406" i="2"/>
  <c r="N407" i="2"/>
  <c r="Z407" i="2"/>
  <c r="Y407" i="2" s="1"/>
  <c r="O408" i="2"/>
  <c r="AA408" i="2"/>
  <c r="O417" i="2"/>
  <c r="M417" i="2" s="1"/>
  <c r="I417" i="2" s="1"/>
  <c r="AA417" i="2"/>
  <c r="S121" i="2"/>
  <c r="S125" i="2"/>
  <c r="S141" i="2"/>
  <c r="AK270" i="2"/>
  <c r="N273" i="2"/>
  <c r="M273" i="2" s="1"/>
  <c r="I273" i="2" s="1"/>
  <c r="N274" i="2"/>
  <c r="M274" i="2" s="1"/>
  <c r="I274" i="2" s="1"/>
  <c r="AK274" i="2"/>
  <c r="AK275" i="2"/>
  <c r="T275" i="2"/>
  <c r="J276" i="2"/>
  <c r="S281" i="2"/>
  <c r="Z281" i="2"/>
  <c r="Y281" i="2" s="1"/>
  <c r="N281" i="2"/>
  <c r="M281" i="2" s="1"/>
  <c r="I281" i="2" s="1"/>
  <c r="AK283" i="2"/>
  <c r="T283" i="2"/>
  <c r="T286" i="2"/>
  <c r="S290" i="2"/>
  <c r="Z290" i="2"/>
  <c r="Y290" i="2" s="1"/>
  <c r="N290" i="2"/>
  <c r="M290" i="2" s="1"/>
  <c r="I290" i="2" s="1"/>
  <c r="AA293" i="2"/>
  <c r="O293" i="2"/>
  <c r="X297" i="2"/>
  <c r="AA297" i="2"/>
  <c r="O297" i="2"/>
  <c r="AD302" i="2"/>
  <c r="R302" i="2"/>
  <c r="AD310" i="2"/>
  <c r="R310" i="2"/>
  <c r="AA313" i="2"/>
  <c r="O313" i="2"/>
  <c r="Z315" i="2"/>
  <c r="Y315" i="2" s="1"/>
  <c r="N315" i="2"/>
  <c r="M315" i="2" s="1"/>
  <c r="I315" i="2" s="1"/>
  <c r="S315" i="2"/>
  <c r="Z319" i="2"/>
  <c r="Y319" i="2" s="1"/>
  <c r="N319" i="2"/>
  <c r="M319" i="2" s="1"/>
  <c r="I319" i="2" s="1"/>
  <c r="S319" i="2"/>
  <c r="Z323" i="2"/>
  <c r="Y323" i="2" s="1"/>
  <c r="N323" i="2"/>
  <c r="M323" i="2" s="1"/>
  <c r="I323" i="2" s="1"/>
  <c r="S323" i="2"/>
  <c r="Z327" i="2"/>
  <c r="Y327" i="2" s="1"/>
  <c r="N327" i="2"/>
  <c r="M327" i="2" s="1"/>
  <c r="I327" i="2" s="1"/>
  <c r="S327" i="2"/>
  <c r="Z331" i="2"/>
  <c r="Y331" i="2" s="1"/>
  <c r="N331" i="2"/>
  <c r="M331" i="2" s="1"/>
  <c r="I331" i="2" s="1"/>
  <c r="S331" i="2"/>
  <c r="Z335" i="2"/>
  <c r="Y335" i="2" s="1"/>
  <c r="N335" i="2"/>
  <c r="M335" i="2" s="1"/>
  <c r="I335" i="2" s="1"/>
  <c r="S335" i="2"/>
  <c r="Z339" i="2"/>
  <c r="Y339" i="2" s="1"/>
  <c r="N339" i="2"/>
  <c r="M339" i="2" s="1"/>
  <c r="I339" i="2" s="1"/>
  <c r="S339" i="2"/>
  <c r="Z343" i="2"/>
  <c r="Y343" i="2" s="1"/>
  <c r="N343" i="2"/>
  <c r="M343" i="2" s="1"/>
  <c r="I343" i="2" s="1"/>
  <c r="S343" i="2"/>
  <c r="Z347" i="2"/>
  <c r="Y347" i="2" s="1"/>
  <c r="S347" i="2"/>
  <c r="Z351" i="2"/>
  <c r="Y351" i="2" s="1"/>
  <c r="N351" i="2"/>
  <c r="M351" i="2" s="1"/>
  <c r="I351" i="2" s="1"/>
  <c r="S351" i="2"/>
  <c r="S368" i="2"/>
  <c r="Z368" i="2"/>
  <c r="N368" i="2"/>
  <c r="Z370" i="2"/>
  <c r="N370" i="2"/>
  <c r="V376" i="2"/>
  <c r="AK376" i="2"/>
  <c r="V378" i="2"/>
  <c r="AK378" i="2"/>
  <c r="V380" i="2"/>
  <c r="S380" i="2" s="1"/>
  <c r="AK380" i="2"/>
  <c r="AB387" i="2"/>
  <c r="P387" i="2"/>
  <c r="O392" i="2"/>
  <c r="AA392" i="2"/>
  <c r="AA394" i="2"/>
  <c r="Y394" i="2" s="1"/>
  <c r="O394" i="2"/>
  <c r="O400" i="2"/>
  <c r="AA400" i="2"/>
  <c r="AA402" i="2"/>
  <c r="O402" i="2"/>
  <c r="N411" i="2"/>
  <c r="Z411" i="2"/>
  <c r="Y411" i="2" s="1"/>
  <c r="S411" i="2"/>
  <c r="U294" i="2"/>
  <c r="U296" i="2"/>
  <c r="S296" i="2" s="1"/>
  <c r="U298" i="2"/>
  <c r="S298" i="2" s="1"/>
  <c r="U300" i="2"/>
  <c r="U302" i="2"/>
  <c r="U304" i="2"/>
  <c r="S304" i="2" s="1"/>
  <c r="U306" i="2"/>
  <c r="X306" i="2" s="1"/>
  <c r="U308" i="2"/>
  <c r="S308" i="2" s="1"/>
  <c r="U310" i="2"/>
  <c r="U312" i="2"/>
  <c r="AJ358" i="2"/>
  <c r="H359" i="2"/>
  <c r="AJ360" i="2"/>
  <c r="H361" i="2"/>
  <c r="AJ362" i="2"/>
  <c r="H363" i="2"/>
  <c r="H367" i="2"/>
  <c r="AJ368" i="2"/>
  <c r="H369" i="2"/>
  <c r="AJ370" i="2"/>
  <c r="H371" i="2"/>
  <c r="AJ372" i="2"/>
  <c r="AJ376" i="2"/>
  <c r="H377" i="2"/>
  <c r="AJ378" i="2"/>
  <c r="H379" i="2"/>
  <c r="H381" i="2"/>
  <c r="H385" i="2"/>
  <c r="T389" i="2"/>
  <c r="AA389" i="2"/>
  <c r="N390" i="2"/>
  <c r="AJ391" i="2"/>
  <c r="T393" i="2"/>
  <c r="AA393" i="2"/>
  <c r="N394" i="2"/>
  <c r="AJ395" i="2"/>
  <c r="S396" i="2"/>
  <c r="Z396" i="2"/>
  <c r="T397" i="2"/>
  <c r="AA397" i="2"/>
  <c r="N398" i="2"/>
  <c r="AJ399" i="2"/>
  <c r="S400" i="2"/>
  <c r="Z400" i="2"/>
  <c r="Y400" i="2" s="1"/>
  <c r="T401" i="2"/>
  <c r="AA401" i="2"/>
  <c r="O403" i="2"/>
  <c r="AJ403" i="2"/>
  <c r="S404" i="2"/>
  <c r="Z404" i="2"/>
  <c r="Y404" i="2" s="1"/>
  <c r="T405" i="2"/>
  <c r="AA405" i="2"/>
  <c r="N406" i="2"/>
  <c r="O407" i="2"/>
  <c r="AJ407" i="2"/>
  <c r="S408" i="2"/>
  <c r="Z408" i="2"/>
  <c r="T409" i="2"/>
  <c r="AA409" i="2"/>
  <c r="N410" i="2"/>
  <c r="O411" i="2"/>
  <c r="AJ411" i="2"/>
  <c r="S412" i="2"/>
  <c r="Z412" i="2"/>
  <c r="Y412" i="2" s="1"/>
  <c r="U414" i="2"/>
  <c r="O418" i="2"/>
  <c r="T420" i="2"/>
  <c r="T421" i="2"/>
  <c r="Z423" i="2"/>
  <c r="AJ423" i="2"/>
  <c r="J423" i="2"/>
  <c r="S424" i="2"/>
  <c r="AK425" i="2"/>
  <c r="S426" i="2"/>
  <c r="AA429" i="2"/>
  <c r="AJ432" i="2"/>
  <c r="T432" i="2"/>
  <c r="AJ436" i="2"/>
  <c r="T436" i="2"/>
  <c r="N443" i="2"/>
  <c r="Z443" i="2"/>
  <c r="J444" i="2"/>
  <c r="AA453" i="2"/>
  <c r="Z455" i="2"/>
  <c r="N455" i="2"/>
  <c r="AA456" i="2"/>
  <c r="O456" i="2"/>
  <c r="Z459" i="2"/>
  <c r="Y459" i="2" s="1"/>
  <c r="N459" i="2"/>
  <c r="S459" i="2"/>
  <c r="Z463" i="2"/>
  <c r="N463" i="2"/>
  <c r="S463" i="2"/>
  <c r="AA464" i="2"/>
  <c r="O464" i="2"/>
  <c r="Z467" i="2"/>
  <c r="N467" i="2"/>
  <c r="S467" i="2"/>
  <c r="Z471" i="2"/>
  <c r="Y471" i="2" s="1"/>
  <c r="N471" i="2"/>
  <c r="Z475" i="2"/>
  <c r="N475" i="2"/>
  <c r="N479" i="2"/>
  <c r="S479" i="2"/>
  <c r="Z483" i="2"/>
  <c r="Y483" i="2" s="1"/>
  <c r="N483" i="2"/>
  <c r="S483" i="2"/>
  <c r="Z487" i="2"/>
  <c r="Y487" i="2" s="1"/>
  <c r="N487" i="2"/>
  <c r="AA488" i="2"/>
  <c r="O488" i="2"/>
  <c r="Z491" i="2"/>
  <c r="N491" i="2"/>
  <c r="S491" i="2"/>
  <c r="AA492" i="2"/>
  <c r="O492" i="2"/>
  <c r="AA497" i="2"/>
  <c r="AA501" i="2"/>
  <c r="AA505" i="2"/>
  <c r="AA506" i="2"/>
  <c r="O506" i="2"/>
  <c r="AA509" i="2"/>
  <c r="AA510" i="2"/>
  <c r="O510" i="2"/>
  <c r="AA513" i="2"/>
  <c r="AA517" i="2"/>
  <c r="AA525" i="2"/>
  <c r="AA529" i="2"/>
  <c r="N539" i="2"/>
  <c r="Z539" i="2"/>
  <c r="S539" i="2"/>
  <c r="N289" i="2"/>
  <c r="M289" i="2" s="1"/>
  <c r="I289" i="2" s="1"/>
  <c r="Z289" i="2"/>
  <c r="Y289" i="2" s="1"/>
  <c r="T291" i="2"/>
  <c r="T293" i="2"/>
  <c r="T295" i="2"/>
  <c r="T297" i="2"/>
  <c r="T299" i="2"/>
  <c r="T301" i="2"/>
  <c r="T303" i="2"/>
  <c r="T305" i="2"/>
  <c r="T307" i="2"/>
  <c r="T309" i="2"/>
  <c r="T311" i="2"/>
  <c r="T313" i="2"/>
  <c r="S387" i="2"/>
  <c r="Z425" i="2"/>
  <c r="Y425" i="2" s="1"/>
  <c r="S425" i="2"/>
  <c r="Z430" i="2"/>
  <c r="Z434" i="2"/>
  <c r="O439" i="2"/>
  <c r="AA439" i="2"/>
  <c r="N442" i="2"/>
  <c r="Z442" i="2"/>
  <c r="Y442" i="2" s="1"/>
  <c r="S442" i="2"/>
  <c r="O447" i="2"/>
  <c r="AA447" i="2"/>
  <c r="Z493" i="2"/>
  <c r="N493" i="2"/>
  <c r="AB495" i="2"/>
  <c r="P495" i="2"/>
  <c r="O503" i="2"/>
  <c r="P503" i="2"/>
  <c r="O507" i="2"/>
  <c r="P507" i="2"/>
  <c r="O511" i="2"/>
  <c r="P511" i="2"/>
  <c r="O515" i="2"/>
  <c r="P515" i="2"/>
  <c r="O519" i="2"/>
  <c r="P519" i="2"/>
  <c r="O523" i="2"/>
  <c r="P523" i="2"/>
  <c r="O527" i="2"/>
  <c r="P527" i="2"/>
  <c r="O531" i="2"/>
  <c r="P531" i="2"/>
  <c r="Z535" i="2"/>
  <c r="S537" i="2"/>
  <c r="N540" i="2"/>
  <c r="Z540" i="2"/>
  <c r="Y540" i="2" s="1"/>
  <c r="Z541" i="2"/>
  <c r="Y541" i="2" s="1"/>
  <c r="S543" i="2"/>
  <c r="Z543" i="2"/>
  <c r="N543" i="2"/>
  <c r="N545" i="2"/>
  <c r="S302" i="2"/>
  <c r="S310" i="2"/>
  <c r="S312" i="2"/>
  <c r="S390" i="2"/>
  <c r="S394" i="2"/>
  <c r="S398" i="2"/>
  <c r="S406" i="2"/>
  <c r="T413" i="2"/>
  <c r="AJ415" i="2"/>
  <c r="J415" i="2"/>
  <c r="S416" i="2"/>
  <c r="AK417" i="2"/>
  <c r="Z418" i="2"/>
  <c r="AA421" i="2"/>
  <c r="U422" i="2"/>
  <c r="S423" i="2"/>
  <c r="O426" i="2"/>
  <c r="O427" i="2"/>
  <c r="N427" i="2"/>
  <c r="T428" i="2"/>
  <c r="T429" i="2"/>
  <c r="U430" i="2"/>
  <c r="J431" i="2"/>
  <c r="T433" i="2"/>
  <c r="U434" i="2"/>
  <c r="J436" i="2"/>
  <c r="T437" i="2"/>
  <c r="J440" i="2"/>
  <c r="N447" i="2"/>
  <c r="Z447" i="2"/>
  <c r="S447" i="2"/>
  <c r="J448" i="2"/>
  <c r="Z451" i="2"/>
  <c r="N451" i="2"/>
  <c r="AB453" i="2"/>
  <c r="P453" i="2"/>
  <c r="Z457" i="2"/>
  <c r="Y457" i="2" s="1"/>
  <c r="N457" i="2"/>
  <c r="S457" i="2"/>
  <c r="Z461" i="2"/>
  <c r="N461" i="2"/>
  <c r="S461" i="2"/>
  <c r="Z465" i="2"/>
  <c r="Y465" i="2" s="1"/>
  <c r="N465" i="2"/>
  <c r="S465" i="2"/>
  <c r="Z469" i="2"/>
  <c r="N469" i="2"/>
  <c r="S469" i="2"/>
  <c r="Z473" i="2"/>
  <c r="Y473" i="2" s="1"/>
  <c r="N473" i="2"/>
  <c r="S473" i="2"/>
  <c r="Z477" i="2"/>
  <c r="Y477" i="2" s="1"/>
  <c r="N477" i="2"/>
  <c r="M477" i="2" s="1"/>
  <c r="I477" i="2" s="1"/>
  <c r="S477" i="2"/>
  <c r="Z481" i="2"/>
  <c r="N481" i="2"/>
  <c r="S481" i="2"/>
  <c r="Z485" i="2"/>
  <c r="Y485" i="2" s="1"/>
  <c r="N485" i="2"/>
  <c r="S485" i="2"/>
  <c r="AA486" i="2"/>
  <c r="O486" i="2"/>
  <c r="Z489" i="2"/>
  <c r="Y489" i="2" s="1"/>
  <c r="N489" i="2"/>
  <c r="S489" i="2"/>
  <c r="AA490" i="2"/>
  <c r="O490" i="2"/>
  <c r="AA493" i="2"/>
  <c r="Z495" i="2"/>
  <c r="N495" i="2"/>
  <c r="S495" i="2"/>
  <c r="AB497" i="2"/>
  <c r="P497" i="2"/>
  <c r="AB499" i="2"/>
  <c r="AA503" i="2"/>
  <c r="AA507" i="2"/>
  <c r="AA511" i="2"/>
  <c r="AA519" i="2"/>
  <c r="AA523" i="2"/>
  <c r="AA527" i="2"/>
  <c r="AA531" i="2"/>
  <c r="O533" i="2"/>
  <c r="P533" i="2"/>
  <c r="Z417" i="2"/>
  <c r="Y417" i="2" s="1"/>
  <c r="S417" i="2"/>
  <c r="S422" i="2"/>
  <c r="Z424" i="2"/>
  <c r="Y424" i="2" s="1"/>
  <c r="J424" i="2"/>
  <c r="S427" i="2"/>
  <c r="N431" i="2"/>
  <c r="N435" i="2"/>
  <c r="Z435" i="2"/>
  <c r="Y435" i="2" s="1"/>
  <c r="N438" i="2"/>
  <c r="Z438" i="2"/>
  <c r="Y438" i="2" s="1"/>
  <c r="S438" i="2"/>
  <c r="Z446" i="2"/>
  <c r="Z453" i="2"/>
  <c r="N453" i="2"/>
  <c r="S453" i="2"/>
  <c r="AA454" i="2"/>
  <c r="O454" i="2"/>
  <c r="Z497" i="2"/>
  <c r="Y497" i="2" s="1"/>
  <c r="N497" i="2"/>
  <c r="S497" i="2"/>
  <c r="O501" i="2"/>
  <c r="P501" i="2"/>
  <c r="AB503" i="2"/>
  <c r="O505" i="2"/>
  <c r="P505" i="2"/>
  <c r="AB507" i="2"/>
  <c r="O509" i="2"/>
  <c r="P509" i="2"/>
  <c r="AB511" i="2"/>
  <c r="O513" i="2"/>
  <c r="P513" i="2"/>
  <c r="AB515" i="2"/>
  <c r="O517" i="2"/>
  <c r="P517" i="2"/>
  <c r="AB519" i="2"/>
  <c r="O521" i="2"/>
  <c r="AB523" i="2"/>
  <c r="O525" i="2"/>
  <c r="P525" i="2"/>
  <c r="AB527" i="2"/>
  <c r="O529" i="2"/>
  <c r="P529" i="2"/>
  <c r="Z536" i="2"/>
  <c r="S538" i="2"/>
  <c r="N542" i="2"/>
  <c r="S542" i="2"/>
  <c r="Z542" i="2"/>
  <c r="Y542" i="2" s="1"/>
  <c r="S544" i="2"/>
  <c r="Z544" i="2"/>
  <c r="N544" i="2"/>
  <c r="M544" i="2" s="1"/>
  <c r="I544" i="2" s="1"/>
  <c r="Z546" i="2"/>
  <c r="Y546" i="2" s="1"/>
  <c r="O438" i="2"/>
  <c r="T440" i="2"/>
  <c r="N441" i="2"/>
  <c r="M441" i="2" s="1"/>
  <c r="I441" i="2" s="1"/>
  <c r="O442" i="2"/>
  <c r="T444" i="2"/>
  <c r="O446" i="2"/>
  <c r="T448" i="2"/>
  <c r="N449" i="2"/>
  <c r="M449" i="2" s="1"/>
  <c r="I449" i="2" s="1"/>
  <c r="O450" i="2"/>
  <c r="AJ452" i="2"/>
  <c r="AJ454" i="2"/>
  <c r="AJ456" i="2"/>
  <c r="AJ458" i="2"/>
  <c r="AJ460" i="2"/>
  <c r="AJ462" i="2"/>
  <c r="AJ464" i="2"/>
  <c r="AJ466" i="2"/>
  <c r="AJ468" i="2"/>
  <c r="AJ470" i="2"/>
  <c r="AJ472" i="2"/>
  <c r="AJ474" i="2"/>
  <c r="AJ476" i="2"/>
  <c r="AJ478" i="2"/>
  <c r="AJ480" i="2"/>
  <c r="AJ482" i="2"/>
  <c r="AJ484" i="2"/>
  <c r="AJ486" i="2"/>
  <c r="AJ488" i="2"/>
  <c r="AJ490" i="2"/>
  <c r="AJ492" i="2"/>
  <c r="AJ494" i="2"/>
  <c r="AJ496" i="2"/>
  <c r="AJ498" i="2"/>
  <c r="Z508" i="2"/>
  <c r="Z510" i="2"/>
  <c r="Z512" i="2"/>
  <c r="Z514" i="2"/>
  <c r="Z516" i="2"/>
  <c r="Z518" i="2"/>
  <c r="Z522" i="2"/>
  <c r="Z524" i="2"/>
  <c r="Z526" i="2"/>
  <c r="Z528" i="2"/>
  <c r="Z530" i="2"/>
  <c r="Z532" i="2"/>
  <c r="Z534" i="2"/>
  <c r="O540" i="2"/>
  <c r="O541" i="2"/>
  <c r="AJ541" i="2"/>
  <c r="O542" i="2"/>
  <c r="AA547" i="2"/>
  <c r="AJ548" i="2"/>
  <c r="H548" i="2"/>
  <c r="T548" i="2" s="1"/>
  <c r="AA549" i="2"/>
  <c r="AJ550" i="2"/>
  <c r="H550" i="2"/>
  <c r="T550" i="2" s="1"/>
  <c r="AA551" i="2"/>
  <c r="AA601" i="2"/>
  <c r="O601" i="2"/>
  <c r="S450" i="2"/>
  <c r="U452" i="2"/>
  <c r="U458" i="2"/>
  <c r="U460" i="2"/>
  <c r="U462" i="2"/>
  <c r="U466" i="2"/>
  <c r="U468" i="2"/>
  <c r="U470" i="2"/>
  <c r="U472" i="2"/>
  <c r="U474" i="2"/>
  <c r="U476" i="2"/>
  <c r="U478" i="2"/>
  <c r="U480" i="2"/>
  <c r="U482" i="2"/>
  <c r="U484" i="2"/>
  <c r="U494" i="2"/>
  <c r="U496" i="2"/>
  <c r="U498" i="2"/>
  <c r="U500" i="2"/>
  <c r="U502" i="2"/>
  <c r="U504" i="2"/>
  <c r="U508" i="2"/>
  <c r="U512" i="2"/>
  <c r="U514" i="2"/>
  <c r="U516" i="2"/>
  <c r="U518" i="2"/>
  <c r="U520" i="2"/>
  <c r="U522" i="2"/>
  <c r="U524" i="2"/>
  <c r="U526" i="2"/>
  <c r="U528" i="2"/>
  <c r="U530" i="2"/>
  <c r="U532" i="2"/>
  <c r="U534" i="2"/>
  <c r="AA544" i="2"/>
  <c r="O548" i="2"/>
  <c r="O550" i="2"/>
  <c r="O552" i="2"/>
  <c r="O553" i="2"/>
  <c r="O554" i="2"/>
  <c r="Q560" i="2"/>
  <c r="AC568" i="2"/>
  <c r="Y568" i="2" s="1"/>
  <c r="Q576" i="2"/>
  <c r="AC584" i="2"/>
  <c r="Y584" i="2" s="1"/>
  <c r="AB601" i="2"/>
  <c r="P601" i="2"/>
  <c r="AA603" i="2"/>
  <c r="O603" i="2"/>
  <c r="AA607" i="2"/>
  <c r="O607" i="2"/>
  <c r="S441" i="2"/>
  <c r="S449" i="2"/>
  <c r="V452" i="2"/>
  <c r="V454" i="2"/>
  <c r="S454" i="2" s="1"/>
  <c r="V456" i="2"/>
  <c r="V458" i="2"/>
  <c r="V460" i="2"/>
  <c r="V462" i="2"/>
  <c r="V464" i="2"/>
  <c r="V466" i="2"/>
  <c r="V468" i="2"/>
  <c r="V470" i="2"/>
  <c r="V472" i="2"/>
  <c r="V474" i="2"/>
  <c r="V476" i="2"/>
  <c r="V478" i="2"/>
  <c r="V480" i="2"/>
  <c r="V482" i="2"/>
  <c r="V484" i="2"/>
  <c r="V486" i="2"/>
  <c r="V488" i="2"/>
  <c r="V490" i="2"/>
  <c r="S490" i="2" s="1"/>
  <c r="V492" i="2"/>
  <c r="S492" i="2" s="1"/>
  <c r="V494" i="2"/>
  <c r="V496" i="2"/>
  <c r="V498" i="2"/>
  <c r="V500" i="2"/>
  <c r="T501" i="2"/>
  <c r="V502" i="2"/>
  <c r="T503" i="2"/>
  <c r="V504" i="2"/>
  <c r="T505" i="2"/>
  <c r="V506" i="2"/>
  <c r="T507" i="2"/>
  <c r="V508" i="2"/>
  <c r="T509" i="2"/>
  <c r="V510" i="2"/>
  <c r="T511" i="2"/>
  <c r="V512" i="2"/>
  <c r="T513" i="2"/>
  <c r="V514" i="2"/>
  <c r="T515" i="2"/>
  <c r="V516" i="2"/>
  <c r="T517" i="2"/>
  <c r="V518" i="2"/>
  <c r="T519" i="2"/>
  <c r="V520" i="2"/>
  <c r="T521" i="2"/>
  <c r="V522" i="2"/>
  <c r="T523" i="2"/>
  <c r="V524" i="2"/>
  <c r="T525" i="2"/>
  <c r="V526" i="2"/>
  <c r="T527" i="2"/>
  <c r="V528" i="2"/>
  <c r="T529" i="2"/>
  <c r="V530" i="2"/>
  <c r="T531" i="2"/>
  <c r="V532" i="2"/>
  <c r="T533" i="2"/>
  <c r="V534" i="2"/>
  <c r="AJ547" i="2"/>
  <c r="H547" i="2"/>
  <c r="T547" i="2" s="1"/>
  <c r="AA548" i="2"/>
  <c r="AJ549" i="2"/>
  <c r="H549" i="2"/>
  <c r="T549" i="2" s="1"/>
  <c r="AA550" i="2"/>
  <c r="AJ551" i="2"/>
  <c r="H551" i="2"/>
  <c r="T551" i="2" s="1"/>
  <c r="AA552" i="2"/>
  <c r="O555" i="2"/>
  <c r="AC558" i="2"/>
  <c r="Q574" i="2"/>
  <c r="AC574" i="2"/>
  <c r="Y574" i="2" s="1"/>
  <c r="Q582" i="2"/>
  <c r="Q590" i="2"/>
  <c r="AC590" i="2"/>
  <c r="O546" i="2"/>
  <c r="Q564" i="2"/>
  <c r="AC564" i="2"/>
  <c r="Y564" i="2" s="1"/>
  <c r="AA609" i="2"/>
  <c r="O609" i="2"/>
  <c r="AA611" i="2"/>
  <c r="O611" i="2"/>
  <c r="H552" i="2"/>
  <c r="T552" i="2" s="1"/>
  <c r="H553" i="2"/>
  <c r="T553" i="2" s="1"/>
  <c r="H554" i="2"/>
  <c r="T554" i="2" s="1"/>
  <c r="H555" i="2"/>
  <c r="T555" i="2" s="1"/>
  <c r="H556" i="2"/>
  <c r="T556" i="2" s="1"/>
  <c r="V557" i="2"/>
  <c r="O558" i="2"/>
  <c r="V559" i="2"/>
  <c r="O560" i="2"/>
  <c r="V561" i="2"/>
  <c r="O562" i="2"/>
  <c r="V563" i="2"/>
  <c r="O564" i="2"/>
  <c r="V565" i="2"/>
  <c r="O566" i="2"/>
  <c r="V567" i="2"/>
  <c r="O568" i="2"/>
  <c r="V569" i="2"/>
  <c r="O570" i="2"/>
  <c r="V571" i="2"/>
  <c r="O572" i="2"/>
  <c r="V573" i="2"/>
  <c r="O574" i="2"/>
  <c r="V575" i="2"/>
  <c r="O576" i="2"/>
  <c r="V577" i="2"/>
  <c r="O578" i="2"/>
  <c r="V579" i="2"/>
  <c r="O580" i="2"/>
  <c r="V581" i="2"/>
  <c r="O582" i="2"/>
  <c r="V583" i="2"/>
  <c r="O584" i="2"/>
  <c r="V585" i="2"/>
  <c r="O586" i="2"/>
  <c r="V587" i="2"/>
  <c r="O588" i="2"/>
  <c r="V589" i="2"/>
  <c r="O590" i="2"/>
  <c r="V591" i="2"/>
  <c r="O592" i="2"/>
  <c r="V593" i="2"/>
  <c r="O594" i="2"/>
  <c r="V595" i="2"/>
  <c r="O596" i="2"/>
  <c r="V597" i="2"/>
  <c r="O598" i="2"/>
  <c r="V599" i="2"/>
  <c r="O600" i="2"/>
  <c r="T600" i="2"/>
  <c r="J601" i="2"/>
  <c r="AK603" i="2"/>
  <c r="T604" i="2"/>
  <c r="AI604" i="2"/>
  <c r="P604" i="2" s="1"/>
  <c r="U604" i="2"/>
  <c r="T605" i="2"/>
  <c r="AB607" i="2"/>
  <c r="J607" i="2"/>
  <c r="T608" i="2"/>
  <c r="V608" i="2"/>
  <c r="AI608" i="2"/>
  <c r="U608" i="2"/>
  <c r="AK609" i="2"/>
  <c r="W611" i="2"/>
  <c r="S611" i="2" s="1"/>
  <c r="Q637" i="2"/>
  <c r="AC637" i="2"/>
  <c r="Y637" i="2" s="1"/>
  <c r="AB665" i="2"/>
  <c r="P665" i="2"/>
  <c r="AA677" i="2"/>
  <c r="O677" i="2"/>
  <c r="AB604" i="2"/>
  <c r="AB609" i="2"/>
  <c r="T610" i="2"/>
  <c r="V610" i="2"/>
  <c r="AI610" i="2"/>
  <c r="U610" i="2"/>
  <c r="AK611" i="2"/>
  <c r="Z661" i="2"/>
  <c r="W661" i="2"/>
  <c r="S661" i="2" s="1"/>
  <c r="N661" i="2"/>
  <c r="O669" i="2"/>
  <c r="AA669" i="2"/>
  <c r="T557" i="2"/>
  <c r="T559" i="2"/>
  <c r="T561" i="2"/>
  <c r="T563" i="2"/>
  <c r="T565" i="2"/>
  <c r="T567" i="2"/>
  <c r="T569" i="2"/>
  <c r="T571" i="2"/>
  <c r="T573" i="2"/>
  <c r="T575" i="2"/>
  <c r="T577" i="2"/>
  <c r="T579" i="2"/>
  <c r="T581" i="2"/>
  <c r="T583" i="2"/>
  <c r="T585" i="2"/>
  <c r="T587" i="2"/>
  <c r="T589" i="2"/>
  <c r="T591" i="2"/>
  <c r="T593" i="2"/>
  <c r="T595" i="2"/>
  <c r="T597" i="2"/>
  <c r="T599" i="2"/>
  <c r="V600" i="2"/>
  <c r="W601" i="2"/>
  <c r="S601" i="2" s="1"/>
  <c r="N601" i="2"/>
  <c r="Z601" i="2"/>
  <c r="W607" i="2"/>
  <c r="Q625" i="2"/>
  <c r="Q641" i="2"/>
  <c r="AC641" i="2"/>
  <c r="Y641" i="2" s="1"/>
  <c r="Z653" i="2"/>
  <c r="W653" i="2"/>
  <c r="S653" i="2" s="1"/>
  <c r="P657" i="2"/>
  <c r="AB657" i="2"/>
  <c r="AB663" i="2"/>
  <c r="P663" i="2"/>
  <c r="AA675" i="2"/>
  <c r="O675" i="2"/>
  <c r="U557" i="2"/>
  <c r="N558" i="2"/>
  <c r="U559" i="2"/>
  <c r="N560" i="2"/>
  <c r="U561" i="2"/>
  <c r="U563" i="2"/>
  <c r="N564" i="2"/>
  <c r="S564" i="2"/>
  <c r="U565" i="2"/>
  <c r="N566" i="2"/>
  <c r="U567" i="2"/>
  <c r="N568" i="2"/>
  <c r="S568" i="2"/>
  <c r="U569" i="2"/>
  <c r="U571" i="2"/>
  <c r="N572" i="2"/>
  <c r="U573" i="2"/>
  <c r="N574" i="2"/>
  <c r="S574" i="2"/>
  <c r="U575" i="2"/>
  <c r="N576" i="2"/>
  <c r="U577" i="2"/>
  <c r="U579" i="2"/>
  <c r="N580" i="2"/>
  <c r="U581" i="2"/>
  <c r="N582" i="2"/>
  <c r="S582" i="2"/>
  <c r="U583" i="2"/>
  <c r="N584" i="2"/>
  <c r="S584" i="2"/>
  <c r="U585" i="2"/>
  <c r="U587" i="2"/>
  <c r="U589" i="2"/>
  <c r="N590" i="2"/>
  <c r="S590" i="2"/>
  <c r="U591" i="2"/>
  <c r="N592" i="2"/>
  <c r="U593" i="2"/>
  <c r="N594" i="2"/>
  <c r="U595" i="2"/>
  <c r="N596" i="2"/>
  <c r="U597" i="2"/>
  <c r="N598" i="2"/>
  <c r="U599" i="2"/>
  <c r="AK601" i="2"/>
  <c r="T602" i="2"/>
  <c r="AI602" i="2"/>
  <c r="AB602" i="2" s="1"/>
  <c r="U602" i="2"/>
  <c r="T603" i="2"/>
  <c r="T606" i="2"/>
  <c r="V606" i="2"/>
  <c r="AI606" i="2"/>
  <c r="U606" i="2"/>
  <c r="AK607" i="2"/>
  <c r="W609" i="2"/>
  <c r="Q623" i="2"/>
  <c r="AC623" i="2"/>
  <c r="Y623" i="2" s="1"/>
  <c r="Z655" i="2"/>
  <c r="W655" i="2"/>
  <c r="S655" i="2" s="1"/>
  <c r="N655" i="2"/>
  <c r="O671" i="2"/>
  <c r="AA671" i="2"/>
  <c r="N607" i="2"/>
  <c r="S607" i="2"/>
  <c r="N609" i="2"/>
  <c r="S609" i="2"/>
  <c r="N611" i="2"/>
  <c r="U612" i="2"/>
  <c r="AI612" i="2"/>
  <c r="U614" i="2"/>
  <c r="AI614" i="2"/>
  <c r="N614" i="2" s="1"/>
  <c r="U616" i="2"/>
  <c r="AI616" i="2"/>
  <c r="N616" i="2" s="1"/>
  <c r="N617" i="2"/>
  <c r="U618" i="2"/>
  <c r="AI618" i="2"/>
  <c r="N618" i="2" s="1"/>
  <c r="U620" i="2"/>
  <c r="AI620" i="2"/>
  <c r="N621" i="2"/>
  <c r="U622" i="2"/>
  <c r="AI622" i="2"/>
  <c r="N622" i="2" s="1"/>
  <c r="N623" i="2"/>
  <c r="S623" i="2"/>
  <c r="U624" i="2"/>
  <c r="AI624" i="2"/>
  <c r="N625" i="2"/>
  <c r="S625" i="2"/>
  <c r="U626" i="2"/>
  <c r="AI626" i="2"/>
  <c r="U628" i="2"/>
  <c r="AI628" i="2"/>
  <c r="N628" i="2" s="1"/>
  <c r="N629" i="2"/>
  <c r="U630" i="2"/>
  <c r="AI630" i="2"/>
  <c r="N630" i="2" s="1"/>
  <c r="N631" i="2"/>
  <c r="S631" i="2"/>
  <c r="U632" i="2"/>
  <c r="AI632" i="2"/>
  <c r="N632" i="2" s="1"/>
  <c r="N633" i="2"/>
  <c r="U634" i="2"/>
  <c r="AI634" i="2"/>
  <c r="Z634" i="2" s="1"/>
  <c r="N635" i="2"/>
  <c r="U636" i="2"/>
  <c r="AI636" i="2"/>
  <c r="N636" i="2" s="1"/>
  <c r="N637" i="2"/>
  <c r="S637" i="2"/>
  <c r="U638" i="2"/>
  <c r="AI638" i="2"/>
  <c r="Z638" i="2" s="1"/>
  <c r="N639" i="2"/>
  <c r="U640" i="2"/>
  <c r="AI640" i="2"/>
  <c r="N641" i="2"/>
  <c r="S641" i="2"/>
  <c r="U642" i="2"/>
  <c r="AI642" i="2"/>
  <c r="N642" i="2" s="1"/>
  <c r="U644" i="2"/>
  <c r="AI644" i="2"/>
  <c r="Z644" i="2" s="1"/>
  <c r="N645" i="2"/>
  <c r="U646" i="2"/>
  <c r="AI646" i="2"/>
  <c r="N646" i="2" s="1"/>
  <c r="N647" i="2"/>
  <c r="U648" i="2"/>
  <c r="AI648" i="2"/>
  <c r="N648" i="2" s="1"/>
  <c r="N649" i="2"/>
  <c r="U650" i="2"/>
  <c r="AI650" i="2"/>
  <c r="N650" i="2" s="1"/>
  <c r="U652" i="2"/>
  <c r="AI652" i="2"/>
  <c r="U654" i="2"/>
  <c r="AI654" i="2"/>
  <c r="U656" i="2"/>
  <c r="AI656" i="2"/>
  <c r="U658" i="2"/>
  <c r="AI658" i="2"/>
  <c r="N658" i="2" s="1"/>
  <c r="U660" i="2"/>
  <c r="AI660" i="2"/>
  <c r="N660" i="2" s="1"/>
  <c r="AK663" i="2"/>
  <c r="V664" i="2"/>
  <c r="AI664" i="2"/>
  <c r="U664" i="2"/>
  <c r="AK665" i="2"/>
  <c r="J667" i="2"/>
  <c r="W669" i="2"/>
  <c r="S669" i="2" s="1"/>
  <c r="J675" i="2"/>
  <c r="T676" i="2"/>
  <c r="V676" i="2"/>
  <c r="AI676" i="2"/>
  <c r="U676" i="2"/>
  <c r="AK677" i="2"/>
  <c r="N682" i="2"/>
  <c r="M682" i="2" s="1"/>
  <c r="I682" i="2" s="1"/>
  <c r="Z682" i="2"/>
  <c r="S682" i="2"/>
  <c r="O688" i="2"/>
  <c r="AA688" i="2"/>
  <c r="T689" i="2"/>
  <c r="T693" i="2"/>
  <c r="J694" i="2"/>
  <c r="T697" i="2"/>
  <c r="T701" i="2"/>
  <c r="J702" i="2"/>
  <c r="T705" i="2"/>
  <c r="J706" i="2"/>
  <c r="T709" i="2"/>
  <c r="J710" i="2"/>
  <c r="J716" i="2"/>
  <c r="O716" i="2"/>
  <c r="AA716" i="2"/>
  <c r="V612" i="2"/>
  <c r="O613" i="2"/>
  <c r="V614" i="2"/>
  <c r="O615" i="2"/>
  <c r="V616" i="2"/>
  <c r="O617" i="2"/>
  <c r="V618" i="2"/>
  <c r="O619" i="2"/>
  <c r="V620" i="2"/>
  <c r="O621" i="2"/>
  <c r="V622" i="2"/>
  <c r="O623" i="2"/>
  <c r="V624" i="2"/>
  <c r="O625" i="2"/>
  <c r="V626" i="2"/>
  <c r="O627" i="2"/>
  <c r="V628" i="2"/>
  <c r="O629" i="2"/>
  <c r="V630" i="2"/>
  <c r="O631" i="2"/>
  <c r="V632" i="2"/>
  <c r="O633" i="2"/>
  <c r="V634" i="2"/>
  <c r="O635" i="2"/>
  <c r="V636" i="2"/>
  <c r="O637" i="2"/>
  <c r="V638" i="2"/>
  <c r="O639" i="2"/>
  <c r="V640" i="2"/>
  <c r="O641" i="2"/>
  <c r="V642" i="2"/>
  <c r="O643" i="2"/>
  <c r="V644" i="2"/>
  <c r="O645" i="2"/>
  <c r="V646" i="2"/>
  <c r="O647" i="2"/>
  <c r="V648" i="2"/>
  <c r="O649" i="2"/>
  <c r="V650" i="2"/>
  <c r="O651" i="2"/>
  <c r="V652" i="2"/>
  <c r="O653" i="2"/>
  <c r="V654" i="2"/>
  <c r="O655" i="2"/>
  <c r="V656" i="2"/>
  <c r="O657" i="2"/>
  <c r="T657" i="2"/>
  <c r="V658" i="2"/>
  <c r="T659" i="2"/>
  <c r="V660" i="2"/>
  <c r="O661" i="2"/>
  <c r="J663" i="2"/>
  <c r="J665" i="2"/>
  <c r="T666" i="2"/>
  <c r="W667" i="2"/>
  <c r="S667" i="2" s="1"/>
  <c r="AA667" i="2"/>
  <c r="AK670" i="2"/>
  <c r="V670" i="2"/>
  <c r="AI670" i="2"/>
  <c r="N670" i="2" s="1"/>
  <c r="U670" i="2"/>
  <c r="AB671" i="2"/>
  <c r="AK671" i="2"/>
  <c r="W673" i="2"/>
  <c r="S673" i="2" s="1"/>
  <c r="AB677" i="2"/>
  <c r="J677" i="2"/>
  <c r="T678" i="2"/>
  <c r="V678" i="2"/>
  <c r="AI678" i="2"/>
  <c r="U678" i="2"/>
  <c r="U679" i="2"/>
  <c r="W679" i="2" s="1"/>
  <c r="T687" i="2"/>
  <c r="AK687" i="2"/>
  <c r="J693" i="2"/>
  <c r="J697" i="2"/>
  <c r="J701" i="2"/>
  <c r="J705" i="2"/>
  <c r="J709" i="2"/>
  <c r="T715" i="2"/>
  <c r="AK715" i="2"/>
  <c r="O720" i="2"/>
  <c r="M720" i="2" s="1"/>
  <c r="I720" i="2" s="1"/>
  <c r="AA720" i="2"/>
  <c r="O724" i="2"/>
  <c r="M724" i="2" s="1"/>
  <c r="AA724" i="2"/>
  <c r="O728" i="2"/>
  <c r="M728" i="2" s="1"/>
  <c r="I728" i="2" s="1"/>
  <c r="O732" i="2"/>
  <c r="AA732" i="2"/>
  <c r="W665" i="2"/>
  <c r="V668" i="2"/>
  <c r="AI668" i="2"/>
  <c r="N668" i="2" s="1"/>
  <c r="U668" i="2"/>
  <c r="T672" i="2"/>
  <c r="V672" i="2"/>
  <c r="AI672" i="2"/>
  <c r="U672" i="2"/>
  <c r="AA673" i="2"/>
  <c r="O673" i="2"/>
  <c r="W675" i="2"/>
  <c r="T680" i="2"/>
  <c r="V680" i="2"/>
  <c r="AI680" i="2"/>
  <c r="U680" i="2"/>
  <c r="AL681" i="2"/>
  <c r="AM681" i="2"/>
  <c r="O684" i="2"/>
  <c r="AA684" i="2"/>
  <c r="T685" i="2"/>
  <c r="I686" i="2"/>
  <c r="J686" i="2"/>
  <c r="J692" i="2"/>
  <c r="U692" i="2"/>
  <c r="J696" i="2"/>
  <c r="U696" i="2"/>
  <c r="U700" i="2"/>
  <c r="J704" i="2"/>
  <c r="U704" i="2"/>
  <c r="J708" i="2"/>
  <c r="U708" i="2"/>
  <c r="J712" i="2"/>
  <c r="O712" i="2"/>
  <c r="AA712" i="2"/>
  <c r="T713" i="2"/>
  <c r="M714" i="2"/>
  <c r="I714" i="2" s="1"/>
  <c r="AA740" i="2"/>
  <c r="O740" i="2"/>
  <c r="AB661" i="2"/>
  <c r="AK661" i="2"/>
  <c r="T662" i="2"/>
  <c r="AI662" i="2"/>
  <c r="AB662" i="2" s="1"/>
  <c r="U662" i="2"/>
  <c r="T663" i="2"/>
  <c r="N664" i="2"/>
  <c r="O665" i="2"/>
  <c r="V666" i="2"/>
  <c r="AI666" i="2"/>
  <c r="U666" i="2"/>
  <c r="AK667" i="2"/>
  <c r="W671" i="2"/>
  <c r="S671" i="2" s="1"/>
  <c r="AB673" i="2"/>
  <c r="T674" i="2"/>
  <c r="V674" i="2"/>
  <c r="AI674" i="2"/>
  <c r="U674" i="2"/>
  <c r="AK675" i="2"/>
  <c r="W677" i="2"/>
  <c r="S677" i="2" s="1"/>
  <c r="T683" i="2"/>
  <c r="AK683" i="2"/>
  <c r="T691" i="2"/>
  <c r="AK691" i="2"/>
  <c r="T695" i="2"/>
  <c r="AK695" i="2"/>
  <c r="T699" i="2"/>
  <c r="AK699" i="2"/>
  <c r="T703" i="2"/>
  <c r="AK703" i="2"/>
  <c r="T707" i="2"/>
  <c r="AK707" i="2"/>
  <c r="T711" i="2"/>
  <c r="AK711" i="2"/>
  <c r="J713" i="2"/>
  <c r="N665" i="2"/>
  <c r="S665" i="2"/>
  <c r="N667" i="2"/>
  <c r="N669" i="2"/>
  <c r="N671" i="2"/>
  <c r="N673" i="2"/>
  <c r="N675" i="2"/>
  <c r="N677" i="2"/>
  <c r="N679" i="2"/>
  <c r="AL684" i="2"/>
  <c r="AM685" i="2"/>
  <c r="AK685" i="2" s="1"/>
  <c r="AL688" i="2"/>
  <c r="AM689" i="2"/>
  <c r="AK689" i="2" s="1"/>
  <c r="AL692" i="2"/>
  <c r="AM693" i="2"/>
  <c r="U693" i="2" s="1"/>
  <c r="AL696" i="2"/>
  <c r="AM697" i="2"/>
  <c r="U697" i="2" s="1"/>
  <c r="AL700" i="2"/>
  <c r="AM701" i="2"/>
  <c r="U701" i="2" s="1"/>
  <c r="AL704" i="2"/>
  <c r="AM705" i="2"/>
  <c r="U705" i="2" s="1"/>
  <c r="AL708" i="2"/>
  <c r="AM709" i="2"/>
  <c r="U709" i="2" s="1"/>
  <c r="AL712" i="2"/>
  <c r="AM713" i="2"/>
  <c r="AK713" i="2" s="1"/>
  <c r="AL716" i="2"/>
  <c r="O717" i="2"/>
  <c r="AL719" i="2"/>
  <c r="U721" i="2"/>
  <c r="T721" i="2"/>
  <c r="AK721" i="2"/>
  <c r="AM722" i="2"/>
  <c r="AL722" i="2"/>
  <c r="AL723" i="2"/>
  <c r="U725" i="2"/>
  <c r="T725" i="2"/>
  <c r="AK725" i="2"/>
  <c r="AM726" i="2"/>
  <c r="U726" i="2" s="1"/>
  <c r="AL726" i="2"/>
  <c r="AL727" i="2"/>
  <c r="U729" i="2"/>
  <c r="T729" i="2"/>
  <c r="AK729" i="2"/>
  <c r="AM730" i="2"/>
  <c r="AL730" i="2"/>
  <c r="AL731" i="2"/>
  <c r="U733" i="2"/>
  <c r="T733" i="2"/>
  <c r="AK733" i="2"/>
  <c r="AM734" i="2"/>
  <c r="U734" i="2" s="1"/>
  <c r="AL734" i="2"/>
  <c r="AL735" i="2"/>
  <c r="AJ737" i="2"/>
  <c r="AM738" i="2"/>
  <c r="U738" i="2" s="1"/>
  <c r="AL738" i="2"/>
  <c r="N748" i="2"/>
  <c r="T749" i="2"/>
  <c r="AK749" i="2"/>
  <c r="AA750" i="2"/>
  <c r="T757" i="2"/>
  <c r="AK757" i="2"/>
  <c r="AA758" i="2"/>
  <c r="O759" i="2"/>
  <c r="AA759" i="2"/>
  <c r="Y759" i="2" s="1"/>
  <c r="T773" i="2"/>
  <c r="AK773" i="2"/>
  <c r="O774" i="2"/>
  <c r="AA774" i="2"/>
  <c r="T777" i="2"/>
  <c r="AK777" i="2"/>
  <c r="O778" i="2"/>
  <c r="AA778" i="2"/>
  <c r="AA683" i="2"/>
  <c r="S686" i="2"/>
  <c r="Z686" i="2"/>
  <c r="Y686" i="2" s="1"/>
  <c r="AA687" i="2"/>
  <c r="S690" i="2"/>
  <c r="Z690" i="2"/>
  <c r="Y690" i="2" s="1"/>
  <c r="AA691" i="2"/>
  <c r="AA695" i="2"/>
  <c r="S698" i="2"/>
  <c r="Z698" i="2"/>
  <c r="AA699" i="2"/>
  <c r="AA703" i="2"/>
  <c r="S706" i="2"/>
  <c r="Z706" i="2"/>
  <c r="AA707" i="2"/>
  <c r="AA711" i="2"/>
  <c r="S714" i="2"/>
  <c r="Z714" i="2"/>
  <c r="Y714" i="2" s="1"/>
  <c r="AA715" i="2"/>
  <c r="T717" i="2"/>
  <c r="AL718" i="2"/>
  <c r="J719" i="2"/>
  <c r="AK720" i="2"/>
  <c r="AJ720" i="2"/>
  <c r="J723" i="2"/>
  <c r="AK724" i="2"/>
  <c r="AJ724" i="2"/>
  <c r="J727" i="2"/>
  <c r="AK728" i="2"/>
  <c r="AJ728" i="2"/>
  <c r="AK732" i="2"/>
  <c r="AJ732" i="2"/>
  <c r="J735" i="2"/>
  <c r="AK740" i="2"/>
  <c r="AA741" i="2"/>
  <c r="O741" i="2"/>
  <c r="T753" i="2"/>
  <c r="AK753" i="2"/>
  <c r="J754" i="2"/>
  <c r="U754" i="2"/>
  <c r="AA755" i="2"/>
  <c r="Y755" i="2" s="1"/>
  <c r="AA765" i="2"/>
  <c r="Z768" i="2"/>
  <c r="Y768" i="2" s="1"/>
  <c r="N768" i="2"/>
  <c r="T769" i="2"/>
  <c r="J770" i="2"/>
  <c r="U770" i="2"/>
  <c r="O771" i="2"/>
  <c r="AA771" i="2"/>
  <c r="Z720" i="2"/>
  <c r="S720" i="2"/>
  <c r="Z724" i="2"/>
  <c r="Y724" i="2" s="1"/>
  <c r="S724" i="2"/>
  <c r="Z728" i="2"/>
  <c r="S728" i="2"/>
  <c r="Z732" i="2"/>
  <c r="S732" i="2"/>
  <c r="AA736" i="2"/>
  <c r="O736" i="2"/>
  <c r="Z739" i="2"/>
  <c r="S739" i="2"/>
  <c r="N739" i="2"/>
  <c r="M739" i="2" s="1"/>
  <c r="I739" i="2" s="1"/>
  <c r="Z740" i="2"/>
  <c r="Y740" i="2" s="1"/>
  <c r="S740" i="2"/>
  <c r="T741" i="2"/>
  <c r="AK741" i="2"/>
  <c r="O742" i="2"/>
  <c r="AA742" i="2"/>
  <c r="AK743" i="2"/>
  <c r="AA745" i="2"/>
  <c r="O745" i="2"/>
  <c r="Z764" i="2"/>
  <c r="Y764" i="2" s="1"/>
  <c r="T765" i="2"/>
  <c r="AK765" i="2"/>
  <c r="O766" i="2"/>
  <c r="AA766" i="2"/>
  <c r="U722" i="2"/>
  <c r="J730" i="2"/>
  <c r="U730" i="2"/>
  <c r="J734" i="2"/>
  <c r="AK736" i="2"/>
  <c r="AJ736" i="2"/>
  <c r="O737" i="2"/>
  <c r="T737" i="2"/>
  <c r="AK737" i="2"/>
  <c r="J738" i="2"/>
  <c r="AA739" i="2"/>
  <c r="N740" i="2"/>
  <c r="Z744" i="2"/>
  <c r="Y744" i="2" s="1"/>
  <c r="S744" i="2"/>
  <c r="N744" i="2"/>
  <c r="T745" i="2"/>
  <c r="AK745" i="2"/>
  <c r="J746" i="2"/>
  <c r="O746" i="2"/>
  <c r="AA746" i="2"/>
  <c r="AK747" i="2"/>
  <c r="AA749" i="2"/>
  <c r="O749" i="2"/>
  <c r="Z760" i="2"/>
  <c r="Y760" i="2" s="1"/>
  <c r="S760" i="2"/>
  <c r="N760" i="2"/>
  <c r="T761" i="2"/>
  <c r="U762" i="2"/>
  <c r="AK771" i="2"/>
  <c r="O780" i="2"/>
  <c r="AA780" i="2"/>
  <c r="O784" i="2"/>
  <c r="AA784" i="2"/>
  <c r="Z780" i="2"/>
  <c r="S780" i="2"/>
  <c r="T784" i="2"/>
  <c r="U786" i="2"/>
  <c r="T788" i="2"/>
  <c r="T793" i="2"/>
  <c r="AK793" i="2"/>
  <c r="T797" i="2"/>
  <c r="AK797" i="2"/>
  <c r="T801" i="2"/>
  <c r="AK801" i="2"/>
  <c r="N811" i="2"/>
  <c r="Z811" i="2"/>
  <c r="S811" i="2"/>
  <c r="Z812" i="2"/>
  <c r="S812" i="2"/>
  <c r="N812" i="2"/>
  <c r="N819" i="2"/>
  <c r="S819" i="2"/>
  <c r="Z820" i="2"/>
  <c r="N820" i="2"/>
  <c r="AL742" i="2"/>
  <c r="N743" i="2"/>
  <c r="M743" i="2" s="1"/>
  <c r="I743" i="2" s="1"/>
  <c r="O744" i="2"/>
  <c r="AL746" i="2"/>
  <c r="N747" i="2"/>
  <c r="M747" i="2" s="1"/>
  <c r="O748" i="2"/>
  <c r="AL750" i="2"/>
  <c r="N751" i="2"/>
  <c r="O752" i="2"/>
  <c r="AL754" i="2"/>
  <c r="N755" i="2"/>
  <c r="AL758" i="2"/>
  <c r="N759" i="2"/>
  <c r="O760" i="2"/>
  <c r="AL762" i="2"/>
  <c r="O764" i="2"/>
  <c r="AL766" i="2"/>
  <c r="N767" i="2"/>
  <c r="O768" i="2"/>
  <c r="AL770" i="2"/>
  <c r="N771" i="2"/>
  <c r="O772" i="2"/>
  <c r="AL774" i="2"/>
  <c r="N775" i="2"/>
  <c r="O776" i="2"/>
  <c r="AL778" i="2"/>
  <c r="AA779" i="2"/>
  <c r="T789" i="2"/>
  <c r="T791" i="2"/>
  <c r="T795" i="2"/>
  <c r="T799" i="2"/>
  <c r="I800" i="2"/>
  <c r="J800" i="2"/>
  <c r="T803" i="2"/>
  <c r="N804" i="2"/>
  <c r="AK804" i="2"/>
  <c r="N806" i="2"/>
  <c r="N813" i="2"/>
  <c r="M813" i="2" s="1"/>
  <c r="I813" i="2" s="1"/>
  <c r="Z813" i="2"/>
  <c r="S813" i="2"/>
  <c r="Z814" i="2"/>
  <c r="S776" i="2"/>
  <c r="T779" i="2"/>
  <c r="U781" i="2"/>
  <c r="T781" i="2"/>
  <c r="AK781" i="2"/>
  <c r="AM782" i="2"/>
  <c r="AL782" i="2"/>
  <c r="AL783" i="2"/>
  <c r="T785" i="2"/>
  <c r="AK785" i="2"/>
  <c r="AL787" i="2"/>
  <c r="AM787" i="2"/>
  <c r="U787" i="2" s="1"/>
  <c r="J791" i="2"/>
  <c r="J795" i="2"/>
  <c r="J799" i="2"/>
  <c r="J803" i="2"/>
  <c r="U804" i="2"/>
  <c r="S804" i="2" s="1"/>
  <c r="N807" i="2"/>
  <c r="Z807" i="2"/>
  <c r="Z808" i="2"/>
  <c r="Z815" i="2"/>
  <c r="AD816" i="2"/>
  <c r="R816" i="2"/>
  <c r="Z816" i="2"/>
  <c r="S743" i="2"/>
  <c r="S747" i="2"/>
  <c r="S751" i="2"/>
  <c r="S755" i="2"/>
  <c r="S759" i="2"/>
  <c r="S763" i="2"/>
  <c r="S775" i="2"/>
  <c r="N780" i="2"/>
  <c r="AK780" i="2"/>
  <c r="AJ780" i="2"/>
  <c r="J783" i="2"/>
  <c r="O789" i="2"/>
  <c r="O798" i="2"/>
  <c r="AA798" i="2"/>
  <c r="AD810" i="2"/>
  <c r="R810" i="2"/>
  <c r="Z810" i="2"/>
  <c r="S810" i="2"/>
  <c r="N810" i="2"/>
  <c r="Z818" i="2"/>
  <c r="N818" i="2"/>
  <c r="AL786" i="2"/>
  <c r="AL790" i="2"/>
  <c r="AM791" i="2"/>
  <c r="U791" i="2" s="1"/>
  <c r="AL794" i="2"/>
  <c r="AM795" i="2"/>
  <c r="U795" i="2" s="1"/>
  <c r="AL798" i="2"/>
  <c r="AM799" i="2"/>
  <c r="U799" i="2" s="1"/>
  <c r="AL802" i="2"/>
  <c r="AM803" i="2"/>
  <c r="U803" i="2" s="1"/>
  <c r="X820" i="2"/>
  <c r="S820" i="2" s="1"/>
  <c r="N821" i="2"/>
  <c r="Z821" i="2"/>
  <c r="X821" i="2"/>
  <c r="S821" i="2" s="1"/>
  <c r="AK821" i="2"/>
  <c r="N823" i="2"/>
  <c r="Z823" i="2"/>
  <c r="X823" i="2"/>
  <c r="AK823" i="2"/>
  <c r="N825" i="2"/>
  <c r="Z825" i="2"/>
  <c r="X825" i="2"/>
  <c r="AK825" i="2"/>
  <c r="N827" i="2"/>
  <c r="Z827" i="2"/>
  <c r="X827" i="2"/>
  <c r="AK827" i="2"/>
  <c r="N829" i="2"/>
  <c r="Z829" i="2"/>
  <c r="X829" i="2"/>
  <c r="S829" i="2" s="1"/>
  <c r="AK829" i="2"/>
  <c r="N831" i="2"/>
  <c r="Z831" i="2"/>
  <c r="X831" i="2"/>
  <c r="AK831" i="2"/>
  <c r="N833" i="2"/>
  <c r="X833" i="2"/>
  <c r="AK833" i="2"/>
  <c r="R835" i="2"/>
  <c r="AD835" i="2"/>
  <c r="R839" i="2"/>
  <c r="R841" i="2"/>
  <c r="AD841" i="2"/>
  <c r="R843" i="2"/>
  <c r="AD843" i="2"/>
  <c r="R845" i="2"/>
  <c r="M845" i="2" s="1"/>
  <c r="I845" i="2" s="1"/>
  <c r="AD845" i="2"/>
  <c r="R847" i="2"/>
  <c r="AD847" i="2"/>
  <c r="R849" i="2"/>
  <c r="AD849" i="2"/>
  <c r="R851" i="2"/>
  <c r="AD851" i="2"/>
  <c r="R853" i="2"/>
  <c r="AD853" i="2"/>
  <c r="R855" i="2"/>
  <c r="M855" i="2" s="1"/>
  <c r="I855" i="2" s="1"/>
  <c r="AD855" i="2"/>
  <c r="AA793" i="2"/>
  <c r="S796" i="2"/>
  <c r="Z796" i="2"/>
  <c r="AA797" i="2"/>
  <c r="S800" i="2"/>
  <c r="Z800" i="2"/>
  <c r="Y800" i="2" s="1"/>
  <c r="AA801" i="2"/>
  <c r="Z804" i="2"/>
  <c r="AD807" i="2"/>
  <c r="AD813" i="2"/>
  <c r="AD815" i="2"/>
  <c r="AD819" i="2"/>
  <c r="AK820" i="2"/>
  <c r="J821" i="2"/>
  <c r="J823" i="2"/>
  <c r="J825" i="2"/>
  <c r="J827" i="2"/>
  <c r="J829" i="2"/>
  <c r="J831" i="2"/>
  <c r="J833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Z822" i="2"/>
  <c r="N822" i="2"/>
  <c r="AK822" i="2"/>
  <c r="X822" i="2"/>
  <c r="S822" i="2" s="1"/>
  <c r="Z824" i="2"/>
  <c r="N824" i="2"/>
  <c r="AK824" i="2"/>
  <c r="X824" i="2"/>
  <c r="Z826" i="2"/>
  <c r="N826" i="2"/>
  <c r="AK826" i="2"/>
  <c r="X826" i="2"/>
  <c r="S826" i="2" s="1"/>
  <c r="N828" i="2"/>
  <c r="AK828" i="2"/>
  <c r="X828" i="2"/>
  <c r="S828" i="2" s="1"/>
  <c r="AK830" i="2"/>
  <c r="X830" i="2"/>
  <c r="Z832" i="2"/>
  <c r="N832" i="2"/>
  <c r="AK832" i="2"/>
  <c r="X832" i="2"/>
  <c r="J822" i="2"/>
  <c r="J824" i="2"/>
  <c r="J826" i="2"/>
  <c r="J828" i="2"/>
  <c r="J830" i="2"/>
  <c r="J832" i="2"/>
  <c r="J834" i="2"/>
  <c r="X834" i="2"/>
  <c r="S835" i="2"/>
  <c r="Z835" i="2"/>
  <c r="AK835" i="2"/>
  <c r="X836" i="2"/>
  <c r="S836" i="2" s="1"/>
  <c r="Z837" i="2"/>
  <c r="AK837" i="2"/>
  <c r="N838" i="2"/>
  <c r="X838" i="2"/>
  <c r="S838" i="2" s="1"/>
  <c r="S839" i="2"/>
  <c r="AK839" i="2"/>
  <c r="X840" i="2"/>
  <c r="S841" i="2"/>
  <c r="Z841" i="2"/>
  <c r="AK841" i="2"/>
  <c r="X842" i="2"/>
  <c r="S842" i="2" s="1"/>
  <c r="S843" i="2"/>
  <c r="Z843" i="2"/>
  <c r="Y843" i="2" s="1"/>
  <c r="AK843" i="2"/>
  <c r="X844" i="2"/>
  <c r="S845" i="2"/>
  <c r="Z845" i="2"/>
  <c r="Y845" i="2" s="1"/>
  <c r="AK845" i="2"/>
  <c r="N846" i="2"/>
  <c r="X846" i="2"/>
  <c r="S847" i="2"/>
  <c r="AK847" i="2"/>
  <c r="X848" i="2"/>
  <c r="S849" i="2"/>
  <c r="Z849" i="2"/>
  <c r="AK849" i="2"/>
  <c r="N850" i="2"/>
  <c r="X850" i="2"/>
  <c r="Z851" i="2"/>
  <c r="Y851" i="2" s="1"/>
  <c r="AK851" i="2"/>
  <c r="X852" i="2"/>
  <c r="S853" i="2"/>
  <c r="Z853" i="2"/>
  <c r="Y853" i="2" s="1"/>
  <c r="AK853" i="2"/>
  <c r="N854" i="2"/>
  <c r="X854" i="2"/>
  <c r="S855" i="2"/>
  <c r="Z855" i="2"/>
  <c r="Y855" i="2" s="1"/>
  <c r="AK855" i="2"/>
  <c r="J857" i="2"/>
  <c r="J859" i="2"/>
  <c r="J861" i="2"/>
  <c r="J863" i="2"/>
  <c r="R866" i="2"/>
  <c r="AD866" i="2"/>
  <c r="S867" i="2"/>
  <c r="Z882" i="2"/>
  <c r="N882" i="2"/>
  <c r="AD883" i="2"/>
  <c r="R883" i="2"/>
  <c r="AD892" i="2"/>
  <c r="Y892" i="2" s="1"/>
  <c r="S892" i="2"/>
  <c r="R892" i="2"/>
  <c r="Z856" i="2"/>
  <c r="X856" i="2"/>
  <c r="S856" i="2" s="1"/>
  <c r="AK856" i="2"/>
  <c r="N858" i="2"/>
  <c r="Z858" i="2"/>
  <c r="X858" i="2"/>
  <c r="S858" i="2" s="1"/>
  <c r="AK858" i="2"/>
  <c r="N860" i="2"/>
  <c r="Z860" i="2"/>
  <c r="X860" i="2"/>
  <c r="AK860" i="2"/>
  <c r="N862" i="2"/>
  <c r="Z862" i="2"/>
  <c r="X862" i="2"/>
  <c r="S862" i="2" s="1"/>
  <c r="AK862" i="2"/>
  <c r="N864" i="2"/>
  <c r="Z864" i="2"/>
  <c r="X864" i="2"/>
  <c r="S864" i="2" s="1"/>
  <c r="AK864" i="2"/>
  <c r="J866" i="2"/>
  <c r="Z870" i="2"/>
  <c r="N870" i="2"/>
  <c r="Z872" i="2"/>
  <c r="N872" i="2"/>
  <c r="Z880" i="2"/>
  <c r="N880" i="2"/>
  <c r="AD881" i="2"/>
  <c r="R881" i="2"/>
  <c r="Z888" i="2"/>
  <c r="N888" i="2"/>
  <c r="Z890" i="2"/>
  <c r="N890" i="2"/>
  <c r="J858" i="2"/>
  <c r="J860" i="2"/>
  <c r="J862" i="2"/>
  <c r="J864" i="2"/>
  <c r="Z868" i="2"/>
  <c r="N868" i="2"/>
  <c r="AD869" i="2"/>
  <c r="R869" i="2"/>
  <c r="AD871" i="2"/>
  <c r="R871" i="2"/>
  <c r="AD873" i="2"/>
  <c r="R873" i="2"/>
  <c r="Z876" i="2"/>
  <c r="N876" i="2"/>
  <c r="Z878" i="2"/>
  <c r="N878" i="2"/>
  <c r="AD879" i="2"/>
  <c r="R879" i="2"/>
  <c r="S881" i="2"/>
  <c r="Z886" i="2"/>
  <c r="N886" i="2"/>
  <c r="AD887" i="2"/>
  <c r="R887" i="2"/>
  <c r="AD889" i="2"/>
  <c r="R889" i="2"/>
  <c r="AD891" i="2"/>
  <c r="R891" i="2"/>
  <c r="N856" i="2"/>
  <c r="Z857" i="2"/>
  <c r="N857" i="2"/>
  <c r="AK857" i="2"/>
  <c r="X857" i="2"/>
  <c r="Z859" i="2"/>
  <c r="N859" i="2"/>
  <c r="AK859" i="2"/>
  <c r="X859" i="2"/>
  <c r="S859" i="2" s="1"/>
  <c r="Z861" i="2"/>
  <c r="N861" i="2"/>
  <c r="AK861" i="2"/>
  <c r="X861" i="2"/>
  <c r="S861" i="2" s="1"/>
  <c r="Z863" i="2"/>
  <c r="N863" i="2"/>
  <c r="AK863" i="2"/>
  <c r="X863" i="2"/>
  <c r="S863" i="2" s="1"/>
  <c r="J865" i="2"/>
  <c r="AD867" i="2"/>
  <c r="R867" i="2"/>
  <c r="AD875" i="2"/>
  <c r="R875" i="2"/>
  <c r="AD877" i="2"/>
  <c r="R877" i="2"/>
  <c r="S879" i="2"/>
  <c r="Z884" i="2"/>
  <c r="N884" i="2"/>
  <c r="R885" i="2"/>
  <c r="S887" i="2"/>
  <c r="X865" i="2"/>
  <c r="S866" i="2"/>
  <c r="Z866" i="2"/>
  <c r="AK866" i="2"/>
  <c r="X868" i="2"/>
  <c r="X870" i="2"/>
  <c r="X872" i="2"/>
  <c r="X874" i="2"/>
  <c r="X876" i="2"/>
  <c r="X878" i="2"/>
  <c r="X880" i="2"/>
  <c r="X882" i="2"/>
  <c r="X884" i="2"/>
  <c r="X886" i="2"/>
  <c r="X888" i="2"/>
  <c r="X890" i="2"/>
  <c r="AK892" i="2"/>
  <c r="Z894" i="2"/>
  <c r="N894" i="2"/>
  <c r="S894" i="2"/>
  <c r="AD897" i="2"/>
  <c r="R897" i="2"/>
  <c r="Z902" i="2"/>
  <c r="N902" i="2"/>
  <c r="S902" i="2"/>
  <c r="AB913" i="2"/>
  <c r="P913" i="2"/>
  <c r="AB915" i="2"/>
  <c r="AB917" i="2"/>
  <c r="P917" i="2"/>
  <c r="AA871" i="2"/>
  <c r="AA873" i="2"/>
  <c r="Y873" i="2" s="1"/>
  <c r="AA877" i="2"/>
  <c r="AA881" i="2"/>
  <c r="AA883" i="2"/>
  <c r="AA887" i="2"/>
  <c r="AA889" i="2"/>
  <c r="AA891" i="2"/>
  <c r="AD895" i="2"/>
  <c r="R895" i="2"/>
  <c r="Z898" i="2"/>
  <c r="N898" i="2"/>
  <c r="Z904" i="2"/>
  <c r="N904" i="2"/>
  <c r="AD904" i="2"/>
  <c r="AD911" i="2"/>
  <c r="R911" i="2"/>
  <c r="AC911" i="2"/>
  <c r="AD913" i="2"/>
  <c r="R913" i="2"/>
  <c r="AC913" i="2"/>
  <c r="Q913" i="2"/>
  <c r="AD915" i="2"/>
  <c r="R915" i="2"/>
  <c r="AC915" i="2"/>
  <c r="Q915" i="2"/>
  <c r="AD917" i="2"/>
  <c r="R917" i="2"/>
  <c r="AC917" i="2"/>
  <c r="AB918" i="2"/>
  <c r="P918" i="2"/>
  <c r="AB922" i="2"/>
  <c r="N892" i="2"/>
  <c r="X893" i="2"/>
  <c r="AK893" i="2"/>
  <c r="U893" i="2"/>
  <c r="Z896" i="2"/>
  <c r="Y896" i="2" s="1"/>
  <c r="N896" i="2"/>
  <c r="S896" i="2"/>
  <c r="Z900" i="2"/>
  <c r="N900" i="2"/>
  <c r="AD900" i="2"/>
  <c r="R900" i="2"/>
  <c r="S908" i="2"/>
  <c r="AA908" i="2"/>
  <c r="O908" i="2"/>
  <c r="AD908" i="2"/>
  <c r="R908" i="2"/>
  <c r="AB912" i="2"/>
  <c r="P912" i="2"/>
  <c r="AB914" i="2"/>
  <c r="P914" i="2"/>
  <c r="AB916" i="2"/>
  <c r="AD918" i="2"/>
  <c r="R918" i="2"/>
  <c r="AB919" i="2"/>
  <c r="P919" i="2"/>
  <c r="AB920" i="2"/>
  <c r="P920" i="2"/>
  <c r="AB921" i="2"/>
  <c r="P921" i="2"/>
  <c r="U868" i="2"/>
  <c r="S868" i="2" s="1"/>
  <c r="U870" i="2"/>
  <c r="U872" i="2"/>
  <c r="U874" i="2"/>
  <c r="U876" i="2"/>
  <c r="U878" i="2"/>
  <c r="U880" i="2"/>
  <c r="S880" i="2" s="1"/>
  <c r="U882" i="2"/>
  <c r="U884" i="2"/>
  <c r="S884" i="2" s="1"/>
  <c r="U886" i="2"/>
  <c r="U888" i="2"/>
  <c r="U890" i="2"/>
  <c r="AD912" i="2"/>
  <c r="R912" i="2"/>
  <c r="AC912" i="2"/>
  <c r="Q912" i="2"/>
  <c r="AD914" i="2"/>
  <c r="R914" i="2"/>
  <c r="AC914" i="2"/>
  <c r="Q914" i="2"/>
  <c r="AD916" i="2"/>
  <c r="R916" i="2"/>
  <c r="AC916" i="2"/>
  <c r="Q916" i="2"/>
  <c r="AD919" i="2"/>
  <c r="R919" i="2"/>
  <c r="AD920" i="2"/>
  <c r="R920" i="2"/>
  <c r="AD921" i="2"/>
  <c r="R921" i="2"/>
  <c r="AC921" i="2"/>
  <c r="Q921" i="2"/>
  <c r="U895" i="2"/>
  <c r="AK895" i="2"/>
  <c r="U897" i="2"/>
  <c r="U900" i="2"/>
  <c r="T901" i="2"/>
  <c r="U904" i="2"/>
  <c r="T905" i="2"/>
  <c r="T909" i="2"/>
  <c r="O911" i="2"/>
  <c r="O912" i="2"/>
  <c r="O913" i="2"/>
  <c r="O915" i="2"/>
  <c r="O916" i="2"/>
  <c r="O917" i="2"/>
  <c r="O918" i="2"/>
  <c r="W918" i="2"/>
  <c r="O919" i="2"/>
  <c r="W919" i="2"/>
  <c r="O920" i="2"/>
  <c r="O921" i="2"/>
  <c r="Q923" i="2"/>
  <c r="V923" i="2"/>
  <c r="AB924" i="2"/>
  <c r="P924" i="2"/>
  <c r="AA926" i="2"/>
  <c r="O926" i="2"/>
  <c r="AD927" i="2"/>
  <c r="R927" i="2"/>
  <c r="AB928" i="2"/>
  <c r="P928" i="2"/>
  <c r="AD930" i="2"/>
  <c r="R930" i="2"/>
  <c r="AA930" i="2"/>
  <c r="O930" i="2"/>
  <c r="R934" i="2"/>
  <c r="AD934" i="2"/>
  <c r="U901" i="2"/>
  <c r="S903" i="2"/>
  <c r="U905" i="2"/>
  <c r="T906" i="2"/>
  <c r="S907" i="2"/>
  <c r="U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X922" i="2"/>
  <c r="AD923" i="2"/>
  <c r="R923" i="2"/>
  <c r="AD924" i="2"/>
  <c r="R924" i="2"/>
  <c r="AB925" i="2"/>
  <c r="P925" i="2"/>
  <c r="AA927" i="2"/>
  <c r="O927" i="2"/>
  <c r="AD928" i="2"/>
  <c r="R928" i="2"/>
  <c r="AB929" i="2"/>
  <c r="P929" i="2"/>
  <c r="AD931" i="2"/>
  <c r="R931" i="2"/>
  <c r="AA931" i="2"/>
  <c r="O931" i="2"/>
  <c r="AD925" i="2"/>
  <c r="R925" i="2"/>
  <c r="AB926" i="2"/>
  <c r="P926" i="2"/>
  <c r="AA928" i="2"/>
  <c r="O928" i="2"/>
  <c r="AB930" i="2"/>
  <c r="P930" i="2"/>
  <c r="AD932" i="2"/>
  <c r="Q922" i="2"/>
  <c r="O923" i="2"/>
  <c r="AC924" i="2"/>
  <c r="Q924" i="2"/>
  <c r="AA925" i="2"/>
  <c r="O925" i="2"/>
  <c r="AD926" i="2"/>
  <c r="R926" i="2"/>
  <c r="AB927" i="2"/>
  <c r="P927" i="2"/>
  <c r="AD929" i="2"/>
  <c r="R929" i="2"/>
  <c r="AA929" i="2"/>
  <c r="O929" i="2"/>
  <c r="AB931" i="2"/>
  <c r="P931" i="2"/>
  <c r="AB932" i="2"/>
  <c r="P932" i="2"/>
  <c r="AC935" i="2"/>
  <c r="Q935" i="2"/>
  <c r="AD936" i="2"/>
  <c r="R936" i="2"/>
  <c r="T922" i="2"/>
  <c r="T923" i="2"/>
  <c r="T924" i="2"/>
  <c r="T925" i="2"/>
  <c r="T926" i="2"/>
  <c r="T927" i="2"/>
  <c r="T928" i="2"/>
  <c r="T929" i="2"/>
  <c r="T930" i="2"/>
  <c r="T931" i="2"/>
  <c r="T932" i="2"/>
  <c r="H933" i="2"/>
  <c r="W933" i="2" s="1"/>
  <c r="T933" i="2"/>
  <c r="X933" i="2"/>
  <c r="P936" i="2"/>
  <c r="N936" i="2"/>
  <c r="Q925" i="2"/>
  <c r="Q927" i="2"/>
  <c r="Q928" i="2"/>
  <c r="Q929" i="2"/>
  <c r="Q930" i="2"/>
  <c r="Q931" i="2"/>
  <c r="Q932" i="2"/>
  <c r="U933" i="2"/>
  <c r="AC934" i="2"/>
  <c r="Q934" i="2"/>
  <c r="AK934" i="2"/>
  <c r="U934" i="2"/>
  <c r="AD939" i="2"/>
  <c r="R939" i="2"/>
  <c r="AD940" i="2"/>
  <c r="R940" i="2"/>
  <c r="AD941" i="2"/>
  <c r="R941" i="2"/>
  <c r="O942" i="2"/>
  <c r="AA942" i="2"/>
  <c r="O943" i="2"/>
  <c r="AA943" i="2"/>
  <c r="O944" i="2"/>
  <c r="AA944" i="2"/>
  <c r="O945" i="2"/>
  <c r="AA945" i="2"/>
  <c r="V933" i="2"/>
  <c r="T934" i="2"/>
  <c r="R935" i="2"/>
  <c r="AD937" i="2"/>
  <c r="R937" i="2"/>
  <c r="AK942" i="2"/>
  <c r="T942" i="2"/>
  <c r="AK943" i="2"/>
  <c r="T943" i="2"/>
  <c r="U935" i="2"/>
  <c r="AK935" i="2"/>
  <c r="U936" i="2"/>
  <c r="U937" i="2"/>
  <c r="U938" i="2"/>
  <c r="U939" i="2"/>
  <c r="U940" i="2"/>
  <c r="T944" i="2"/>
  <c r="T955" i="2"/>
  <c r="AK955" i="2"/>
  <c r="Z961" i="2"/>
  <c r="Y961" i="2" s="1"/>
  <c r="S961" i="2"/>
  <c r="N961" i="2"/>
  <c r="Z973" i="2"/>
  <c r="Y973" i="2" s="1"/>
  <c r="S973" i="2"/>
  <c r="N973" i="2"/>
  <c r="Z936" i="2"/>
  <c r="N937" i="2"/>
  <c r="Z937" i="2"/>
  <c r="N938" i="2"/>
  <c r="Z938" i="2"/>
  <c r="N939" i="2"/>
  <c r="Z939" i="2"/>
  <c r="N940" i="2"/>
  <c r="N941" i="2"/>
  <c r="T947" i="2"/>
  <c r="AK947" i="2"/>
  <c r="I953" i="2"/>
  <c r="W936" i="2"/>
  <c r="W937" i="2"/>
  <c r="W938" i="2"/>
  <c r="W939" i="2"/>
  <c r="W940" i="2"/>
  <c r="W941" i="2"/>
  <c r="O948" i="2"/>
  <c r="T948" i="2"/>
  <c r="AK948" i="2"/>
  <c r="O951" i="2"/>
  <c r="P935" i="2"/>
  <c r="T935" i="2"/>
  <c r="T945" i="2"/>
  <c r="T946" i="2"/>
  <c r="T949" i="2"/>
  <c r="AK949" i="2"/>
  <c r="T950" i="2"/>
  <c r="AK950" i="2"/>
  <c r="T956" i="2"/>
  <c r="AK956" i="2"/>
  <c r="Z977" i="2"/>
  <c r="Y977" i="2" s="1"/>
  <c r="S977" i="2"/>
  <c r="N977" i="2"/>
  <c r="Z957" i="2"/>
  <c r="Y957" i="2" s="1"/>
  <c r="S957" i="2"/>
  <c r="AK958" i="2"/>
  <c r="X958" i="2"/>
  <c r="R958" i="2" s="1"/>
  <c r="J961" i="2"/>
  <c r="R965" i="2"/>
  <c r="AK966" i="2"/>
  <c r="X966" i="2"/>
  <c r="R966" i="2" s="1"/>
  <c r="T966" i="2"/>
  <c r="X967" i="2"/>
  <c r="R967" i="2" s="1"/>
  <c r="J973" i="2"/>
  <c r="Z976" i="2"/>
  <c r="Y976" i="2" s="1"/>
  <c r="S976" i="2"/>
  <c r="S951" i="2"/>
  <c r="Z951" i="2"/>
  <c r="Y951" i="2" s="1"/>
  <c r="S952" i="2"/>
  <c r="Z952" i="2"/>
  <c r="Y952" i="2" s="1"/>
  <c r="S953" i="2"/>
  <c r="Z953" i="2"/>
  <c r="Y953" i="2" s="1"/>
  <c r="O954" i="2"/>
  <c r="R957" i="2"/>
  <c r="T958" i="2"/>
  <c r="J958" i="2"/>
  <c r="Z960" i="2"/>
  <c r="Y960" i="2" s="1"/>
  <c r="S960" i="2"/>
  <c r="AK962" i="2"/>
  <c r="X962" i="2"/>
  <c r="R962" i="2" s="1"/>
  <c r="T962" i="2"/>
  <c r="X963" i="2"/>
  <c r="R963" i="2" s="1"/>
  <c r="J969" i="2"/>
  <c r="Z972" i="2"/>
  <c r="Y972" i="2" s="1"/>
  <c r="S972" i="2"/>
  <c r="N976" i="2"/>
  <c r="Z968" i="2"/>
  <c r="Y968" i="2" s="1"/>
  <c r="S968" i="2"/>
  <c r="Z969" i="2"/>
  <c r="Y969" i="2" s="1"/>
  <c r="S969" i="2"/>
  <c r="N969" i="2"/>
  <c r="AK974" i="2"/>
  <c r="X974" i="2"/>
  <c r="R974" i="2" s="1"/>
  <c r="T974" i="2"/>
  <c r="I975" i="2"/>
  <c r="R977" i="2"/>
  <c r="O956" i="2"/>
  <c r="N957" i="2"/>
  <c r="M957" i="2" s="1"/>
  <c r="X959" i="2"/>
  <c r="R959" i="2" s="1"/>
  <c r="T959" i="2"/>
  <c r="Z964" i="2"/>
  <c r="Y964" i="2" s="1"/>
  <c r="S964" i="2"/>
  <c r="N965" i="2"/>
  <c r="M965" i="2" s="1"/>
  <c r="AK970" i="2"/>
  <c r="X970" i="2"/>
  <c r="R970" i="2" s="1"/>
  <c r="T970" i="2"/>
  <c r="X971" i="2"/>
  <c r="R971" i="2" s="1"/>
  <c r="AK960" i="2"/>
  <c r="Z963" i="2"/>
  <c r="Y963" i="2" s="1"/>
  <c r="AK964" i="2"/>
  <c r="S967" i="2"/>
  <c r="Z967" i="2"/>
  <c r="Y967" i="2" s="1"/>
  <c r="AK968" i="2"/>
  <c r="Z971" i="2"/>
  <c r="Y971" i="2" s="1"/>
  <c r="AK972" i="2"/>
  <c r="S975" i="2"/>
  <c r="Z975" i="2"/>
  <c r="Y975" i="2" s="1"/>
  <c r="AK976" i="2"/>
  <c r="I747" i="2" l="1"/>
  <c r="I724" i="2"/>
  <c r="M447" i="2"/>
  <c r="I447" i="2" s="1"/>
  <c r="M892" i="2"/>
  <c r="M489" i="2"/>
  <c r="I489" i="2" s="1"/>
  <c r="M853" i="2"/>
  <c r="I853" i="2" s="1"/>
  <c r="M751" i="2"/>
  <c r="I751" i="2" s="1"/>
  <c r="M435" i="2"/>
  <c r="I435" i="2" s="1"/>
  <c r="M406" i="2"/>
  <c r="I406" i="2" s="1"/>
  <c r="M398" i="2"/>
  <c r="I398" i="2" s="1"/>
  <c r="N702" i="2"/>
  <c r="M702" i="2" s="1"/>
  <c r="I702" i="2" s="1"/>
  <c r="S702" i="2"/>
  <c r="N422" i="2"/>
  <c r="Z422" i="2"/>
  <c r="Q558" i="2"/>
  <c r="S558" i="2"/>
  <c r="S261" i="2"/>
  <c r="Z261" i="2"/>
  <c r="Y261" i="2" s="1"/>
  <c r="S155" i="2"/>
  <c r="N155" i="2"/>
  <c r="M155" i="2" s="1"/>
  <c r="I155" i="2" s="1"/>
  <c r="AD204" i="2"/>
  <c r="R204" i="2"/>
  <c r="S148" i="2"/>
  <c r="Z148" i="2"/>
  <c r="Y148" i="2" s="1"/>
  <c r="Z113" i="2"/>
  <c r="N113" i="2"/>
  <c r="Z891" i="2"/>
  <c r="N891" i="2"/>
  <c r="O875" i="2"/>
  <c r="AA875" i="2"/>
  <c r="Z842" i="2"/>
  <c r="N842" i="2"/>
  <c r="Z372" i="2"/>
  <c r="N372" i="2"/>
  <c r="AD203" i="2"/>
  <c r="R203" i="2"/>
  <c r="S203" i="2"/>
  <c r="Z216" i="2"/>
  <c r="Y216" i="2" s="1"/>
  <c r="N216" i="2"/>
  <c r="S216" i="2"/>
  <c r="N130" i="2"/>
  <c r="M130" i="2" s="1"/>
  <c r="I130" i="2" s="1"/>
  <c r="S130" i="2"/>
  <c r="Z877" i="2"/>
  <c r="S877" i="2"/>
  <c r="AC649" i="2"/>
  <c r="Q649" i="2"/>
  <c r="S971" i="2"/>
  <c r="S965" i="2"/>
  <c r="O941" i="2"/>
  <c r="P911" i="2"/>
  <c r="S899" i="2"/>
  <c r="AA869" i="2"/>
  <c r="S850" i="2"/>
  <c r="S846" i="2"/>
  <c r="Z834" i="2"/>
  <c r="Z656" i="2"/>
  <c r="N652" i="2"/>
  <c r="S649" i="2"/>
  <c r="N626" i="2"/>
  <c r="N624" i="2"/>
  <c r="N445" i="2"/>
  <c r="Z439" i="2"/>
  <c r="S418" i="2"/>
  <c r="N541" i="2"/>
  <c r="S535" i="2"/>
  <c r="S415" i="2"/>
  <c r="S145" i="2"/>
  <c r="N261" i="2"/>
  <c r="M261" i="2" s="1"/>
  <c r="I261" i="2" s="1"/>
  <c r="S209" i="2"/>
  <c r="N141" i="2"/>
  <c r="S113" i="2"/>
  <c r="N91" i="2"/>
  <c r="M91" i="2" s="1"/>
  <c r="I91" i="2" s="1"/>
  <c r="Z185" i="2"/>
  <c r="Y185" i="2" s="1"/>
  <c r="AD210" i="2"/>
  <c r="Y210" i="2" s="1"/>
  <c r="O143" i="2"/>
  <c r="N117" i="2"/>
  <c r="Z89" i="2"/>
  <c r="Y89" i="2" s="1"/>
  <c r="S875" i="2"/>
  <c r="U769" i="2"/>
  <c r="M698" i="2"/>
  <c r="I698" i="2" s="1"/>
  <c r="Z664" i="2"/>
  <c r="AC631" i="2"/>
  <c r="Y631" i="2" s="1"/>
  <c r="Q631" i="2"/>
  <c r="S391" i="2"/>
  <c r="Z391" i="2"/>
  <c r="AA364" i="2"/>
  <c r="S364" i="2"/>
  <c r="S284" i="2"/>
  <c r="Z284" i="2"/>
  <c r="Y284" i="2" s="1"/>
  <c r="S245" i="2"/>
  <c r="N245" i="2"/>
  <c r="M245" i="2" s="1"/>
  <c r="I245" i="2" s="1"/>
  <c r="S184" i="2"/>
  <c r="Z184" i="2"/>
  <c r="Y184" i="2" s="1"/>
  <c r="S168" i="2"/>
  <c r="Z168" i="2"/>
  <c r="Y168" i="2" s="1"/>
  <c r="N168" i="2"/>
  <c r="M168" i="2" s="1"/>
  <c r="I168" i="2" s="1"/>
  <c r="N151" i="2"/>
  <c r="M151" i="2" s="1"/>
  <c r="I151" i="2" s="1"/>
  <c r="Z151" i="2"/>
  <c r="Y151" i="2" s="1"/>
  <c r="AA141" i="2"/>
  <c r="Y141" i="2" s="1"/>
  <c r="O141" i="2"/>
  <c r="Z129" i="2"/>
  <c r="N129" i="2"/>
  <c r="S129" i="2"/>
  <c r="S116" i="2"/>
  <c r="Z116" i="2"/>
  <c r="Y116" i="2" s="1"/>
  <c r="AD221" i="2"/>
  <c r="R221" i="2"/>
  <c r="S221" i="2"/>
  <c r="S206" i="2"/>
  <c r="AD206" i="2"/>
  <c r="Z889" i="2"/>
  <c r="N889" i="2"/>
  <c r="S889" i="2"/>
  <c r="Z545" i="2"/>
  <c r="S545" i="2"/>
  <c r="Z875" i="2"/>
  <c r="N875" i="2"/>
  <c r="Z414" i="2"/>
  <c r="N414" i="2"/>
  <c r="AA370" i="2"/>
  <c r="S370" i="2"/>
  <c r="AA129" i="2"/>
  <c r="Y129" i="2" s="1"/>
  <c r="O129" i="2"/>
  <c r="T792" i="2"/>
  <c r="AK792" i="2"/>
  <c r="Z809" i="2"/>
  <c r="N763" i="2"/>
  <c r="Z702" i="2"/>
  <c r="Y702" i="2" s="1"/>
  <c r="S772" i="2"/>
  <c r="M560" i="2"/>
  <c r="I560" i="2" s="1"/>
  <c r="Y590" i="2"/>
  <c r="N439" i="2"/>
  <c r="Y418" i="2"/>
  <c r="S276" i="2"/>
  <c r="O145" i="2"/>
  <c r="Z91" i="2"/>
  <c r="Y91" i="2" s="1"/>
  <c r="R210" i="2"/>
  <c r="M210" i="2" s="1"/>
  <c r="I210" i="2" s="1"/>
  <c r="AA143" i="2"/>
  <c r="S89" i="2"/>
  <c r="AC647" i="2"/>
  <c r="Q647" i="2"/>
  <c r="U761" i="2"/>
  <c r="S598" i="2"/>
  <c r="AC598" i="2"/>
  <c r="Y598" i="2" s="1"/>
  <c r="O543" i="2"/>
  <c r="M543" i="2" s="1"/>
  <c r="I543" i="2" s="1"/>
  <c r="AA543" i="2"/>
  <c r="AB493" i="2"/>
  <c r="S493" i="2"/>
  <c r="AA399" i="2"/>
  <c r="S399" i="2"/>
  <c r="O399" i="2"/>
  <c r="AA391" i="2"/>
  <c r="O391" i="2"/>
  <c r="AA374" i="2"/>
  <c r="S374" i="2"/>
  <c r="S253" i="2"/>
  <c r="Z253" i="2"/>
  <c r="Y253" i="2" s="1"/>
  <c r="AD229" i="2"/>
  <c r="R229" i="2"/>
  <c r="N371" i="2"/>
  <c r="Z250" i="2"/>
  <c r="Y250" i="2" s="1"/>
  <c r="S250" i="2"/>
  <c r="S229" i="2"/>
  <c r="AD218" i="2"/>
  <c r="S218" i="2"/>
  <c r="R218" i="2"/>
  <c r="S142" i="2"/>
  <c r="Z142" i="2"/>
  <c r="Y142" i="2" s="1"/>
  <c r="AD111" i="2"/>
  <c r="R111" i="2"/>
  <c r="AD211" i="2"/>
  <c r="R211" i="2"/>
  <c r="AA539" i="2"/>
  <c r="O539" i="2"/>
  <c r="AC576" i="2"/>
  <c r="Y576" i="2" s="1"/>
  <c r="S576" i="2"/>
  <c r="Z537" i="2"/>
  <c r="N537" i="2"/>
  <c r="O885" i="2"/>
  <c r="AA885" i="2"/>
  <c r="AD223" i="2"/>
  <c r="S223" i="2"/>
  <c r="N211" i="2"/>
  <c r="Z211" i="2"/>
  <c r="Z137" i="2"/>
  <c r="N137" i="2"/>
  <c r="S137" i="2"/>
  <c r="S97" i="2"/>
  <c r="Z97" i="2"/>
  <c r="Y97" i="2" s="1"/>
  <c r="O899" i="2"/>
  <c r="AD201" i="2"/>
  <c r="R201" i="2"/>
  <c r="Z385" i="2"/>
  <c r="N385" i="2"/>
  <c r="Z771" i="2"/>
  <c r="Y771" i="2" s="1"/>
  <c r="S771" i="2"/>
  <c r="N830" i="2"/>
  <c r="Z830" i="2"/>
  <c r="O914" i="2"/>
  <c r="R814" i="2"/>
  <c r="Y732" i="2"/>
  <c r="Z772" i="2"/>
  <c r="Y772" i="2" s="1"/>
  <c r="M576" i="2"/>
  <c r="I576" i="2" s="1"/>
  <c r="S445" i="2"/>
  <c r="N415" i="2"/>
  <c r="Y495" i="2"/>
  <c r="AA413" i="2"/>
  <c r="N148" i="2"/>
  <c r="M148" i="2" s="1"/>
  <c r="I148" i="2" s="1"/>
  <c r="R209" i="2"/>
  <c r="Z276" i="2"/>
  <c r="Y276" i="2" s="1"/>
  <c r="S220" i="2"/>
  <c r="Z130" i="2"/>
  <c r="Y130" i="2" s="1"/>
  <c r="R216" i="2"/>
  <c r="M216" i="2" s="1"/>
  <c r="I216" i="2" s="1"/>
  <c r="Z155" i="2"/>
  <c r="Y155" i="2" s="1"/>
  <c r="N110" i="2"/>
  <c r="N877" i="2"/>
  <c r="O867" i="2"/>
  <c r="AA867" i="2"/>
  <c r="S455" i="2"/>
  <c r="P455" i="2"/>
  <c r="AB455" i="2"/>
  <c r="AA419" i="2"/>
  <c r="O419" i="2"/>
  <c r="P384" i="2"/>
  <c r="AB384" i="2"/>
  <c r="Y384" i="2" s="1"/>
  <c r="AD228" i="2"/>
  <c r="R228" i="2"/>
  <c r="S176" i="2"/>
  <c r="N176" i="2"/>
  <c r="M176" i="2" s="1"/>
  <c r="I176" i="2" s="1"/>
  <c r="Z124" i="2"/>
  <c r="Y124" i="2" s="1"/>
  <c r="N124" i="2"/>
  <c r="S103" i="2"/>
  <c r="Z103" i="2"/>
  <c r="Y103" i="2" s="1"/>
  <c r="Z77" i="2"/>
  <c r="Y77" i="2" s="1"/>
  <c r="N77" i="2"/>
  <c r="M77" i="2" s="1"/>
  <c r="I77" i="2" s="1"/>
  <c r="S77" i="2"/>
  <c r="AB475" i="2"/>
  <c r="Y475" i="2" s="1"/>
  <c r="P475" i="2"/>
  <c r="M475" i="2" s="1"/>
  <c r="I475" i="2" s="1"/>
  <c r="S475" i="2"/>
  <c r="AA410" i="2"/>
  <c r="Y410" i="2" s="1"/>
  <c r="S410" i="2"/>
  <c r="AA395" i="2"/>
  <c r="O395" i="2"/>
  <c r="Z298" i="2"/>
  <c r="N298" i="2"/>
  <c r="S208" i="2"/>
  <c r="AD208" i="2"/>
  <c r="Y208" i="2" s="1"/>
  <c r="S180" i="2"/>
  <c r="Z180" i="2"/>
  <c r="Y180" i="2" s="1"/>
  <c r="N180" i="2"/>
  <c r="M180" i="2" s="1"/>
  <c r="I180" i="2" s="1"/>
  <c r="Z365" i="2"/>
  <c r="N365" i="2"/>
  <c r="S365" i="2"/>
  <c r="N851" i="2"/>
  <c r="S851" i="2"/>
  <c r="Z847" i="2"/>
  <c r="Y847" i="2" s="1"/>
  <c r="N847" i="2"/>
  <c r="M847" i="2" s="1"/>
  <c r="I847" i="2" s="1"/>
  <c r="Z381" i="2"/>
  <c r="N381" i="2"/>
  <c r="S226" i="2"/>
  <c r="Z226" i="2"/>
  <c r="Z903" i="2"/>
  <c r="N903" i="2"/>
  <c r="Z836" i="2"/>
  <c r="N836" i="2"/>
  <c r="M212" i="2"/>
  <c r="I212" i="2" s="1"/>
  <c r="AD899" i="2"/>
  <c r="Y899" i="2" s="1"/>
  <c r="R899" i="2"/>
  <c r="Z132" i="2"/>
  <c r="N132" i="2"/>
  <c r="Z83" i="2"/>
  <c r="Y83" i="2" s="1"/>
  <c r="S83" i="2"/>
  <c r="M396" i="2"/>
  <c r="I396" i="2" s="1"/>
  <c r="S560" i="2"/>
  <c r="M453" i="2"/>
  <c r="I453" i="2" s="1"/>
  <c r="M469" i="2"/>
  <c r="I469" i="2" s="1"/>
  <c r="Y491" i="2"/>
  <c r="M487" i="2"/>
  <c r="I487" i="2" s="1"/>
  <c r="M471" i="2"/>
  <c r="I471" i="2" s="1"/>
  <c r="Y467" i="2"/>
  <c r="M410" i="2"/>
  <c r="I410" i="2" s="1"/>
  <c r="Y139" i="2"/>
  <c r="Y131" i="2"/>
  <c r="Y399" i="2"/>
  <c r="N330" i="2"/>
  <c r="M330" i="2" s="1"/>
  <c r="I330" i="2" s="1"/>
  <c r="N314" i="2"/>
  <c r="M314" i="2" s="1"/>
  <c r="I314" i="2" s="1"/>
  <c r="S149" i="2"/>
  <c r="S173" i="2"/>
  <c r="AK775" i="2"/>
  <c r="W572" i="2"/>
  <c r="W645" i="2"/>
  <c r="W629" i="2"/>
  <c r="P603" i="2"/>
  <c r="O491" i="2"/>
  <c r="P463" i="2"/>
  <c r="N466" i="2"/>
  <c r="Y416" i="2"/>
  <c r="O461" i="2"/>
  <c r="Y775" i="2"/>
  <c r="W926" i="2"/>
  <c r="AA481" i="2"/>
  <c r="Y481" i="2" s="1"/>
  <c r="AB463" i="2"/>
  <c r="Y463" i="2" s="1"/>
  <c r="AB461" i="2"/>
  <c r="AB521" i="2"/>
  <c r="AB469" i="2"/>
  <c r="Y469" i="2" s="1"/>
  <c r="S854" i="2"/>
  <c r="M775" i="2"/>
  <c r="I775" i="2" s="1"/>
  <c r="M740" i="2"/>
  <c r="I740" i="2" s="1"/>
  <c r="Y720" i="2"/>
  <c r="Y706" i="2"/>
  <c r="N620" i="2"/>
  <c r="N612" i="2"/>
  <c r="P521" i="2"/>
  <c r="Y461" i="2"/>
  <c r="Y539" i="2"/>
  <c r="M459" i="2"/>
  <c r="I459" i="2" s="1"/>
  <c r="Y408" i="2"/>
  <c r="Y143" i="2"/>
  <c r="Y132" i="2"/>
  <c r="R108" i="2"/>
  <c r="Y137" i="2"/>
  <c r="Z649" i="2"/>
  <c r="Y756" i="2"/>
  <c r="W639" i="2"/>
  <c r="S639" i="2" s="1"/>
  <c r="W617" i="2"/>
  <c r="W566" i="2"/>
  <c r="O463" i="2"/>
  <c r="M463" i="2" s="1"/>
  <c r="I463" i="2" s="1"/>
  <c r="Y441" i="2"/>
  <c r="N296" i="2"/>
  <c r="S816" i="2"/>
  <c r="P485" i="2"/>
  <c r="P461" i="2"/>
  <c r="AA655" i="2"/>
  <c r="M969" i="2"/>
  <c r="I969" i="2" s="1"/>
  <c r="M954" i="2"/>
  <c r="M887" i="2"/>
  <c r="I887" i="2" s="1"/>
  <c r="M877" i="2"/>
  <c r="M873" i="2"/>
  <c r="I873" i="2" s="1"/>
  <c r="M960" i="2"/>
  <c r="I960" i="2" s="1"/>
  <c r="M964" i="2"/>
  <c r="I877" i="2"/>
  <c r="M867" i="2"/>
  <c r="I867" i="2" s="1"/>
  <c r="M875" i="2"/>
  <c r="I875" i="2" s="1"/>
  <c r="M951" i="2"/>
  <c r="I951" i="2" s="1"/>
  <c r="M871" i="2"/>
  <c r="I871" i="2" s="1"/>
  <c r="M968" i="2"/>
  <c r="I968" i="2" s="1"/>
  <c r="M796" i="2"/>
  <c r="I796" i="2" s="1"/>
  <c r="M976" i="2"/>
  <c r="I976" i="2" s="1"/>
  <c r="M961" i="2"/>
  <c r="I961" i="2" s="1"/>
  <c r="M908" i="2"/>
  <c r="M971" i="2"/>
  <c r="I971" i="2" s="1"/>
  <c r="M889" i="2"/>
  <c r="I889" i="2" s="1"/>
  <c r="M972" i="2"/>
  <c r="I972" i="2" s="1"/>
  <c r="M963" i="2"/>
  <c r="I954" i="2"/>
  <c r="M977" i="2"/>
  <c r="M973" i="2"/>
  <c r="I973" i="2" s="1"/>
  <c r="M896" i="2"/>
  <c r="I896" i="2" s="1"/>
  <c r="M885" i="2"/>
  <c r="I885" i="2" s="1"/>
  <c r="M879" i="2"/>
  <c r="I879" i="2" s="1"/>
  <c r="M869" i="2"/>
  <c r="M881" i="2"/>
  <c r="I881" i="2" s="1"/>
  <c r="M967" i="2"/>
  <c r="I967" i="2" s="1"/>
  <c r="M418" i="2"/>
  <c r="I418" i="2" s="1"/>
  <c r="M214" i="2"/>
  <c r="I214" i="2" s="1"/>
  <c r="M131" i="2"/>
  <c r="I131" i="2" s="1"/>
  <c r="M215" i="2"/>
  <c r="I215" i="2" s="1"/>
  <c r="M141" i="2"/>
  <c r="I141" i="2" s="1"/>
  <c r="M450" i="2"/>
  <c r="I450" i="2" s="1"/>
  <c r="M224" i="2"/>
  <c r="I224" i="2" s="1"/>
  <c r="M208" i="2"/>
  <c r="I208" i="2" s="1"/>
  <c r="M132" i="2"/>
  <c r="I132" i="2" s="1"/>
  <c r="M125" i="2"/>
  <c r="I125" i="2" s="1"/>
  <c r="M221" i="2"/>
  <c r="I221" i="2" s="1"/>
  <c r="M120" i="2"/>
  <c r="I120" i="2" s="1"/>
  <c r="M219" i="2"/>
  <c r="I219" i="2" s="1"/>
  <c r="M211" i="2"/>
  <c r="I211" i="2" s="1"/>
  <c r="M124" i="2"/>
  <c r="I124" i="2" s="1"/>
  <c r="M213" i="2"/>
  <c r="I213" i="2" s="1"/>
  <c r="M145" i="2"/>
  <c r="I145" i="2" s="1"/>
  <c r="M143" i="2"/>
  <c r="I143" i="2" s="1"/>
  <c r="S830" i="2"/>
  <c r="AD837" i="2"/>
  <c r="Y837" i="2" s="1"/>
  <c r="AD814" i="2"/>
  <c r="AA763" i="2"/>
  <c r="Y763" i="2" s="1"/>
  <c r="N756" i="2"/>
  <c r="S748" i="2"/>
  <c r="Y751" i="2"/>
  <c r="S865" i="2"/>
  <c r="N840" i="2"/>
  <c r="N865" i="2"/>
  <c r="S844" i="2"/>
  <c r="AD811" i="2"/>
  <c r="R837" i="2"/>
  <c r="M837" i="2" s="1"/>
  <c r="I837" i="2" s="1"/>
  <c r="N816" i="2"/>
  <c r="Z805" i="2"/>
  <c r="O756" i="2"/>
  <c r="R812" i="2"/>
  <c r="M811" i="2"/>
  <c r="I811" i="2" s="1"/>
  <c r="AA767" i="2"/>
  <c r="Y767" i="2" s="1"/>
  <c r="S756" i="2"/>
  <c r="M839" i="2"/>
  <c r="I839" i="2" s="1"/>
  <c r="N848" i="2"/>
  <c r="S852" i="2"/>
  <c r="N852" i="2"/>
  <c r="N844" i="2"/>
  <c r="Z839" i="2"/>
  <c r="Y839" i="2" s="1"/>
  <c r="AD817" i="2"/>
  <c r="S767" i="2"/>
  <c r="AK789" i="2"/>
  <c r="M776" i="2"/>
  <c r="I776" i="2" s="1"/>
  <c r="AA783" i="2"/>
  <c r="AK751" i="2"/>
  <c r="S963" i="2"/>
  <c r="Y908" i="2"/>
  <c r="Y877" i="2"/>
  <c r="Y867" i="2"/>
  <c r="Y453" i="2"/>
  <c r="Y439" i="2"/>
  <c r="M493" i="2"/>
  <c r="I493" i="2" s="1"/>
  <c r="M113" i="2"/>
  <c r="I113" i="2" s="1"/>
  <c r="S818" i="2"/>
  <c r="O388" i="2"/>
  <c r="O384" i="2"/>
  <c r="M384" i="2" s="1"/>
  <c r="I384" i="2" s="1"/>
  <c r="O374" i="2"/>
  <c r="M374" i="2" s="1"/>
  <c r="I374" i="2" s="1"/>
  <c r="S200" i="2"/>
  <c r="Y215" i="2"/>
  <c r="AD805" i="2"/>
  <c r="AD818" i="2"/>
  <c r="M809" i="2"/>
  <c r="I809" i="2" s="1"/>
  <c r="R806" i="2"/>
  <c r="M805" i="2"/>
  <c r="I805" i="2" s="1"/>
  <c r="R808" i="2"/>
  <c r="M807" i="2"/>
  <c r="I807" i="2" s="1"/>
  <c r="AD809" i="2"/>
  <c r="S809" i="2"/>
  <c r="S805" i="2"/>
  <c r="Y780" i="2"/>
  <c r="I963" i="2"/>
  <c r="I908" i="2"/>
  <c r="Y889" i="2"/>
  <c r="Y881" i="2"/>
  <c r="Y871" i="2"/>
  <c r="Y816" i="2"/>
  <c r="Y808" i="2"/>
  <c r="Y211" i="2"/>
  <c r="AA757" i="2"/>
  <c r="O757" i="2"/>
  <c r="O386" i="2"/>
  <c r="O364" i="2"/>
  <c r="W664" i="2"/>
  <c r="M220" i="2"/>
  <c r="I220" i="2" s="1"/>
  <c r="Z213" i="2"/>
  <c r="Y213" i="2" s="1"/>
  <c r="M851" i="2"/>
  <c r="I851" i="2" s="1"/>
  <c r="M843" i="2"/>
  <c r="I843" i="2" s="1"/>
  <c r="M835" i="2"/>
  <c r="I835" i="2" s="1"/>
  <c r="N379" i="2"/>
  <c r="N140" i="2"/>
  <c r="M140" i="2" s="1"/>
  <c r="I140" i="2" s="1"/>
  <c r="S140" i="2"/>
  <c r="AA773" i="2"/>
  <c r="O773" i="2"/>
  <c r="N752" i="2"/>
  <c r="Z752" i="2"/>
  <c r="Y752" i="2" s="1"/>
  <c r="S752" i="2"/>
  <c r="I892" i="2"/>
  <c r="M759" i="2"/>
  <c r="I759" i="2" s="1"/>
  <c r="M366" i="2"/>
  <c r="I366" i="2" s="1"/>
  <c r="S938" i="2"/>
  <c r="Y447" i="2"/>
  <c r="Z806" i="2"/>
  <c r="S806" i="2"/>
  <c r="O133" i="2"/>
  <c r="M133" i="2" s="1"/>
  <c r="I133" i="2" s="1"/>
  <c r="AA133" i="2"/>
  <c r="Y133" i="2" s="1"/>
  <c r="S133" i="2"/>
  <c r="N126" i="2"/>
  <c r="M126" i="2" s="1"/>
  <c r="I126" i="2" s="1"/>
  <c r="Z126" i="2"/>
  <c r="Y126" i="2" s="1"/>
  <c r="R117" i="2"/>
  <c r="M117" i="2" s="1"/>
  <c r="I117" i="2" s="1"/>
  <c r="S117" i="2"/>
  <c r="AD117" i="2"/>
  <c r="R107" i="2"/>
  <c r="M107" i="2" s="1"/>
  <c r="I107" i="2" s="1"/>
  <c r="AD107" i="2"/>
  <c r="Z79" i="2"/>
  <c r="Y79" i="2" s="1"/>
  <c r="S79" i="2"/>
  <c r="N79" i="2"/>
  <c r="M79" i="2" s="1"/>
  <c r="I79" i="2" s="1"/>
  <c r="AA903" i="2"/>
  <c r="Y903" i="2" s="1"/>
  <c r="O903" i="2"/>
  <c r="M903" i="2" s="1"/>
  <c r="I903" i="2" s="1"/>
  <c r="S883" i="2"/>
  <c r="O883" i="2"/>
  <c r="M883" i="2" s="1"/>
  <c r="I883" i="2" s="1"/>
  <c r="S815" i="2"/>
  <c r="N815" i="2"/>
  <c r="M815" i="2" s="1"/>
  <c r="I815" i="2" s="1"/>
  <c r="O891" i="2"/>
  <c r="M891" i="2" s="1"/>
  <c r="I891" i="2" s="1"/>
  <c r="S891" i="2"/>
  <c r="S808" i="2"/>
  <c r="N808" i="2"/>
  <c r="M808" i="2" s="1"/>
  <c r="I808" i="2" s="1"/>
  <c r="AA790" i="2"/>
  <c r="O790" i="2"/>
  <c r="Z736" i="2"/>
  <c r="Y736" i="2" s="1"/>
  <c r="N736" i="2"/>
  <c r="S736" i="2"/>
  <c r="P659" i="2"/>
  <c r="AB659" i="2"/>
  <c r="N546" i="2"/>
  <c r="S546" i="2"/>
  <c r="N538" i="2"/>
  <c r="Z538" i="2"/>
  <c r="S536" i="2"/>
  <c r="N536" i="2"/>
  <c r="S885" i="2"/>
  <c r="AD885" i="2"/>
  <c r="Y885" i="2" s="1"/>
  <c r="AB364" i="2"/>
  <c r="P364" i="2"/>
  <c r="M364" i="2" s="1"/>
  <c r="I364" i="2" s="1"/>
  <c r="S93" i="2"/>
  <c r="N93" i="2"/>
  <c r="M93" i="2" s="1"/>
  <c r="I93" i="2" s="1"/>
  <c r="Z869" i="2"/>
  <c r="S869" i="2"/>
  <c r="AA390" i="2"/>
  <c r="Y390" i="2" s="1"/>
  <c r="O390" i="2"/>
  <c r="M390" i="2" s="1"/>
  <c r="I390" i="2" s="1"/>
  <c r="AA373" i="2"/>
  <c r="O373" i="2"/>
  <c r="M373" i="2" s="1"/>
  <c r="I373" i="2" s="1"/>
  <c r="S373" i="2"/>
  <c r="S257" i="2"/>
  <c r="N257" i="2"/>
  <c r="M257" i="2" s="1"/>
  <c r="I257" i="2" s="1"/>
  <c r="Z257" i="2"/>
  <c r="Y257" i="2" s="1"/>
  <c r="AD205" i="2"/>
  <c r="R205" i="2"/>
  <c r="N138" i="2"/>
  <c r="Z138" i="2"/>
  <c r="Y138" i="2" s="1"/>
  <c r="N135" i="2"/>
  <c r="M135" i="2" s="1"/>
  <c r="I135" i="2" s="1"/>
  <c r="S135" i="2"/>
  <c r="Z135" i="2"/>
  <c r="Y135" i="2" s="1"/>
  <c r="S164" i="2"/>
  <c r="N164" i="2"/>
  <c r="M164" i="2" s="1"/>
  <c r="I164" i="2" s="1"/>
  <c r="Z164" i="2"/>
  <c r="Y164" i="2" s="1"/>
  <c r="Z375" i="2"/>
  <c r="Y375" i="2" s="1"/>
  <c r="N375" i="2"/>
  <c r="M375" i="2" s="1"/>
  <c r="I375" i="2" s="1"/>
  <c r="S375" i="2"/>
  <c r="S366" i="2"/>
  <c r="AB366" i="2"/>
  <c r="Y366" i="2" s="1"/>
  <c r="Y887" i="2"/>
  <c r="AA879" i="2"/>
  <c r="Y879" i="2" s="1"/>
  <c r="Z272" i="2"/>
  <c r="Y272" i="2" s="1"/>
  <c r="N272" i="2"/>
  <c r="M272" i="2" s="1"/>
  <c r="I272" i="2" s="1"/>
  <c r="S272" i="2"/>
  <c r="N246" i="2"/>
  <c r="M246" i="2" s="1"/>
  <c r="I246" i="2" s="1"/>
  <c r="S246" i="2"/>
  <c r="N395" i="2"/>
  <c r="Z395" i="2"/>
  <c r="Y395" i="2" s="1"/>
  <c r="S395" i="2"/>
  <c r="AB383" i="2"/>
  <c r="Y383" i="2" s="1"/>
  <c r="P383" i="2"/>
  <c r="M383" i="2" s="1"/>
  <c r="I383" i="2" s="1"/>
  <c r="S241" i="2"/>
  <c r="N241" i="2"/>
  <c r="M241" i="2" s="1"/>
  <c r="I241" i="2" s="1"/>
  <c r="Z241" i="2"/>
  <c r="Y241" i="2" s="1"/>
  <c r="AB451" i="2"/>
  <c r="S451" i="2"/>
  <c r="P451" i="2"/>
  <c r="M451" i="2" s="1"/>
  <c r="I451" i="2" s="1"/>
  <c r="Z431" i="2"/>
  <c r="S431" i="2"/>
  <c r="Z288" i="2"/>
  <c r="Y288" i="2" s="1"/>
  <c r="N288" i="2"/>
  <c r="M288" i="2" s="1"/>
  <c r="I288" i="2" s="1"/>
  <c r="N262" i="2"/>
  <c r="M262" i="2" s="1"/>
  <c r="I262" i="2" s="1"/>
  <c r="S262" i="2"/>
  <c r="N228" i="2"/>
  <c r="M228" i="2" s="1"/>
  <c r="I228" i="2" s="1"/>
  <c r="Z228" i="2"/>
  <c r="S228" i="2"/>
  <c r="Z159" i="2"/>
  <c r="Y159" i="2" s="1"/>
  <c r="N159" i="2"/>
  <c r="M159" i="2" s="1"/>
  <c r="I159" i="2" s="1"/>
  <c r="S134" i="2"/>
  <c r="N134" i="2"/>
  <c r="AA127" i="2"/>
  <c r="O127" i="2"/>
  <c r="M127" i="2" s="1"/>
  <c r="I127" i="2" s="1"/>
  <c r="N119" i="2"/>
  <c r="S119" i="2"/>
  <c r="S111" i="2"/>
  <c r="N111" i="2"/>
  <c r="M111" i="2" s="1"/>
  <c r="I111" i="2" s="1"/>
  <c r="S102" i="2"/>
  <c r="Z102" i="2"/>
  <c r="Y102" i="2" s="1"/>
  <c r="S205" i="2"/>
  <c r="S202" i="2"/>
  <c r="R202" i="2"/>
  <c r="S172" i="2"/>
  <c r="N172" i="2"/>
  <c r="M172" i="2" s="1"/>
  <c r="I172" i="2" s="1"/>
  <c r="Z817" i="2"/>
  <c r="S817" i="2"/>
  <c r="O802" i="2"/>
  <c r="AA802" i="2"/>
  <c r="O794" i="2"/>
  <c r="AA794" i="2"/>
  <c r="S357" i="2"/>
  <c r="Z357" i="2"/>
  <c r="Y357" i="2" s="1"/>
  <c r="N357" i="2"/>
  <c r="M357" i="2" s="1"/>
  <c r="I357" i="2" s="1"/>
  <c r="Y891" i="2"/>
  <c r="Y883" i="2"/>
  <c r="Y866" i="2"/>
  <c r="AA753" i="2"/>
  <c r="O753" i="2"/>
  <c r="N710" i="2"/>
  <c r="M710" i="2" s="1"/>
  <c r="I710" i="2" s="1"/>
  <c r="S710" i="2"/>
  <c r="Z710" i="2"/>
  <c r="Y710" i="2" s="1"/>
  <c r="N694" i="2"/>
  <c r="M694" i="2" s="1"/>
  <c r="I694" i="2" s="1"/>
  <c r="S694" i="2"/>
  <c r="Z694" i="2"/>
  <c r="Y694" i="2" s="1"/>
  <c r="AA659" i="2"/>
  <c r="O659" i="2"/>
  <c r="Q621" i="2"/>
  <c r="AC621" i="2"/>
  <c r="Y621" i="2" s="1"/>
  <c r="S621" i="2"/>
  <c r="Q639" i="2"/>
  <c r="AC639" i="2"/>
  <c r="Y639" i="2" s="1"/>
  <c r="AA785" i="2"/>
  <c r="O785" i="2"/>
  <c r="S764" i="2"/>
  <c r="N764" i="2"/>
  <c r="S633" i="2"/>
  <c r="Q633" i="2"/>
  <c r="M633" i="2" s="1"/>
  <c r="I633" i="2" s="1"/>
  <c r="Q580" i="2"/>
  <c r="M580" i="2" s="1"/>
  <c r="I580" i="2" s="1"/>
  <c r="S580" i="2"/>
  <c r="O545" i="2"/>
  <c r="M545" i="2" s="1"/>
  <c r="I545" i="2" s="1"/>
  <c r="AA545" i="2"/>
  <c r="Y545" i="2" s="1"/>
  <c r="Q592" i="2"/>
  <c r="AC592" i="2"/>
  <c r="Y592" i="2" s="1"/>
  <c r="S592" i="2"/>
  <c r="N499" i="2"/>
  <c r="M499" i="2" s="1"/>
  <c r="I499" i="2" s="1"/>
  <c r="S499" i="2"/>
  <c r="AA446" i="2"/>
  <c r="Y446" i="2" s="1"/>
  <c r="S446" i="2"/>
  <c r="Z402" i="2"/>
  <c r="S402" i="2"/>
  <c r="N392" i="2"/>
  <c r="M392" i="2" s="1"/>
  <c r="I392" i="2" s="1"/>
  <c r="S392" i="2"/>
  <c r="Z392" i="2"/>
  <c r="Y392" i="2" s="1"/>
  <c r="O443" i="2"/>
  <c r="AA443" i="2"/>
  <c r="N426" i="2"/>
  <c r="M426" i="2" s="1"/>
  <c r="I426" i="2" s="1"/>
  <c r="Z426" i="2"/>
  <c r="Y426" i="2" s="1"/>
  <c r="Y869" i="2"/>
  <c r="M866" i="2"/>
  <c r="I866" i="2" s="1"/>
  <c r="Y835" i="2"/>
  <c r="Y728" i="2"/>
  <c r="Y682" i="2"/>
  <c r="M590" i="2"/>
  <c r="I590" i="2" s="1"/>
  <c r="M445" i="2"/>
  <c r="I445" i="2" s="1"/>
  <c r="M481" i="2"/>
  <c r="I481" i="2" s="1"/>
  <c r="M465" i="2"/>
  <c r="I465" i="2" s="1"/>
  <c r="Y451" i="2"/>
  <c r="Y224" i="2"/>
  <c r="Y107" i="2"/>
  <c r="M119" i="2"/>
  <c r="I119" i="2" s="1"/>
  <c r="I964" i="2"/>
  <c r="N302" i="2"/>
  <c r="O382" i="2"/>
  <c r="M382" i="2" s="1"/>
  <c r="I382" i="2" s="1"/>
  <c r="N367" i="2"/>
  <c r="N308" i="2"/>
  <c r="I869" i="2"/>
  <c r="Y796" i="2"/>
  <c r="M849" i="2"/>
  <c r="I849" i="2" s="1"/>
  <c r="M841" i="2"/>
  <c r="I841" i="2" s="1"/>
  <c r="Y812" i="2"/>
  <c r="M732" i="2"/>
  <c r="I732" i="2" s="1"/>
  <c r="N654" i="2"/>
  <c r="Z640" i="2"/>
  <c r="Y647" i="2"/>
  <c r="Y558" i="2"/>
  <c r="M485" i="2"/>
  <c r="I485" i="2" s="1"/>
  <c r="M479" i="2"/>
  <c r="I479" i="2" s="1"/>
  <c r="Y396" i="2"/>
  <c r="Y402" i="2"/>
  <c r="M408" i="2"/>
  <c r="I408" i="2" s="1"/>
  <c r="Y128" i="2"/>
  <c r="M121" i="2"/>
  <c r="I121" i="2" s="1"/>
  <c r="Y113" i="2"/>
  <c r="P939" i="2"/>
  <c r="M819" i="2"/>
  <c r="I819" i="2" s="1"/>
  <c r="Y698" i="2"/>
  <c r="M598" i="2"/>
  <c r="I598" i="2" s="1"/>
  <c r="M582" i="2"/>
  <c r="I582" i="2" s="1"/>
  <c r="M495" i="2"/>
  <c r="I495" i="2" s="1"/>
  <c r="M473" i="2"/>
  <c r="I473" i="2" s="1"/>
  <c r="M457" i="2"/>
  <c r="I457" i="2" s="1"/>
  <c r="M491" i="2"/>
  <c r="I491" i="2" s="1"/>
  <c r="M483" i="2"/>
  <c r="I483" i="2" s="1"/>
  <c r="M467" i="2"/>
  <c r="I467" i="2" s="1"/>
  <c r="Y373" i="2"/>
  <c r="M137" i="2"/>
  <c r="I137" i="2" s="1"/>
  <c r="Y127" i="2"/>
  <c r="Y364" i="2"/>
  <c r="AD910" i="2"/>
  <c r="R910" i="2"/>
  <c r="Z217" i="2"/>
  <c r="Y217" i="2" s="1"/>
  <c r="N217" i="2"/>
  <c r="M217" i="2" s="1"/>
  <c r="I217" i="2" s="1"/>
  <c r="AA431" i="2"/>
  <c r="O431" i="2"/>
  <c r="M431" i="2" s="1"/>
  <c r="I431" i="2" s="1"/>
  <c r="M439" i="2"/>
  <c r="I439" i="2" s="1"/>
  <c r="M419" i="2"/>
  <c r="I419" i="2" s="1"/>
  <c r="M129" i="2"/>
  <c r="I129" i="2" s="1"/>
  <c r="M767" i="2"/>
  <c r="I767" i="2" s="1"/>
  <c r="M592" i="2"/>
  <c r="I592" i="2" s="1"/>
  <c r="M574" i="2"/>
  <c r="I574" i="2" s="1"/>
  <c r="M568" i="2"/>
  <c r="I568" i="2" s="1"/>
  <c r="M497" i="2"/>
  <c r="I497" i="2" s="1"/>
  <c r="I957" i="2"/>
  <c r="M780" i="2"/>
  <c r="I780" i="2" s="1"/>
  <c r="M771" i="2"/>
  <c r="I771" i="2" s="1"/>
  <c r="M755" i="2"/>
  <c r="I755" i="2" s="1"/>
  <c r="M584" i="2"/>
  <c r="I584" i="2" s="1"/>
  <c r="M564" i="2"/>
  <c r="I564" i="2" s="1"/>
  <c r="M558" i="2"/>
  <c r="I558" i="2" s="1"/>
  <c r="M706" i="2"/>
  <c r="I706" i="2" s="1"/>
  <c r="M690" i="2"/>
  <c r="I690" i="2" s="1"/>
  <c r="S939" i="2"/>
  <c r="S528" i="2"/>
  <c r="S512" i="2"/>
  <c r="M402" i="2"/>
  <c r="I402" i="2" s="1"/>
  <c r="AD905" i="2"/>
  <c r="R905" i="2"/>
  <c r="AA924" i="2"/>
  <c r="O924" i="2"/>
  <c r="N899" i="2"/>
  <c r="P938" i="2"/>
  <c r="W651" i="2"/>
  <c r="Z651" i="2"/>
  <c r="W643" i="2"/>
  <c r="Z643" i="2"/>
  <c r="W635" i="2"/>
  <c r="Z635" i="2"/>
  <c r="W627" i="2"/>
  <c r="Z627" i="2"/>
  <c r="W615" i="2"/>
  <c r="Z615" i="2"/>
  <c r="AA535" i="2"/>
  <c r="O535" i="2"/>
  <c r="M535" i="2" s="1"/>
  <c r="I535" i="2" s="1"/>
  <c r="Z229" i="2"/>
  <c r="Y229" i="2" s="1"/>
  <c r="N229" i="2"/>
  <c r="AA365" i="2"/>
  <c r="Y365" i="2" s="1"/>
  <c r="O365" i="2"/>
  <c r="M365" i="2" s="1"/>
  <c r="I365" i="2" s="1"/>
  <c r="N204" i="2"/>
  <c r="Z204" i="2"/>
  <c r="Y204" i="2" s="1"/>
  <c r="Z201" i="2"/>
  <c r="Y201" i="2" s="1"/>
  <c r="N201" i="2"/>
  <c r="M201" i="2" s="1"/>
  <c r="I201" i="2" s="1"/>
  <c r="Y221" i="2"/>
  <c r="M814" i="2"/>
  <c r="I814" i="2" s="1"/>
  <c r="M806" i="2"/>
  <c r="I806" i="2" s="1"/>
  <c r="AB934" i="2"/>
  <c r="P934" i="2"/>
  <c r="P937" i="2"/>
  <c r="W588" i="2"/>
  <c r="Z588" i="2"/>
  <c r="W586" i="2"/>
  <c r="Z586" i="2"/>
  <c r="W578" i="2"/>
  <c r="Z578" i="2"/>
  <c r="W570" i="2"/>
  <c r="Z570" i="2"/>
  <c r="W562" i="2"/>
  <c r="Z562" i="2"/>
  <c r="AA538" i="2"/>
  <c r="O538" i="2"/>
  <c r="M538" i="2" s="1"/>
  <c r="I538" i="2" s="1"/>
  <c r="Z419" i="2"/>
  <c r="Y419" i="2" s="1"/>
  <c r="S419" i="2"/>
  <c r="N206" i="2"/>
  <c r="M206" i="2" s="1"/>
  <c r="I206" i="2" s="1"/>
  <c r="Z206" i="2"/>
  <c r="Y206" i="2" s="1"/>
  <c r="Z203" i="2"/>
  <c r="Y203" i="2" s="1"/>
  <c r="N203" i="2"/>
  <c r="M203" i="2" s="1"/>
  <c r="I203" i="2" s="1"/>
  <c r="S937" i="2"/>
  <c r="M818" i="2"/>
  <c r="I818" i="2" s="1"/>
  <c r="M810" i="2"/>
  <c r="I810" i="2" s="1"/>
  <c r="W660" i="2"/>
  <c r="W650" i="2"/>
  <c r="W636" i="2"/>
  <c r="AC636" i="2" s="1"/>
  <c r="W632" i="2"/>
  <c r="W630" i="2"/>
  <c r="W628" i="2"/>
  <c r="W626" i="2"/>
  <c r="AC626" i="2" s="1"/>
  <c r="W624" i="2"/>
  <c r="W622" i="2"/>
  <c r="W618" i="2"/>
  <c r="S532" i="2"/>
  <c r="S524" i="2"/>
  <c r="S516" i="2"/>
  <c r="Y374" i="2"/>
  <c r="M229" i="2"/>
  <c r="I229" i="2" s="1"/>
  <c r="AD906" i="2"/>
  <c r="R906" i="2"/>
  <c r="AA898" i="2"/>
  <c r="Y898" i="2" s="1"/>
  <c r="O898" i="2"/>
  <c r="M898" i="2" s="1"/>
  <c r="W596" i="2"/>
  <c r="Z596" i="2"/>
  <c r="W619" i="2"/>
  <c r="Z619" i="2"/>
  <c r="W613" i="2"/>
  <c r="Z613" i="2"/>
  <c r="AA536" i="2"/>
  <c r="Y536" i="2" s="1"/>
  <c r="O536" i="2"/>
  <c r="M536" i="2" s="1"/>
  <c r="I536" i="2" s="1"/>
  <c r="S271" i="2"/>
  <c r="Z271" i="2"/>
  <c r="Y271" i="2" s="1"/>
  <c r="Z223" i="2"/>
  <c r="Y223" i="2" s="1"/>
  <c r="N223" i="2"/>
  <c r="M223" i="2" s="1"/>
  <c r="I223" i="2" s="1"/>
  <c r="Z227" i="2"/>
  <c r="Y227" i="2" s="1"/>
  <c r="N227" i="2"/>
  <c r="M227" i="2" s="1"/>
  <c r="I227" i="2" s="1"/>
  <c r="Z205" i="2"/>
  <c r="Y205" i="2" s="1"/>
  <c r="N205" i="2"/>
  <c r="N200" i="2"/>
  <c r="M200" i="2" s="1"/>
  <c r="I200" i="2" s="1"/>
  <c r="Z200" i="2"/>
  <c r="Y200" i="2" s="1"/>
  <c r="Z209" i="2"/>
  <c r="Y209" i="2" s="1"/>
  <c r="N209" i="2"/>
  <c r="S136" i="2"/>
  <c r="Z136" i="2"/>
  <c r="Y136" i="2" s="1"/>
  <c r="M816" i="2"/>
  <c r="I816" i="2" s="1"/>
  <c r="Y535" i="2"/>
  <c r="M204" i="2"/>
  <c r="I204" i="2" s="1"/>
  <c r="AA902" i="2"/>
  <c r="Y902" i="2" s="1"/>
  <c r="O902" i="2"/>
  <c r="P940" i="2"/>
  <c r="AB940" i="2"/>
  <c r="AA907" i="2"/>
  <c r="Y907" i="2" s="1"/>
  <c r="O907" i="2"/>
  <c r="M907" i="2" s="1"/>
  <c r="AD894" i="2"/>
  <c r="Y894" i="2" s="1"/>
  <c r="R894" i="2"/>
  <c r="AA537" i="2"/>
  <c r="Y537" i="2" s="1"/>
  <c r="O537" i="2"/>
  <c r="M537" i="2" s="1"/>
  <c r="I537" i="2" s="1"/>
  <c r="W594" i="2"/>
  <c r="Z594" i="2"/>
  <c r="AA415" i="2"/>
  <c r="Y415" i="2" s="1"/>
  <c r="O415" i="2"/>
  <c r="AA423" i="2"/>
  <c r="Y423" i="2" s="1"/>
  <c r="O423" i="2"/>
  <c r="M423" i="2" s="1"/>
  <c r="I423" i="2" s="1"/>
  <c r="AA387" i="2"/>
  <c r="Y387" i="2" s="1"/>
  <c r="O387" i="2"/>
  <c r="M387" i="2" s="1"/>
  <c r="I387" i="2" s="1"/>
  <c r="Z207" i="2"/>
  <c r="Y207" i="2" s="1"/>
  <c r="N207" i="2"/>
  <c r="M207" i="2" s="1"/>
  <c r="I207" i="2" s="1"/>
  <c r="N202" i="2"/>
  <c r="M202" i="2" s="1"/>
  <c r="I202" i="2" s="1"/>
  <c r="Z202" i="2"/>
  <c r="Y202" i="2" s="1"/>
  <c r="AD306" i="2"/>
  <c r="R306" i="2"/>
  <c r="S306" i="2"/>
  <c r="AC660" i="2"/>
  <c r="Q660" i="2"/>
  <c r="AC650" i="2"/>
  <c r="Q650" i="2"/>
  <c r="AC632" i="2"/>
  <c r="Q632" i="2"/>
  <c r="AC630" i="2"/>
  <c r="Q630" i="2"/>
  <c r="AC628" i="2"/>
  <c r="Q628" i="2"/>
  <c r="AC624" i="2"/>
  <c r="Q624" i="2"/>
  <c r="AC622" i="2"/>
  <c r="Q622" i="2"/>
  <c r="AC618" i="2"/>
  <c r="Q618" i="2"/>
  <c r="Q679" i="2"/>
  <c r="AC679" i="2"/>
  <c r="S679" i="2"/>
  <c r="N950" i="2"/>
  <c r="Z950" i="2"/>
  <c r="Y950" i="2" s="1"/>
  <c r="S950" i="2"/>
  <c r="Z945" i="2"/>
  <c r="Y945" i="2" s="1"/>
  <c r="S945" i="2"/>
  <c r="N945" i="2"/>
  <c r="AC941" i="2"/>
  <c r="Y941" i="2" s="1"/>
  <c r="Q941" i="2"/>
  <c r="M941" i="2" s="1"/>
  <c r="AC937" i="2"/>
  <c r="Q937" i="2"/>
  <c r="AA940" i="2"/>
  <c r="O940" i="2"/>
  <c r="AA936" i="2"/>
  <c r="O936" i="2"/>
  <c r="AB933" i="2"/>
  <c r="P933" i="2"/>
  <c r="S936" i="2"/>
  <c r="Z932" i="2"/>
  <c r="Y932" i="2" s="1"/>
  <c r="N932" i="2"/>
  <c r="S932" i="2"/>
  <c r="Z928" i="2"/>
  <c r="Y928" i="2" s="1"/>
  <c r="N928" i="2"/>
  <c r="S928" i="2"/>
  <c r="Z924" i="2"/>
  <c r="Y924" i="2" s="1"/>
  <c r="N924" i="2"/>
  <c r="S924" i="2"/>
  <c r="Z920" i="2"/>
  <c r="Y920" i="2" s="1"/>
  <c r="N920" i="2"/>
  <c r="S920" i="2"/>
  <c r="Z916" i="2"/>
  <c r="Y916" i="2" s="1"/>
  <c r="N916" i="2"/>
  <c r="S916" i="2"/>
  <c r="Z912" i="2"/>
  <c r="Y912" i="2" s="1"/>
  <c r="N912" i="2"/>
  <c r="S912" i="2"/>
  <c r="AA909" i="2"/>
  <c r="O909" i="2"/>
  <c r="S909" i="2"/>
  <c r="Z909" i="2"/>
  <c r="N909" i="2"/>
  <c r="AA900" i="2"/>
  <c r="O900" i="2"/>
  <c r="M900" i="2" s="1"/>
  <c r="I900" i="2" s="1"/>
  <c r="AA890" i="2"/>
  <c r="O890" i="2"/>
  <c r="AA882" i="2"/>
  <c r="O882" i="2"/>
  <c r="AA874" i="2"/>
  <c r="O874" i="2"/>
  <c r="S874" i="2"/>
  <c r="AA893" i="2"/>
  <c r="O893" i="2"/>
  <c r="AD888" i="2"/>
  <c r="R888" i="2"/>
  <c r="AD880" i="2"/>
  <c r="R880" i="2"/>
  <c r="AD872" i="2"/>
  <c r="R872" i="2"/>
  <c r="R857" i="2"/>
  <c r="AD857" i="2"/>
  <c r="Y857" i="2" s="1"/>
  <c r="S890" i="2"/>
  <c r="AD862" i="2"/>
  <c r="R862" i="2"/>
  <c r="S882" i="2"/>
  <c r="AD850" i="2"/>
  <c r="Y850" i="2" s="1"/>
  <c r="R850" i="2"/>
  <c r="M850" i="2" s="1"/>
  <c r="I850" i="2" s="1"/>
  <c r="AD842" i="2"/>
  <c r="Y842" i="2" s="1"/>
  <c r="R842" i="2"/>
  <c r="M842" i="2" s="1"/>
  <c r="I842" i="2" s="1"/>
  <c r="R834" i="2"/>
  <c r="M834" i="2" s="1"/>
  <c r="I834" i="2" s="1"/>
  <c r="AD834" i="2"/>
  <c r="R832" i="2"/>
  <c r="AD832" i="2"/>
  <c r="Y832" i="2" s="1"/>
  <c r="R824" i="2"/>
  <c r="M824" i="2" s="1"/>
  <c r="I824" i="2" s="1"/>
  <c r="AD824" i="2"/>
  <c r="Y824" i="2" s="1"/>
  <c r="R827" i="2"/>
  <c r="AD827" i="2"/>
  <c r="AA803" i="2"/>
  <c r="O803" i="2"/>
  <c r="AA795" i="2"/>
  <c r="O795" i="2"/>
  <c r="AK786" i="2"/>
  <c r="T786" i="2"/>
  <c r="Z785" i="2"/>
  <c r="Y785" i="2" s="1"/>
  <c r="S785" i="2"/>
  <c r="N785" i="2"/>
  <c r="M785" i="2" s="1"/>
  <c r="I785" i="2" s="1"/>
  <c r="Z803" i="2"/>
  <c r="S803" i="2"/>
  <c r="N803" i="2"/>
  <c r="Z799" i="2"/>
  <c r="S799" i="2"/>
  <c r="N799" i="2"/>
  <c r="Z795" i="2"/>
  <c r="Y795" i="2" s="1"/>
  <c r="S795" i="2"/>
  <c r="N795" i="2"/>
  <c r="Z791" i="2"/>
  <c r="S791" i="2"/>
  <c r="N791" i="2"/>
  <c r="T778" i="2"/>
  <c r="AK778" i="2"/>
  <c r="T762" i="2"/>
  <c r="AK762" i="2"/>
  <c r="T746" i="2"/>
  <c r="AK746" i="2"/>
  <c r="Y819" i="2"/>
  <c r="Y811" i="2"/>
  <c r="N788" i="2"/>
  <c r="M788" i="2" s="1"/>
  <c r="I788" i="2" s="1"/>
  <c r="Z788" i="2"/>
  <c r="Y788" i="2" s="1"/>
  <c r="S788" i="2"/>
  <c r="O738" i="2"/>
  <c r="AA738" i="2"/>
  <c r="AA722" i="2"/>
  <c r="O722" i="2"/>
  <c r="O770" i="2"/>
  <c r="AA770" i="2"/>
  <c r="M768" i="2"/>
  <c r="I768" i="2" s="1"/>
  <c r="O754" i="2"/>
  <c r="AA754" i="2"/>
  <c r="M752" i="2"/>
  <c r="I752" i="2" s="1"/>
  <c r="T718" i="2"/>
  <c r="AK718" i="2"/>
  <c r="M748" i="2"/>
  <c r="I748" i="2" s="1"/>
  <c r="AK735" i="2"/>
  <c r="T735" i="2"/>
  <c r="Z733" i="2"/>
  <c r="S733" i="2"/>
  <c r="N733" i="2"/>
  <c r="AK727" i="2"/>
  <c r="T727" i="2"/>
  <c r="Z725" i="2"/>
  <c r="S725" i="2"/>
  <c r="N725" i="2"/>
  <c r="AK719" i="2"/>
  <c r="T719" i="2"/>
  <c r="AK712" i="2"/>
  <c r="T712" i="2"/>
  <c r="AK704" i="2"/>
  <c r="T704" i="2"/>
  <c r="AK696" i="2"/>
  <c r="T696" i="2"/>
  <c r="AK688" i="2"/>
  <c r="T688" i="2"/>
  <c r="Q677" i="2"/>
  <c r="AC677" i="2"/>
  <c r="Y677" i="2" s="1"/>
  <c r="P674" i="2"/>
  <c r="AB674" i="2"/>
  <c r="AA662" i="2"/>
  <c r="O662" i="2"/>
  <c r="Q675" i="2"/>
  <c r="M675" i="2" s="1"/>
  <c r="I675" i="2" s="1"/>
  <c r="AC675" i="2"/>
  <c r="Y675" i="2" s="1"/>
  <c r="AA668" i="2"/>
  <c r="O668" i="2"/>
  <c r="O678" i="2"/>
  <c r="AA678" i="2"/>
  <c r="P670" i="2"/>
  <c r="AB670" i="2"/>
  <c r="Z666" i="2"/>
  <c r="W666" i="2"/>
  <c r="N666" i="2"/>
  <c r="AB660" i="2"/>
  <c r="P660" i="2"/>
  <c r="Z657" i="2"/>
  <c r="W657" i="2"/>
  <c r="S657" i="2" s="1"/>
  <c r="N657" i="2"/>
  <c r="AB654" i="2"/>
  <c r="P654" i="2"/>
  <c r="AB650" i="2"/>
  <c r="P650" i="2"/>
  <c r="AB646" i="2"/>
  <c r="P646" i="2"/>
  <c r="AB642" i="2"/>
  <c r="P642" i="2"/>
  <c r="AB638" i="2"/>
  <c r="P638" i="2"/>
  <c r="AB634" i="2"/>
  <c r="P634" i="2"/>
  <c r="AB630" i="2"/>
  <c r="P630" i="2"/>
  <c r="AB626" i="2"/>
  <c r="P626" i="2"/>
  <c r="AB622" i="2"/>
  <c r="P622" i="2"/>
  <c r="AB618" i="2"/>
  <c r="P618" i="2"/>
  <c r="AB614" i="2"/>
  <c r="P614" i="2"/>
  <c r="AK709" i="2"/>
  <c r="AK705" i="2"/>
  <c r="AK701" i="2"/>
  <c r="O658" i="2"/>
  <c r="AA658" i="2"/>
  <c r="O654" i="2"/>
  <c r="AA654" i="2"/>
  <c r="M649" i="2"/>
  <c r="I649" i="2" s="1"/>
  <c r="M647" i="2"/>
  <c r="I647" i="2" s="1"/>
  <c r="M641" i="2"/>
  <c r="I641" i="2" s="1"/>
  <c r="M639" i="2"/>
  <c r="I639" i="2" s="1"/>
  <c r="M637" i="2"/>
  <c r="I637" i="2" s="1"/>
  <c r="M631" i="2"/>
  <c r="I631" i="2" s="1"/>
  <c r="M625" i="2"/>
  <c r="I625" i="2" s="1"/>
  <c r="M623" i="2"/>
  <c r="I623" i="2" s="1"/>
  <c r="M621" i="2"/>
  <c r="I621" i="2" s="1"/>
  <c r="P662" i="2"/>
  <c r="W658" i="2"/>
  <c r="W654" i="2"/>
  <c r="Z642" i="2"/>
  <c r="N634" i="2"/>
  <c r="O606" i="2"/>
  <c r="AA606" i="2"/>
  <c r="W603" i="2"/>
  <c r="S603" i="2" s="1"/>
  <c r="N603" i="2"/>
  <c r="Z603" i="2"/>
  <c r="O597" i="2"/>
  <c r="AA597" i="2"/>
  <c r="O589" i="2"/>
  <c r="AA589" i="2"/>
  <c r="O581" i="2"/>
  <c r="AA581" i="2"/>
  <c r="O573" i="2"/>
  <c r="AA573" i="2"/>
  <c r="O565" i="2"/>
  <c r="AA565" i="2"/>
  <c r="O557" i="2"/>
  <c r="AA557" i="2"/>
  <c r="W670" i="2"/>
  <c r="S670" i="2" s="1"/>
  <c r="S660" i="2"/>
  <c r="Z652" i="2"/>
  <c r="N644" i="2"/>
  <c r="S636" i="2"/>
  <c r="Z620" i="2"/>
  <c r="Z597" i="2"/>
  <c r="W597" i="2"/>
  <c r="S597" i="2" s="1"/>
  <c r="N597" i="2"/>
  <c r="Z589" i="2"/>
  <c r="W589" i="2"/>
  <c r="S589" i="2" s="1"/>
  <c r="N589" i="2"/>
  <c r="Z581" i="2"/>
  <c r="W581" i="2"/>
  <c r="S581" i="2" s="1"/>
  <c r="N581" i="2"/>
  <c r="Z573" i="2"/>
  <c r="W573" i="2"/>
  <c r="S573" i="2" s="1"/>
  <c r="N573" i="2"/>
  <c r="Z565" i="2"/>
  <c r="W565" i="2"/>
  <c r="S565" i="2" s="1"/>
  <c r="N565" i="2"/>
  <c r="Z557" i="2"/>
  <c r="W557" i="2"/>
  <c r="S557" i="2" s="1"/>
  <c r="N557" i="2"/>
  <c r="Z646" i="2"/>
  <c r="N638" i="2"/>
  <c r="S630" i="2"/>
  <c r="Z614" i="2"/>
  <c r="Z610" i="2"/>
  <c r="W610" i="2"/>
  <c r="S610" i="2" s="1"/>
  <c r="N610" i="2"/>
  <c r="W668" i="2"/>
  <c r="N656" i="2"/>
  <c r="Z648" i="2"/>
  <c r="N640" i="2"/>
  <c r="S632" i="2"/>
  <c r="Z616" i="2"/>
  <c r="O608" i="2"/>
  <c r="AA608" i="2"/>
  <c r="W600" i="2"/>
  <c r="S600" i="2" s="1"/>
  <c r="N600" i="2"/>
  <c r="Z600" i="2"/>
  <c r="P597" i="2"/>
  <c r="AB597" i="2"/>
  <c r="P593" i="2"/>
  <c r="AB593" i="2"/>
  <c r="P589" i="2"/>
  <c r="AB589" i="2"/>
  <c r="P585" i="2"/>
  <c r="AB585" i="2"/>
  <c r="P581" i="2"/>
  <c r="AB581" i="2"/>
  <c r="P577" i="2"/>
  <c r="AB577" i="2"/>
  <c r="P573" i="2"/>
  <c r="AB573" i="2"/>
  <c r="P569" i="2"/>
  <c r="AB569" i="2"/>
  <c r="P565" i="2"/>
  <c r="AB565" i="2"/>
  <c r="P561" i="2"/>
  <c r="AB561" i="2"/>
  <c r="P557" i="2"/>
  <c r="AB557" i="2"/>
  <c r="N553" i="2"/>
  <c r="M553" i="2" s="1"/>
  <c r="I553" i="2" s="1"/>
  <c r="Z553" i="2"/>
  <c r="Y553" i="2" s="1"/>
  <c r="S553" i="2"/>
  <c r="P602" i="2"/>
  <c r="Z551" i="2"/>
  <c r="Y551" i="2" s="1"/>
  <c r="S551" i="2"/>
  <c r="N551" i="2"/>
  <c r="M551" i="2" s="1"/>
  <c r="I551" i="2" s="1"/>
  <c r="AB534" i="2"/>
  <c r="P534" i="2"/>
  <c r="AB530" i="2"/>
  <c r="P530" i="2"/>
  <c r="AB526" i="2"/>
  <c r="P526" i="2"/>
  <c r="AB522" i="2"/>
  <c r="P522" i="2"/>
  <c r="AB518" i="2"/>
  <c r="P518" i="2"/>
  <c r="AB514" i="2"/>
  <c r="P514" i="2"/>
  <c r="AB510" i="2"/>
  <c r="P510" i="2"/>
  <c r="M510" i="2" s="1"/>
  <c r="I510" i="2" s="1"/>
  <c r="AB506" i="2"/>
  <c r="Y506" i="2" s="1"/>
  <c r="P506" i="2"/>
  <c r="M506" i="2" s="1"/>
  <c r="I506" i="2" s="1"/>
  <c r="AB502" i="2"/>
  <c r="P502" i="2"/>
  <c r="AB496" i="2"/>
  <c r="P496" i="2"/>
  <c r="AB488" i="2"/>
  <c r="Y488" i="2" s="1"/>
  <c r="P488" i="2"/>
  <c r="M488" i="2" s="1"/>
  <c r="I488" i="2" s="1"/>
  <c r="AB480" i="2"/>
  <c r="P480" i="2"/>
  <c r="AB472" i="2"/>
  <c r="P472" i="2"/>
  <c r="AB464" i="2"/>
  <c r="Y464" i="2" s="1"/>
  <c r="P464" i="2"/>
  <c r="M464" i="2" s="1"/>
  <c r="I464" i="2" s="1"/>
  <c r="AB456" i="2"/>
  <c r="Y456" i="2" s="1"/>
  <c r="P456" i="2"/>
  <c r="M456" i="2" s="1"/>
  <c r="I456" i="2" s="1"/>
  <c r="AA534" i="2"/>
  <c r="O534" i="2"/>
  <c r="AA526" i="2"/>
  <c r="O526" i="2"/>
  <c r="M526" i="2" s="1"/>
  <c r="I526" i="2" s="1"/>
  <c r="AA518" i="2"/>
  <c r="O518" i="2"/>
  <c r="AA508" i="2"/>
  <c r="O508" i="2"/>
  <c r="S498" i="2"/>
  <c r="AA498" i="2"/>
  <c r="O498" i="2"/>
  <c r="S482" i="2"/>
  <c r="AA482" i="2"/>
  <c r="O482" i="2"/>
  <c r="S474" i="2"/>
  <c r="AA474" i="2"/>
  <c r="O474" i="2"/>
  <c r="S466" i="2"/>
  <c r="AA466" i="2"/>
  <c r="O466" i="2"/>
  <c r="S452" i="2"/>
  <c r="AA452" i="2"/>
  <c r="O452" i="2"/>
  <c r="Z550" i="2"/>
  <c r="Y550" i="2" s="1"/>
  <c r="S550" i="2"/>
  <c r="N550" i="2"/>
  <c r="M550" i="2" s="1"/>
  <c r="I550" i="2" s="1"/>
  <c r="Z440" i="2"/>
  <c r="Y440" i="2" s="1"/>
  <c r="S440" i="2"/>
  <c r="N440" i="2"/>
  <c r="M440" i="2" s="1"/>
  <c r="I440" i="2" s="1"/>
  <c r="M438" i="2"/>
  <c r="I438" i="2" s="1"/>
  <c r="S526" i="2"/>
  <c r="S518" i="2"/>
  <c r="S510" i="2"/>
  <c r="AA434" i="2"/>
  <c r="O434" i="2"/>
  <c r="M434" i="2" s="1"/>
  <c r="I434" i="2" s="1"/>
  <c r="Z429" i="2"/>
  <c r="Y429" i="2" s="1"/>
  <c r="S429" i="2"/>
  <c r="N429" i="2"/>
  <c r="M429" i="2" s="1"/>
  <c r="I429" i="2" s="1"/>
  <c r="Y499" i="2"/>
  <c r="S434" i="2"/>
  <c r="Z309" i="2"/>
  <c r="N309" i="2"/>
  <c r="S309" i="2"/>
  <c r="Z301" i="2"/>
  <c r="Y301" i="2" s="1"/>
  <c r="N301" i="2"/>
  <c r="M301" i="2" s="1"/>
  <c r="I301" i="2" s="1"/>
  <c r="S301" i="2"/>
  <c r="Z293" i="2"/>
  <c r="Y293" i="2" s="1"/>
  <c r="N293" i="2"/>
  <c r="M293" i="2" s="1"/>
  <c r="I293" i="2" s="1"/>
  <c r="S293" i="2"/>
  <c r="S464" i="2"/>
  <c r="Y455" i="2"/>
  <c r="N420" i="2"/>
  <c r="M420" i="2" s="1"/>
  <c r="I420" i="2" s="1"/>
  <c r="S420" i="2"/>
  <c r="Z420" i="2"/>
  <c r="Y420" i="2" s="1"/>
  <c r="Z409" i="2"/>
  <c r="Y409" i="2" s="1"/>
  <c r="S409" i="2"/>
  <c r="N409" i="2"/>
  <c r="M409" i="2" s="1"/>
  <c r="I409" i="2" s="1"/>
  <c r="Z393" i="2"/>
  <c r="Y393" i="2" s="1"/>
  <c r="S393" i="2"/>
  <c r="N393" i="2"/>
  <c r="M393" i="2" s="1"/>
  <c r="I393" i="2" s="1"/>
  <c r="AK385" i="2"/>
  <c r="V385" i="2"/>
  <c r="AK377" i="2"/>
  <c r="V377" i="2"/>
  <c r="AK363" i="2"/>
  <c r="V363" i="2"/>
  <c r="AK359" i="2"/>
  <c r="V359" i="2"/>
  <c r="AA308" i="2"/>
  <c r="Y308" i="2" s="1"/>
  <c r="O308" i="2"/>
  <c r="M308" i="2" s="1"/>
  <c r="I308" i="2" s="1"/>
  <c r="AA300" i="2"/>
  <c r="O300" i="2"/>
  <c r="AD297" i="2"/>
  <c r="R297" i="2"/>
  <c r="M407" i="2"/>
  <c r="I407" i="2" s="1"/>
  <c r="AD303" i="2"/>
  <c r="R303" i="2"/>
  <c r="S282" i="2"/>
  <c r="Z282" i="2"/>
  <c r="Y282" i="2" s="1"/>
  <c r="N282" i="2"/>
  <c r="M282" i="2" s="1"/>
  <c r="I282" i="2" s="1"/>
  <c r="S255" i="2"/>
  <c r="Z255" i="2"/>
  <c r="Y255" i="2" s="1"/>
  <c r="N255" i="2"/>
  <c r="M255" i="2" s="1"/>
  <c r="I255" i="2" s="1"/>
  <c r="S239" i="2"/>
  <c r="Z239" i="2"/>
  <c r="Y239" i="2" s="1"/>
  <c r="N239" i="2"/>
  <c r="M239" i="2" s="1"/>
  <c r="I239" i="2" s="1"/>
  <c r="S190" i="2"/>
  <c r="Z190" i="2"/>
  <c r="Y190" i="2" s="1"/>
  <c r="N190" i="2"/>
  <c r="M190" i="2" s="1"/>
  <c r="I190" i="2" s="1"/>
  <c r="S174" i="2"/>
  <c r="Z174" i="2"/>
  <c r="Y174" i="2" s="1"/>
  <c r="N174" i="2"/>
  <c r="M174" i="2" s="1"/>
  <c r="I174" i="2" s="1"/>
  <c r="S158" i="2"/>
  <c r="Z158" i="2"/>
  <c r="Y158" i="2" s="1"/>
  <c r="N158" i="2"/>
  <c r="M158" i="2" s="1"/>
  <c r="I158" i="2" s="1"/>
  <c r="S94" i="2"/>
  <c r="Z94" i="2"/>
  <c r="Y94" i="2" s="1"/>
  <c r="N94" i="2"/>
  <c r="M94" i="2" s="1"/>
  <c r="I94" i="2" s="1"/>
  <c r="S90" i="2"/>
  <c r="Z90" i="2"/>
  <c r="Y90" i="2" s="1"/>
  <c r="N90" i="2"/>
  <c r="M90" i="2" s="1"/>
  <c r="I90" i="2" s="1"/>
  <c r="AB388" i="2"/>
  <c r="P388" i="2"/>
  <c r="Z264" i="2"/>
  <c r="Y264" i="2" s="1"/>
  <c r="N264" i="2"/>
  <c r="M264" i="2" s="1"/>
  <c r="I264" i="2" s="1"/>
  <c r="S264" i="2"/>
  <c r="Z248" i="2"/>
  <c r="Y248" i="2" s="1"/>
  <c r="N248" i="2"/>
  <c r="M248" i="2" s="1"/>
  <c r="I248" i="2" s="1"/>
  <c r="S248" i="2"/>
  <c r="Z232" i="2"/>
  <c r="Y232" i="2" s="1"/>
  <c r="N232" i="2"/>
  <c r="M232" i="2" s="1"/>
  <c r="I232" i="2" s="1"/>
  <c r="S232" i="2"/>
  <c r="Z199" i="2"/>
  <c r="Y199" i="2" s="1"/>
  <c r="N199" i="2"/>
  <c r="M199" i="2" s="1"/>
  <c r="I199" i="2" s="1"/>
  <c r="S199" i="2"/>
  <c r="Z183" i="2"/>
  <c r="Y183" i="2" s="1"/>
  <c r="N183" i="2"/>
  <c r="M183" i="2" s="1"/>
  <c r="I183" i="2" s="1"/>
  <c r="S183" i="2"/>
  <c r="Z167" i="2"/>
  <c r="Y167" i="2" s="1"/>
  <c r="N167" i="2"/>
  <c r="M167" i="2" s="1"/>
  <c r="I167" i="2" s="1"/>
  <c r="S167" i="2"/>
  <c r="AB368" i="2"/>
  <c r="Y368" i="2" s="1"/>
  <c r="P368" i="2"/>
  <c r="M138" i="2"/>
  <c r="I138" i="2" s="1"/>
  <c r="S78" i="2"/>
  <c r="Z78" i="2"/>
  <c r="Y78" i="2" s="1"/>
  <c r="N78" i="2"/>
  <c r="M78" i="2" s="1"/>
  <c r="I78" i="2" s="1"/>
  <c r="R115" i="2"/>
  <c r="AD115" i="2"/>
  <c r="S207" i="1"/>
  <c r="Z207" i="1"/>
  <c r="N207" i="1"/>
  <c r="Z150" i="1"/>
  <c r="Y150" i="1" s="1"/>
  <c r="N150" i="1"/>
  <c r="M150" i="1" s="1"/>
  <c r="I150" i="1" s="1"/>
  <c r="S150" i="1"/>
  <c r="Z146" i="1"/>
  <c r="Y146" i="1" s="1"/>
  <c r="N146" i="1"/>
  <c r="M146" i="1" s="1"/>
  <c r="I146" i="1" s="1"/>
  <c r="S146" i="1"/>
  <c r="AD114" i="1"/>
  <c r="R114" i="1"/>
  <c r="Z90" i="1"/>
  <c r="Y90" i="1" s="1"/>
  <c r="N90" i="1"/>
  <c r="M90" i="1" s="1"/>
  <c r="I90" i="1" s="1"/>
  <c r="S90" i="1"/>
  <c r="Z49" i="1"/>
  <c r="Y49" i="1" s="1"/>
  <c r="S49" i="1"/>
  <c r="N49" i="1"/>
  <c r="M49" i="1" s="1"/>
  <c r="I49" i="1" s="1"/>
  <c r="AA142" i="1"/>
  <c r="O142" i="1"/>
  <c r="M230" i="2"/>
  <c r="I230" i="2" s="1"/>
  <c r="Y218" i="2"/>
  <c r="Z189" i="1"/>
  <c r="Y189" i="1" s="1"/>
  <c r="N189" i="1"/>
  <c r="M189" i="1" s="1"/>
  <c r="I189" i="1" s="1"/>
  <c r="S189" i="1"/>
  <c r="Z158" i="1"/>
  <c r="Y158" i="1" s="1"/>
  <c r="N158" i="1"/>
  <c r="M158" i="1" s="1"/>
  <c r="I158" i="1" s="1"/>
  <c r="S158" i="1"/>
  <c r="Z142" i="1"/>
  <c r="Y142" i="1" s="1"/>
  <c r="N142" i="1"/>
  <c r="M142" i="1" s="1"/>
  <c r="I142" i="1" s="1"/>
  <c r="S142" i="1"/>
  <c r="Y226" i="2"/>
  <c r="M134" i="2"/>
  <c r="I134" i="2" s="1"/>
  <c r="M116" i="2"/>
  <c r="I116" i="2" s="1"/>
  <c r="M114" i="2"/>
  <c r="I114" i="2" s="1"/>
  <c r="AD198" i="1"/>
  <c r="R198" i="1"/>
  <c r="S180" i="1"/>
  <c r="Z180" i="1"/>
  <c r="Y180" i="1" s="1"/>
  <c r="N180" i="1"/>
  <c r="M180" i="1" s="1"/>
  <c r="I180" i="1" s="1"/>
  <c r="S144" i="1"/>
  <c r="Z144" i="1"/>
  <c r="Y144" i="1" s="1"/>
  <c r="N144" i="1"/>
  <c r="M144" i="1" s="1"/>
  <c r="I144" i="1" s="1"/>
  <c r="S91" i="1"/>
  <c r="Z91" i="1"/>
  <c r="N91" i="1"/>
  <c r="S57" i="1"/>
  <c r="Z57" i="1"/>
  <c r="Y57" i="1" s="1"/>
  <c r="N57" i="1"/>
  <c r="M57" i="1" s="1"/>
  <c r="I57" i="1" s="1"/>
  <c r="AD80" i="1"/>
  <c r="R80" i="1"/>
  <c r="Z96" i="1"/>
  <c r="Y96" i="1" s="1"/>
  <c r="S96" i="1"/>
  <c r="N96" i="1"/>
  <c r="M96" i="1" s="1"/>
  <c r="I96" i="1" s="1"/>
  <c r="N55" i="1"/>
  <c r="M55" i="1" s="1"/>
  <c r="I55" i="1" s="1"/>
  <c r="Z55" i="1"/>
  <c r="Y55" i="1" s="1"/>
  <c r="S55" i="1"/>
  <c r="Z200" i="1"/>
  <c r="Y200" i="1" s="1"/>
  <c r="S200" i="1"/>
  <c r="N200" i="1"/>
  <c r="M200" i="1" s="1"/>
  <c r="I200" i="1" s="1"/>
  <c r="AC176" i="1"/>
  <c r="Q176" i="1"/>
  <c r="Z127" i="1"/>
  <c r="Y127" i="1" s="1"/>
  <c r="N127" i="1"/>
  <c r="M127" i="1" s="1"/>
  <c r="I127" i="1" s="1"/>
  <c r="S127" i="1"/>
  <c r="N84" i="1"/>
  <c r="Z84" i="1"/>
  <c r="S84" i="1"/>
  <c r="AB76" i="1"/>
  <c r="P76" i="1"/>
  <c r="AD95" i="1"/>
  <c r="R95" i="1"/>
  <c r="M53" i="1"/>
  <c r="I53" i="1" s="1"/>
  <c r="I965" i="2"/>
  <c r="S935" i="2"/>
  <c r="Z935" i="2"/>
  <c r="N935" i="2"/>
  <c r="AC940" i="2"/>
  <c r="Q940" i="2"/>
  <c r="AC936" i="2"/>
  <c r="Q936" i="2"/>
  <c r="N947" i="2"/>
  <c r="Z947" i="2"/>
  <c r="Y947" i="2" s="1"/>
  <c r="S947" i="2"/>
  <c r="N955" i="2"/>
  <c r="S955" i="2"/>
  <c r="Z955" i="2"/>
  <c r="Y955" i="2" s="1"/>
  <c r="AA939" i="2"/>
  <c r="O939" i="2"/>
  <c r="Z942" i="2"/>
  <c r="Y942" i="2" s="1"/>
  <c r="S942" i="2"/>
  <c r="N942" i="2"/>
  <c r="AA934" i="2"/>
  <c r="O934" i="2"/>
  <c r="AA933" i="2"/>
  <c r="O933" i="2"/>
  <c r="R933" i="2"/>
  <c r="AD933" i="2"/>
  <c r="Z931" i="2"/>
  <c r="Y931" i="2" s="1"/>
  <c r="N931" i="2"/>
  <c r="S931" i="2"/>
  <c r="Z927" i="2"/>
  <c r="Y927" i="2" s="1"/>
  <c r="N927" i="2"/>
  <c r="S927" i="2"/>
  <c r="Z923" i="2"/>
  <c r="N923" i="2"/>
  <c r="S923" i="2"/>
  <c r="Z919" i="2"/>
  <c r="N919" i="2"/>
  <c r="S919" i="2"/>
  <c r="Z915" i="2"/>
  <c r="Y915" i="2" s="1"/>
  <c r="N915" i="2"/>
  <c r="S915" i="2"/>
  <c r="Z911" i="2"/>
  <c r="Y911" i="2" s="1"/>
  <c r="N911" i="2"/>
  <c r="S911" i="2"/>
  <c r="AA901" i="2"/>
  <c r="O901" i="2"/>
  <c r="AB923" i="2"/>
  <c r="P923" i="2"/>
  <c r="AC919" i="2"/>
  <c r="Q919" i="2"/>
  <c r="S905" i="2"/>
  <c r="Z905" i="2"/>
  <c r="N905" i="2"/>
  <c r="S897" i="2"/>
  <c r="AA897" i="2"/>
  <c r="Y897" i="2" s="1"/>
  <c r="O897" i="2"/>
  <c r="M897" i="2" s="1"/>
  <c r="AA888" i="2"/>
  <c r="Y888" i="2" s="1"/>
  <c r="O888" i="2"/>
  <c r="M888" i="2" s="1"/>
  <c r="I888" i="2" s="1"/>
  <c r="AA880" i="2"/>
  <c r="O880" i="2"/>
  <c r="M880" i="2" s="1"/>
  <c r="AA872" i="2"/>
  <c r="Y872" i="2" s="1"/>
  <c r="O872" i="2"/>
  <c r="M872" i="2" s="1"/>
  <c r="I872" i="2" s="1"/>
  <c r="S900" i="2"/>
  <c r="AD886" i="2"/>
  <c r="R886" i="2"/>
  <c r="AD878" i="2"/>
  <c r="R878" i="2"/>
  <c r="AD870" i="2"/>
  <c r="R870" i="2"/>
  <c r="R863" i="2"/>
  <c r="AD863" i="2"/>
  <c r="Y863" i="2" s="1"/>
  <c r="S888" i="2"/>
  <c r="S872" i="2"/>
  <c r="AD860" i="2"/>
  <c r="R860" i="2"/>
  <c r="M860" i="2" s="1"/>
  <c r="I860" i="2" s="1"/>
  <c r="AD848" i="2"/>
  <c r="Y848" i="2" s="1"/>
  <c r="R848" i="2"/>
  <c r="AD840" i="2"/>
  <c r="Y840" i="2" s="1"/>
  <c r="R840" i="2"/>
  <c r="R830" i="2"/>
  <c r="AD830" i="2"/>
  <c r="Y830" i="2" s="1"/>
  <c r="R822" i="2"/>
  <c r="AD822" i="2"/>
  <c r="Y822" i="2" s="1"/>
  <c r="R833" i="2"/>
  <c r="M833" i="2" s="1"/>
  <c r="I833" i="2" s="1"/>
  <c r="AD833" i="2"/>
  <c r="S827" i="2"/>
  <c r="R825" i="2"/>
  <c r="M825" i="2" s="1"/>
  <c r="I825" i="2" s="1"/>
  <c r="AD825" i="2"/>
  <c r="Y825" i="2" s="1"/>
  <c r="AK802" i="2"/>
  <c r="T802" i="2"/>
  <c r="AK794" i="2"/>
  <c r="T794" i="2"/>
  <c r="Y815" i="2"/>
  <c r="Y807" i="2"/>
  <c r="AA787" i="2"/>
  <c r="O787" i="2"/>
  <c r="T783" i="2"/>
  <c r="AK783" i="2"/>
  <c r="Z781" i="2"/>
  <c r="S781" i="2"/>
  <c r="N781" i="2"/>
  <c r="T766" i="2"/>
  <c r="AK766" i="2"/>
  <c r="T750" i="2"/>
  <c r="AK750" i="2"/>
  <c r="N797" i="2"/>
  <c r="M797" i="2" s="1"/>
  <c r="I797" i="2" s="1"/>
  <c r="Z797" i="2"/>
  <c r="Y797" i="2" s="1"/>
  <c r="S797" i="2"/>
  <c r="AA786" i="2"/>
  <c r="O786" i="2"/>
  <c r="N761" i="2"/>
  <c r="Z761" i="2"/>
  <c r="S761" i="2"/>
  <c r="AA730" i="2"/>
  <c r="O730" i="2"/>
  <c r="N765" i="2"/>
  <c r="M765" i="2" s="1"/>
  <c r="I765" i="2" s="1"/>
  <c r="Z765" i="2"/>
  <c r="Y765" i="2" s="1"/>
  <c r="S765" i="2"/>
  <c r="N717" i="2"/>
  <c r="M717" i="2" s="1"/>
  <c r="I717" i="2" s="1"/>
  <c r="S717" i="2"/>
  <c r="Z717" i="2"/>
  <c r="Y717" i="2" s="1"/>
  <c r="T734" i="2"/>
  <c r="AK734" i="2"/>
  <c r="AA733" i="2"/>
  <c r="O733" i="2"/>
  <c r="T726" i="2"/>
  <c r="AK726" i="2"/>
  <c r="AA725" i="2"/>
  <c r="O725" i="2"/>
  <c r="AA709" i="2"/>
  <c r="O709" i="2"/>
  <c r="AA701" i="2"/>
  <c r="O701" i="2"/>
  <c r="AA693" i="2"/>
  <c r="O693" i="2"/>
  <c r="N711" i="2"/>
  <c r="M711" i="2" s="1"/>
  <c r="I711" i="2" s="1"/>
  <c r="Z711" i="2"/>
  <c r="Y711" i="2" s="1"/>
  <c r="S711" i="2"/>
  <c r="N703" i="2"/>
  <c r="M703" i="2" s="1"/>
  <c r="I703" i="2" s="1"/>
  <c r="Z703" i="2"/>
  <c r="Y703" i="2" s="1"/>
  <c r="S703" i="2"/>
  <c r="N695" i="2"/>
  <c r="M695" i="2" s="1"/>
  <c r="I695" i="2" s="1"/>
  <c r="Z695" i="2"/>
  <c r="Y695" i="2" s="1"/>
  <c r="S695" i="2"/>
  <c r="Z674" i="2"/>
  <c r="N674" i="2"/>
  <c r="W674" i="2"/>
  <c r="S674" i="2" s="1"/>
  <c r="AA666" i="2"/>
  <c r="O666" i="2"/>
  <c r="Q664" i="2"/>
  <c r="AC664" i="2"/>
  <c r="Z713" i="2"/>
  <c r="Y713" i="2" s="1"/>
  <c r="S713" i="2"/>
  <c r="N713" i="2"/>
  <c r="M713" i="2" s="1"/>
  <c r="I713" i="2" s="1"/>
  <c r="O708" i="2"/>
  <c r="AA708" i="2"/>
  <c r="O700" i="2"/>
  <c r="AA700" i="2"/>
  <c r="O692" i="2"/>
  <c r="AA692" i="2"/>
  <c r="P680" i="2"/>
  <c r="AB680" i="2"/>
  <c r="P672" i="2"/>
  <c r="AB672" i="2"/>
  <c r="Z659" i="2"/>
  <c r="W659" i="2"/>
  <c r="S659" i="2" s="1"/>
  <c r="N659" i="2"/>
  <c r="Z709" i="2"/>
  <c r="S709" i="2"/>
  <c r="N709" i="2"/>
  <c r="Z705" i="2"/>
  <c r="S705" i="2"/>
  <c r="N705" i="2"/>
  <c r="Z701" i="2"/>
  <c r="Y701" i="2" s="1"/>
  <c r="S701" i="2"/>
  <c r="N701" i="2"/>
  <c r="AK697" i="2"/>
  <c r="P676" i="2"/>
  <c r="AB676" i="2"/>
  <c r="AC669" i="2"/>
  <c r="Y669" i="2" s="1"/>
  <c r="Q669" i="2"/>
  <c r="M669" i="2" s="1"/>
  <c r="I669" i="2" s="1"/>
  <c r="AA664" i="2"/>
  <c r="O664" i="2"/>
  <c r="Z658" i="2"/>
  <c r="Z654" i="2"/>
  <c r="Z650" i="2"/>
  <c r="Z618" i="2"/>
  <c r="AA602" i="2"/>
  <c r="O602" i="2"/>
  <c r="O599" i="2"/>
  <c r="AA599" i="2"/>
  <c r="O591" i="2"/>
  <c r="AA591" i="2"/>
  <c r="O583" i="2"/>
  <c r="AA583" i="2"/>
  <c r="O575" i="2"/>
  <c r="AA575" i="2"/>
  <c r="O567" i="2"/>
  <c r="AA567" i="2"/>
  <c r="O559" i="2"/>
  <c r="AA559" i="2"/>
  <c r="Z628" i="2"/>
  <c r="Q607" i="2"/>
  <c r="M607" i="2" s="1"/>
  <c r="I607" i="2" s="1"/>
  <c r="AC607" i="2"/>
  <c r="Y607" i="2" s="1"/>
  <c r="Q601" i="2"/>
  <c r="M601" i="2" s="1"/>
  <c r="I601" i="2" s="1"/>
  <c r="AC601" i="2"/>
  <c r="Z595" i="2"/>
  <c r="W595" i="2"/>
  <c r="S595" i="2" s="1"/>
  <c r="N595" i="2"/>
  <c r="Z587" i="2"/>
  <c r="W587" i="2"/>
  <c r="S587" i="2" s="1"/>
  <c r="N587" i="2"/>
  <c r="Z579" i="2"/>
  <c r="W579" i="2"/>
  <c r="S579" i="2" s="1"/>
  <c r="N579" i="2"/>
  <c r="Z571" i="2"/>
  <c r="W571" i="2"/>
  <c r="S571" i="2" s="1"/>
  <c r="N571" i="2"/>
  <c r="Z563" i="2"/>
  <c r="W563" i="2"/>
  <c r="S563" i="2" s="1"/>
  <c r="N563" i="2"/>
  <c r="Q661" i="2"/>
  <c r="AC661" i="2"/>
  <c r="Z622" i="2"/>
  <c r="O610" i="2"/>
  <c r="AA610" i="2"/>
  <c r="S668" i="2"/>
  <c r="Z624" i="2"/>
  <c r="Z604" i="2"/>
  <c r="W604" i="2"/>
  <c r="S604" i="2" s="1"/>
  <c r="N604" i="2"/>
  <c r="N556" i="2"/>
  <c r="M556" i="2" s="1"/>
  <c r="I556" i="2" s="1"/>
  <c r="Z556" i="2"/>
  <c r="Y556" i="2" s="1"/>
  <c r="S556" i="2"/>
  <c r="Z552" i="2"/>
  <c r="Y552" i="2" s="1"/>
  <c r="S552" i="2"/>
  <c r="N552" i="2"/>
  <c r="M552" i="2" s="1"/>
  <c r="I552" i="2" s="1"/>
  <c r="Z533" i="2"/>
  <c r="Y533" i="2" s="1"/>
  <c r="N533" i="2"/>
  <c r="M533" i="2" s="1"/>
  <c r="I533" i="2" s="1"/>
  <c r="S533" i="2"/>
  <c r="Z529" i="2"/>
  <c r="Y529" i="2" s="1"/>
  <c r="N529" i="2"/>
  <c r="M529" i="2" s="1"/>
  <c r="I529" i="2" s="1"/>
  <c r="S529" i="2"/>
  <c r="Z525" i="2"/>
  <c r="Y525" i="2" s="1"/>
  <c r="N525" i="2"/>
  <c r="M525" i="2" s="1"/>
  <c r="I525" i="2" s="1"/>
  <c r="S525" i="2"/>
  <c r="Z521" i="2"/>
  <c r="Y521" i="2" s="1"/>
  <c r="N521" i="2"/>
  <c r="M521" i="2" s="1"/>
  <c r="I521" i="2" s="1"/>
  <c r="S521" i="2"/>
  <c r="Z517" i="2"/>
  <c r="Y517" i="2" s="1"/>
  <c r="N517" i="2"/>
  <c r="M517" i="2" s="1"/>
  <c r="I517" i="2" s="1"/>
  <c r="S517" i="2"/>
  <c r="Z513" i="2"/>
  <c r="Y513" i="2" s="1"/>
  <c r="N513" i="2"/>
  <c r="M513" i="2" s="1"/>
  <c r="I513" i="2" s="1"/>
  <c r="S513" i="2"/>
  <c r="Z509" i="2"/>
  <c r="Y509" i="2" s="1"/>
  <c r="N509" i="2"/>
  <c r="M509" i="2" s="1"/>
  <c r="I509" i="2" s="1"/>
  <c r="S509" i="2"/>
  <c r="Z505" i="2"/>
  <c r="Y505" i="2" s="1"/>
  <c r="N505" i="2"/>
  <c r="M505" i="2" s="1"/>
  <c r="I505" i="2" s="1"/>
  <c r="S505" i="2"/>
  <c r="Z501" i="2"/>
  <c r="Y501" i="2" s="1"/>
  <c r="N501" i="2"/>
  <c r="M501" i="2" s="1"/>
  <c r="I501" i="2" s="1"/>
  <c r="S501" i="2"/>
  <c r="AB494" i="2"/>
  <c r="P494" i="2"/>
  <c r="AB486" i="2"/>
  <c r="Y486" i="2" s="1"/>
  <c r="P486" i="2"/>
  <c r="M486" i="2" s="1"/>
  <c r="I486" i="2" s="1"/>
  <c r="AB478" i="2"/>
  <c r="P478" i="2"/>
  <c r="AB470" i="2"/>
  <c r="P470" i="2"/>
  <c r="AB462" i="2"/>
  <c r="P462" i="2"/>
  <c r="AB454" i="2"/>
  <c r="Y454" i="2" s="1"/>
  <c r="P454" i="2"/>
  <c r="M454" i="2" s="1"/>
  <c r="I454" i="2" s="1"/>
  <c r="AA532" i="2"/>
  <c r="O532" i="2"/>
  <c r="AA524" i="2"/>
  <c r="O524" i="2"/>
  <c r="AA516" i="2"/>
  <c r="O516" i="2"/>
  <c r="S504" i="2"/>
  <c r="AA504" i="2"/>
  <c r="O504" i="2"/>
  <c r="S496" i="2"/>
  <c r="AA496" i="2"/>
  <c r="Y496" i="2" s="1"/>
  <c r="O496" i="2"/>
  <c r="M496" i="2" s="1"/>
  <c r="I496" i="2" s="1"/>
  <c r="S480" i="2"/>
  <c r="AA480" i="2"/>
  <c r="Y480" i="2" s="1"/>
  <c r="O480" i="2"/>
  <c r="M480" i="2" s="1"/>
  <c r="I480" i="2" s="1"/>
  <c r="S472" i="2"/>
  <c r="AA472" i="2"/>
  <c r="Y472" i="2" s="1"/>
  <c r="O472" i="2"/>
  <c r="S462" i="2"/>
  <c r="AA462" i="2"/>
  <c r="O462" i="2"/>
  <c r="Z444" i="2"/>
  <c r="Y444" i="2" s="1"/>
  <c r="S444" i="2"/>
  <c r="N444" i="2"/>
  <c r="M444" i="2" s="1"/>
  <c r="I444" i="2" s="1"/>
  <c r="Z433" i="2"/>
  <c r="Y433" i="2" s="1"/>
  <c r="S433" i="2"/>
  <c r="N433" i="2"/>
  <c r="M433" i="2" s="1"/>
  <c r="I433" i="2" s="1"/>
  <c r="N428" i="2"/>
  <c r="M428" i="2" s="1"/>
  <c r="I428" i="2" s="1"/>
  <c r="S428" i="2"/>
  <c r="Z428" i="2"/>
  <c r="Y428" i="2" s="1"/>
  <c r="S534" i="2"/>
  <c r="M442" i="2"/>
  <c r="I442" i="2" s="1"/>
  <c r="Y434" i="2"/>
  <c r="Z307" i="2"/>
  <c r="Y307" i="2" s="1"/>
  <c r="N307" i="2"/>
  <c r="M307" i="2" s="1"/>
  <c r="I307" i="2" s="1"/>
  <c r="S307" i="2"/>
  <c r="Z299" i="2"/>
  <c r="Y299" i="2" s="1"/>
  <c r="N299" i="2"/>
  <c r="M299" i="2" s="1"/>
  <c r="I299" i="2" s="1"/>
  <c r="S299" i="2"/>
  <c r="Z291" i="2"/>
  <c r="Y291" i="2" s="1"/>
  <c r="N291" i="2"/>
  <c r="M291" i="2" s="1"/>
  <c r="I291" i="2" s="1"/>
  <c r="S291" i="2"/>
  <c r="S506" i="2"/>
  <c r="S456" i="2"/>
  <c r="Y443" i="2"/>
  <c r="N432" i="2"/>
  <c r="M432" i="2" s="1"/>
  <c r="I432" i="2" s="1"/>
  <c r="Z432" i="2"/>
  <c r="Y432" i="2" s="1"/>
  <c r="S432" i="2"/>
  <c r="AA414" i="2"/>
  <c r="Y414" i="2" s="1"/>
  <c r="S414" i="2"/>
  <c r="O414" i="2"/>
  <c r="M414" i="2" s="1"/>
  <c r="I414" i="2" s="1"/>
  <c r="Z397" i="2"/>
  <c r="Y397" i="2" s="1"/>
  <c r="S397" i="2"/>
  <c r="N397" i="2"/>
  <c r="M397" i="2" s="1"/>
  <c r="I397" i="2" s="1"/>
  <c r="AK381" i="2"/>
  <c r="V381" i="2"/>
  <c r="AK369" i="2"/>
  <c r="V369" i="2"/>
  <c r="AA306" i="2"/>
  <c r="Y306" i="2" s="1"/>
  <c r="O306" i="2"/>
  <c r="AA298" i="2"/>
  <c r="Y298" i="2" s="1"/>
  <c r="O298" i="2"/>
  <c r="AB378" i="2"/>
  <c r="Y378" i="2" s="1"/>
  <c r="P378" i="2"/>
  <c r="M378" i="2" s="1"/>
  <c r="I378" i="2" s="1"/>
  <c r="M403" i="2"/>
  <c r="I403" i="2" s="1"/>
  <c r="AB386" i="2"/>
  <c r="Y386" i="2" s="1"/>
  <c r="P386" i="2"/>
  <c r="AB360" i="2"/>
  <c r="Y360" i="2" s="1"/>
  <c r="P360" i="2"/>
  <c r="M360" i="2" s="1"/>
  <c r="I360" i="2" s="1"/>
  <c r="S279" i="2"/>
  <c r="Z279" i="2"/>
  <c r="Y279" i="2" s="1"/>
  <c r="N279" i="2"/>
  <c r="M279" i="2" s="1"/>
  <c r="I279" i="2" s="1"/>
  <c r="S259" i="2"/>
  <c r="Z259" i="2"/>
  <c r="Y259" i="2" s="1"/>
  <c r="N259" i="2"/>
  <c r="M259" i="2" s="1"/>
  <c r="I259" i="2" s="1"/>
  <c r="S243" i="2"/>
  <c r="Z243" i="2"/>
  <c r="Y243" i="2" s="1"/>
  <c r="N243" i="2"/>
  <c r="M243" i="2" s="1"/>
  <c r="I243" i="2" s="1"/>
  <c r="S194" i="2"/>
  <c r="Z194" i="2"/>
  <c r="Y194" i="2" s="1"/>
  <c r="N194" i="2"/>
  <c r="M194" i="2" s="1"/>
  <c r="I194" i="2" s="1"/>
  <c r="S178" i="2"/>
  <c r="Z178" i="2"/>
  <c r="Y178" i="2" s="1"/>
  <c r="N178" i="2"/>
  <c r="M178" i="2" s="1"/>
  <c r="I178" i="2" s="1"/>
  <c r="S162" i="2"/>
  <c r="Z162" i="2"/>
  <c r="Y162" i="2" s="1"/>
  <c r="N162" i="2"/>
  <c r="M162" i="2" s="1"/>
  <c r="I162" i="2" s="1"/>
  <c r="S96" i="2"/>
  <c r="Z96" i="2"/>
  <c r="Y96" i="2" s="1"/>
  <c r="N96" i="2"/>
  <c r="M96" i="2" s="1"/>
  <c r="I96" i="2" s="1"/>
  <c r="S88" i="2"/>
  <c r="Z88" i="2"/>
  <c r="Y88" i="2" s="1"/>
  <c r="N88" i="2"/>
  <c r="M88" i="2" s="1"/>
  <c r="I88" i="2" s="1"/>
  <c r="S386" i="2"/>
  <c r="AD309" i="2"/>
  <c r="R309" i="2"/>
  <c r="Z260" i="2"/>
  <c r="Y260" i="2" s="1"/>
  <c r="N260" i="2"/>
  <c r="M260" i="2" s="1"/>
  <c r="I260" i="2" s="1"/>
  <c r="S260" i="2"/>
  <c r="Z244" i="2"/>
  <c r="Y244" i="2" s="1"/>
  <c r="N244" i="2"/>
  <c r="M244" i="2" s="1"/>
  <c r="I244" i="2" s="1"/>
  <c r="S244" i="2"/>
  <c r="Z195" i="2"/>
  <c r="Y195" i="2" s="1"/>
  <c r="N195" i="2"/>
  <c r="M195" i="2" s="1"/>
  <c r="I195" i="2" s="1"/>
  <c r="S195" i="2"/>
  <c r="Z179" i="2"/>
  <c r="Y179" i="2" s="1"/>
  <c r="N179" i="2"/>
  <c r="M179" i="2" s="1"/>
  <c r="I179" i="2" s="1"/>
  <c r="S179" i="2"/>
  <c r="M399" i="2"/>
  <c r="I399" i="2" s="1"/>
  <c r="Y382" i="2"/>
  <c r="X300" i="2"/>
  <c r="AD112" i="2"/>
  <c r="R112" i="2"/>
  <c r="Z194" i="1"/>
  <c r="Y194" i="1" s="1"/>
  <c r="N194" i="1"/>
  <c r="M194" i="1" s="1"/>
  <c r="I194" i="1" s="1"/>
  <c r="S194" i="1"/>
  <c r="Z160" i="1"/>
  <c r="N160" i="1"/>
  <c r="S160" i="1"/>
  <c r="AD148" i="1"/>
  <c r="R148" i="1"/>
  <c r="Z137" i="1"/>
  <c r="Y137" i="1" s="1"/>
  <c r="N137" i="1"/>
  <c r="M137" i="1" s="1"/>
  <c r="I137" i="1" s="1"/>
  <c r="S137" i="1"/>
  <c r="Z114" i="1"/>
  <c r="Y114" i="1" s="1"/>
  <c r="N114" i="1"/>
  <c r="M114" i="1" s="1"/>
  <c r="I114" i="1" s="1"/>
  <c r="S114" i="1"/>
  <c r="AD93" i="1"/>
  <c r="R93" i="1"/>
  <c r="Z47" i="1"/>
  <c r="Y47" i="1" s="1"/>
  <c r="N47" i="1"/>
  <c r="M47" i="1" s="1"/>
  <c r="I47" i="1" s="1"/>
  <c r="S47" i="1"/>
  <c r="Y222" i="2"/>
  <c r="M118" i="2"/>
  <c r="I118" i="2" s="1"/>
  <c r="Y228" i="2"/>
  <c r="M218" i="2"/>
  <c r="I218" i="2" s="1"/>
  <c r="S82" i="2"/>
  <c r="N82" i="2"/>
  <c r="M82" i="2" s="1"/>
  <c r="I82" i="2" s="1"/>
  <c r="Z82" i="2"/>
  <c r="Y82" i="2" s="1"/>
  <c r="Z172" i="1"/>
  <c r="Y172" i="1" s="1"/>
  <c r="N172" i="1"/>
  <c r="M172" i="1" s="1"/>
  <c r="I172" i="1" s="1"/>
  <c r="Z147" i="1"/>
  <c r="Y147" i="1" s="1"/>
  <c r="N147" i="1"/>
  <c r="M147" i="1" s="1"/>
  <c r="I147" i="1" s="1"/>
  <c r="Z141" i="1"/>
  <c r="Y141" i="1" s="1"/>
  <c r="N141" i="1"/>
  <c r="M141" i="1" s="1"/>
  <c r="I141" i="1" s="1"/>
  <c r="S141" i="1"/>
  <c r="M226" i="2"/>
  <c r="I226" i="2" s="1"/>
  <c r="Y111" i="2"/>
  <c r="S206" i="1"/>
  <c r="Z206" i="1"/>
  <c r="Y206" i="1" s="1"/>
  <c r="N206" i="1"/>
  <c r="M206" i="1" s="1"/>
  <c r="I206" i="1" s="1"/>
  <c r="S198" i="1"/>
  <c r="Z198" i="1"/>
  <c r="Y198" i="1" s="1"/>
  <c r="N198" i="1"/>
  <c r="M198" i="1" s="1"/>
  <c r="I198" i="1" s="1"/>
  <c r="AD186" i="1"/>
  <c r="R186" i="1"/>
  <c r="S162" i="1"/>
  <c r="Z162" i="1"/>
  <c r="Y162" i="1" s="1"/>
  <c r="N162" i="1"/>
  <c r="M162" i="1" s="1"/>
  <c r="I162" i="1" s="1"/>
  <c r="S132" i="1"/>
  <c r="Z132" i="1"/>
  <c r="Y132" i="1" s="1"/>
  <c r="N132" i="1"/>
  <c r="M132" i="1" s="1"/>
  <c r="I132" i="1" s="1"/>
  <c r="N113" i="1"/>
  <c r="Z113" i="1"/>
  <c r="S113" i="1"/>
  <c r="Q101" i="1"/>
  <c r="AC101" i="1"/>
  <c r="Q66" i="1"/>
  <c r="AC66" i="1"/>
  <c r="Y66" i="1" s="1"/>
  <c r="Q63" i="1"/>
  <c r="AC63" i="1"/>
  <c r="M186" i="1"/>
  <c r="I186" i="1" s="1"/>
  <c r="Y176" i="1"/>
  <c r="Z117" i="1"/>
  <c r="Y117" i="1" s="1"/>
  <c r="N117" i="1"/>
  <c r="M117" i="1" s="1"/>
  <c r="I117" i="1" s="1"/>
  <c r="S117" i="1"/>
  <c r="Q195" i="1"/>
  <c r="AC195" i="1"/>
  <c r="Y195" i="1" s="1"/>
  <c r="S147" i="1"/>
  <c r="M72" i="1"/>
  <c r="I72" i="1" s="1"/>
  <c r="Z62" i="1"/>
  <c r="Y62" i="1" s="1"/>
  <c r="N62" i="1"/>
  <c r="M62" i="1" s="1"/>
  <c r="I62" i="1" s="1"/>
  <c r="S62" i="1"/>
  <c r="AD48" i="1"/>
  <c r="R48" i="1"/>
  <c r="M199" i="1"/>
  <c r="I199" i="1" s="1"/>
  <c r="Z92" i="1"/>
  <c r="Y92" i="1" s="1"/>
  <c r="S92" i="1"/>
  <c r="N92" i="1"/>
  <c r="M92" i="1" s="1"/>
  <c r="I92" i="1" s="1"/>
  <c r="N970" i="2"/>
  <c r="S970" i="2"/>
  <c r="Z970" i="2"/>
  <c r="Y970" i="2" s="1"/>
  <c r="N959" i="2"/>
  <c r="Z959" i="2"/>
  <c r="Y959" i="2" s="1"/>
  <c r="S959" i="2"/>
  <c r="I977" i="2"/>
  <c r="N956" i="2"/>
  <c r="S956" i="2"/>
  <c r="Z956" i="2"/>
  <c r="Y956" i="2" s="1"/>
  <c r="N949" i="2"/>
  <c r="Z949" i="2"/>
  <c r="Y949" i="2" s="1"/>
  <c r="S949" i="2"/>
  <c r="N948" i="2"/>
  <c r="Z948" i="2"/>
  <c r="Y948" i="2" s="1"/>
  <c r="S948" i="2"/>
  <c r="AC939" i="2"/>
  <c r="Y939" i="2" s="1"/>
  <c r="Q939" i="2"/>
  <c r="AA938" i="2"/>
  <c r="O938" i="2"/>
  <c r="AA935" i="2"/>
  <c r="O935" i="2"/>
  <c r="S941" i="2"/>
  <c r="Z933" i="2"/>
  <c r="N933" i="2"/>
  <c r="S933" i="2"/>
  <c r="Z930" i="2"/>
  <c r="Y930" i="2" s="1"/>
  <c r="N930" i="2"/>
  <c r="S930" i="2"/>
  <c r="Z926" i="2"/>
  <c r="N926" i="2"/>
  <c r="S926" i="2"/>
  <c r="Z922" i="2"/>
  <c r="S922" i="2"/>
  <c r="N922" i="2"/>
  <c r="M922" i="2" s="1"/>
  <c r="AD922" i="2"/>
  <c r="R922" i="2"/>
  <c r="Z918" i="2"/>
  <c r="N918" i="2"/>
  <c r="S918" i="2"/>
  <c r="Z914" i="2"/>
  <c r="Y914" i="2" s="1"/>
  <c r="N914" i="2"/>
  <c r="S914" i="2"/>
  <c r="Z906" i="2"/>
  <c r="Y906" i="2" s="1"/>
  <c r="N906" i="2"/>
  <c r="M906" i="2" s="1"/>
  <c r="S906" i="2"/>
  <c r="AA904" i="2"/>
  <c r="Y904" i="2" s="1"/>
  <c r="O904" i="2"/>
  <c r="AA886" i="2"/>
  <c r="Y886" i="2" s="1"/>
  <c r="O886" i="2"/>
  <c r="M886" i="2" s="1"/>
  <c r="AA878" i="2"/>
  <c r="Y878" i="2" s="1"/>
  <c r="O878" i="2"/>
  <c r="AA870" i="2"/>
  <c r="Y870" i="2" s="1"/>
  <c r="O870" i="2"/>
  <c r="M870" i="2" s="1"/>
  <c r="AD893" i="2"/>
  <c r="R893" i="2"/>
  <c r="AD884" i="2"/>
  <c r="R884" i="2"/>
  <c r="AD876" i="2"/>
  <c r="R876" i="2"/>
  <c r="AD868" i="2"/>
  <c r="R868" i="2"/>
  <c r="AD865" i="2"/>
  <c r="Y865" i="2" s="1"/>
  <c r="R865" i="2"/>
  <c r="M865" i="2" s="1"/>
  <c r="I865" i="2" s="1"/>
  <c r="R861" i="2"/>
  <c r="M861" i="2" s="1"/>
  <c r="I861" i="2" s="1"/>
  <c r="AD861" i="2"/>
  <c r="Y861" i="2" s="1"/>
  <c r="M857" i="2"/>
  <c r="I857" i="2" s="1"/>
  <c r="S886" i="2"/>
  <c r="S878" i="2"/>
  <c r="S848" i="2"/>
  <c r="S840" i="2"/>
  <c r="Y880" i="2"/>
  <c r="S870" i="2"/>
  <c r="Y862" i="2"/>
  <c r="S860" i="2"/>
  <c r="AD858" i="2"/>
  <c r="Y858" i="2" s="1"/>
  <c r="R858" i="2"/>
  <c r="M858" i="2" s="1"/>
  <c r="I858" i="2" s="1"/>
  <c r="S893" i="2"/>
  <c r="AD854" i="2"/>
  <c r="Y854" i="2" s="1"/>
  <c r="R854" i="2"/>
  <c r="AD846" i="2"/>
  <c r="Y846" i="2" s="1"/>
  <c r="R846" i="2"/>
  <c r="M840" i="2"/>
  <c r="I840" i="2" s="1"/>
  <c r="AD838" i="2"/>
  <c r="Y838" i="2" s="1"/>
  <c r="R838" i="2"/>
  <c r="M838" i="2" s="1"/>
  <c r="I838" i="2" s="1"/>
  <c r="S834" i="2"/>
  <c r="M832" i="2"/>
  <c r="I832" i="2" s="1"/>
  <c r="R828" i="2"/>
  <c r="M828" i="2" s="1"/>
  <c r="I828" i="2" s="1"/>
  <c r="AD828" i="2"/>
  <c r="Y828" i="2" s="1"/>
  <c r="S833" i="2"/>
  <c r="R831" i="2"/>
  <c r="M831" i="2" s="1"/>
  <c r="I831" i="2" s="1"/>
  <c r="AD831" i="2"/>
  <c r="Y831" i="2" s="1"/>
  <c r="Y827" i="2"/>
  <c r="S825" i="2"/>
  <c r="R823" i="2"/>
  <c r="M823" i="2" s="1"/>
  <c r="I823" i="2" s="1"/>
  <c r="AD823" i="2"/>
  <c r="Y823" i="2" s="1"/>
  <c r="AA799" i="2"/>
  <c r="O799" i="2"/>
  <c r="AA791" i="2"/>
  <c r="O791" i="2"/>
  <c r="T787" i="2"/>
  <c r="AK787" i="2"/>
  <c r="T782" i="2"/>
  <c r="AK782" i="2"/>
  <c r="AA781" i="2"/>
  <c r="O781" i="2"/>
  <c r="Z789" i="2"/>
  <c r="Y789" i="2" s="1"/>
  <c r="S789" i="2"/>
  <c r="N789" i="2"/>
  <c r="M789" i="2" s="1"/>
  <c r="I789" i="2" s="1"/>
  <c r="T770" i="2"/>
  <c r="AK770" i="2"/>
  <c r="T754" i="2"/>
  <c r="AK754" i="2"/>
  <c r="M812" i="2"/>
  <c r="I812" i="2" s="1"/>
  <c r="O762" i="2"/>
  <c r="AA762" i="2"/>
  <c r="M760" i="2"/>
  <c r="I760" i="2" s="1"/>
  <c r="N745" i="2"/>
  <c r="M745" i="2" s="1"/>
  <c r="I745" i="2" s="1"/>
  <c r="Z745" i="2"/>
  <c r="Y745" i="2" s="1"/>
  <c r="S745" i="2"/>
  <c r="M764" i="2"/>
  <c r="I764" i="2" s="1"/>
  <c r="N741" i="2"/>
  <c r="M741" i="2" s="1"/>
  <c r="I741" i="2" s="1"/>
  <c r="Z741" i="2"/>
  <c r="Y741" i="2" s="1"/>
  <c r="S741" i="2"/>
  <c r="M736" i="2"/>
  <c r="I736" i="2" s="1"/>
  <c r="N777" i="2"/>
  <c r="M777" i="2" s="1"/>
  <c r="I777" i="2" s="1"/>
  <c r="Z777" i="2"/>
  <c r="Y777" i="2" s="1"/>
  <c r="S777" i="2"/>
  <c r="N773" i="2"/>
  <c r="Z773" i="2"/>
  <c r="Y773" i="2" s="1"/>
  <c r="S773" i="2"/>
  <c r="N757" i="2"/>
  <c r="M757" i="2" s="1"/>
  <c r="I757" i="2" s="1"/>
  <c r="Z757" i="2"/>
  <c r="Y757" i="2" s="1"/>
  <c r="S757" i="2"/>
  <c r="AK731" i="2"/>
  <c r="T731" i="2"/>
  <c r="Z729" i="2"/>
  <c r="S729" i="2"/>
  <c r="N729" i="2"/>
  <c r="AK723" i="2"/>
  <c r="T723" i="2"/>
  <c r="Z721" i="2"/>
  <c r="S721" i="2"/>
  <c r="N721" i="2"/>
  <c r="AK716" i="2"/>
  <c r="T716" i="2"/>
  <c r="AK708" i="2"/>
  <c r="T708" i="2"/>
  <c r="AK700" i="2"/>
  <c r="T700" i="2"/>
  <c r="AK692" i="2"/>
  <c r="T692" i="2"/>
  <c r="AK684" i="2"/>
  <c r="T684" i="2"/>
  <c r="M677" i="2"/>
  <c r="I677" i="2" s="1"/>
  <c r="N683" i="2"/>
  <c r="M683" i="2" s="1"/>
  <c r="I683" i="2" s="1"/>
  <c r="Z683" i="2"/>
  <c r="Y683" i="2" s="1"/>
  <c r="S683" i="2"/>
  <c r="O674" i="2"/>
  <c r="AA674" i="2"/>
  <c r="Z662" i="2"/>
  <c r="N662" i="2"/>
  <c r="W662" i="2"/>
  <c r="Z685" i="2"/>
  <c r="Y685" i="2" s="1"/>
  <c r="S685" i="2"/>
  <c r="N685" i="2"/>
  <c r="M685" i="2" s="1"/>
  <c r="I685" i="2" s="1"/>
  <c r="T681" i="2"/>
  <c r="AK681" i="2"/>
  <c r="Z680" i="2"/>
  <c r="N680" i="2"/>
  <c r="W680" i="2"/>
  <c r="S680" i="2" s="1"/>
  <c r="Z672" i="2"/>
  <c r="N672" i="2"/>
  <c r="W672" i="2"/>
  <c r="S672" i="2" s="1"/>
  <c r="P668" i="2"/>
  <c r="AB668" i="2"/>
  <c r="N715" i="2"/>
  <c r="M715" i="2" s="1"/>
  <c r="I715" i="2" s="1"/>
  <c r="Z715" i="2"/>
  <c r="Y715" i="2" s="1"/>
  <c r="S715" i="2"/>
  <c r="N687" i="2"/>
  <c r="M687" i="2" s="1"/>
  <c r="I687" i="2" s="1"/>
  <c r="Z687" i="2"/>
  <c r="Y687" i="2" s="1"/>
  <c r="S687" i="2"/>
  <c r="P678" i="2"/>
  <c r="AB678" i="2"/>
  <c r="AA670" i="2"/>
  <c r="O670" i="2"/>
  <c r="AB656" i="2"/>
  <c r="P656" i="2"/>
  <c r="AB652" i="2"/>
  <c r="P652" i="2"/>
  <c r="AB648" i="2"/>
  <c r="P648" i="2"/>
  <c r="AB644" i="2"/>
  <c r="P644" i="2"/>
  <c r="AB640" i="2"/>
  <c r="P640" i="2"/>
  <c r="AB636" i="2"/>
  <c r="P636" i="2"/>
  <c r="AB632" i="2"/>
  <c r="P632" i="2"/>
  <c r="AB628" i="2"/>
  <c r="P628" i="2"/>
  <c r="AB624" i="2"/>
  <c r="P624" i="2"/>
  <c r="AB620" i="2"/>
  <c r="P620" i="2"/>
  <c r="AB616" i="2"/>
  <c r="P616" i="2"/>
  <c r="P612" i="2"/>
  <c r="AB612" i="2"/>
  <c r="Z697" i="2"/>
  <c r="S697" i="2"/>
  <c r="N697" i="2"/>
  <c r="AK693" i="2"/>
  <c r="Z676" i="2"/>
  <c r="W676" i="2"/>
  <c r="S676" i="2" s="1"/>
  <c r="N676" i="2"/>
  <c r="O660" i="2"/>
  <c r="M660" i="2" s="1"/>
  <c r="I660" i="2" s="1"/>
  <c r="AA660" i="2"/>
  <c r="O656" i="2"/>
  <c r="AA656" i="2"/>
  <c r="O652" i="2"/>
  <c r="AA652" i="2"/>
  <c r="O650" i="2"/>
  <c r="M650" i="2" s="1"/>
  <c r="I650" i="2" s="1"/>
  <c r="AA650" i="2"/>
  <c r="O648" i="2"/>
  <c r="AA648" i="2"/>
  <c r="O646" i="2"/>
  <c r="AA646" i="2"/>
  <c r="O644" i="2"/>
  <c r="AA644" i="2"/>
  <c r="O642" i="2"/>
  <c r="AA642" i="2"/>
  <c r="O640" i="2"/>
  <c r="AA640" i="2"/>
  <c r="O638" i="2"/>
  <c r="AA638" i="2"/>
  <c r="O636" i="2"/>
  <c r="AA636" i="2"/>
  <c r="O634" i="2"/>
  <c r="AA634" i="2"/>
  <c r="O632" i="2"/>
  <c r="AA632" i="2"/>
  <c r="O630" i="2"/>
  <c r="AA630" i="2"/>
  <c r="O628" i="2"/>
  <c r="AA628" i="2"/>
  <c r="O626" i="2"/>
  <c r="AA626" i="2"/>
  <c r="O624" i="2"/>
  <c r="AA624" i="2"/>
  <c r="O622" i="2"/>
  <c r="AA622" i="2"/>
  <c r="O620" i="2"/>
  <c r="AA620" i="2"/>
  <c r="O618" i="2"/>
  <c r="M618" i="2" s="1"/>
  <c r="I618" i="2" s="1"/>
  <c r="AA618" i="2"/>
  <c r="O616" i="2"/>
  <c r="AA616" i="2"/>
  <c r="O614" i="2"/>
  <c r="AA614" i="2"/>
  <c r="O612" i="2"/>
  <c r="AA612" i="2"/>
  <c r="W634" i="2"/>
  <c r="Z626" i="2"/>
  <c r="Q609" i="2"/>
  <c r="M609" i="2" s="1"/>
  <c r="I609" i="2" s="1"/>
  <c r="AC609" i="2"/>
  <c r="Y609" i="2" s="1"/>
  <c r="P606" i="2"/>
  <c r="AB606" i="2"/>
  <c r="O593" i="2"/>
  <c r="AA593" i="2"/>
  <c r="O585" i="2"/>
  <c r="AA585" i="2"/>
  <c r="O577" i="2"/>
  <c r="AA577" i="2"/>
  <c r="O569" i="2"/>
  <c r="AA569" i="2"/>
  <c r="O561" i="2"/>
  <c r="AA561" i="2"/>
  <c r="Z670" i="2"/>
  <c r="Z660" i="2"/>
  <c r="Q653" i="2"/>
  <c r="M653" i="2" s="1"/>
  <c r="I653" i="2" s="1"/>
  <c r="AC653" i="2"/>
  <c r="W644" i="2"/>
  <c r="S644" i="2" s="1"/>
  <c r="Z636" i="2"/>
  <c r="Y601" i="2"/>
  <c r="AB600" i="2"/>
  <c r="P600" i="2"/>
  <c r="Z593" i="2"/>
  <c r="W593" i="2"/>
  <c r="N593" i="2"/>
  <c r="Z585" i="2"/>
  <c r="W585" i="2"/>
  <c r="N585" i="2"/>
  <c r="Z577" i="2"/>
  <c r="W577" i="2"/>
  <c r="N577" i="2"/>
  <c r="Z569" i="2"/>
  <c r="W569" i="2"/>
  <c r="N569" i="2"/>
  <c r="Z561" i="2"/>
  <c r="W561" i="2"/>
  <c r="N561" i="2"/>
  <c r="Y661" i="2"/>
  <c r="W638" i="2"/>
  <c r="S638" i="2" s="1"/>
  <c r="Z630" i="2"/>
  <c r="Y630" i="2" s="1"/>
  <c r="Z668" i="2"/>
  <c r="S664" i="2"/>
  <c r="W656" i="2"/>
  <c r="W640" i="2"/>
  <c r="Z632" i="2"/>
  <c r="Q611" i="2"/>
  <c r="M611" i="2" s="1"/>
  <c r="I611" i="2" s="1"/>
  <c r="AC611" i="2"/>
  <c r="Y611" i="2" s="1"/>
  <c r="P608" i="2"/>
  <c r="AB608" i="2"/>
  <c r="W605" i="2"/>
  <c r="S605" i="2" s="1"/>
  <c r="N605" i="2"/>
  <c r="Z605" i="2"/>
  <c r="P599" i="2"/>
  <c r="AB599" i="2"/>
  <c r="P595" i="2"/>
  <c r="AB595" i="2"/>
  <c r="P591" i="2"/>
  <c r="AB591" i="2"/>
  <c r="P587" i="2"/>
  <c r="AB587" i="2"/>
  <c r="P583" i="2"/>
  <c r="AB583" i="2"/>
  <c r="P579" i="2"/>
  <c r="AB579" i="2"/>
  <c r="P575" i="2"/>
  <c r="AB575" i="2"/>
  <c r="P571" i="2"/>
  <c r="AB571" i="2"/>
  <c r="P567" i="2"/>
  <c r="AB567" i="2"/>
  <c r="P563" i="2"/>
  <c r="AB563" i="2"/>
  <c r="P559" i="2"/>
  <c r="AB559" i="2"/>
  <c r="N555" i="2"/>
  <c r="M555" i="2" s="1"/>
  <c r="I555" i="2" s="1"/>
  <c r="Z555" i="2"/>
  <c r="Y555" i="2" s="1"/>
  <c r="S555" i="2"/>
  <c r="W612" i="2"/>
  <c r="Z547" i="2"/>
  <c r="Y547" i="2" s="1"/>
  <c r="S547" i="2"/>
  <c r="N547" i="2"/>
  <c r="M547" i="2" s="1"/>
  <c r="I547" i="2" s="1"/>
  <c r="AB532" i="2"/>
  <c r="P532" i="2"/>
  <c r="AB528" i="2"/>
  <c r="P528" i="2"/>
  <c r="AB524" i="2"/>
  <c r="P524" i="2"/>
  <c r="AB520" i="2"/>
  <c r="P520" i="2"/>
  <c r="AB516" i="2"/>
  <c r="P516" i="2"/>
  <c r="AB512" i="2"/>
  <c r="P512" i="2"/>
  <c r="AB508" i="2"/>
  <c r="P508" i="2"/>
  <c r="AB504" i="2"/>
  <c r="P504" i="2"/>
  <c r="AB500" i="2"/>
  <c r="P500" i="2"/>
  <c r="AB492" i="2"/>
  <c r="Y492" i="2" s="1"/>
  <c r="P492" i="2"/>
  <c r="M492" i="2" s="1"/>
  <c r="I492" i="2" s="1"/>
  <c r="AB484" i="2"/>
  <c r="P484" i="2"/>
  <c r="AB476" i="2"/>
  <c r="P476" i="2"/>
  <c r="AB468" i="2"/>
  <c r="P468" i="2"/>
  <c r="AB460" i="2"/>
  <c r="P460" i="2"/>
  <c r="AB452" i="2"/>
  <c r="P452" i="2"/>
  <c r="AA530" i="2"/>
  <c r="Y530" i="2" s="1"/>
  <c r="O530" i="2"/>
  <c r="M530" i="2" s="1"/>
  <c r="I530" i="2" s="1"/>
  <c r="AA522" i="2"/>
  <c r="Y522" i="2" s="1"/>
  <c r="O522" i="2"/>
  <c r="M522" i="2" s="1"/>
  <c r="I522" i="2" s="1"/>
  <c r="AA514" i="2"/>
  <c r="Y514" i="2" s="1"/>
  <c r="O514" i="2"/>
  <c r="M514" i="2" s="1"/>
  <c r="I514" i="2" s="1"/>
  <c r="S502" i="2"/>
  <c r="AA502" i="2"/>
  <c r="Y502" i="2" s="1"/>
  <c r="O502" i="2"/>
  <c r="M502" i="2" s="1"/>
  <c r="I502" i="2" s="1"/>
  <c r="S494" i="2"/>
  <c r="AA494" i="2"/>
  <c r="O494" i="2"/>
  <c r="M494" i="2" s="1"/>
  <c r="I494" i="2" s="1"/>
  <c r="S478" i="2"/>
  <c r="AA478" i="2"/>
  <c r="O478" i="2"/>
  <c r="M478" i="2" s="1"/>
  <c r="I478" i="2" s="1"/>
  <c r="S470" i="2"/>
  <c r="AA470" i="2"/>
  <c r="Y470" i="2" s="1"/>
  <c r="O470" i="2"/>
  <c r="M470" i="2" s="1"/>
  <c r="I470" i="2" s="1"/>
  <c r="S460" i="2"/>
  <c r="AA460" i="2"/>
  <c r="O460" i="2"/>
  <c r="Y518" i="2"/>
  <c r="Y510" i="2"/>
  <c r="Z448" i="2"/>
  <c r="Y448" i="2" s="1"/>
  <c r="S448" i="2"/>
  <c r="N448" i="2"/>
  <c r="M448" i="2" s="1"/>
  <c r="I448" i="2" s="1"/>
  <c r="M546" i="2"/>
  <c r="I546" i="2" s="1"/>
  <c r="Y544" i="2"/>
  <c r="M542" i="2"/>
  <c r="I542" i="2" s="1"/>
  <c r="S530" i="2"/>
  <c r="S522" i="2"/>
  <c r="S514" i="2"/>
  <c r="S486" i="2"/>
  <c r="Z437" i="2"/>
  <c r="Y437" i="2" s="1"/>
  <c r="S437" i="2"/>
  <c r="N437" i="2"/>
  <c r="M437" i="2" s="1"/>
  <c r="I437" i="2" s="1"/>
  <c r="M427" i="2"/>
  <c r="I427" i="2" s="1"/>
  <c r="AA422" i="2"/>
  <c r="O422" i="2"/>
  <c r="Z413" i="2"/>
  <c r="Y413" i="2" s="1"/>
  <c r="S413" i="2"/>
  <c r="N413" i="2"/>
  <c r="M413" i="2" s="1"/>
  <c r="I413" i="2" s="1"/>
  <c r="M540" i="2"/>
  <c r="I540" i="2" s="1"/>
  <c r="Y493" i="2"/>
  <c r="Z313" i="2"/>
  <c r="Y313" i="2" s="1"/>
  <c r="N313" i="2"/>
  <c r="M313" i="2" s="1"/>
  <c r="I313" i="2" s="1"/>
  <c r="S313" i="2"/>
  <c r="Z305" i="2"/>
  <c r="Y305" i="2" s="1"/>
  <c r="N305" i="2"/>
  <c r="M305" i="2" s="1"/>
  <c r="I305" i="2" s="1"/>
  <c r="S305" i="2"/>
  <c r="Z297" i="2"/>
  <c r="Y297" i="2" s="1"/>
  <c r="N297" i="2"/>
  <c r="M297" i="2" s="1"/>
  <c r="I297" i="2" s="1"/>
  <c r="S297" i="2"/>
  <c r="M539" i="2"/>
  <c r="I539" i="2" s="1"/>
  <c r="S508" i="2"/>
  <c r="M443" i="2"/>
  <c r="I443" i="2" s="1"/>
  <c r="Z401" i="2"/>
  <c r="Y401" i="2" s="1"/>
  <c r="S401" i="2"/>
  <c r="N401" i="2"/>
  <c r="M401" i="2" s="1"/>
  <c r="I401" i="2" s="1"/>
  <c r="M394" i="2"/>
  <c r="I394" i="2" s="1"/>
  <c r="AK379" i="2"/>
  <c r="V379" i="2"/>
  <c r="AK361" i="2"/>
  <c r="V361" i="2"/>
  <c r="AA312" i="2"/>
  <c r="Y312" i="2" s="1"/>
  <c r="O312" i="2"/>
  <c r="M312" i="2" s="1"/>
  <c r="I312" i="2" s="1"/>
  <c r="AA304" i="2"/>
  <c r="Y304" i="2" s="1"/>
  <c r="O304" i="2"/>
  <c r="M304" i="2" s="1"/>
  <c r="I304" i="2" s="1"/>
  <c r="AA296" i="2"/>
  <c r="Y296" i="2" s="1"/>
  <c r="O296" i="2"/>
  <c r="M296" i="2" s="1"/>
  <c r="I296" i="2" s="1"/>
  <c r="M411" i="2"/>
  <c r="I411" i="2" s="1"/>
  <c r="S286" i="2"/>
  <c r="Z286" i="2"/>
  <c r="Y286" i="2" s="1"/>
  <c r="N286" i="2"/>
  <c r="M286" i="2" s="1"/>
  <c r="I286" i="2" s="1"/>
  <c r="Z275" i="2"/>
  <c r="Y275" i="2" s="1"/>
  <c r="S275" i="2"/>
  <c r="N275" i="2"/>
  <c r="M275" i="2" s="1"/>
  <c r="I275" i="2" s="1"/>
  <c r="M395" i="2"/>
  <c r="I395" i="2" s="1"/>
  <c r="S269" i="2"/>
  <c r="N269" i="2"/>
  <c r="M269" i="2" s="1"/>
  <c r="I269" i="2" s="1"/>
  <c r="Z269" i="2"/>
  <c r="Y269" i="2" s="1"/>
  <c r="S263" i="2"/>
  <c r="Z263" i="2"/>
  <c r="Y263" i="2" s="1"/>
  <c r="N263" i="2"/>
  <c r="M263" i="2" s="1"/>
  <c r="I263" i="2" s="1"/>
  <c r="S247" i="2"/>
  <c r="Z247" i="2"/>
  <c r="Y247" i="2" s="1"/>
  <c r="N247" i="2"/>
  <c r="M247" i="2" s="1"/>
  <c r="I247" i="2" s="1"/>
  <c r="S231" i="2"/>
  <c r="Z231" i="2"/>
  <c r="Y231" i="2" s="1"/>
  <c r="N231" i="2"/>
  <c r="M231" i="2" s="1"/>
  <c r="I231" i="2" s="1"/>
  <c r="S198" i="2"/>
  <c r="Z198" i="2"/>
  <c r="Y198" i="2" s="1"/>
  <c r="N198" i="2"/>
  <c r="M198" i="2" s="1"/>
  <c r="I198" i="2" s="1"/>
  <c r="S182" i="2"/>
  <c r="Z182" i="2"/>
  <c r="Y182" i="2" s="1"/>
  <c r="N182" i="2"/>
  <c r="M182" i="2" s="1"/>
  <c r="I182" i="2" s="1"/>
  <c r="S166" i="2"/>
  <c r="Z166" i="2"/>
  <c r="Y166" i="2" s="1"/>
  <c r="N166" i="2"/>
  <c r="M166" i="2" s="1"/>
  <c r="I166" i="2" s="1"/>
  <c r="S150" i="2"/>
  <c r="Z150" i="2"/>
  <c r="Y150" i="2" s="1"/>
  <c r="N150" i="2"/>
  <c r="M150" i="2" s="1"/>
  <c r="I150" i="2" s="1"/>
  <c r="S98" i="2"/>
  <c r="Z98" i="2"/>
  <c r="Y98" i="2" s="1"/>
  <c r="N98" i="2"/>
  <c r="M98" i="2" s="1"/>
  <c r="I98" i="2" s="1"/>
  <c r="S86" i="2"/>
  <c r="Z86" i="2"/>
  <c r="Y86" i="2" s="1"/>
  <c r="N86" i="2"/>
  <c r="M86" i="2" s="1"/>
  <c r="I86" i="2" s="1"/>
  <c r="S372" i="2"/>
  <c r="AB372" i="2"/>
  <c r="Y372" i="2" s="1"/>
  <c r="P372" i="2"/>
  <c r="M372" i="2" s="1"/>
  <c r="I372" i="2" s="1"/>
  <c r="Z256" i="2"/>
  <c r="Y256" i="2" s="1"/>
  <c r="N256" i="2"/>
  <c r="M256" i="2" s="1"/>
  <c r="I256" i="2" s="1"/>
  <c r="S256" i="2"/>
  <c r="Z240" i="2"/>
  <c r="Y240" i="2" s="1"/>
  <c r="N240" i="2"/>
  <c r="M240" i="2" s="1"/>
  <c r="I240" i="2" s="1"/>
  <c r="S240" i="2"/>
  <c r="Z191" i="2"/>
  <c r="Y191" i="2" s="1"/>
  <c r="N191" i="2"/>
  <c r="M191" i="2" s="1"/>
  <c r="I191" i="2" s="1"/>
  <c r="S191" i="2"/>
  <c r="Z175" i="2"/>
  <c r="Y175" i="2" s="1"/>
  <c r="N175" i="2"/>
  <c r="M175" i="2" s="1"/>
  <c r="I175" i="2" s="1"/>
  <c r="S175" i="2"/>
  <c r="M400" i="2"/>
  <c r="I400" i="2" s="1"/>
  <c r="Y388" i="2"/>
  <c r="AB370" i="2"/>
  <c r="Y370" i="2" s="1"/>
  <c r="P370" i="2"/>
  <c r="M370" i="2" s="1"/>
  <c r="I370" i="2" s="1"/>
  <c r="S80" i="2"/>
  <c r="Z80" i="2"/>
  <c r="Y80" i="2" s="1"/>
  <c r="N80" i="2"/>
  <c r="M80" i="2" s="1"/>
  <c r="I80" i="2" s="1"/>
  <c r="S76" i="2"/>
  <c r="Z76" i="2"/>
  <c r="Y76" i="2" s="1"/>
  <c r="N76" i="2"/>
  <c r="M76" i="2" s="1"/>
  <c r="I76" i="2" s="1"/>
  <c r="Z208" i="1"/>
  <c r="Y208" i="1" s="1"/>
  <c r="N208" i="1"/>
  <c r="M208" i="1" s="1"/>
  <c r="I208" i="1" s="1"/>
  <c r="S208" i="1"/>
  <c r="Z204" i="1"/>
  <c r="Y204" i="1" s="1"/>
  <c r="N204" i="1"/>
  <c r="M204" i="1" s="1"/>
  <c r="I204" i="1" s="1"/>
  <c r="S204" i="1"/>
  <c r="Z148" i="1"/>
  <c r="Y148" i="1" s="1"/>
  <c r="N148" i="1"/>
  <c r="M148" i="1" s="1"/>
  <c r="I148" i="1" s="1"/>
  <c r="S148" i="1"/>
  <c r="Z134" i="1"/>
  <c r="Y134" i="1" s="1"/>
  <c r="N134" i="1"/>
  <c r="M134" i="1" s="1"/>
  <c r="I134" i="1" s="1"/>
  <c r="S134" i="1"/>
  <c r="Z105" i="1"/>
  <c r="Y105" i="1" s="1"/>
  <c r="N105" i="1"/>
  <c r="M105" i="1" s="1"/>
  <c r="I105" i="1" s="1"/>
  <c r="S105" i="1"/>
  <c r="Z93" i="1"/>
  <c r="Y93" i="1" s="1"/>
  <c r="N93" i="1"/>
  <c r="M93" i="1" s="1"/>
  <c r="I93" i="1" s="1"/>
  <c r="S93" i="1"/>
  <c r="Z46" i="1"/>
  <c r="Y46" i="1" s="1"/>
  <c r="S46" i="1"/>
  <c r="N46" i="1"/>
  <c r="M46" i="1" s="1"/>
  <c r="I46" i="1" s="1"/>
  <c r="M222" i="2"/>
  <c r="I222" i="2" s="1"/>
  <c r="M142" i="2"/>
  <c r="I142" i="2" s="1"/>
  <c r="M122" i="2"/>
  <c r="I122" i="2" s="1"/>
  <c r="AB164" i="1"/>
  <c r="P164" i="1"/>
  <c r="Z140" i="1"/>
  <c r="Y140" i="1" s="1"/>
  <c r="N140" i="1"/>
  <c r="M140" i="1" s="1"/>
  <c r="I140" i="1" s="1"/>
  <c r="S140" i="1"/>
  <c r="Y117" i="2"/>
  <c r="T109" i="2"/>
  <c r="S197" i="1"/>
  <c r="Z197" i="1"/>
  <c r="Y197" i="1" s="1"/>
  <c r="N197" i="1"/>
  <c r="M197" i="1" s="1"/>
  <c r="I197" i="1" s="1"/>
  <c r="M195" i="1"/>
  <c r="I195" i="1" s="1"/>
  <c r="S170" i="1"/>
  <c r="Z170" i="1"/>
  <c r="Y170" i="1" s="1"/>
  <c r="N170" i="1"/>
  <c r="M170" i="1" s="1"/>
  <c r="I170" i="1" s="1"/>
  <c r="Z166" i="1"/>
  <c r="Y166" i="1" s="1"/>
  <c r="N166" i="1"/>
  <c r="M166" i="1" s="1"/>
  <c r="I166" i="1" s="1"/>
  <c r="M143" i="1"/>
  <c r="I143" i="1" s="1"/>
  <c r="AD130" i="1"/>
  <c r="R130" i="1"/>
  <c r="S124" i="1"/>
  <c r="Z124" i="1"/>
  <c r="Y124" i="1" s="1"/>
  <c r="N124" i="1"/>
  <c r="M124" i="1" s="1"/>
  <c r="I124" i="1" s="1"/>
  <c r="M66" i="1"/>
  <c r="I66" i="1" s="1"/>
  <c r="O128" i="1"/>
  <c r="AA128" i="1"/>
  <c r="Y101" i="1"/>
  <c r="N80" i="1"/>
  <c r="M80" i="1" s="1"/>
  <c r="I80" i="1" s="1"/>
  <c r="Z80" i="1"/>
  <c r="Y80" i="1" s="1"/>
  <c r="S80" i="1"/>
  <c r="AC65" i="1"/>
  <c r="Y65" i="1" s="1"/>
  <c r="Q65" i="1"/>
  <c r="M65" i="1" s="1"/>
  <c r="I65" i="1" s="1"/>
  <c r="Y63" i="1"/>
  <c r="S186" i="1"/>
  <c r="S176" i="1"/>
  <c r="Z128" i="1"/>
  <c r="N128" i="1"/>
  <c r="S128" i="1"/>
  <c r="AD84" i="1"/>
  <c r="R84" i="1"/>
  <c r="N48" i="1"/>
  <c r="M48" i="1" s="1"/>
  <c r="I48" i="1" s="1"/>
  <c r="Z48" i="1"/>
  <c r="Y48" i="1" s="1"/>
  <c r="S48" i="1"/>
  <c r="Z77" i="1"/>
  <c r="Y77" i="1" s="1"/>
  <c r="N77" i="1"/>
  <c r="M77" i="1" s="1"/>
  <c r="I77" i="1" s="1"/>
  <c r="S77" i="1"/>
  <c r="N60" i="1"/>
  <c r="M60" i="1" s="1"/>
  <c r="I60" i="1" s="1"/>
  <c r="S60" i="1"/>
  <c r="Z60" i="1"/>
  <c r="Y60" i="1" s="1"/>
  <c r="S199" i="1"/>
  <c r="M164" i="1"/>
  <c r="I164" i="1" s="1"/>
  <c r="AD160" i="1"/>
  <c r="R160" i="1"/>
  <c r="Q116" i="1"/>
  <c r="M116" i="1" s="1"/>
  <c r="I116" i="1" s="1"/>
  <c r="AC116" i="1"/>
  <c r="AB95" i="1"/>
  <c r="P95" i="1"/>
  <c r="Z64" i="1"/>
  <c r="S64" i="1"/>
  <c r="W64" i="1"/>
  <c r="N64" i="1"/>
  <c r="Y74" i="1"/>
  <c r="N974" i="2"/>
  <c r="Z974" i="2"/>
  <c r="Y974" i="2" s="1"/>
  <c r="S974" i="2"/>
  <c r="N962" i="2"/>
  <c r="Z962" i="2"/>
  <c r="Y962" i="2" s="1"/>
  <c r="S962" i="2"/>
  <c r="N966" i="2"/>
  <c r="Z966" i="2"/>
  <c r="Y966" i="2" s="1"/>
  <c r="S966" i="2"/>
  <c r="N958" i="2"/>
  <c r="Z958" i="2"/>
  <c r="Y958" i="2" s="1"/>
  <c r="S958" i="2"/>
  <c r="N946" i="2"/>
  <c r="Z946" i="2"/>
  <c r="Y946" i="2" s="1"/>
  <c r="S946" i="2"/>
  <c r="AC938" i="2"/>
  <c r="Y938" i="2" s="1"/>
  <c r="Q938" i="2"/>
  <c r="Y936" i="2"/>
  <c r="Z944" i="2"/>
  <c r="Y944" i="2" s="1"/>
  <c r="S944" i="2"/>
  <c r="N944" i="2"/>
  <c r="AA937" i="2"/>
  <c r="Y937" i="2" s="1"/>
  <c r="O937" i="2"/>
  <c r="M937" i="2" s="1"/>
  <c r="Z943" i="2"/>
  <c r="Y943" i="2" s="1"/>
  <c r="S943" i="2"/>
  <c r="N943" i="2"/>
  <c r="Z934" i="2"/>
  <c r="S934" i="2"/>
  <c r="N934" i="2"/>
  <c r="AC933" i="2"/>
  <c r="Q933" i="2"/>
  <c r="Z929" i="2"/>
  <c r="Y929" i="2" s="1"/>
  <c r="N929" i="2"/>
  <c r="S929" i="2"/>
  <c r="Z925" i="2"/>
  <c r="Y925" i="2" s="1"/>
  <c r="N925" i="2"/>
  <c r="S925" i="2"/>
  <c r="S940" i="2"/>
  <c r="Z921" i="2"/>
  <c r="Y921" i="2" s="1"/>
  <c r="N921" i="2"/>
  <c r="S921" i="2"/>
  <c r="Z917" i="2"/>
  <c r="Y917" i="2" s="1"/>
  <c r="N917" i="2"/>
  <c r="S917" i="2"/>
  <c r="Z913" i="2"/>
  <c r="Y913" i="2" s="1"/>
  <c r="N913" i="2"/>
  <c r="S913" i="2"/>
  <c r="Z910" i="2"/>
  <c r="Y910" i="2" s="1"/>
  <c r="N910" i="2"/>
  <c r="M910" i="2" s="1"/>
  <c r="S910" i="2"/>
  <c r="AA905" i="2"/>
  <c r="O905" i="2"/>
  <c r="AC918" i="2"/>
  <c r="Q918" i="2"/>
  <c r="S901" i="2"/>
  <c r="Z901" i="2"/>
  <c r="N901" i="2"/>
  <c r="S895" i="2"/>
  <c r="AA895" i="2"/>
  <c r="Y895" i="2" s="1"/>
  <c r="O895" i="2"/>
  <c r="AA884" i="2"/>
  <c r="Y884" i="2" s="1"/>
  <c r="O884" i="2"/>
  <c r="AA876" i="2"/>
  <c r="Y876" i="2" s="1"/>
  <c r="O876" i="2"/>
  <c r="M876" i="2" s="1"/>
  <c r="AA868" i="2"/>
  <c r="Y868" i="2" s="1"/>
  <c r="O868" i="2"/>
  <c r="Y900" i="2"/>
  <c r="S904" i="2"/>
  <c r="AD890" i="2"/>
  <c r="Y890" i="2" s="1"/>
  <c r="R890" i="2"/>
  <c r="AD882" i="2"/>
  <c r="Y882" i="2" s="1"/>
  <c r="R882" i="2"/>
  <c r="AD874" i="2"/>
  <c r="R874" i="2"/>
  <c r="M863" i="2"/>
  <c r="I863" i="2" s="1"/>
  <c r="R859" i="2"/>
  <c r="M859" i="2" s="1"/>
  <c r="I859" i="2" s="1"/>
  <c r="AD859" i="2"/>
  <c r="Y859" i="2" s="1"/>
  <c r="S857" i="2"/>
  <c r="S876" i="2"/>
  <c r="AD864" i="2"/>
  <c r="Y864" i="2" s="1"/>
  <c r="R864" i="2"/>
  <c r="M864" i="2" s="1"/>
  <c r="I864" i="2" s="1"/>
  <c r="M862" i="2"/>
  <c r="I862" i="2" s="1"/>
  <c r="Y860" i="2"/>
  <c r="AD856" i="2"/>
  <c r="Y856" i="2" s="1"/>
  <c r="R856" i="2"/>
  <c r="M856" i="2" s="1"/>
  <c r="I856" i="2" s="1"/>
  <c r="M854" i="2"/>
  <c r="I854" i="2" s="1"/>
  <c r="AD852" i="2"/>
  <c r="Y852" i="2" s="1"/>
  <c r="R852" i="2"/>
  <c r="M852" i="2" s="1"/>
  <c r="I852" i="2" s="1"/>
  <c r="Y849" i="2"/>
  <c r="M846" i="2"/>
  <c r="I846" i="2" s="1"/>
  <c r="AD844" i="2"/>
  <c r="Y844" i="2" s="1"/>
  <c r="R844" i="2"/>
  <c r="M844" i="2" s="1"/>
  <c r="I844" i="2" s="1"/>
  <c r="Y841" i="2"/>
  <c r="AD836" i="2"/>
  <c r="Y836" i="2" s="1"/>
  <c r="R836" i="2"/>
  <c r="M836" i="2" s="1"/>
  <c r="I836" i="2" s="1"/>
  <c r="Y834" i="2"/>
  <c r="S832" i="2"/>
  <c r="M830" i="2"/>
  <c r="I830" i="2" s="1"/>
  <c r="R826" i="2"/>
  <c r="M826" i="2" s="1"/>
  <c r="I826" i="2" s="1"/>
  <c r="AD826" i="2"/>
  <c r="Y826" i="2" s="1"/>
  <c r="S824" i="2"/>
  <c r="M822" i="2"/>
  <c r="I822" i="2" s="1"/>
  <c r="Y833" i="2"/>
  <c r="S831" i="2"/>
  <c r="R829" i="2"/>
  <c r="M829" i="2" s="1"/>
  <c r="I829" i="2" s="1"/>
  <c r="AD829" i="2"/>
  <c r="Y829" i="2" s="1"/>
  <c r="M827" i="2"/>
  <c r="I827" i="2" s="1"/>
  <c r="S823" i="2"/>
  <c r="R821" i="2"/>
  <c r="M821" i="2" s="1"/>
  <c r="I821" i="2" s="1"/>
  <c r="AD821" i="2"/>
  <c r="Y821" i="2" s="1"/>
  <c r="AD820" i="2"/>
  <c r="Y820" i="2" s="1"/>
  <c r="R820" i="2"/>
  <c r="M820" i="2" s="1"/>
  <c r="I820" i="2" s="1"/>
  <c r="AK798" i="2"/>
  <c r="T798" i="2"/>
  <c r="AK790" i="2"/>
  <c r="T790" i="2"/>
  <c r="Y818" i="2"/>
  <c r="Y817" i="2"/>
  <c r="Y810" i="2"/>
  <c r="Y809" i="2"/>
  <c r="AA804" i="2"/>
  <c r="Y804" i="2" s="1"/>
  <c r="O804" i="2"/>
  <c r="M804" i="2" s="1"/>
  <c r="I804" i="2" s="1"/>
  <c r="S779" i="2"/>
  <c r="Z779" i="2"/>
  <c r="Y779" i="2" s="1"/>
  <c r="N779" i="2"/>
  <c r="M779" i="2" s="1"/>
  <c r="I779" i="2" s="1"/>
  <c r="Y814" i="2"/>
  <c r="Y813" i="2"/>
  <c r="Y806" i="2"/>
  <c r="Y805" i="2"/>
  <c r="AK803" i="2"/>
  <c r="AK799" i="2"/>
  <c r="AK795" i="2"/>
  <c r="AK791" i="2"/>
  <c r="T774" i="2"/>
  <c r="AK774" i="2"/>
  <c r="M763" i="2"/>
  <c r="I763" i="2" s="1"/>
  <c r="T758" i="2"/>
  <c r="AK758" i="2"/>
  <c r="T742" i="2"/>
  <c r="AK742" i="2"/>
  <c r="N801" i="2"/>
  <c r="M801" i="2" s="1"/>
  <c r="I801" i="2" s="1"/>
  <c r="Z801" i="2"/>
  <c r="Y801" i="2" s="1"/>
  <c r="S801" i="2"/>
  <c r="N793" i="2"/>
  <c r="M793" i="2" s="1"/>
  <c r="I793" i="2" s="1"/>
  <c r="Z793" i="2"/>
  <c r="Y793" i="2" s="1"/>
  <c r="S793" i="2"/>
  <c r="Z784" i="2"/>
  <c r="Y784" i="2" s="1"/>
  <c r="S784" i="2"/>
  <c r="N784" i="2"/>
  <c r="M784" i="2" s="1"/>
  <c r="I784" i="2" s="1"/>
  <c r="M744" i="2"/>
  <c r="I744" i="2" s="1"/>
  <c r="N737" i="2"/>
  <c r="M737" i="2" s="1"/>
  <c r="I737" i="2" s="1"/>
  <c r="Z737" i="2"/>
  <c r="Y737" i="2" s="1"/>
  <c r="S737" i="2"/>
  <c r="AA734" i="2"/>
  <c r="O734" i="2"/>
  <c r="AA726" i="2"/>
  <c r="O726" i="2"/>
  <c r="Y739" i="2"/>
  <c r="N769" i="2"/>
  <c r="Z769" i="2"/>
  <c r="S769" i="2"/>
  <c r="N753" i="2"/>
  <c r="M753" i="2" s="1"/>
  <c r="I753" i="2" s="1"/>
  <c r="Z753" i="2"/>
  <c r="S753" i="2"/>
  <c r="M772" i="2"/>
  <c r="I772" i="2" s="1"/>
  <c r="M756" i="2"/>
  <c r="I756" i="2" s="1"/>
  <c r="N749" i="2"/>
  <c r="M749" i="2" s="1"/>
  <c r="I749" i="2" s="1"/>
  <c r="Z749" i="2"/>
  <c r="Y749" i="2" s="1"/>
  <c r="S749" i="2"/>
  <c r="T738" i="2"/>
  <c r="AK738" i="2"/>
  <c r="T730" i="2"/>
  <c r="AK730" i="2"/>
  <c r="AA729" i="2"/>
  <c r="O729" i="2"/>
  <c r="T722" i="2"/>
  <c r="AK722" i="2"/>
  <c r="AA721" i="2"/>
  <c r="O721" i="2"/>
  <c r="AA705" i="2"/>
  <c r="O705" i="2"/>
  <c r="AA697" i="2"/>
  <c r="O697" i="2"/>
  <c r="S675" i="2"/>
  <c r="N707" i="2"/>
  <c r="M707" i="2" s="1"/>
  <c r="I707" i="2" s="1"/>
  <c r="Z707" i="2"/>
  <c r="Y707" i="2" s="1"/>
  <c r="S707" i="2"/>
  <c r="N699" i="2"/>
  <c r="M699" i="2" s="1"/>
  <c r="I699" i="2" s="1"/>
  <c r="Z699" i="2"/>
  <c r="Y699" i="2" s="1"/>
  <c r="S699" i="2"/>
  <c r="N691" i="2"/>
  <c r="M691" i="2" s="1"/>
  <c r="I691" i="2" s="1"/>
  <c r="Z691" i="2"/>
  <c r="Y691" i="2" s="1"/>
  <c r="S691" i="2"/>
  <c r="AC671" i="2"/>
  <c r="Y671" i="2" s="1"/>
  <c r="Q671" i="2"/>
  <c r="M671" i="2" s="1"/>
  <c r="I671" i="2" s="1"/>
  <c r="P666" i="2"/>
  <c r="AB666" i="2"/>
  <c r="W663" i="2"/>
  <c r="S663" i="2"/>
  <c r="N663" i="2"/>
  <c r="Z663" i="2"/>
  <c r="O704" i="2"/>
  <c r="AA704" i="2"/>
  <c r="O696" i="2"/>
  <c r="AA696" i="2"/>
  <c r="O680" i="2"/>
  <c r="AA680" i="2"/>
  <c r="O672" i="2"/>
  <c r="AA672" i="2"/>
  <c r="AC665" i="2"/>
  <c r="Y665" i="2" s="1"/>
  <c r="Q665" i="2"/>
  <c r="M665" i="2" s="1"/>
  <c r="I665" i="2" s="1"/>
  <c r="AA679" i="2"/>
  <c r="Y679" i="2" s="1"/>
  <c r="O679" i="2"/>
  <c r="M679" i="2" s="1"/>
  <c r="I679" i="2" s="1"/>
  <c r="Z678" i="2"/>
  <c r="W678" i="2"/>
  <c r="S678" i="2" s="1"/>
  <c r="N678" i="2"/>
  <c r="Q673" i="2"/>
  <c r="M673" i="2" s="1"/>
  <c r="I673" i="2" s="1"/>
  <c r="AC673" i="2"/>
  <c r="Y673" i="2" s="1"/>
  <c r="AC667" i="2"/>
  <c r="Y667" i="2" s="1"/>
  <c r="Q667" i="2"/>
  <c r="M667" i="2" s="1"/>
  <c r="I667" i="2" s="1"/>
  <c r="AB658" i="2"/>
  <c r="P658" i="2"/>
  <c r="Z693" i="2"/>
  <c r="Y693" i="2" s="1"/>
  <c r="S693" i="2"/>
  <c r="N693" i="2"/>
  <c r="M693" i="2" s="1"/>
  <c r="I693" i="2" s="1"/>
  <c r="Z689" i="2"/>
  <c r="Y689" i="2" s="1"/>
  <c r="S689" i="2"/>
  <c r="N689" i="2"/>
  <c r="M689" i="2" s="1"/>
  <c r="I689" i="2" s="1"/>
  <c r="O676" i="2"/>
  <c r="AA676" i="2"/>
  <c r="P664" i="2"/>
  <c r="M664" i="2" s="1"/>
  <c r="I664" i="2" s="1"/>
  <c r="AB664" i="2"/>
  <c r="S658" i="2"/>
  <c r="Q655" i="2"/>
  <c r="M655" i="2" s="1"/>
  <c r="I655" i="2" s="1"/>
  <c r="AC655" i="2"/>
  <c r="Y655" i="2" s="1"/>
  <c r="S654" i="2"/>
  <c r="S650" i="2"/>
  <c r="W642" i="2"/>
  <c r="S618" i="2"/>
  <c r="Z606" i="2"/>
  <c r="N606" i="2"/>
  <c r="W606" i="2"/>
  <c r="S606" i="2"/>
  <c r="Z602" i="2"/>
  <c r="N602" i="2"/>
  <c r="W602" i="2"/>
  <c r="S602" i="2" s="1"/>
  <c r="O595" i="2"/>
  <c r="AA595" i="2"/>
  <c r="O587" i="2"/>
  <c r="AA587" i="2"/>
  <c r="O579" i="2"/>
  <c r="AA579" i="2"/>
  <c r="O571" i="2"/>
  <c r="AA571" i="2"/>
  <c r="O563" i="2"/>
  <c r="AA563" i="2"/>
  <c r="Y653" i="2"/>
  <c r="W652" i="2"/>
  <c r="S652" i="2" s="1"/>
  <c r="S628" i="2"/>
  <c r="W620" i="2"/>
  <c r="Z612" i="2"/>
  <c r="Z599" i="2"/>
  <c r="W599" i="2"/>
  <c r="S599" i="2" s="1"/>
  <c r="N599" i="2"/>
  <c r="Z591" i="2"/>
  <c r="W591" i="2"/>
  <c r="S591" i="2" s="1"/>
  <c r="N591" i="2"/>
  <c r="Z583" i="2"/>
  <c r="W583" i="2"/>
  <c r="S583" i="2" s="1"/>
  <c r="N583" i="2"/>
  <c r="Z575" i="2"/>
  <c r="W575" i="2"/>
  <c r="S575" i="2" s="1"/>
  <c r="N575" i="2"/>
  <c r="Z567" i="2"/>
  <c r="W567" i="2"/>
  <c r="S567" i="2" s="1"/>
  <c r="N567" i="2"/>
  <c r="Z559" i="2"/>
  <c r="W559" i="2"/>
  <c r="S559" i="2" s="1"/>
  <c r="N559" i="2"/>
  <c r="M661" i="2"/>
  <c r="I661" i="2" s="1"/>
  <c r="W646" i="2"/>
  <c r="S646" i="2" s="1"/>
  <c r="S622" i="2"/>
  <c r="W614" i="2"/>
  <c r="S614" i="2" s="1"/>
  <c r="P610" i="2"/>
  <c r="AB610" i="2"/>
  <c r="W648" i="2"/>
  <c r="S624" i="2"/>
  <c r="W616" i="2"/>
  <c r="Z608" i="2"/>
  <c r="W608" i="2"/>
  <c r="S608" i="2" s="1"/>
  <c r="N608" i="2"/>
  <c r="O604" i="2"/>
  <c r="AA604" i="2"/>
  <c r="N554" i="2"/>
  <c r="M554" i="2" s="1"/>
  <c r="I554" i="2" s="1"/>
  <c r="Z554" i="2"/>
  <c r="Y554" i="2" s="1"/>
  <c r="S554" i="2"/>
  <c r="Z549" i="2"/>
  <c r="Y549" i="2" s="1"/>
  <c r="S549" i="2"/>
  <c r="N549" i="2"/>
  <c r="M549" i="2" s="1"/>
  <c r="I549" i="2" s="1"/>
  <c r="Z531" i="2"/>
  <c r="Y531" i="2" s="1"/>
  <c r="N531" i="2"/>
  <c r="M531" i="2" s="1"/>
  <c r="I531" i="2" s="1"/>
  <c r="S531" i="2"/>
  <c r="Z527" i="2"/>
  <c r="Y527" i="2" s="1"/>
  <c r="N527" i="2"/>
  <c r="M527" i="2" s="1"/>
  <c r="I527" i="2" s="1"/>
  <c r="S527" i="2"/>
  <c r="Z523" i="2"/>
  <c r="Y523" i="2" s="1"/>
  <c r="N523" i="2"/>
  <c r="M523" i="2" s="1"/>
  <c r="I523" i="2" s="1"/>
  <c r="S523" i="2"/>
  <c r="Z519" i="2"/>
  <c r="Y519" i="2" s="1"/>
  <c r="N519" i="2"/>
  <c r="M519" i="2" s="1"/>
  <c r="I519" i="2" s="1"/>
  <c r="S519" i="2"/>
  <c r="Z515" i="2"/>
  <c r="Y515" i="2" s="1"/>
  <c r="N515" i="2"/>
  <c r="M515" i="2" s="1"/>
  <c r="I515" i="2" s="1"/>
  <c r="S515" i="2"/>
  <c r="Z511" i="2"/>
  <c r="Y511" i="2" s="1"/>
  <c r="N511" i="2"/>
  <c r="M511" i="2" s="1"/>
  <c r="I511" i="2" s="1"/>
  <c r="S511" i="2"/>
  <c r="Z507" i="2"/>
  <c r="Y507" i="2" s="1"/>
  <c r="N507" i="2"/>
  <c r="M507" i="2" s="1"/>
  <c r="I507" i="2" s="1"/>
  <c r="S507" i="2"/>
  <c r="Z503" i="2"/>
  <c r="Y503" i="2" s="1"/>
  <c r="N503" i="2"/>
  <c r="M503" i="2" s="1"/>
  <c r="I503" i="2" s="1"/>
  <c r="S503" i="2"/>
  <c r="AB498" i="2"/>
  <c r="P498" i="2"/>
  <c r="AB490" i="2"/>
  <c r="Y490" i="2" s="1"/>
  <c r="P490" i="2"/>
  <c r="M490" i="2" s="1"/>
  <c r="I490" i="2" s="1"/>
  <c r="AB482" i="2"/>
  <c r="P482" i="2"/>
  <c r="AB474" i="2"/>
  <c r="P474" i="2"/>
  <c r="AB466" i="2"/>
  <c r="P466" i="2"/>
  <c r="AB458" i="2"/>
  <c r="P458" i="2"/>
  <c r="AA528" i="2"/>
  <c r="O528" i="2"/>
  <c r="M528" i="2" s="1"/>
  <c r="I528" i="2" s="1"/>
  <c r="S520" i="2"/>
  <c r="AA520" i="2"/>
  <c r="O520" i="2"/>
  <c r="M520" i="2" s="1"/>
  <c r="I520" i="2" s="1"/>
  <c r="AA512" i="2"/>
  <c r="Y512" i="2" s="1"/>
  <c r="O512" i="2"/>
  <c r="M512" i="2" s="1"/>
  <c r="I512" i="2" s="1"/>
  <c r="S500" i="2"/>
  <c r="AA500" i="2"/>
  <c r="Y500" i="2" s="1"/>
  <c r="O500" i="2"/>
  <c r="M500" i="2" s="1"/>
  <c r="I500" i="2" s="1"/>
  <c r="S484" i="2"/>
  <c r="AA484" i="2"/>
  <c r="Y484" i="2" s="1"/>
  <c r="O484" i="2"/>
  <c r="M484" i="2" s="1"/>
  <c r="I484" i="2" s="1"/>
  <c r="S476" i="2"/>
  <c r="AA476" i="2"/>
  <c r="O476" i="2"/>
  <c r="M476" i="2" s="1"/>
  <c r="I476" i="2" s="1"/>
  <c r="S468" i="2"/>
  <c r="AA468" i="2"/>
  <c r="Y468" i="2" s="1"/>
  <c r="O468" i="2"/>
  <c r="M468" i="2" s="1"/>
  <c r="I468" i="2" s="1"/>
  <c r="S458" i="2"/>
  <c r="AA458" i="2"/>
  <c r="O458" i="2"/>
  <c r="Z548" i="2"/>
  <c r="Y548" i="2" s="1"/>
  <c r="S548" i="2"/>
  <c r="N548" i="2"/>
  <c r="M548" i="2" s="1"/>
  <c r="I548" i="2" s="1"/>
  <c r="Y534" i="2"/>
  <c r="Y526" i="2"/>
  <c r="Y508" i="2"/>
  <c r="M446" i="2"/>
  <c r="I446" i="2" s="1"/>
  <c r="Y422" i="2"/>
  <c r="AA430" i="2"/>
  <c r="Y430" i="2" s="1"/>
  <c r="O430" i="2"/>
  <c r="M430" i="2" s="1"/>
  <c r="I430" i="2" s="1"/>
  <c r="Y543" i="2"/>
  <c r="M541" i="2"/>
  <c r="I541" i="2" s="1"/>
  <c r="S430" i="2"/>
  <c r="Z311" i="2"/>
  <c r="Y311" i="2" s="1"/>
  <c r="N311" i="2"/>
  <c r="M311" i="2" s="1"/>
  <c r="I311" i="2" s="1"/>
  <c r="S311" i="2"/>
  <c r="Z303" i="2"/>
  <c r="Y303" i="2" s="1"/>
  <c r="N303" i="2"/>
  <c r="M303" i="2" s="1"/>
  <c r="I303" i="2" s="1"/>
  <c r="S303" i="2"/>
  <c r="Z295" i="2"/>
  <c r="Y295" i="2" s="1"/>
  <c r="N295" i="2"/>
  <c r="M295" i="2" s="1"/>
  <c r="I295" i="2" s="1"/>
  <c r="S295" i="2"/>
  <c r="S488" i="2"/>
  <c r="M455" i="2"/>
  <c r="I455" i="2" s="1"/>
  <c r="N436" i="2"/>
  <c r="M436" i="2" s="1"/>
  <c r="I436" i="2" s="1"/>
  <c r="Z436" i="2"/>
  <c r="Y436" i="2" s="1"/>
  <c r="S436" i="2"/>
  <c r="Z421" i="2"/>
  <c r="Y421" i="2" s="1"/>
  <c r="S421" i="2"/>
  <c r="N421" i="2"/>
  <c r="M421" i="2" s="1"/>
  <c r="I421" i="2" s="1"/>
  <c r="Z405" i="2"/>
  <c r="Y405" i="2" s="1"/>
  <c r="S405" i="2"/>
  <c r="N405" i="2"/>
  <c r="M405" i="2" s="1"/>
  <c r="I405" i="2" s="1"/>
  <c r="Z389" i="2"/>
  <c r="Y389" i="2" s="1"/>
  <c r="S389" i="2"/>
  <c r="N389" i="2"/>
  <c r="M389" i="2" s="1"/>
  <c r="I389" i="2" s="1"/>
  <c r="AK371" i="2"/>
  <c r="V371" i="2"/>
  <c r="AK367" i="2"/>
  <c r="V367" i="2"/>
  <c r="AA310" i="2"/>
  <c r="Y310" i="2" s="1"/>
  <c r="O310" i="2"/>
  <c r="M310" i="2" s="1"/>
  <c r="I310" i="2" s="1"/>
  <c r="AA302" i="2"/>
  <c r="Y302" i="2" s="1"/>
  <c r="O302" i="2"/>
  <c r="AA294" i="2"/>
  <c r="O294" i="2"/>
  <c r="AB380" i="2"/>
  <c r="Y380" i="2" s="1"/>
  <c r="P380" i="2"/>
  <c r="M380" i="2" s="1"/>
  <c r="I380" i="2" s="1"/>
  <c r="S376" i="2"/>
  <c r="AB376" i="2"/>
  <c r="Y376" i="2" s="1"/>
  <c r="P376" i="2"/>
  <c r="M376" i="2" s="1"/>
  <c r="I376" i="2" s="1"/>
  <c r="M368" i="2"/>
  <c r="I368" i="2" s="1"/>
  <c r="S283" i="2"/>
  <c r="Z283" i="2"/>
  <c r="Y283" i="2" s="1"/>
  <c r="N283" i="2"/>
  <c r="M283" i="2" s="1"/>
  <c r="I283" i="2" s="1"/>
  <c r="S378" i="2"/>
  <c r="AB362" i="2"/>
  <c r="Y362" i="2" s="1"/>
  <c r="P362" i="2"/>
  <c r="M362" i="2" s="1"/>
  <c r="I362" i="2" s="1"/>
  <c r="AB358" i="2"/>
  <c r="Y358" i="2" s="1"/>
  <c r="P358" i="2"/>
  <c r="M358" i="2" s="1"/>
  <c r="I358" i="2" s="1"/>
  <c r="S267" i="2"/>
  <c r="Z267" i="2"/>
  <c r="Y267" i="2" s="1"/>
  <c r="N267" i="2"/>
  <c r="M267" i="2" s="1"/>
  <c r="I267" i="2" s="1"/>
  <c r="S251" i="2"/>
  <c r="Z251" i="2"/>
  <c r="Y251" i="2" s="1"/>
  <c r="N251" i="2"/>
  <c r="M251" i="2" s="1"/>
  <c r="I251" i="2" s="1"/>
  <c r="S235" i="2"/>
  <c r="Z235" i="2"/>
  <c r="Y235" i="2" s="1"/>
  <c r="N235" i="2"/>
  <c r="M235" i="2" s="1"/>
  <c r="I235" i="2" s="1"/>
  <c r="S186" i="2"/>
  <c r="Z186" i="2"/>
  <c r="Y186" i="2" s="1"/>
  <c r="N186" i="2"/>
  <c r="M186" i="2" s="1"/>
  <c r="I186" i="2" s="1"/>
  <c r="S170" i="2"/>
  <c r="Z170" i="2"/>
  <c r="Y170" i="2" s="1"/>
  <c r="N170" i="2"/>
  <c r="M170" i="2" s="1"/>
  <c r="I170" i="2" s="1"/>
  <c r="S154" i="2"/>
  <c r="Z154" i="2"/>
  <c r="Y154" i="2" s="1"/>
  <c r="N154" i="2"/>
  <c r="M154" i="2" s="1"/>
  <c r="I154" i="2" s="1"/>
  <c r="S100" i="2"/>
  <c r="Z100" i="2"/>
  <c r="Y100" i="2" s="1"/>
  <c r="N100" i="2"/>
  <c r="M100" i="2" s="1"/>
  <c r="I100" i="2" s="1"/>
  <c r="S92" i="2"/>
  <c r="Z92" i="2"/>
  <c r="Y92" i="2" s="1"/>
  <c r="N92" i="2"/>
  <c r="M92" i="2" s="1"/>
  <c r="I92" i="2" s="1"/>
  <c r="S84" i="2"/>
  <c r="Z84" i="2"/>
  <c r="Y84" i="2" s="1"/>
  <c r="N84" i="2"/>
  <c r="M84" i="2" s="1"/>
  <c r="I84" i="2" s="1"/>
  <c r="S358" i="2"/>
  <c r="X294" i="2"/>
  <c r="S278" i="2"/>
  <c r="Z278" i="2"/>
  <c r="Y278" i="2" s="1"/>
  <c r="N278" i="2"/>
  <c r="M278" i="2" s="1"/>
  <c r="I278" i="2" s="1"/>
  <c r="Z268" i="2"/>
  <c r="Y268" i="2" s="1"/>
  <c r="N268" i="2"/>
  <c r="M268" i="2" s="1"/>
  <c r="I268" i="2" s="1"/>
  <c r="S268" i="2"/>
  <c r="Z252" i="2"/>
  <c r="Y252" i="2" s="1"/>
  <c r="N252" i="2"/>
  <c r="M252" i="2" s="1"/>
  <c r="I252" i="2" s="1"/>
  <c r="S252" i="2"/>
  <c r="Z236" i="2"/>
  <c r="Y236" i="2" s="1"/>
  <c r="N236" i="2"/>
  <c r="M236" i="2" s="1"/>
  <c r="I236" i="2" s="1"/>
  <c r="S236" i="2"/>
  <c r="Z187" i="2"/>
  <c r="Y187" i="2" s="1"/>
  <c r="N187" i="2"/>
  <c r="M187" i="2" s="1"/>
  <c r="I187" i="2" s="1"/>
  <c r="S187" i="2"/>
  <c r="Z171" i="2"/>
  <c r="Y171" i="2" s="1"/>
  <c r="N171" i="2"/>
  <c r="M171" i="2" s="1"/>
  <c r="I171" i="2" s="1"/>
  <c r="S171" i="2"/>
  <c r="M391" i="2"/>
  <c r="I391" i="2" s="1"/>
  <c r="S388" i="2"/>
  <c r="S287" i="2"/>
  <c r="Z287" i="2"/>
  <c r="Y287" i="2" s="1"/>
  <c r="N287" i="2"/>
  <c r="M287" i="2" s="1"/>
  <c r="I287" i="2" s="1"/>
  <c r="M146" i="2"/>
  <c r="I146" i="2" s="1"/>
  <c r="R109" i="2"/>
  <c r="AD109" i="2"/>
  <c r="AD207" i="1"/>
  <c r="R207" i="1"/>
  <c r="Z151" i="1"/>
  <c r="Y151" i="1" s="1"/>
  <c r="N151" i="1"/>
  <c r="M151" i="1" s="1"/>
  <c r="I151" i="1" s="1"/>
  <c r="S151" i="1"/>
  <c r="Z110" i="1"/>
  <c r="Y110" i="1" s="1"/>
  <c r="N110" i="1"/>
  <c r="M110" i="1" s="1"/>
  <c r="I110" i="1" s="1"/>
  <c r="S110" i="1"/>
  <c r="Z79" i="1"/>
  <c r="Y79" i="1" s="1"/>
  <c r="N79" i="1"/>
  <c r="M79" i="1" s="1"/>
  <c r="I79" i="1" s="1"/>
  <c r="S79" i="1"/>
  <c r="N44" i="1"/>
  <c r="M44" i="1" s="1"/>
  <c r="I44" i="1" s="1"/>
  <c r="S44" i="1"/>
  <c r="Z44" i="1"/>
  <c r="Y44" i="1" s="1"/>
  <c r="Y230" i="2"/>
  <c r="Y120" i="2"/>
  <c r="AB61" i="1"/>
  <c r="Y61" i="1" s="1"/>
  <c r="P61" i="1"/>
  <c r="M61" i="1" s="1"/>
  <c r="I61" i="1" s="1"/>
  <c r="S61" i="1"/>
  <c r="T115" i="2"/>
  <c r="T112" i="2"/>
  <c r="M110" i="2"/>
  <c r="I110" i="2" s="1"/>
  <c r="M108" i="2"/>
  <c r="I108" i="2" s="1"/>
  <c r="S205" i="1"/>
  <c r="Z205" i="1"/>
  <c r="Y205" i="1" s="1"/>
  <c r="N205" i="1"/>
  <c r="M205" i="1" s="1"/>
  <c r="I205" i="1" s="1"/>
  <c r="S130" i="1"/>
  <c r="Z130" i="1"/>
  <c r="Y130" i="1" s="1"/>
  <c r="N130" i="1"/>
  <c r="M130" i="1" s="1"/>
  <c r="I130" i="1" s="1"/>
  <c r="S122" i="1"/>
  <c r="Z122" i="1"/>
  <c r="Y122" i="1" s="1"/>
  <c r="N122" i="1"/>
  <c r="M122" i="1" s="1"/>
  <c r="I122" i="1" s="1"/>
  <c r="S76" i="1"/>
  <c r="Z76" i="1"/>
  <c r="Y76" i="1" s="1"/>
  <c r="N76" i="1"/>
  <c r="M76" i="1" s="1"/>
  <c r="I76" i="1" s="1"/>
  <c r="AD113" i="1"/>
  <c r="R113" i="1"/>
  <c r="M101" i="1"/>
  <c r="I101" i="1" s="1"/>
  <c r="N100" i="1"/>
  <c r="M100" i="1" s="1"/>
  <c r="I100" i="1" s="1"/>
  <c r="Z100" i="1"/>
  <c r="Y100" i="1" s="1"/>
  <c r="S100" i="1"/>
  <c r="M63" i="1"/>
  <c r="I63" i="1" s="1"/>
  <c r="Y186" i="1"/>
  <c r="M176" i="1"/>
  <c r="I176" i="1" s="1"/>
  <c r="Y121" i="1"/>
  <c r="AD91" i="1"/>
  <c r="R91" i="1"/>
  <c r="Y164" i="1"/>
  <c r="AB128" i="1"/>
  <c r="P128" i="1"/>
  <c r="Y116" i="1"/>
  <c r="Z95" i="1"/>
  <c r="Y95" i="1" s="1"/>
  <c r="N95" i="1"/>
  <c r="M95" i="1" s="1"/>
  <c r="I95" i="1" s="1"/>
  <c r="S95" i="1"/>
  <c r="M302" i="2" l="1"/>
  <c r="I302" i="2" s="1"/>
  <c r="M422" i="2"/>
  <c r="I422" i="2" s="1"/>
  <c r="M298" i="2"/>
  <c r="I298" i="2" s="1"/>
  <c r="M209" i="2"/>
  <c r="I209" i="2" s="1"/>
  <c r="M415" i="2"/>
  <c r="I415" i="2" s="1"/>
  <c r="M461" i="2"/>
  <c r="I461" i="2" s="1"/>
  <c r="M909" i="2"/>
  <c r="I909" i="2" s="1"/>
  <c r="M939" i="2"/>
  <c r="M893" i="2"/>
  <c r="AC926" i="2"/>
  <c r="Q926" i="2"/>
  <c r="AC629" i="2"/>
  <c r="Y629" i="2" s="1"/>
  <c r="S629" i="2"/>
  <c r="Q629" i="2"/>
  <c r="M629" i="2" s="1"/>
  <c r="I629" i="2" s="1"/>
  <c r="Y926" i="2"/>
  <c r="M882" i="2"/>
  <c r="M936" i="2"/>
  <c r="AC645" i="2"/>
  <c r="Y645" i="2" s="1"/>
  <c r="Q645" i="2"/>
  <c r="M645" i="2" s="1"/>
  <c r="I645" i="2" s="1"/>
  <c r="S645" i="2"/>
  <c r="Y391" i="2"/>
  <c r="AC566" i="2"/>
  <c r="Y566" i="2" s="1"/>
  <c r="Q566" i="2"/>
  <c r="M566" i="2" s="1"/>
  <c r="I566" i="2" s="1"/>
  <c r="S566" i="2"/>
  <c r="AC572" i="2"/>
  <c r="Y572" i="2" s="1"/>
  <c r="Q572" i="2"/>
  <c r="M572" i="2" s="1"/>
  <c r="I572" i="2" s="1"/>
  <c r="S572" i="2"/>
  <c r="N792" i="2"/>
  <c r="M792" i="2" s="1"/>
  <c r="I792" i="2" s="1"/>
  <c r="Z792" i="2"/>
  <c r="Y792" i="2" s="1"/>
  <c r="S792" i="2"/>
  <c r="Y875" i="2"/>
  <c r="M938" i="2"/>
  <c r="M923" i="2"/>
  <c r="M874" i="2"/>
  <c r="M890" i="2"/>
  <c r="I890" i="2" s="1"/>
  <c r="M940" i="2"/>
  <c r="Q617" i="2"/>
  <c r="M617" i="2" s="1"/>
  <c r="I617" i="2" s="1"/>
  <c r="AC617" i="2"/>
  <c r="Y617" i="2" s="1"/>
  <c r="S617" i="2"/>
  <c r="AA761" i="2"/>
  <c r="Y761" i="2" s="1"/>
  <c r="O761" i="2"/>
  <c r="M761" i="2" s="1"/>
  <c r="I761" i="2" s="1"/>
  <c r="AA769" i="2"/>
  <c r="Y769" i="2" s="1"/>
  <c r="O769" i="2"/>
  <c r="M769" i="2" s="1"/>
  <c r="I769" i="2" s="1"/>
  <c r="Y649" i="2"/>
  <c r="M917" i="2"/>
  <c r="I917" i="2" s="1"/>
  <c r="M966" i="2"/>
  <c r="I966" i="2" s="1"/>
  <c r="M933" i="2"/>
  <c r="I933" i="2" s="1"/>
  <c r="M970" i="2"/>
  <c r="I970" i="2" s="1"/>
  <c r="M911" i="2"/>
  <c r="I911" i="2" s="1"/>
  <c r="M927" i="2"/>
  <c r="I927" i="2" s="1"/>
  <c r="M795" i="2"/>
  <c r="I795" i="2" s="1"/>
  <c r="M924" i="2"/>
  <c r="I924" i="2" s="1"/>
  <c r="M950" i="2"/>
  <c r="I950" i="2" s="1"/>
  <c r="M913" i="2"/>
  <c r="I913" i="2" s="1"/>
  <c r="M943" i="2"/>
  <c r="I943" i="2" s="1"/>
  <c r="M958" i="2"/>
  <c r="I958" i="2" s="1"/>
  <c r="M930" i="2"/>
  <c r="I930" i="2" s="1"/>
  <c r="M956" i="2"/>
  <c r="I956" i="2" s="1"/>
  <c r="M959" i="2"/>
  <c r="I959" i="2" s="1"/>
  <c r="M947" i="2"/>
  <c r="I947" i="2" s="1"/>
  <c r="M920" i="2"/>
  <c r="I920" i="2" s="1"/>
  <c r="I941" i="2"/>
  <c r="M894" i="2"/>
  <c r="I894" i="2" s="1"/>
  <c r="M901" i="2"/>
  <c r="I901" i="2" s="1"/>
  <c r="M929" i="2"/>
  <c r="I929" i="2" s="1"/>
  <c r="M934" i="2"/>
  <c r="I934" i="2" s="1"/>
  <c r="M944" i="2"/>
  <c r="I944" i="2" s="1"/>
  <c r="M946" i="2"/>
  <c r="I946" i="2" s="1"/>
  <c r="M974" i="2"/>
  <c r="I974" i="2" s="1"/>
  <c r="M918" i="2"/>
  <c r="M926" i="2"/>
  <c r="I926" i="2" s="1"/>
  <c r="M949" i="2"/>
  <c r="I949" i="2" s="1"/>
  <c r="M905" i="2"/>
  <c r="M919" i="2"/>
  <c r="M955" i="2"/>
  <c r="I955" i="2" s="1"/>
  <c r="I936" i="2"/>
  <c r="M935" i="2"/>
  <c r="M916" i="2"/>
  <c r="I916" i="2" s="1"/>
  <c r="M932" i="2"/>
  <c r="I932" i="2" s="1"/>
  <c r="I898" i="2"/>
  <c r="M899" i="2"/>
  <c r="I899" i="2" s="1"/>
  <c r="M904" i="2"/>
  <c r="I904" i="2" s="1"/>
  <c r="M878" i="2"/>
  <c r="I878" i="2" s="1"/>
  <c r="I882" i="2"/>
  <c r="I876" i="2"/>
  <c r="M921" i="2"/>
  <c r="I921" i="2" s="1"/>
  <c r="M925" i="2"/>
  <c r="I925" i="2" s="1"/>
  <c r="M962" i="2"/>
  <c r="I962" i="2" s="1"/>
  <c r="M914" i="2"/>
  <c r="I914" i="2" s="1"/>
  <c r="M948" i="2"/>
  <c r="I948" i="2" s="1"/>
  <c r="I880" i="2"/>
  <c r="I897" i="2"/>
  <c r="M915" i="2"/>
  <c r="I915" i="2" s="1"/>
  <c r="M931" i="2"/>
  <c r="I931" i="2" s="1"/>
  <c r="M942" i="2"/>
  <c r="I942" i="2" s="1"/>
  <c r="M912" i="2"/>
  <c r="I912" i="2" s="1"/>
  <c r="M928" i="2"/>
  <c r="I928" i="2" s="1"/>
  <c r="M945" i="2"/>
  <c r="I945" i="2" s="1"/>
  <c r="I907" i="2"/>
  <c r="M895" i="2"/>
  <c r="I895" i="2" s="1"/>
  <c r="M868" i="2"/>
  <c r="I868" i="2" s="1"/>
  <c r="M884" i="2"/>
  <c r="I884" i="2" s="1"/>
  <c r="M902" i="2"/>
  <c r="I902" i="2" s="1"/>
  <c r="M388" i="2"/>
  <c r="I388" i="2" s="1"/>
  <c r="M848" i="2"/>
  <c r="I848" i="2" s="1"/>
  <c r="M462" i="2"/>
  <c r="I462" i="2" s="1"/>
  <c r="Y516" i="2"/>
  <c r="I870" i="2"/>
  <c r="I886" i="2"/>
  <c r="Y940" i="2"/>
  <c r="M386" i="2"/>
  <c r="I386" i="2" s="1"/>
  <c r="Y528" i="2"/>
  <c r="Y934" i="2"/>
  <c r="I937" i="2"/>
  <c r="Y460" i="2"/>
  <c r="Y636" i="2"/>
  <c r="Y660" i="2"/>
  <c r="Y626" i="2"/>
  <c r="M306" i="2"/>
  <c r="I306" i="2" s="1"/>
  <c r="Y709" i="2"/>
  <c r="Y909" i="2"/>
  <c r="Q626" i="2"/>
  <c r="M626" i="2" s="1"/>
  <c r="I626" i="2" s="1"/>
  <c r="Q636" i="2"/>
  <c r="Y538" i="2"/>
  <c r="Y520" i="2"/>
  <c r="I910" i="2"/>
  <c r="Y494" i="2"/>
  <c r="M622" i="2"/>
  <c r="I622" i="2" s="1"/>
  <c r="M630" i="2"/>
  <c r="I630" i="2" s="1"/>
  <c r="M773" i="2"/>
  <c r="I773" i="2" s="1"/>
  <c r="I940" i="2"/>
  <c r="M518" i="2"/>
  <c r="I518" i="2" s="1"/>
  <c r="M534" i="2"/>
  <c r="I534" i="2" s="1"/>
  <c r="S626" i="2"/>
  <c r="M205" i="2"/>
  <c r="I205" i="2" s="1"/>
  <c r="Y476" i="2"/>
  <c r="Y753" i="2"/>
  <c r="Y901" i="2"/>
  <c r="Y478" i="2"/>
  <c r="Y632" i="2"/>
  <c r="I906" i="2"/>
  <c r="I939" i="2"/>
  <c r="M472" i="2"/>
  <c r="I472" i="2" s="1"/>
  <c r="Y431" i="2"/>
  <c r="M458" i="2"/>
  <c r="I458" i="2" s="1"/>
  <c r="I922" i="2"/>
  <c r="M624" i="2"/>
  <c r="I624" i="2" s="1"/>
  <c r="M628" i="2"/>
  <c r="I628" i="2" s="1"/>
  <c r="M632" i="2"/>
  <c r="I632" i="2" s="1"/>
  <c r="M636" i="2"/>
  <c r="I636" i="2" s="1"/>
  <c r="M701" i="2"/>
  <c r="I701" i="2" s="1"/>
  <c r="M803" i="2"/>
  <c r="I803" i="2" s="1"/>
  <c r="M460" i="2"/>
  <c r="I460" i="2" s="1"/>
  <c r="Y462" i="2"/>
  <c r="S562" i="2"/>
  <c r="Q562" i="2"/>
  <c r="M562" i="2" s="1"/>
  <c r="I562" i="2" s="1"/>
  <c r="AC562" i="2"/>
  <c r="Y562" i="2" s="1"/>
  <c r="S578" i="2"/>
  <c r="Q578" i="2"/>
  <c r="M578" i="2" s="1"/>
  <c r="I578" i="2" s="1"/>
  <c r="AC578" i="2"/>
  <c r="Y578" i="2" s="1"/>
  <c r="Q588" i="2"/>
  <c r="M588" i="2" s="1"/>
  <c r="I588" i="2" s="1"/>
  <c r="AC588" i="2"/>
  <c r="Y588" i="2" s="1"/>
  <c r="S588" i="2"/>
  <c r="Y524" i="2"/>
  <c r="S594" i="2"/>
  <c r="Q594" i="2"/>
  <c r="M594" i="2" s="1"/>
  <c r="I594" i="2" s="1"/>
  <c r="AC594" i="2"/>
  <c r="Y594" i="2" s="1"/>
  <c r="Q619" i="2"/>
  <c r="M619" i="2" s="1"/>
  <c r="I619" i="2" s="1"/>
  <c r="S619" i="2"/>
  <c r="AC619" i="2"/>
  <c r="Y619" i="2" s="1"/>
  <c r="S627" i="2"/>
  <c r="Q627" i="2"/>
  <c r="M627" i="2" s="1"/>
  <c r="I627" i="2" s="1"/>
  <c r="AC627" i="2"/>
  <c r="Y627" i="2" s="1"/>
  <c r="S643" i="2"/>
  <c r="Q643" i="2"/>
  <c r="M643" i="2" s="1"/>
  <c r="I643" i="2" s="1"/>
  <c r="AC643" i="2"/>
  <c r="Y643" i="2" s="1"/>
  <c r="I938" i="2"/>
  <c r="Y664" i="2"/>
  <c r="M709" i="2"/>
  <c r="I709" i="2" s="1"/>
  <c r="Y803" i="2"/>
  <c r="AC570" i="2"/>
  <c r="Y570" i="2" s="1"/>
  <c r="S570" i="2"/>
  <c r="Q570" i="2"/>
  <c r="M570" i="2" s="1"/>
  <c r="I570" i="2" s="1"/>
  <c r="AC586" i="2"/>
  <c r="Y586" i="2" s="1"/>
  <c r="S586" i="2"/>
  <c r="Q586" i="2"/>
  <c r="M586" i="2" s="1"/>
  <c r="I586" i="2" s="1"/>
  <c r="Y532" i="2"/>
  <c r="S613" i="2"/>
  <c r="Q613" i="2"/>
  <c r="M613" i="2" s="1"/>
  <c r="I613" i="2" s="1"/>
  <c r="AC613" i="2"/>
  <c r="Y613" i="2" s="1"/>
  <c r="Q596" i="2"/>
  <c r="M596" i="2" s="1"/>
  <c r="I596" i="2" s="1"/>
  <c r="AC596" i="2"/>
  <c r="Y596" i="2" s="1"/>
  <c r="S596" i="2"/>
  <c r="Q615" i="2"/>
  <c r="M615" i="2" s="1"/>
  <c r="I615" i="2" s="1"/>
  <c r="S615" i="2"/>
  <c r="AC615" i="2"/>
  <c r="Y615" i="2" s="1"/>
  <c r="Q635" i="2"/>
  <c r="M635" i="2" s="1"/>
  <c r="I635" i="2" s="1"/>
  <c r="S635" i="2"/>
  <c r="AC635" i="2"/>
  <c r="Y635" i="2" s="1"/>
  <c r="Q651" i="2"/>
  <c r="M651" i="2" s="1"/>
  <c r="I651" i="2" s="1"/>
  <c r="S651" i="2"/>
  <c r="AC651" i="2"/>
  <c r="Y651" i="2" s="1"/>
  <c r="L61" i="1"/>
  <c r="K61" i="1"/>
  <c r="L174" i="1"/>
  <c r="K78" i="1"/>
  <c r="L59" i="1"/>
  <c r="K174" i="1"/>
  <c r="L58" i="1"/>
  <c r="K203" i="1"/>
  <c r="L168" i="1"/>
  <c r="K192" i="1"/>
  <c r="K59" i="1"/>
  <c r="L188" i="1"/>
  <c r="Z112" i="2"/>
  <c r="Y112" i="2" s="1"/>
  <c r="S112" i="2"/>
  <c r="N112" i="2"/>
  <c r="M112" i="2" s="1"/>
  <c r="I112" i="2" s="1"/>
  <c r="K110" i="1"/>
  <c r="AC608" i="2"/>
  <c r="Q608" i="2"/>
  <c r="M608" i="2" s="1"/>
  <c r="I608" i="2" s="1"/>
  <c r="AC648" i="2"/>
  <c r="Q648" i="2"/>
  <c r="M648" i="2" s="1"/>
  <c r="I648" i="2" s="1"/>
  <c r="AC606" i="2"/>
  <c r="Y606" i="2" s="1"/>
  <c r="Q606" i="2"/>
  <c r="AC642" i="2"/>
  <c r="Y642" i="2" s="1"/>
  <c r="Q642" i="2"/>
  <c r="M642" i="2" s="1"/>
  <c r="I642" i="2" s="1"/>
  <c r="N738" i="2"/>
  <c r="M738" i="2" s="1"/>
  <c r="I738" i="2" s="1"/>
  <c r="Z738" i="2"/>
  <c r="Y738" i="2" s="1"/>
  <c r="S738" i="2"/>
  <c r="Z790" i="2"/>
  <c r="Y790" i="2" s="1"/>
  <c r="S790" i="2"/>
  <c r="N790" i="2"/>
  <c r="M790" i="2" s="1"/>
  <c r="I790" i="2" s="1"/>
  <c r="AC64" i="1"/>
  <c r="Q64" i="1"/>
  <c r="K54" i="1"/>
  <c r="L66" i="1"/>
  <c r="N109" i="2"/>
  <c r="M109" i="2" s="1"/>
  <c r="I109" i="2" s="1"/>
  <c r="Z109" i="2"/>
  <c r="Y109" i="2" s="1"/>
  <c r="S109" i="2"/>
  <c r="L46" i="1"/>
  <c r="K93" i="1"/>
  <c r="AB379" i="2"/>
  <c r="Y379" i="2" s="1"/>
  <c r="P379" i="2"/>
  <c r="M379" i="2" s="1"/>
  <c r="I379" i="2" s="1"/>
  <c r="S379" i="2"/>
  <c r="AC612" i="2"/>
  <c r="Y612" i="2" s="1"/>
  <c r="Q612" i="2"/>
  <c r="M612" i="2" s="1"/>
  <c r="I612" i="2" s="1"/>
  <c r="AC640" i="2"/>
  <c r="Y640" i="2" s="1"/>
  <c r="Q640" i="2"/>
  <c r="M640" i="2" s="1"/>
  <c r="I640" i="2" s="1"/>
  <c r="AC561" i="2"/>
  <c r="Y561" i="2" s="1"/>
  <c r="Q561" i="2"/>
  <c r="M561" i="2" s="1"/>
  <c r="I561" i="2" s="1"/>
  <c r="AC569" i="2"/>
  <c r="Y569" i="2" s="1"/>
  <c r="Q569" i="2"/>
  <c r="M569" i="2" s="1"/>
  <c r="I569" i="2" s="1"/>
  <c r="AC577" i="2"/>
  <c r="Y577" i="2" s="1"/>
  <c r="Q577" i="2"/>
  <c r="M577" i="2" s="1"/>
  <c r="I577" i="2" s="1"/>
  <c r="AC585" i="2"/>
  <c r="Y585" i="2" s="1"/>
  <c r="Q585" i="2"/>
  <c r="AC593" i="2"/>
  <c r="Y593" i="2" s="1"/>
  <c r="Q593" i="2"/>
  <c r="M593" i="2" s="1"/>
  <c r="I593" i="2" s="1"/>
  <c r="M697" i="2"/>
  <c r="I697" i="2" s="1"/>
  <c r="N681" i="2"/>
  <c r="M681" i="2" s="1"/>
  <c r="I681" i="2" s="1"/>
  <c r="Z681" i="2"/>
  <c r="Y681" i="2" s="1"/>
  <c r="S681" i="2"/>
  <c r="AC662" i="2"/>
  <c r="Q662" i="2"/>
  <c r="M662" i="2" s="1"/>
  <c r="I662" i="2" s="1"/>
  <c r="Z692" i="2"/>
  <c r="Y692" i="2" s="1"/>
  <c r="S692" i="2"/>
  <c r="N692" i="2"/>
  <c r="M692" i="2" s="1"/>
  <c r="I692" i="2" s="1"/>
  <c r="Z708" i="2"/>
  <c r="Y708" i="2" s="1"/>
  <c r="S708" i="2"/>
  <c r="N708" i="2"/>
  <c r="M708" i="2" s="1"/>
  <c r="I708" i="2" s="1"/>
  <c r="M721" i="2"/>
  <c r="I721" i="2" s="1"/>
  <c r="N731" i="2"/>
  <c r="M731" i="2" s="1"/>
  <c r="I731" i="2" s="1"/>
  <c r="S731" i="2"/>
  <c r="Z731" i="2"/>
  <c r="Y731" i="2" s="1"/>
  <c r="I918" i="2"/>
  <c r="K68" i="1"/>
  <c r="K50" i="1"/>
  <c r="Y113" i="1"/>
  <c r="K171" i="1"/>
  <c r="M160" i="1"/>
  <c r="I160" i="1" s="1"/>
  <c r="AB369" i="2"/>
  <c r="Y369" i="2" s="1"/>
  <c r="P369" i="2"/>
  <c r="M369" i="2" s="1"/>
  <c r="I369" i="2" s="1"/>
  <c r="S369" i="2"/>
  <c r="M504" i="2"/>
  <c r="I504" i="2" s="1"/>
  <c r="Y705" i="2"/>
  <c r="M781" i="2"/>
  <c r="I781" i="2" s="1"/>
  <c r="N783" i="2"/>
  <c r="M783" i="2" s="1"/>
  <c r="I783" i="2" s="1"/>
  <c r="Z783" i="2"/>
  <c r="Y783" i="2" s="1"/>
  <c r="S783" i="2"/>
  <c r="I905" i="2"/>
  <c r="I919" i="2"/>
  <c r="Y923" i="2"/>
  <c r="I935" i="2"/>
  <c r="K53" i="1"/>
  <c r="L53" i="1"/>
  <c r="Y84" i="1"/>
  <c r="K119" i="1"/>
  <c r="L163" i="1"/>
  <c r="L49" i="1"/>
  <c r="K49" i="1"/>
  <c r="Y207" i="1"/>
  <c r="Y452" i="2"/>
  <c r="M482" i="2"/>
  <c r="I482" i="2" s="1"/>
  <c r="Y498" i="2"/>
  <c r="Q600" i="2"/>
  <c r="M600" i="2" s="1"/>
  <c r="I600" i="2" s="1"/>
  <c r="AC600" i="2"/>
  <c r="Q668" i="2"/>
  <c r="M668" i="2" s="1"/>
  <c r="I668" i="2" s="1"/>
  <c r="AC668" i="2"/>
  <c r="Y668" i="2" s="1"/>
  <c r="Q666" i="2"/>
  <c r="M666" i="2" s="1"/>
  <c r="I666" i="2" s="1"/>
  <c r="AC666" i="2"/>
  <c r="M733" i="2"/>
  <c r="I733" i="2" s="1"/>
  <c r="Y791" i="2"/>
  <c r="M799" i="2"/>
  <c r="I799" i="2" s="1"/>
  <c r="I874" i="2"/>
  <c r="S612" i="2"/>
  <c r="L63" i="1"/>
  <c r="L187" i="1"/>
  <c r="K122" i="1"/>
  <c r="N115" i="2"/>
  <c r="M115" i="2" s="1"/>
  <c r="I115" i="2" s="1"/>
  <c r="Z115" i="2"/>
  <c r="Y115" i="2" s="1"/>
  <c r="S115" i="2"/>
  <c r="K191" i="1"/>
  <c r="AB367" i="2"/>
  <c r="Y367" i="2" s="1"/>
  <c r="P367" i="2"/>
  <c r="M367" i="2" s="1"/>
  <c r="I367" i="2" s="1"/>
  <c r="S367" i="2"/>
  <c r="Y458" i="2"/>
  <c r="Y608" i="2"/>
  <c r="AC646" i="2"/>
  <c r="Y646" i="2" s="1"/>
  <c r="Q646" i="2"/>
  <c r="M646" i="2" s="1"/>
  <c r="I646" i="2" s="1"/>
  <c r="AC559" i="2"/>
  <c r="Q559" i="2"/>
  <c r="M559" i="2" s="1"/>
  <c r="I559" i="2" s="1"/>
  <c r="AC567" i="2"/>
  <c r="Q567" i="2"/>
  <c r="M567" i="2" s="1"/>
  <c r="I567" i="2" s="1"/>
  <c r="AC575" i="2"/>
  <c r="Q575" i="2"/>
  <c r="M575" i="2" s="1"/>
  <c r="I575" i="2" s="1"/>
  <c r="AC583" i="2"/>
  <c r="Q583" i="2"/>
  <c r="M583" i="2" s="1"/>
  <c r="I583" i="2" s="1"/>
  <c r="AC591" i="2"/>
  <c r="Q591" i="2"/>
  <c r="M591" i="2" s="1"/>
  <c r="I591" i="2" s="1"/>
  <c r="AC599" i="2"/>
  <c r="Q599" i="2"/>
  <c r="AC620" i="2"/>
  <c r="Q620" i="2"/>
  <c r="M620" i="2" s="1"/>
  <c r="I620" i="2" s="1"/>
  <c r="M606" i="2"/>
  <c r="I606" i="2" s="1"/>
  <c r="Q663" i="2"/>
  <c r="M663" i="2" s="1"/>
  <c r="I663" i="2" s="1"/>
  <c r="AC663" i="2"/>
  <c r="Y663" i="2" s="1"/>
  <c r="N722" i="2"/>
  <c r="M722" i="2" s="1"/>
  <c r="I722" i="2" s="1"/>
  <c r="S722" i="2"/>
  <c r="Z722" i="2"/>
  <c r="Y722" i="2" s="1"/>
  <c r="N730" i="2"/>
  <c r="M730" i="2" s="1"/>
  <c r="I730" i="2" s="1"/>
  <c r="S730" i="2"/>
  <c r="Z730" i="2"/>
  <c r="Y730" i="2" s="1"/>
  <c r="L164" i="1"/>
  <c r="L60" i="1"/>
  <c r="L54" i="1"/>
  <c r="K170" i="1"/>
  <c r="L170" i="1"/>
  <c r="K148" i="1"/>
  <c r="Q605" i="2"/>
  <c r="M605" i="2" s="1"/>
  <c r="I605" i="2" s="1"/>
  <c r="AC605" i="2"/>
  <c r="S648" i="2"/>
  <c r="S620" i="2"/>
  <c r="AC676" i="2"/>
  <c r="Q676" i="2"/>
  <c r="M676" i="2" s="1"/>
  <c r="I676" i="2" s="1"/>
  <c r="S662" i="2"/>
  <c r="M729" i="2"/>
  <c r="I729" i="2" s="1"/>
  <c r="N754" i="2"/>
  <c r="M754" i="2" s="1"/>
  <c r="I754" i="2" s="1"/>
  <c r="Z754" i="2"/>
  <c r="Y754" i="2" s="1"/>
  <c r="S754" i="2"/>
  <c r="N770" i="2"/>
  <c r="M770" i="2" s="1"/>
  <c r="I770" i="2" s="1"/>
  <c r="Z770" i="2"/>
  <c r="Y770" i="2" s="1"/>
  <c r="S770" i="2"/>
  <c r="N782" i="2"/>
  <c r="M782" i="2" s="1"/>
  <c r="I782" i="2" s="1"/>
  <c r="Z782" i="2"/>
  <c r="Y782" i="2" s="1"/>
  <c r="S782" i="2"/>
  <c r="Y918" i="2"/>
  <c r="L82" i="1"/>
  <c r="M113" i="1"/>
  <c r="I113" i="1" s="1"/>
  <c r="K113" i="1" s="1"/>
  <c r="L171" i="1"/>
  <c r="Y160" i="1"/>
  <c r="AD300" i="2"/>
  <c r="Y300" i="2" s="1"/>
  <c r="R300" i="2"/>
  <c r="M300" i="2" s="1"/>
  <c r="I300" i="2" s="1"/>
  <c r="S300" i="2"/>
  <c r="Y504" i="2"/>
  <c r="M524" i="2"/>
  <c r="I524" i="2" s="1"/>
  <c r="Y628" i="2"/>
  <c r="N726" i="2"/>
  <c r="M726" i="2" s="1"/>
  <c r="I726" i="2" s="1"/>
  <c r="S726" i="2"/>
  <c r="Z726" i="2"/>
  <c r="Y726" i="2" s="1"/>
  <c r="N734" i="2"/>
  <c r="M734" i="2" s="1"/>
  <c r="I734" i="2" s="1"/>
  <c r="S734" i="2"/>
  <c r="Z734" i="2"/>
  <c r="Y734" i="2" s="1"/>
  <c r="N750" i="2"/>
  <c r="M750" i="2" s="1"/>
  <c r="I750" i="2" s="1"/>
  <c r="Z750" i="2"/>
  <c r="Y750" i="2" s="1"/>
  <c r="S750" i="2"/>
  <c r="N766" i="2"/>
  <c r="M766" i="2" s="1"/>
  <c r="I766" i="2" s="1"/>
  <c r="Z766" i="2"/>
  <c r="Y766" i="2" s="1"/>
  <c r="S766" i="2"/>
  <c r="Z794" i="2"/>
  <c r="Y794" i="2" s="1"/>
  <c r="S794" i="2"/>
  <c r="N794" i="2"/>
  <c r="M794" i="2" s="1"/>
  <c r="I794" i="2" s="1"/>
  <c r="Y905" i="2"/>
  <c r="Y919" i="2"/>
  <c r="Y935" i="2"/>
  <c r="L45" i="1"/>
  <c r="M84" i="1"/>
  <c r="I84" i="1" s="1"/>
  <c r="K55" i="1"/>
  <c r="L55" i="1"/>
  <c r="K133" i="1"/>
  <c r="L158" i="1"/>
  <c r="K150" i="1"/>
  <c r="AB359" i="2"/>
  <c r="Y359" i="2" s="1"/>
  <c r="P359" i="2"/>
  <c r="M359" i="2" s="1"/>
  <c r="I359" i="2" s="1"/>
  <c r="S359" i="2"/>
  <c r="AB377" i="2"/>
  <c r="Y377" i="2" s="1"/>
  <c r="P377" i="2"/>
  <c r="M377" i="2" s="1"/>
  <c r="I377" i="2" s="1"/>
  <c r="S377" i="2"/>
  <c r="M309" i="2"/>
  <c r="I309" i="2" s="1"/>
  <c r="M474" i="2"/>
  <c r="I474" i="2" s="1"/>
  <c r="Y482" i="2"/>
  <c r="Y600" i="2"/>
  <c r="Y620" i="2"/>
  <c r="Q603" i="2"/>
  <c r="AC603" i="2"/>
  <c r="Y603" i="2" s="1"/>
  <c r="AC658" i="2"/>
  <c r="Q658" i="2"/>
  <c r="M658" i="2" s="1"/>
  <c r="I658" i="2" s="1"/>
  <c r="Y666" i="2"/>
  <c r="Z688" i="2"/>
  <c r="Y688" i="2" s="1"/>
  <c r="S688" i="2"/>
  <c r="N688" i="2"/>
  <c r="M688" i="2" s="1"/>
  <c r="I688" i="2" s="1"/>
  <c r="Z704" i="2"/>
  <c r="Y704" i="2" s="1"/>
  <c r="S704" i="2"/>
  <c r="N704" i="2"/>
  <c r="M704" i="2" s="1"/>
  <c r="I704" i="2" s="1"/>
  <c r="N719" i="2"/>
  <c r="M719" i="2" s="1"/>
  <c r="I719" i="2" s="1"/>
  <c r="S719" i="2"/>
  <c r="Z719" i="2"/>
  <c r="Y719" i="2" s="1"/>
  <c r="Y725" i="2"/>
  <c r="N746" i="2"/>
  <c r="M746" i="2" s="1"/>
  <c r="I746" i="2" s="1"/>
  <c r="Z746" i="2"/>
  <c r="Y746" i="2" s="1"/>
  <c r="S746" i="2"/>
  <c r="N762" i="2"/>
  <c r="M762" i="2" s="1"/>
  <c r="I762" i="2" s="1"/>
  <c r="Z762" i="2"/>
  <c r="Y762" i="2" s="1"/>
  <c r="S762" i="2"/>
  <c r="N778" i="2"/>
  <c r="M778" i="2" s="1"/>
  <c r="I778" i="2" s="1"/>
  <c r="Z778" i="2"/>
  <c r="Y778" i="2" s="1"/>
  <c r="S778" i="2"/>
  <c r="I893" i="2"/>
  <c r="Y874" i="2"/>
  <c r="L56" i="1"/>
  <c r="L75" i="1"/>
  <c r="K100" i="1"/>
  <c r="AC616" i="2"/>
  <c r="Y616" i="2" s="1"/>
  <c r="Q616" i="2"/>
  <c r="M616" i="2" s="1"/>
  <c r="I616" i="2" s="1"/>
  <c r="Y559" i="2"/>
  <c r="Y567" i="2"/>
  <c r="Y575" i="2"/>
  <c r="Y583" i="2"/>
  <c r="Y591" i="2"/>
  <c r="Y599" i="2"/>
  <c r="AC678" i="2"/>
  <c r="Q678" i="2"/>
  <c r="M678" i="2" s="1"/>
  <c r="I678" i="2" s="1"/>
  <c r="N774" i="2"/>
  <c r="M774" i="2" s="1"/>
  <c r="I774" i="2" s="1"/>
  <c r="Z774" i="2"/>
  <c r="Y774" i="2" s="1"/>
  <c r="S774" i="2"/>
  <c r="Z798" i="2"/>
  <c r="Y798" i="2" s="1"/>
  <c r="S798" i="2"/>
  <c r="N798" i="2"/>
  <c r="M798" i="2" s="1"/>
  <c r="I798" i="2" s="1"/>
  <c r="Y64" i="1"/>
  <c r="M128" i="1"/>
  <c r="I128" i="1" s="1"/>
  <c r="K128" i="1" s="1"/>
  <c r="L169" i="1"/>
  <c r="L204" i="1"/>
  <c r="AB361" i="2"/>
  <c r="Y361" i="2" s="1"/>
  <c r="P361" i="2"/>
  <c r="M361" i="2" s="1"/>
  <c r="I361" i="2" s="1"/>
  <c r="S361" i="2"/>
  <c r="Y605" i="2"/>
  <c r="S616" i="2"/>
  <c r="AC656" i="2"/>
  <c r="Y656" i="2" s="1"/>
  <c r="Q656" i="2"/>
  <c r="M656" i="2" s="1"/>
  <c r="I656" i="2" s="1"/>
  <c r="M585" i="2"/>
  <c r="I585" i="2" s="1"/>
  <c r="AC634" i="2"/>
  <c r="Y634" i="2" s="1"/>
  <c r="Q634" i="2"/>
  <c r="M634" i="2" s="1"/>
  <c r="I634" i="2" s="1"/>
  <c r="Y676" i="2"/>
  <c r="Y697" i="2"/>
  <c r="Z684" i="2"/>
  <c r="Y684" i="2" s="1"/>
  <c r="S684" i="2"/>
  <c r="N684" i="2"/>
  <c r="M684" i="2" s="1"/>
  <c r="I684" i="2" s="1"/>
  <c r="Z700" i="2"/>
  <c r="Y700" i="2" s="1"/>
  <c r="S700" i="2"/>
  <c r="N700" i="2"/>
  <c r="M700" i="2" s="1"/>
  <c r="I700" i="2" s="1"/>
  <c r="Z716" i="2"/>
  <c r="Y716" i="2" s="1"/>
  <c r="S716" i="2"/>
  <c r="N716" i="2"/>
  <c r="M716" i="2" s="1"/>
  <c r="I716" i="2" s="1"/>
  <c r="Y721" i="2"/>
  <c r="Y922" i="2"/>
  <c r="K178" i="1"/>
  <c r="L62" i="1"/>
  <c r="L72" i="1"/>
  <c r="L186" i="1"/>
  <c r="L167" i="1"/>
  <c r="L47" i="1"/>
  <c r="AB381" i="2"/>
  <c r="Y381" i="2" s="1"/>
  <c r="P381" i="2"/>
  <c r="M381" i="2" s="1"/>
  <c r="I381" i="2" s="1"/>
  <c r="S381" i="2"/>
  <c r="Y624" i="2"/>
  <c r="Y622" i="2"/>
  <c r="Y618" i="2"/>
  <c r="Y658" i="2"/>
  <c r="M705" i="2"/>
  <c r="I705" i="2" s="1"/>
  <c r="Q659" i="2"/>
  <c r="M659" i="2" s="1"/>
  <c r="I659" i="2" s="1"/>
  <c r="AC659" i="2"/>
  <c r="AC674" i="2"/>
  <c r="Y674" i="2" s="1"/>
  <c r="Q674" i="2"/>
  <c r="Y781" i="2"/>
  <c r="K45" i="1"/>
  <c r="K165" i="1"/>
  <c r="L183" i="1"/>
  <c r="M91" i="1"/>
  <c r="I91" i="1" s="1"/>
  <c r="L93" i="1" s="1"/>
  <c r="K156" i="1"/>
  <c r="K142" i="1"/>
  <c r="Y309" i="2"/>
  <c r="M466" i="2"/>
  <c r="I466" i="2" s="1"/>
  <c r="Y474" i="2"/>
  <c r="M508" i="2"/>
  <c r="I508" i="2" s="1"/>
  <c r="Y648" i="2"/>
  <c r="Q657" i="2"/>
  <c r="M657" i="2" s="1"/>
  <c r="I657" i="2" s="1"/>
  <c r="AC657" i="2"/>
  <c r="S666" i="2"/>
  <c r="N727" i="2"/>
  <c r="M727" i="2" s="1"/>
  <c r="I727" i="2" s="1"/>
  <c r="S727" i="2"/>
  <c r="Z727" i="2"/>
  <c r="Y727" i="2" s="1"/>
  <c r="Y733" i="2"/>
  <c r="M791" i="2"/>
  <c r="I791" i="2" s="1"/>
  <c r="Y799" i="2"/>
  <c r="Y893" i="2"/>
  <c r="L89" i="1"/>
  <c r="L95" i="1"/>
  <c r="K176" i="1"/>
  <c r="L205" i="1"/>
  <c r="L44" i="1"/>
  <c r="K159" i="1"/>
  <c r="L173" i="1"/>
  <c r="K157" i="1"/>
  <c r="L157" i="1"/>
  <c r="L159" i="1"/>
  <c r="K193" i="1"/>
  <c r="AD294" i="2"/>
  <c r="Y294" i="2" s="1"/>
  <c r="R294" i="2"/>
  <c r="M294" i="2" s="1"/>
  <c r="I294" i="2" s="1"/>
  <c r="S294" i="2"/>
  <c r="AB371" i="2"/>
  <c r="Y371" i="2" s="1"/>
  <c r="P371" i="2"/>
  <c r="M371" i="2" s="1"/>
  <c r="I371" i="2" s="1"/>
  <c r="S371" i="2"/>
  <c r="AC614" i="2"/>
  <c r="Y614" i="2" s="1"/>
  <c r="Q614" i="2"/>
  <c r="M614" i="2" s="1"/>
  <c r="I614" i="2" s="1"/>
  <c r="M599" i="2"/>
  <c r="I599" i="2" s="1"/>
  <c r="AC652" i="2"/>
  <c r="Y652" i="2" s="1"/>
  <c r="Q652" i="2"/>
  <c r="M652" i="2" s="1"/>
  <c r="I652" i="2" s="1"/>
  <c r="AC602" i="2"/>
  <c r="Y602" i="2" s="1"/>
  <c r="Q602" i="2"/>
  <c r="M602" i="2" s="1"/>
  <c r="I602" i="2" s="1"/>
  <c r="Y678" i="2"/>
  <c r="N742" i="2"/>
  <c r="M742" i="2" s="1"/>
  <c r="I742" i="2" s="1"/>
  <c r="Z742" i="2"/>
  <c r="Y742" i="2" s="1"/>
  <c r="S742" i="2"/>
  <c r="N758" i="2"/>
  <c r="M758" i="2" s="1"/>
  <c r="I758" i="2" s="1"/>
  <c r="Z758" i="2"/>
  <c r="Y758" i="2" s="1"/>
  <c r="S758" i="2"/>
  <c r="M64" i="1"/>
  <c r="I64" i="1" s="1"/>
  <c r="K75" i="1" s="1"/>
  <c r="K77" i="1"/>
  <c r="K48" i="1"/>
  <c r="L48" i="1"/>
  <c r="L161" i="1"/>
  <c r="Y128" i="1"/>
  <c r="K190" i="1"/>
  <c r="K169" i="1"/>
  <c r="L166" i="1"/>
  <c r="K185" i="1"/>
  <c r="AC638" i="2"/>
  <c r="Y638" i="2" s="1"/>
  <c r="Q638" i="2"/>
  <c r="M638" i="2" s="1"/>
  <c r="I638" i="2" s="1"/>
  <c r="S561" i="2"/>
  <c r="S569" i="2"/>
  <c r="S577" i="2"/>
  <c r="S585" i="2"/>
  <c r="S593" i="2"/>
  <c r="AC644" i="2"/>
  <c r="Y644" i="2" s="1"/>
  <c r="Q644" i="2"/>
  <c r="S642" i="2"/>
  <c r="AC672" i="2"/>
  <c r="Y672" i="2" s="1"/>
  <c r="Q672" i="2"/>
  <c r="M672" i="2" s="1"/>
  <c r="I672" i="2" s="1"/>
  <c r="AC680" i="2"/>
  <c r="Y680" i="2" s="1"/>
  <c r="Q680" i="2"/>
  <c r="M680" i="2" s="1"/>
  <c r="I680" i="2" s="1"/>
  <c r="Y662" i="2"/>
  <c r="N723" i="2"/>
  <c r="M723" i="2" s="1"/>
  <c r="I723" i="2" s="1"/>
  <c r="S723" i="2"/>
  <c r="Z723" i="2"/>
  <c r="Y723" i="2" s="1"/>
  <c r="Y729" i="2"/>
  <c r="N787" i="2"/>
  <c r="M787" i="2" s="1"/>
  <c r="I787" i="2" s="1"/>
  <c r="Z787" i="2"/>
  <c r="Y787" i="2" s="1"/>
  <c r="S787" i="2"/>
  <c r="Y933" i="2"/>
  <c r="L178" i="1"/>
  <c r="K73" i="1"/>
  <c r="K106" i="1"/>
  <c r="L50" i="1"/>
  <c r="L51" i="1"/>
  <c r="K135" i="1"/>
  <c r="K162" i="1"/>
  <c r="L162" i="1"/>
  <c r="K167" i="1"/>
  <c r="L206" i="1"/>
  <c r="K206" i="1"/>
  <c r="K141" i="1"/>
  <c r="L172" i="1"/>
  <c r="K172" i="1"/>
  <c r="K114" i="1"/>
  <c r="K137" i="1"/>
  <c r="L194" i="1"/>
  <c r="K194" i="1"/>
  <c r="M516" i="2"/>
  <c r="I516" i="2" s="1"/>
  <c r="M532" i="2"/>
  <c r="I532" i="2" s="1"/>
  <c r="AC604" i="2"/>
  <c r="Y604" i="2" s="1"/>
  <c r="Q604" i="2"/>
  <c r="M604" i="2" s="1"/>
  <c r="I604" i="2" s="1"/>
  <c r="AC563" i="2"/>
  <c r="Y563" i="2" s="1"/>
  <c r="Q563" i="2"/>
  <c r="M563" i="2" s="1"/>
  <c r="I563" i="2" s="1"/>
  <c r="AC571" i="2"/>
  <c r="Y571" i="2" s="1"/>
  <c r="Q571" i="2"/>
  <c r="M571" i="2" s="1"/>
  <c r="I571" i="2" s="1"/>
  <c r="AC579" i="2"/>
  <c r="Y579" i="2" s="1"/>
  <c r="Q579" i="2"/>
  <c r="M579" i="2" s="1"/>
  <c r="I579" i="2" s="1"/>
  <c r="AC587" i="2"/>
  <c r="Y587" i="2" s="1"/>
  <c r="Q587" i="2"/>
  <c r="M587" i="2" s="1"/>
  <c r="I587" i="2" s="1"/>
  <c r="AC595" i="2"/>
  <c r="Y595" i="2" s="1"/>
  <c r="Q595" i="2"/>
  <c r="M595" i="2" s="1"/>
  <c r="I595" i="2" s="1"/>
  <c r="Y650" i="2"/>
  <c r="Y659" i="2"/>
  <c r="M674" i="2"/>
  <c r="I674" i="2" s="1"/>
  <c r="Z802" i="2"/>
  <c r="Y802" i="2" s="1"/>
  <c r="S802" i="2"/>
  <c r="N802" i="2"/>
  <c r="M802" i="2" s="1"/>
  <c r="I802" i="2" s="1"/>
  <c r="I923" i="2"/>
  <c r="K149" i="1"/>
  <c r="L165" i="1"/>
  <c r="K196" i="1"/>
  <c r="K109" i="1"/>
  <c r="K188" i="1"/>
  <c r="K57" i="1"/>
  <c r="L57" i="1"/>
  <c r="Y91" i="1"/>
  <c r="K144" i="1"/>
  <c r="L156" i="1"/>
  <c r="M207" i="1"/>
  <c r="I207" i="1" s="1"/>
  <c r="AB363" i="2"/>
  <c r="Y363" i="2" s="1"/>
  <c r="P363" i="2"/>
  <c r="M363" i="2" s="1"/>
  <c r="I363" i="2" s="1"/>
  <c r="S363" i="2"/>
  <c r="AB385" i="2"/>
  <c r="Y385" i="2" s="1"/>
  <c r="P385" i="2"/>
  <c r="M385" i="2" s="1"/>
  <c r="I385" i="2" s="1"/>
  <c r="S385" i="2"/>
  <c r="M452" i="2"/>
  <c r="I452" i="2" s="1"/>
  <c r="Y466" i="2"/>
  <c r="M498" i="2"/>
  <c r="I498" i="2" s="1"/>
  <c r="AC610" i="2"/>
  <c r="Y610" i="2" s="1"/>
  <c r="Q610" i="2"/>
  <c r="M610" i="2" s="1"/>
  <c r="I610" i="2" s="1"/>
  <c r="AC557" i="2"/>
  <c r="Y557" i="2" s="1"/>
  <c r="Q557" i="2"/>
  <c r="M557" i="2" s="1"/>
  <c r="I557" i="2" s="1"/>
  <c r="AC565" i="2"/>
  <c r="Y565" i="2" s="1"/>
  <c r="Q565" i="2"/>
  <c r="M565" i="2" s="1"/>
  <c r="I565" i="2" s="1"/>
  <c r="AC573" i="2"/>
  <c r="Y573" i="2" s="1"/>
  <c r="Q573" i="2"/>
  <c r="M573" i="2" s="1"/>
  <c r="I573" i="2" s="1"/>
  <c r="AC581" i="2"/>
  <c r="Y581" i="2" s="1"/>
  <c r="Q581" i="2"/>
  <c r="M581" i="2" s="1"/>
  <c r="I581" i="2" s="1"/>
  <c r="AC589" i="2"/>
  <c r="Y589" i="2" s="1"/>
  <c r="Q589" i="2"/>
  <c r="M589" i="2" s="1"/>
  <c r="I589" i="2" s="1"/>
  <c r="AC597" i="2"/>
  <c r="Y597" i="2" s="1"/>
  <c r="Q597" i="2"/>
  <c r="M597" i="2" s="1"/>
  <c r="I597" i="2" s="1"/>
  <c r="M644" i="2"/>
  <c r="I644" i="2" s="1"/>
  <c r="Q670" i="2"/>
  <c r="M670" i="2" s="1"/>
  <c r="I670" i="2" s="1"/>
  <c r="AC670" i="2"/>
  <c r="Y670" i="2" s="1"/>
  <c r="M603" i="2"/>
  <c r="I603" i="2" s="1"/>
  <c r="AC654" i="2"/>
  <c r="Y654" i="2" s="1"/>
  <c r="Q654" i="2"/>
  <c r="M654" i="2" s="1"/>
  <c r="I654" i="2" s="1"/>
  <c r="Y657" i="2"/>
  <c r="Z696" i="2"/>
  <c r="Y696" i="2" s="1"/>
  <c r="S696" i="2"/>
  <c r="N696" i="2"/>
  <c r="M696" i="2" s="1"/>
  <c r="I696" i="2" s="1"/>
  <c r="Z712" i="2"/>
  <c r="Y712" i="2" s="1"/>
  <c r="S712" i="2"/>
  <c r="N712" i="2"/>
  <c r="M712" i="2" s="1"/>
  <c r="I712" i="2" s="1"/>
  <c r="M725" i="2"/>
  <c r="I725" i="2" s="1"/>
  <c r="N735" i="2"/>
  <c r="M735" i="2" s="1"/>
  <c r="I735" i="2" s="1"/>
  <c r="S735" i="2"/>
  <c r="Z735" i="2"/>
  <c r="Y735" i="2" s="1"/>
  <c r="N718" i="2"/>
  <c r="M718" i="2" s="1"/>
  <c r="I718" i="2" s="1"/>
  <c r="S718" i="2"/>
  <c r="Z718" i="2"/>
  <c r="Y718" i="2" s="1"/>
  <c r="N786" i="2"/>
  <c r="M786" i="2" s="1"/>
  <c r="I786" i="2" s="1"/>
  <c r="Z786" i="2"/>
  <c r="Y786" i="2" s="1"/>
  <c r="S786" i="2"/>
  <c r="L182" i="1"/>
  <c r="K89" i="1"/>
  <c r="L52" i="1"/>
  <c r="S634" i="2"/>
  <c r="S640" i="2"/>
  <c r="S656" i="2"/>
  <c r="K136" i="1"/>
  <c r="L930" i="2" l="1"/>
  <c r="L962" i="2"/>
  <c r="L365" i="2"/>
  <c r="L108" i="2"/>
  <c r="L268" i="2"/>
  <c r="L289" i="2"/>
  <c r="L346" i="2"/>
  <c r="L437" i="2"/>
  <c r="L243" i="2"/>
  <c r="L407" i="2"/>
  <c r="L206" i="2"/>
  <c r="L401" i="2"/>
  <c r="L162" i="2"/>
  <c r="L308" i="2"/>
  <c r="L211" i="2"/>
  <c r="L151" i="2"/>
  <c r="L241" i="2"/>
  <c r="L384" i="2"/>
  <c r="L279" i="2"/>
  <c r="L426" i="2"/>
  <c r="L95" i="2"/>
  <c r="L76" i="2"/>
  <c r="L259" i="2"/>
  <c r="L272" i="2"/>
  <c r="L225" i="2"/>
  <c r="L213" i="2"/>
  <c r="L196" i="2"/>
  <c r="L348" i="2"/>
  <c r="L287" i="2"/>
  <c r="L290" i="2"/>
  <c r="L156" i="2"/>
  <c r="L141" i="2"/>
  <c r="L353" i="2"/>
  <c r="L397" i="2"/>
  <c r="L110" i="2"/>
  <c r="L424" i="2"/>
  <c r="L128" i="2"/>
  <c r="L208" i="2"/>
  <c r="L414" i="2"/>
  <c r="L134" i="2"/>
  <c r="L429" i="2"/>
  <c r="L201" i="2"/>
  <c r="L391" i="2"/>
  <c r="L405" i="2"/>
  <c r="L395" i="2"/>
  <c r="L394" i="2"/>
  <c r="L317" i="2"/>
  <c r="L90" i="2"/>
  <c r="L104" i="2"/>
  <c r="L374" i="2"/>
  <c r="L388" i="2"/>
  <c r="L169" i="2"/>
  <c r="L356" i="2"/>
  <c r="L859" i="2"/>
  <c r="L886" i="2"/>
  <c r="K277" i="2"/>
  <c r="L970" i="2"/>
  <c r="L950" i="2"/>
  <c r="L904" i="2"/>
  <c r="L870" i="2"/>
  <c r="L595" i="2"/>
  <c r="K595" i="2"/>
  <c r="L579" i="2"/>
  <c r="K579" i="2"/>
  <c r="L563" i="2"/>
  <c r="K563" i="2"/>
  <c r="L602" i="2"/>
  <c r="K602" i="2"/>
  <c r="L659" i="2"/>
  <c r="K659" i="2"/>
  <c r="K656" i="2"/>
  <c r="L656" i="2"/>
  <c r="K678" i="2"/>
  <c r="L678" i="2"/>
  <c r="L593" i="2"/>
  <c r="K593" i="2"/>
  <c r="L577" i="2"/>
  <c r="K577" i="2"/>
  <c r="L561" i="2"/>
  <c r="K561" i="2"/>
  <c r="K642" i="2"/>
  <c r="L642" i="2"/>
  <c r="K648" i="2"/>
  <c r="L648" i="2"/>
  <c r="K620" i="2"/>
  <c r="L620" i="2"/>
  <c r="L575" i="2"/>
  <c r="K575" i="2"/>
  <c r="K679" i="2"/>
  <c r="L581" i="2"/>
  <c r="K581" i="2"/>
  <c r="K638" i="2"/>
  <c r="L638" i="2"/>
  <c r="K616" i="2"/>
  <c r="L616" i="2"/>
  <c r="L604" i="2"/>
  <c r="K604" i="2"/>
  <c r="K610" i="2"/>
  <c r="L610" i="2"/>
  <c r="K680" i="2"/>
  <c r="L680" i="2"/>
  <c r="K614" i="2"/>
  <c r="L614" i="2"/>
  <c r="K658" i="2"/>
  <c r="L658" i="2"/>
  <c r="L571" i="2"/>
  <c r="K571" i="2"/>
  <c r="K654" i="2"/>
  <c r="L654" i="2"/>
  <c r="L670" i="2"/>
  <c r="K670" i="2"/>
  <c r="L589" i="2"/>
  <c r="K589" i="2"/>
  <c r="L573" i="2"/>
  <c r="K573" i="2"/>
  <c r="L557" i="2"/>
  <c r="K557" i="2"/>
  <c r="K526" i="2"/>
  <c r="K785" i="2"/>
  <c r="K241" i="2"/>
  <c r="K503" i="2"/>
  <c r="K863" i="2"/>
  <c r="K968" i="2"/>
  <c r="K86" i="2"/>
  <c r="K275" i="2"/>
  <c r="K555" i="2"/>
  <c r="L736" i="2"/>
  <c r="K266" i="2"/>
  <c r="K447" i="2"/>
  <c r="K81" i="2"/>
  <c r="K167" i="2"/>
  <c r="K641" i="2"/>
  <c r="K301" i="2"/>
  <c r="L623" i="2"/>
  <c r="L639" i="2"/>
  <c r="K767" i="2"/>
  <c r="K211" i="2"/>
  <c r="K234" i="2"/>
  <c r="K347" i="2"/>
  <c r="K732" i="2"/>
  <c r="K936" i="2"/>
  <c r="K907" i="2"/>
  <c r="K330" i="2"/>
  <c r="K263" i="2"/>
  <c r="K305" i="2"/>
  <c r="K596" i="2"/>
  <c r="K949" i="2"/>
  <c r="K352" i="2"/>
  <c r="K513" i="2"/>
  <c r="K420" i="2"/>
  <c r="L675" i="2"/>
  <c r="K887" i="2"/>
  <c r="K488" i="2"/>
  <c r="K920" i="2"/>
  <c r="K213" i="2"/>
  <c r="L455" i="2"/>
  <c r="L468" i="2"/>
  <c r="K554" i="2"/>
  <c r="K910" i="2"/>
  <c r="K337" i="2"/>
  <c r="K489" i="2"/>
  <c r="K669" i="2"/>
  <c r="K195" i="2"/>
  <c r="L797" i="2"/>
  <c r="K947" i="2"/>
  <c r="K625" i="2"/>
  <c r="K932" i="2"/>
  <c r="K776" i="2"/>
  <c r="L553" i="2"/>
  <c r="K568" i="2"/>
  <c r="K383" i="2"/>
  <c r="K364" i="2"/>
  <c r="K541" i="2"/>
  <c r="K769" i="2"/>
  <c r="K222" i="2"/>
  <c r="K694" i="2"/>
  <c r="K150" i="2"/>
  <c r="L494" i="2"/>
  <c r="K564" i="2"/>
  <c r="K792" i="2"/>
  <c r="L472" i="2"/>
  <c r="K855" i="2"/>
  <c r="K103" i="2"/>
  <c r="K293" i="2"/>
  <c r="L803" i="2"/>
  <c r="K849" i="2"/>
  <c r="K951" i="2"/>
  <c r="K672" i="2"/>
  <c r="L672" i="2"/>
  <c r="L657" i="2"/>
  <c r="K657" i="2"/>
  <c r="K676" i="2"/>
  <c r="L676" i="2"/>
  <c r="L668" i="2"/>
  <c r="K668" i="2"/>
  <c r="K735" i="2"/>
  <c r="L735" i="2"/>
  <c r="K674" i="2"/>
  <c r="L674" i="2"/>
  <c r="K183" i="2"/>
  <c r="K755" i="2"/>
  <c r="K423" i="2"/>
  <c r="K906" i="2"/>
  <c r="K453" i="2"/>
  <c r="K286" i="2"/>
  <c r="K228" i="2"/>
  <c r="K838" i="2"/>
  <c r="K545" i="2"/>
  <c r="K373" i="2"/>
  <c r="K645" i="2"/>
  <c r="K239" i="2"/>
  <c r="K220" i="2"/>
  <c r="K834" i="2"/>
  <c r="K766" i="2"/>
  <c r="L766" i="2"/>
  <c r="L433" i="2"/>
  <c r="K194" i="2"/>
  <c r="K276" i="2"/>
  <c r="L840" i="2"/>
  <c r="K770" i="2"/>
  <c r="L770" i="2"/>
  <c r="K547" i="2"/>
  <c r="L530" i="2"/>
  <c r="L470" i="2"/>
  <c r="L540" i="2"/>
  <c r="L191" i="2"/>
  <c r="K865" i="2"/>
  <c r="L801" i="2"/>
  <c r="K511" i="2"/>
  <c r="L484" i="2"/>
  <c r="K290" i="2"/>
  <c r="K350" i="2"/>
  <c r="L373" i="2"/>
  <c r="K963" i="2"/>
  <c r="L752" i="2"/>
  <c r="L627" i="2"/>
  <c r="L551" i="2"/>
  <c r="K402" i="2"/>
  <c r="L232" i="2"/>
  <c r="K147" i="2"/>
  <c r="K537" i="2"/>
  <c r="K369" i="2"/>
  <c r="L369" i="2"/>
  <c r="K96" i="2"/>
  <c r="L118" i="2"/>
  <c r="L948" i="2"/>
  <c r="K812" i="2"/>
  <c r="K443" i="2"/>
  <c r="K101" i="2"/>
  <c r="L921" i="2"/>
  <c r="K744" i="2"/>
  <c r="K528" i="2"/>
  <c r="K251" i="2"/>
  <c r="L133" i="2"/>
  <c r="K652" i="2"/>
  <c r="L652" i="2"/>
  <c r="L653" i="2"/>
  <c r="L869" i="2"/>
  <c r="L883" i="2"/>
  <c r="L820" i="2"/>
  <c r="L200" i="2"/>
  <c r="K646" i="2"/>
  <c r="L646" i="2"/>
  <c r="L618" i="2"/>
  <c r="K611" i="2"/>
  <c r="L852" i="2"/>
  <c r="L836" i="2"/>
  <c r="L804" i="2"/>
  <c r="K673" i="2"/>
  <c r="L860" i="2"/>
  <c r="L938" i="2"/>
  <c r="L858" i="2"/>
  <c r="L831" i="2"/>
  <c r="L207" i="1"/>
  <c r="K207" i="1"/>
  <c r="K255" i="2"/>
  <c r="K272" i="2"/>
  <c r="K713" i="2"/>
  <c r="K432" i="2"/>
  <c r="K224" i="2"/>
  <c r="K759" i="2"/>
  <c r="L539" i="2"/>
  <c r="K175" i="2"/>
  <c r="K946" i="2"/>
  <c r="L798" i="2"/>
  <c r="K798" i="2"/>
  <c r="K446" i="2"/>
  <c r="K867" i="2"/>
  <c r="L795" i="2"/>
  <c r="L704" i="2"/>
  <c r="K704" i="2"/>
  <c r="K438" i="2"/>
  <c r="L392" i="2"/>
  <c r="K897" i="2"/>
  <c r="K709" i="2"/>
  <c r="K406" i="2"/>
  <c r="L88" i="2"/>
  <c r="K106" i="2"/>
  <c r="L782" i="2"/>
  <c r="K782" i="2"/>
  <c r="K685" i="2"/>
  <c r="K354" i="2"/>
  <c r="K157" i="2"/>
  <c r="K582" i="2"/>
  <c r="L421" i="2"/>
  <c r="K267" i="2"/>
  <c r="K136" i="2"/>
  <c r="K219" i="2"/>
  <c r="K928" i="2"/>
  <c r="L643" i="2"/>
  <c r="K440" i="2"/>
  <c r="L97" i="2"/>
  <c r="K155" i="2"/>
  <c r="K578" i="2"/>
  <c r="L509" i="2"/>
  <c r="L462" i="2"/>
  <c r="L339" i="2"/>
  <c r="K179" i="2"/>
  <c r="L177" i="2"/>
  <c r="K900" i="2"/>
  <c r="L431" i="2"/>
  <c r="L343" i="2"/>
  <c r="K902" i="2"/>
  <c r="K738" i="2"/>
  <c r="L738" i="2"/>
  <c r="L531" i="2"/>
  <c r="K398" i="2"/>
  <c r="L624" i="2"/>
  <c r="L902" i="2"/>
  <c r="L971" i="2"/>
  <c r="K868" i="2"/>
  <c r="L380" i="2"/>
  <c r="K667" i="2"/>
  <c r="K825" i="2"/>
  <c r="L626" i="2"/>
  <c r="K876" i="2"/>
  <c r="L856" i="2"/>
  <c r="L387" i="2"/>
  <c r="K202" i="2"/>
  <c r="K837" i="2"/>
  <c r="L932" i="2"/>
  <c r="K871" i="2"/>
  <c r="L718" i="2"/>
  <c r="K718" i="2"/>
  <c r="L725" i="2"/>
  <c r="K725" i="2"/>
  <c r="L696" i="2"/>
  <c r="K696" i="2"/>
  <c r="K675" i="2"/>
  <c r="L641" i="2"/>
  <c r="L625" i="2"/>
  <c r="K644" i="2"/>
  <c r="L644" i="2"/>
  <c r="L452" i="2"/>
  <c r="K452" i="2"/>
  <c r="L690" i="2"/>
  <c r="L694" i="2"/>
  <c r="L698" i="2"/>
  <c r="L809" i="2"/>
  <c r="L767" i="2"/>
  <c r="L751" i="2"/>
  <c r="L592" i="2"/>
  <c r="L584" i="2"/>
  <c r="L576" i="2"/>
  <c r="L568" i="2"/>
  <c r="L560" i="2"/>
  <c r="L536" i="2"/>
  <c r="L535" i="2"/>
  <c r="L814" i="2"/>
  <c r="L771" i="2"/>
  <c r="L755" i="2"/>
  <c r="L724" i="2"/>
  <c r="L471" i="2"/>
  <c r="L775" i="2"/>
  <c r="L759" i="2"/>
  <c r="L743" i="2"/>
  <c r="L497" i="2"/>
  <c r="L477" i="2"/>
  <c r="L475" i="2"/>
  <c r="L816" i="2"/>
  <c r="L706" i="2"/>
  <c r="L465" i="2"/>
  <c r="L491" i="2"/>
  <c r="L835" i="2"/>
  <c r="L849" i="2"/>
  <c r="L837" i="2"/>
  <c r="L866" i="2"/>
  <c r="L780" i="2"/>
  <c r="L805" i="2"/>
  <c r="L682" i="2"/>
  <c r="L469" i="2"/>
  <c r="L467" i="2"/>
  <c r="L855" i="2"/>
  <c r="L847" i="2"/>
  <c r="L839" i="2"/>
  <c r="L810" i="2"/>
  <c r="L819" i="2"/>
  <c r="L739" i="2"/>
  <c r="L544" i="2"/>
  <c r="L473" i="2"/>
  <c r="L815" i="2"/>
  <c r="L796" i="2"/>
  <c r="L489" i="2"/>
  <c r="L543" i="2"/>
  <c r="L598" i="2"/>
  <c r="L590" i="2"/>
  <c r="L582" i="2"/>
  <c r="L574" i="2"/>
  <c r="L566" i="2"/>
  <c r="L558" i="2"/>
  <c r="L817" i="2"/>
  <c r="L806" i="2"/>
  <c r="L594" i="2"/>
  <c r="L586" i="2"/>
  <c r="L578" i="2"/>
  <c r="L570" i="2"/>
  <c r="L562" i="2"/>
  <c r="L538" i="2"/>
  <c r="L537" i="2"/>
  <c r="L493" i="2"/>
  <c r="L487" i="2"/>
  <c r="L459" i="2"/>
  <c r="L740" i="2"/>
  <c r="L453" i="2"/>
  <c r="L461" i="2"/>
  <c r="L463" i="2"/>
  <c r="L808" i="2"/>
  <c r="L747" i="2"/>
  <c r="L714" i="2"/>
  <c r="L710" i="2"/>
  <c r="L702" i="2"/>
  <c r="L481" i="2"/>
  <c r="L451" i="2"/>
  <c r="L545" i="2"/>
  <c r="L499" i="2"/>
  <c r="L776" i="2"/>
  <c r="L841" i="2"/>
  <c r="L853" i="2"/>
  <c r="L845" i="2"/>
  <c r="L720" i="2"/>
  <c r="L813" i="2"/>
  <c r="L728" i="2"/>
  <c r="L686" i="2"/>
  <c r="L485" i="2"/>
  <c r="L483" i="2"/>
  <c r="L851" i="2"/>
  <c r="L843" i="2"/>
  <c r="L818" i="2"/>
  <c r="L811" i="2"/>
  <c r="L457" i="2"/>
  <c r="L807" i="2"/>
  <c r="L800" i="2"/>
  <c r="L792" i="2"/>
  <c r="L596" i="2"/>
  <c r="L588" i="2"/>
  <c r="L580" i="2"/>
  <c r="L572" i="2"/>
  <c r="L564" i="2"/>
  <c r="L495" i="2"/>
  <c r="L732" i="2"/>
  <c r="L479" i="2"/>
  <c r="L293" i="2"/>
  <c r="K363" i="2"/>
  <c r="L363" i="2"/>
  <c r="K425" i="2"/>
  <c r="L332" i="2"/>
  <c r="K180" i="2"/>
  <c r="L329" i="2"/>
  <c r="L167" i="2"/>
  <c r="L181" i="2"/>
  <c r="L230" i="2"/>
  <c r="K120" i="2"/>
  <c r="K114" i="2"/>
  <c r="L947" i="2"/>
  <c r="K847" i="2"/>
  <c r="K797" i="2"/>
  <c r="L529" i="2"/>
  <c r="L532" i="2"/>
  <c r="K532" i="2"/>
  <c r="K449" i="2"/>
  <c r="K307" i="2"/>
  <c r="K414" i="2"/>
  <c r="K320" i="2"/>
  <c r="L184" i="2"/>
  <c r="L99" i="2"/>
  <c r="L195" i="2"/>
  <c r="L326" i="2"/>
  <c r="K153" i="2"/>
  <c r="L189" i="2"/>
  <c r="K970" i="2"/>
  <c r="L949" i="2"/>
  <c r="L872" i="2"/>
  <c r="K764" i="2"/>
  <c r="K773" i="2"/>
  <c r="K588" i="2"/>
  <c r="K522" i="2"/>
  <c r="L546" i="2"/>
  <c r="K422" i="2"/>
  <c r="L305" i="2"/>
  <c r="K411" i="2"/>
  <c r="L275" i="2"/>
  <c r="K340" i="2"/>
  <c r="L263" i="2"/>
  <c r="L150" i="2"/>
  <c r="L86" i="2"/>
  <c r="K256" i="2"/>
  <c r="L277" i="2"/>
  <c r="K690" i="2"/>
  <c r="K412" i="2"/>
  <c r="K972" i="2"/>
  <c r="K698" i="2"/>
  <c r="K122" i="2"/>
  <c r="K962" i="2"/>
  <c r="L936" i="2"/>
  <c r="L910" i="2"/>
  <c r="L863" i="2"/>
  <c r="K742" i="2"/>
  <c r="L742" i="2"/>
  <c r="L769" i="2"/>
  <c r="L699" i="2"/>
  <c r="K601" i="2"/>
  <c r="L583" i="2"/>
  <c r="K583" i="2"/>
  <c r="L519" i="2"/>
  <c r="K512" i="2"/>
  <c r="K441" i="2"/>
  <c r="L541" i="2"/>
  <c r="K455" i="2"/>
  <c r="K310" i="2"/>
  <c r="K315" i="2"/>
  <c r="K235" i="2"/>
  <c r="L341" i="2"/>
  <c r="K252" i="2"/>
  <c r="K334" i="2"/>
  <c r="K179" i="1"/>
  <c r="K69" i="1"/>
  <c r="K87" i="1"/>
  <c r="L161" i="2"/>
  <c r="K205" i="1"/>
  <c r="K95" i="1"/>
  <c r="L215" i="2"/>
  <c r="L202" i="2"/>
  <c r="L204" i="2"/>
  <c r="K365" i="2"/>
  <c r="K182" i="1"/>
  <c r="L920" i="2"/>
  <c r="K894" i="2"/>
  <c r="L785" i="2"/>
  <c r="K751" i="2"/>
  <c r="K727" i="2"/>
  <c r="L727" i="2"/>
  <c r="K647" i="2"/>
  <c r="K631" i="2"/>
  <c r="K615" i="2"/>
  <c r="K592" i="2"/>
  <c r="K560" i="2"/>
  <c r="K553" i="2"/>
  <c r="L488" i="2"/>
  <c r="L526" i="2"/>
  <c r="K536" i="2"/>
  <c r="L301" i="2"/>
  <c r="L351" i="2"/>
  <c r="K356" i="2"/>
  <c r="L255" i="2"/>
  <c r="L158" i="2"/>
  <c r="K329" i="2"/>
  <c r="L183" i="2"/>
  <c r="K181" i="2"/>
  <c r="L238" i="2"/>
  <c r="L127" i="2"/>
  <c r="K139" i="1"/>
  <c r="K96" i="1"/>
  <c r="K121" i="1"/>
  <c r="K86" i="1"/>
  <c r="L911" i="2"/>
  <c r="K761" i="2"/>
  <c r="K703" i="2"/>
  <c r="L713" i="2"/>
  <c r="K517" i="2"/>
  <c r="L480" i="2"/>
  <c r="K487" i="2"/>
  <c r="K419" i="2"/>
  <c r="L306" i="2"/>
  <c r="L336" i="2"/>
  <c r="L265" i="2"/>
  <c r="L168" i="2"/>
  <c r="L288" i="2"/>
  <c r="L121" i="2"/>
  <c r="L193" i="2"/>
  <c r="K47" i="1"/>
  <c r="K82" i="2"/>
  <c r="K118" i="1"/>
  <c r="K131" i="1"/>
  <c r="K62" i="1"/>
  <c r="L92" i="1"/>
  <c r="K953" i="2"/>
  <c r="L906" i="2"/>
  <c r="K743" i="2"/>
  <c r="L777" i="2"/>
  <c r="L684" i="2"/>
  <c r="K684" i="2"/>
  <c r="L502" i="2"/>
  <c r="L415" i="2"/>
  <c r="K313" i="2"/>
  <c r="K463" i="2"/>
  <c r="L304" i="2"/>
  <c r="L286" i="2"/>
  <c r="L354" i="2"/>
  <c r="L247" i="2"/>
  <c r="K105" i="2"/>
  <c r="K360" i="2"/>
  <c r="L175" i="2"/>
  <c r="L314" i="2"/>
  <c r="K80" i="2"/>
  <c r="K134" i="1"/>
  <c r="K140" i="1"/>
  <c r="L80" i="1"/>
  <c r="K161" i="1"/>
  <c r="L946" i="2"/>
  <c r="K886" i="2"/>
  <c r="L854" i="2"/>
  <c r="L838" i="2"/>
  <c r="L707" i="2"/>
  <c r="K661" i="2"/>
  <c r="K608" i="2"/>
  <c r="L608" i="2"/>
  <c r="K523" i="2"/>
  <c r="L490" i="2"/>
  <c r="L446" i="2"/>
  <c r="K499" i="2"/>
  <c r="L436" i="2"/>
  <c r="K376" i="2"/>
  <c r="K283" i="2"/>
  <c r="K192" i="2"/>
  <c r="L362" i="2"/>
  <c r="K171" i="2"/>
  <c r="L350" i="2"/>
  <c r="L191" i="1"/>
  <c r="L117" i="2"/>
  <c r="L76" i="1"/>
  <c r="L78" i="1"/>
  <c r="L383" i="2"/>
  <c r="K889" i="2"/>
  <c r="L221" i="2"/>
  <c r="L219" i="2"/>
  <c r="K853" i="2"/>
  <c r="K891" i="2"/>
  <c r="L201" i="1"/>
  <c r="K924" i="2"/>
  <c r="K780" i="2"/>
  <c r="K746" i="2"/>
  <c r="L746" i="2"/>
  <c r="L645" i="2"/>
  <c r="L629" i="2"/>
  <c r="L613" i="2"/>
  <c r="L438" i="2"/>
  <c r="L309" i="2"/>
  <c r="K309" i="2"/>
  <c r="L393" i="2"/>
  <c r="K351" i="2"/>
  <c r="L316" i="2"/>
  <c r="L239" i="2"/>
  <c r="K94" i="2"/>
  <c r="K199" i="2"/>
  <c r="K392" i="2"/>
  <c r="L163" i="2"/>
  <c r="K90" i="1"/>
  <c r="K238" i="2"/>
  <c r="L155" i="2"/>
  <c r="K83" i="2"/>
  <c r="K87" i="2"/>
  <c r="K115" i="1"/>
  <c r="L942" i="2"/>
  <c r="K915" i="2"/>
  <c r="L897" i="2"/>
  <c r="L850" i="2"/>
  <c r="L834" i="2"/>
  <c r="K810" i="2"/>
  <c r="K765" i="2"/>
  <c r="L726" i="2"/>
  <c r="K726" i="2"/>
  <c r="L709" i="2"/>
  <c r="L556" i="2"/>
  <c r="L505" i="2"/>
  <c r="L524" i="2"/>
  <c r="K524" i="2"/>
  <c r="K457" i="2"/>
  <c r="L423" i="2"/>
  <c r="L390" i="2"/>
  <c r="L378" i="2"/>
  <c r="L270" i="2"/>
  <c r="L194" i="2"/>
  <c r="K349" i="2"/>
  <c r="L260" i="2"/>
  <c r="L224" i="2"/>
  <c r="L126" i="2"/>
  <c r="K226" i="2"/>
  <c r="K184" i="1"/>
  <c r="K145" i="1"/>
  <c r="K952" i="2"/>
  <c r="L888" i="2"/>
  <c r="K832" i="2"/>
  <c r="K807" i="2"/>
  <c r="K796" i="2"/>
  <c r="L760" i="2"/>
  <c r="L683" i="2"/>
  <c r="L685" i="2"/>
  <c r="K492" i="2"/>
  <c r="K514" i="2"/>
  <c r="K542" i="2"/>
  <c r="K427" i="2"/>
  <c r="K366" i="2"/>
  <c r="K324" i="2"/>
  <c r="L231" i="2"/>
  <c r="L105" i="2"/>
  <c r="K346" i="2"/>
  <c r="L91" i="2"/>
  <c r="L214" i="2"/>
  <c r="K197" i="1"/>
  <c r="K124" i="1"/>
  <c r="K60" i="1"/>
  <c r="K958" i="2"/>
  <c r="L865" i="2"/>
  <c r="K870" i="2"/>
  <c r="K801" i="2"/>
  <c r="L772" i="2"/>
  <c r="K574" i="2"/>
  <c r="L527" i="2"/>
  <c r="K520" i="2"/>
  <c r="K289" i="2"/>
  <c r="L398" i="2"/>
  <c r="K367" i="2"/>
  <c r="L367" i="2"/>
  <c r="K368" i="2"/>
  <c r="K396" i="2"/>
  <c r="L267" i="2"/>
  <c r="L170" i="2"/>
  <c r="L84" i="2"/>
  <c r="K318" i="2"/>
  <c r="K79" i="1"/>
  <c r="L165" i="2"/>
  <c r="K101" i="1"/>
  <c r="L193" i="1"/>
  <c r="K135" i="2"/>
  <c r="L207" i="2"/>
  <c r="K221" i="2"/>
  <c r="K203" i="2"/>
  <c r="L418" i="2"/>
  <c r="K201" i="2"/>
  <c r="K945" i="2"/>
  <c r="L928" i="2"/>
  <c r="K879" i="2"/>
  <c r="K788" i="2"/>
  <c r="L733" i="2"/>
  <c r="K733" i="2"/>
  <c r="K651" i="2"/>
  <c r="K635" i="2"/>
  <c r="K619" i="2"/>
  <c r="K551" i="2"/>
  <c r="L464" i="2"/>
  <c r="L518" i="2"/>
  <c r="L550" i="2"/>
  <c r="L440" i="2"/>
  <c r="L425" i="2"/>
  <c r="K348" i="2"/>
  <c r="K190" i="2"/>
  <c r="K345" i="2"/>
  <c r="K145" i="2"/>
  <c r="K280" i="2"/>
  <c r="K78" i="2"/>
  <c r="K189" i="1"/>
  <c r="K116" i="2"/>
  <c r="K200" i="1"/>
  <c r="K175" i="1"/>
  <c r="L935" i="2"/>
  <c r="K935" i="2"/>
  <c r="L919" i="2"/>
  <c r="K919" i="2"/>
  <c r="K783" i="2"/>
  <c r="L783" i="2"/>
  <c r="L717" i="2"/>
  <c r="K570" i="2"/>
  <c r="K552" i="2"/>
  <c r="K509" i="2"/>
  <c r="L449" i="2"/>
  <c r="L439" i="2"/>
  <c r="K442" i="2"/>
  <c r="K471" i="2"/>
  <c r="K281" i="2"/>
  <c r="L320" i="2"/>
  <c r="K178" i="2"/>
  <c r="L96" i="2"/>
  <c r="L179" i="2"/>
  <c r="K342" i="2"/>
  <c r="L153" i="2"/>
  <c r="L266" i="2"/>
  <c r="L218" i="2"/>
  <c r="K128" i="2"/>
  <c r="K132" i="1"/>
  <c r="L184" i="1"/>
  <c r="K199" i="1"/>
  <c r="L959" i="2"/>
  <c r="K939" i="2"/>
  <c r="K922" i="2"/>
  <c r="L900" i="2"/>
  <c r="L848" i="2"/>
  <c r="L812" i="2"/>
  <c r="K757" i="2"/>
  <c r="K731" i="2"/>
  <c r="L731" i="2"/>
  <c r="K681" i="2"/>
  <c r="L681" i="2"/>
  <c r="K715" i="2"/>
  <c r="K448" i="2"/>
  <c r="K477" i="2"/>
  <c r="L297" i="2"/>
  <c r="L312" i="2"/>
  <c r="K404" i="2"/>
  <c r="K172" i="2"/>
  <c r="K98" i="2"/>
  <c r="L240" i="2"/>
  <c r="L197" i="2"/>
  <c r="L142" i="2"/>
  <c r="K102" i="2"/>
  <c r="K66" i="1"/>
  <c r="K969" i="2"/>
  <c r="K944" i="2"/>
  <c r="K925" i="2"/>
  <c r="K895" i="2"/>
  <c r="L884" i="2"/>
  <c r="L790" i="2"/>
  <c r="K790" i="2"/>
  <c r="K763" i="2"/>
  <c r="L744" i="2"/>
  <c r="L756" i="2"/>
  <c r="L691" i="2"/>
  <c r="K710" i="2"/>
  <c r="K531" i="2"/>
  <c r="L528" i="2"/>
  <c r="L458" i="2"/>
  <c r="K295" i="2"/>
  <c r="K355" i="2"/>
  <c r="L251" i="2"/>
  <c r="L154" i="2"/>
  <c r="K386" i="2"/>
  <c r="L278" i="2"/>
  <c r="L364" i="2"/>
  <c r="L234" i="2"/>
  <c r="L242" i="2"/>
  <c r="K130" i="1"/>
  <c r="K607" i="2"/>
  <c r="K632" i="2"/>
  <c r="K624" i="2"/>
  <c r="L609" i="2"/>
  <c r="K116" i="1"/>
  <c r="L871" i="2"/>
  <c r="L903" i="2"/>
  <c r="L975" i="2"/>
  <c r="L973" i="2"/>
  <c r="L952" i="2"/>
  <c r="L889" i="2"/>
  <c r="L892" i="2"/>
  <c r="L877" i="2"/>
  <c r="L967" i="2"/>
  <c r="L964" i="2"/>
  <c r="L890" i="2"/>
  <c r="K829" i="2"/>
  <c r="L671" i="2"/>
  <c r="K664" i="2"/>
  <c r="L861" i="2"/>
  <c r="K821" i="2"/>
  <c r="K358" i="2"/>
  <c r="L825" i="2"/>
  <c r="K626" i="2"/>
  <c r="K618" i="2"/>
  <c r="K65" i="1"/>
  <c r="L882" i="2"/>
  <c r="K844" i="2"/>
  <c r="K826" i="2"/>
  <c r="L679" i="2"/>
  <c r="K74" i="1"/>
  <c r="K94" i="1"/>
  <c r="K58" i="1"/>
  <c r="K70" i="1"/>
  <c r="K833" i="2"/>
  <c r="K904" i="2"/>
  <c r="K828" i="2"/>
  <c r="K823" i="2"/>
  <c r="K864" i="2"/>
  <c r="K655" i="2"/>
  <c r="L666" i="2"/>
  <c r="K666" i="2"/>
  <c r="L591" i="2"/>
  <c r="K591" i="2"/>
  <c r="L559" i="2"/>
  <c r="K559" i="2"/>
  <c r="K911" i="2"/>
  <c r="K480" i="2"/>
  <c r="K306" i="2"/>
  <c r="K956" i="2"/>
  <c r="K502" i="2"/>
  <c r="K304" i="2"/>
  <c r="K793" i="2"/>
  <c r="L689" i="2"/>
  <c r="L523" i="2"/>
  <c r="K362" i="2"/>
  <c r="K841" i="2"/>
  <c r="K629" i="2"/>
  <c r="K393" i="2"/>
  <c r="L300" i="2"/>
  <c r="K300" i="2"/>
  <c r="L284" i="2"/>
  <c r="K942" i="2"/>
  <c r="K811" i="2"/>
  <c r="L587" i="2"/>
  <c r="K587" i="2"/>
  <c r="L486" i="2"/>
  <c r="K378" i="2"/>
  <c r="K260" i="2"/>
  <c r="K126" i="2"/>
  <c r="L941" i="2"/>
  <c r="L824" i="2"/>
  <c r="K677" i="2"/>
  <c r="K231" i="2"/>
  <c r="L102" i="2"/>
  <c r="L958" i="2"/>
  <c r="L730" i="2"/>
  <c r="K730" i="2"/>
  <c r="K606" i="2"/>
  <c r="L606" i="2"/>
  <c r="L302" i="2"/>
  <c r="K84" i="2"/>
  <c r="L223" i="2"/>
  <c r="K217" i="2"/>
  <c r="K518" i="2"/>
  <c r="K196" i="2"/>
  <c r="K338" i="2"/>
  <c r="K717" i="2"/>
  <c r="L552" i="2"/>
  <c r="L299" i="2"/>
  <c r="K184" i="2"/>
  <c r="K208" i="2"/>
  <c r="L160" i="1"/>
  <c r="K160" i="1"/>
  <c r="K848" i="2"/>
  <c r="K297" i="2"/>
  <c r="L188" i="2"/>
  <c r="K142" i="2"/>
  <c r="K974" i="2"/>
  <c r="L934" i="2"/>
  <c r="L822" i="2"/>
  <c r="K756" i="2"/>
  <c r="K458" i="2"/>
  <c r="L396" i="2"/>
  <c r="L92" i="2"/>
  <c r="K165" i="2"/>
  <c r="L632" i="2"/>
  <c r="L898" i="2"/>
  <c r="L879" i="2"/>
  <c r="L953" i="2"/>
  <c r="K861" i="2"/>
  <c r="L370" i="2"/>
  <c r="K200" i="2"/>
  <c r="K873" i="2"/>
  <c r="K204" i="2"/>
  <c r="L209" i="2"/>
  <c r="L786" i="2"/>
  <c r="K786" i="2"/>
  <c r="K768" i="2"/>
  <c r="L139" i="2"/>
  <c r="K223" i="2"/>
  <c r="K881" i="2"/>
  <c r="K408" i="2"/>
  <c r="K418" i="2"/>
  <c r="K206" i="2"/>
  <c r="K916" i="2"/>
  <c r="K866" i="2"/>
  <c r="K805" i="2"/>
  <c r="L768" i="2"/>
  <c r="L712" i="2"/>
  <c r="K712" i="2"/>
  <c r="K728" i="2"/>
  <c r="K649" i="2"/>
  <c r="K633" i="2"/>
  <c r="K617" i="2"/>
  <c r="L603" i="2"/>
  <c r="K603" i="2"/>
  <c r="K445" i="2"/>
  <c r="K467" i="2"/>
  <c r="K385" i="2"/>
  <c r="L385" i="2"/>
  <c r="K357" i="2"/>
  <c r="K282" i="2"/>
  <c r="K174" i="2"/>
  <c r="K248" i="2"/>
  <c r="L129" i="2"/>
  <c r="L149" i="2"/>
  <c r="K230" i="2"/>
  <c r="K258" i="2"/>
  <c r="L114" i="2"/>
  <c r="K965" i="2"/>
  <c r="L923" i="2"/>
  <c r="K923" i="2"/>
  <c r="K839" i="2"/>
  <c r="K818" i="2"/>
  <c r="L695" i="2"/>
  <c r="K701" i="2"/>
  <c r="K529" i="2"/>
  <c r="L516" i="2"/>
  <c r="K516" i="2"/>
  <c r="K544" i="2"/>
  <c r="L307" i="2"/>
  <c r="K339" i="2"/>
  <c r="K265" i="2"/>
  <c r="K168" i="2"/>
  <c r="K333" i="2"/>
  <c r="K125" i="2"/>
  <c r="L285" i="2"/>
  <c r="L113" i="2"/>
  <c r="L262" i="2"/>
  <c r="K977" i="2"/>
  <c r="K872" i="2"/>
  <c r="K787" i="2"/>
  <c r="L787" i="2"/>
  <c r="L764" i="2"/>
  <c r="L773" i="2"/>
  <c r="K723" i="2"/>
  <c r="L723" i="2"/>
  <c r="K580" i="2"/>
  <c r="L605" i="2"/>
  <c r="K605" i="2"/>
  <c r="L522" i="2"/>
  <c r="K546" i="2"/>
  <c r="L422" i="2"/>
  <c r="L410" i="2"/>
  <c r="L411" i="2"/>
  <c r="L404" i="2"/>
  <c r="L269" i="2"/>
  <c r="L172" i="2"/>
  <c r="L101" i="2"/>
  <c r="K372" i="2"/>
  <c r="L256" i="2"/>
  <c r="K197" i="2"/>
  <c r="L412" i="2"/>
  <c r="K424" i="2"/>
  <c r="K964" i="2"/>
  <c r="K416" i="2"/>
  <c r="K105" i="1"/>
  <c r="L122" i="2"/>
  <c r="K166" i="1"/>
  <c r="L77" i="1"/>
  <c r="K943" i="2"/>
  <c r="K929" i="2"/>
  <c r="K901" i="2"/>
  <c r="L779" i="2"/>
  <c r="K758" i="2"/>
  <c r="L758" i="2"/>
  <c r="K737" i="2"/>
  <c r="K749" i="2"/>
  <c r="K699" i="2"/>
  <c r="L601" i="2"/>
  <c r="K519" i="2"/>
  <c r="L512" i="2"/>
  <c r="K430" i="2"/>
  <c r="K303" i="2"/>
  <c r="L310" i="2"/>
  <c r="L344" i="2"/>
  <c r="L235" i="2"/>
  <c r="L252" i="2"/>
  <c r="K79" i="2"/>
  <c r="K181" i="1"/>
  <c r="K129" i="1"/>
  <c r="K103" i="1"/>
  <c r="K44" i="1"/>
  <c r="K140" i="2"/>
  <c r="L408" i="2"/>
  <c r="K52" i="1"/>
  <c r="K225" i="2"/>
  <c r="K957" i="2"/>
  <c r="L909" i="2"/>
  <c r="K909" i="2"/>
  <c r="K885" i="2"/>
  <c r="L647" i="2"/>
  <c r="L631" i="2"/>
  <c r="L615" i="2"/>
  <c r="K584" i="2"/>
  <c r="K510" i="2"/>
  <c r="K456" i="2"/>
  <c r="L508" i="2"/>
  <c r="K508" i="2"/>
  <c r="K535" i="2"/>
  <c r="K409" i="2"/>
  <c r="L319" i="2"/>
  <c r="K332" i="2"/>
  <c r="L180" i="2"/>
  <c r="L103" i="2"/>
  <c r="K264" i="2"/>
  <c r="K129" i="2"/>
  <c r="K149" i="2"/>
  <c r="K169" i="2"/>
  <c r="L180" i="1"/>
  <c r="K91" i="1"/>
  <c r="L91" i="1"/>
  <c r="L94" i="1"/>
  <c r="L87" i="1"/>
  <c r="L202" i="1"/>
  <c r="L86" i="1"/>
  <c r="L203" i="1"/>
  <c r="L88" i="1"/>
  <c r="L96" i="1"/>
  <c r="L81" i="2"/>
  <c r="K927" i="2"/>
  <c r="K877" i="2"/>
  <c r="K814" i="2"/>
  <c r="L761" i="2"/>
  <c r="L533" i="2"/>
  <c r="L501" i="2"/>
  <c r="L447" i="2"/>
  <c r="K459" i="2"/>
  <c r="L406" i="2"/>
  <c r="K381" i="2"/>
  <c r="L381" i="2"/>
  <c r="L323" i="2"/>
  <c r="K292" i="2"/>
  <c r="K249" i="2"/>
  <c r="K152" i="2"/>
  <c r="K244" i="2"/>
  <c r="K326" i="2"/>
  <c r="K132" i="2"/>
  <c r="K189" i="2"/>
  <c r="L82" i="2"/>
  <c r="K108" i="1"/>
  <c r="L85" i="1"/>
  <c r="K92" i="1"/>
  <c r="L933" i="2"/>
  <c r="K933" i="2"/>
  <c r="K896" i="2"/>
  <c r="K741" i="2"/>
  <c r="L700" i="2"/>
  <c r="K700" i="2"/>
  <c r="L569" i="2"/>
  <c r="K569" i="2"/>
  <c r="K460" i="2"/>
  <c r="K461" i="2"/>
  <c r="L313" i="2"/>
  <c r="K410" i="2"/>
  <c r="K361" i="2"/>
  <c r="L361" i="2"/>
  <c r="L366" i="2"/>
  <c r="K273" i="2"/>
  <c r="L324" i="2"/>
  <c r="K198" i="2"/>
  <c r="L93" i="2"/>
  <c r="L360" i="2"/>
  <c r="L400" i="2"/>
  <c r="L254" i="2"/>
  <c r="L80" i="2"/>
  <c r="K214" i="2"/>
  <c r="K104" i="2"/>
  <c r="K80" i="1"/>
  <c r="K913" i="2"/>
  <c r="K862" i="2"/>
  <c r="K846" i="2"/>
  <c r="K827" i="2"/>
  <c r="K774" i="2"/>
  <c r="L774" i="2"/>
  <c r="K707" i="2"/>
  <c r="K706" i="2"/>
  <c r="L661" i="2"/>
  <c r="L549" i="2"/>
  <c r="L507" i="2"/>
  <c r="K476" i="2"/>
  <c r="K481" i="2"/>
  <c r="K311" i="2"/>
  <c r="K436" i="2"/>
  <c r="L376" i="2"/>
  <c r="L283" i="2"/>
  <c r="K186" i="2"/>
  <c r="K341" i="2"/>
  <c r="L171" i="2"/>
  <c r="L318" i="2"/>
  <c r="K161" i="2"/>
  <c r="K117" i="2"/>
  <c r="K76" i="1"/>
  <c r="L135" i="2"/>
  <c r="K215" i="2"/>
  <c r="K869" i="2"/>
  <c r="L205" i="2"/>
  <c r="L203" i="2"/>
  <c r="K845" i="2"/>
  <c r="L450" i="2"/>
  <c r="K152" i="1"/>
  <c r="L924" i="2"/>
  <c r="K813" i="2"/>
  <c r="K762" i="2"/>
  <c r="L762" i="2"/>
  <c r="K748" i="2"/>
  <c r="K637" i="2"/>
  <c r="K621" i="2"/>
  <c r="K485" i="2"/>
  <c r="K483" i="2"/>
  <c r="K359" i="2"/>
  <c r="L359" i="2"/>
  <c r="K319" i="2"/>
  <c r="L261" i="2"/>
  <c r="L164" i="2"/>
  <c r="L94" i="2"/>
  <c r="L199" i="2"/>
  <c r="L338" i="2"/>
  <c r="K138" i="2"/>
  <c r="L90" i="1"/>
  <c r="L147" i="2"/>
  <c r="K127" i="2"/>
  <c r="K183" i="1"/>
  <c r="L175" i="1"/>
  <c r="K931" i="2"/>
  <c r="L915" i="2"/>
  <c r="L880" i="2"/>
  <c r="K851" i="2"/>
  <c r="L794" i="2"/>
  <c r="K794" i="2"/>
  <c r="L765" i="2"/>
  <c r="L734" i="2"/>
  <c r="K734" i="2"/>
  <c r="L711" i="2"/>
  <c r="K556" i="2"/>
  <c r="K505" i="2"/>
  <c r="K439" i="2"/>
  <c r="K291" i="2"/>
  <c r="K323" i="2"/>
  <c r="K353" i="2"/>
  <c r="L249" i="2"/>
  <c r="L152" i="2"/>
  <c r="K317" i="2"/>
  <c r="K141" i="2"/>
  <c r="K193" i="2"/>
  <c r="K126" i="1"/>
  <c r="K124" i="2"/>
  <c r="K159" i="2"/>
  <c r="K85" i="1"/>
  <c r="L71" i="1"/>
  <c r="K888" i="2"/>
  <c r="L832" i="2"/>
  <c r="L729" i="2"/>
  <c r="K729" i="2"/>
  <c r="K683" i="2"/>
  <c r="L687" i="2"/>
  <c r="L492" i="2"/>
  <c r="L514" i="2"/>
  <c r="L542" i="2"/>
  <c r="L427" i="2"/>
  <c r="K327" i="2"/>
  <c r="L253" i="2"/>
  <c r="K188" i="2"/>
  <c r="K321" i="2"/>
  <c r="K314" i="2"/>
  <c r="K208" i="1"/>
  <c r="L111" i="2"/>
  <c r="L197" i="1"/>
  <c r="K138" i="1"/>
  <c r="K164" i="1"/>
  <c r="K917" i="2"/>
  <c r="L878" i="2"/>
  <c r="K830" i="2"/>
  <c r="K784" i="2"/>
  <c r="K693" i="2"/>
  <c r="K598" i="2"/>
  <c r="K566" i="2"/>
  <c r="K527" i="2"/>
  <c r="L520" i="2"/>
  <c r="L548" i="2"/>
  <c r="K479" i="2"/>
  <c r="K389" i="2"/>
  <c r="L368" i="2"/>
  <c r="L355" i="2"/>
  <c r="L192" i="2"/>
  <c r="K100" i="2"/>
  <c r="K187" i="2"/>
  <c r="K146" i="2"/>
  <c r="L79" i="1"/>
  <c r="K130" i="2"/>
  <c r="L69" i="1"/>
  <c r="L179" i="1"/>
  <c r="K177" i="1"/>
  <c r="K205" i="2"/>
  <c r="K119" i="2"/>
  <c r="K954" i="2"/>
  <c r="K201" i="1"/>
  <c r="L945" i="2"/>
  <c r="K912" i="2"/>
  <c r="K809" i="2"/>
  <c r="L788" i="2"/>
  <c r="L651" i="2"/>
  <c r="L635" i="2"/>
  <c r="L619" i="2"/>
  <c r="K506" i="2"/>
  <c r="K534" i="2"/>
  <c r="K550" i="2"/>
  <c r="K434" i="2"/>
  <c r="L357" i="2"/>
  <c r="K316" i="2"/>
  <c r="L190" i="2"/>
  <c r="K284" i="2"/>
  <c r="K382" i="2"/>
  <c r="L220" i="2"/>
  <c r="L78" i="2"/>
  <c r="K250" i="2"/>
  <c r="L189" i="1"/>
  <c r="L116" i="2"/>
  <c r="L200" i="1"/>
  <c r="L955" i="2"/>
  <c r="L905" i="2"/>
  <c r="K905" i="2"/>
  <c r="L781" i="2"/>
  <c r="K781" i="2"/>
  <c r="K594" i="2"/>
  <c r="K562" i="2"/>
  <c r="L525" i="2"/>
  <c r="L504" i="2"/>
  <c r="K504" i="2"/>
  <c r="K444" i="2"/>
  <c r="L428" i="2"/>
  <c r="L442" i="2"/>
  <c r="K390" i="2"/>
  <c r="K298" i="2"/>
  <c r="K403" i="2"/>
  <c r="K270" i="2"/>
  <c r="L178" i="2"/>
  <c r="L333" i="2"/>
  <c r="L125" i="2"/>
  <c r="K285" i="2"/>
  <c r="K113" i="2"/>
  <c r="L216" i="2"/>
  <c r="K218" i="2"/>
  <c r="L198" i="1"/>
  <c r="K117" i="1"/>
  <c r="L199" i="1"/>
  <c r="K960" i="2"/>
  <c r="L939" i="2"/>
  <c r="L922" i="2"/>
  <c r="K857" i="2"/>
  <c r="L789" i="2"/>
  <c r="K745" i="2"/>
  <c r="L757" i="2"/>
  <c r="L721" i="2"/>
  <c r="K721" i="2"/>
  <c r="L692" i="2"/>
  <c r="K692" i="2"/>
  <c r="L697" i="2"/>
  <c r="K697" i="2"/>
  <c r="L448" i="2"/>
  <c r="K413" i="2"/>
  <c r="K475" i="2"/>
  <c r="K379" i="2"/>
  <c r="L379" i="2"/>
  <c r="K296" i="2"/>
  <c r="L340" i="2"/>
  <c r="K166" i="2"/>
  <c r="L98" i="2"/>
  <c r="L137" i="2"/>
  <c r="L131" i="2"/>
  <c r="K46" i="1"/>
  <c r="L195" i="1"/>
  <c r="K104" i="1"/>
  <c r="L966" i="2"/>
  <c r="L944" i="2"/>
  <c r="L925" i="2"/>
  <c r="L895" i="2"/>
  <c r="K884" i="2"/>
  <c r="L763" i="2"/>
  <c r="K753" i="2"/>
  <c r="K691" i="2"/>
  <c r="K702" i="2"/>
  <c r="L515" i="2"/>
  <c r="K500" i="2"/>
  <c r="L441" i="2"/>
  <c r="L295" i="2"/>
  <c r="L347" i="2"/>
  <c r="K328" i="2"/>
  <c r="L176" i="2"/>
  <c r="K95" i="2"/>
  <c r="L386" i="2"/>
  <c r="K236" i="2"/>
  <c r="L334" i="2"/>
  <c r="L212" i="2"/>
  <c r="L112" i="2"/>
  <c r="K112" i="2"/>
  <c r="L70" i="1"/>
  <c r="L660" i="2"/>
  <c r="L636" i="2"/>
  <c r="L628" i="2"/>
  <c r="K609" i="2"/>
  <c r="K937" i="2"/>
  <c r="L887" i="2"/>
  <c r="L968" i="2"/>
  <c r="L969" i="2"/>
  <c r="L963" i="2"/>
  <c r="L961" i="2"/>
  <c r="L899" i="2"/>
  <c r="L976" i="2"/>
  <c r="L885" i="2"/>
  <c r="L957" i="2"/>
  <c r="L907" i="2"/>
  <c r="K890" i="2"/>
  <c r="L829" i="2"/>
  <c r="K671" i="2"/>
  <c r="L664" i="2"/>
  <c r="K454" i="2"/>
  <c r="L821" i="2"/>
  <c r="L358" i="2"/>
  <c r="K940" i="2"/>
  <c r="L650" i="2"/>
  <c r="L630" i="2"/>
  <c r="L622" i="2"/>
  <c r="L65" i="1"/>
  <c r="K882" i="2"/>
  <c r="L844" i="2"/>
  <c r="L826" i="2"/>
  <c r="K88" i="1"/>
  <c r="K120" i="1"/>
  <c r="K81" i="1"/>
  <c r="K107" i="1"/>
  <c r="K111" i="1"/>
  <c r="L833" i="2"/>
  <c r="L828" i="2"/>
  <c r="L823" i="2"/>
  <c r="L864" i="2"/>
  <c r="L655" i="2"/>
  <c r="L466" i="2"/>
  <c r="K466" i="2"/>
  <c r="K158" i="2"/>
  <c r="K210" i="2"/>
  <c r="L842" i="2"/>
  <c r="L703" i="2"/>
  <c r="L705" i="2"/>
  <c r="K705" i="2"/>
  <c r="L517" i="2"/>
  <c r="K173" i="2"/>
  <c r="K777" i="2"/>
  <c r="L662" i="2"/>
  <c r="K662" i="2"/>
  <c r="L585" i="2"/>
  <c r="K585" i="2"/>
  <c r="K247" i="2"/>
  <c r="K91" i="2"/>
  <c r="K854" i="2"/>
  <c r="K490" i="2"/>
  <c r="L893" i="2"/>
  <c r="K893" i="2"/>
  <c r="K613" i="2"/>
  <c r="K634" i="2"/>
  <c r="L634" i="2"/>
  <c r="L597" i="2"/>
  <c r="K597" i="2"/>
  <c r="L565" i="2"/>
  <c r="K565" i="2"/>
  <c r="K640" i="2"/>
  <c r="L640" i="2"/>
  <c r="K97" i="2"/>
  <c r="L210" i="2"/>
  <c r="K850" i="2"/>
  <c r="K521" i="2"/>
  <c r="L496" i="2"/>
  <c r="L292" i="2"/>
  <c r="L342" i="2"/>
  <c r="L226" i="2"/>
  <c r="L914" i="2"/>
  <c r="K760" i="2"/>
  <c r="K495" i="2"/>
  <c r="L182" i="2"/>
  <c r="K772" i="2"/>
  <c r="L435" i="2"/>
  <c r="K170" i="2"/>
  <c r="K151" i="2"/>
  <c r="K875" i="2"/>
  <c r="K874" i="2"/>
  <c r="L874" i="2"/>
  <c r="K464" i="2"/>
  <c r="L375" i="2"/>
  <c r="K107" i="2"/>
  <c r="L87" i="2"/>
  <c r="K538" i="2"/>
  <c r="L352" i="2"/>
  <c r="L399" i="2"/>
  <c r="K959" i="2"/>
  <c r="L926" i="2"/>
  <c r="K740" i="2"/>
  <c r="L715" i="2"/>
  <c r="L478" i="2"/>
  <c r="K312" i="2"/>
  <c r="K240" i="2"/>
  <c r="K109" i="2"/>
  <c r="L109" i="2"/>
  <c r="K242" i="2"/>
  <c r="K123" i="2"/>
  <c r="K89" i="2"/>
  <c r="K85" i="2"/>
  <c r="L89" i="2"/>
  <c r="L85" i="2"/>
  <c r="L123" i="2"/>
  <c r="K975" i="2"/>
  <c r="K808" i="2"/>
  <c r="K465" i="2"/>
  <c r="K154" i="2"/>
  <c r="K278" i="2"/>
  <c r="L607" i="2"/>
  <c r="K612" i="2"/>
  <c r="L612" i="2"/>
  <c r="L873" i="2"/>
  <c r="L972" i="2"/>
  <c r="L908" i="2"/>
  <c r="K665" i="2"/>
  <c r="K207" i="2"/>
  <c r="L229" i="2"/>
  <c r="L227" i="2"/>
  <c r="K835" i="2"/>
  <c r="K720" i="2"/>
  <c r="L916" i="2"/>
  <c r="K803" i="2"/>
  <c r="K686" i="2"/>
  <c r="L649" i="2"/>
  <c r="L633" i="2"/>
  <c r="L617" i="2"/>
  <c r="L498" i="2"/>
  <c r="K498" i="2"/>
  <c r="K469" i="2"/>
  <c r="L420" i="2"/>
  <c r="K308" i="2"/>
  <c r="K335" i="2"/>
  <c r="L282" i="2"/>
  <c r="L174" i="2"/>
  <c r="L248" i="2"/>
  <c r="L322" i="2"/>
  <c r="L107" i="2"/>
  <c r="K185" i="2"/>
  <c r="K134" i="2"/>
  <c r="L965" i="2"/>
  <c r="K898" i="2"/>
  <c r="L802" i="2"/>
  <c r="K802" i="2"/>
  <c r="K819" i="2"/>
  <c r="K695" i="2"/>
  <c r="L701" i="2"/>
  <c r="L513" i="2"/>
  <c r="K472" i="2"/>
  <c r="K473" i="2"/>
  <c r="L419" i="2"/>
  <c r="L281" i="2"/>
  <c r="K259" i="2"/>
  <c r="K162" i="2"/>
  <c r="L271" i="2"/>
  <c r="K388" i="2"/>
  <c r="K246" i="2"/>
  <c r="K77" i="2"/>
  <c r="L173" i="2"/>
  <c r="K177" i="2"/>
  <c r="L977" i="2"/>
  <c r="K930" i="2"/>
  <c r="K815" i="2"/>
  <c r="K800" i="2"/>
  <c r="K736" i="2"/>
  <c r="L669" i="2"/>
  <c r="K572" i="2"/>
  <c r="L555" i="2"/>
  <c r="K494" i="2"/>
  <c r="K431" i="2"/>
  <c r="K543" i="2"/>
  <c r="K401" i="2"/>
  <c r="K343" i="2"/>
  <c r="K374" i="2"/>
  <c r="K269" i="2"/>
  <c r="K156" i="2"/>
  <c r="K93" i="2"/>
  <c r="L372" i="2"/>
  <c r="K137" i="2"/>
  <c r="K131" i="2"/>
  <c r="K903" i="2"/>
  <c r="L416" i="2"/>
  <c r="K899" i="2"/>
  <c r="K76" i="2"/>
  <c r="L222" i="2"/>
  <c r="L144" i="2"/>
  <c r="K64" i="1"/>
  <c r="L64" i="1"/>
  <c r="L67" i="1"/>
  <c r="L83" i="1"/>
  <c r="L192" i="1"/>
  <c r="L74" i="1"/>
  <c r="L943" i="2"/>
  <c r="L929" i="2"/>
  <c r="L901" i="2"/>
  <c r="K779" i="2"/>
  <c r="L737" i="2"/>
  <c r="L749" i="2"/>
  <c r="L663" i="2"/>
  <c r="K663" i="2"/>
  <c r="L599" i="2"/>
  <c r="K599" i="2"/>
  <c r="L567" i="2"/>
  <c r="K567" i="2"/>
  <c r="L554" i="2"/>
  <c r="L503" i="2"/>
  <c r="K468" i="2"/>
  <c r="L430" i="2"/>
  <c r="L303" i="2"/>
  <c r="K371" i="2"/>
  <c r="L371" i="2"/>
  <c r="L294" i="2"/>
  <c r="K294" i="2"/>
  <c r="L257" i="2"/>
  <c r="L160" i="2"/>
  <c r="K133" i="2"/>
  <c r="K151" i="1"/>
  <c r="K187" i="1"/>
  <c r="K173" i="1"/>
  <c r="K110" i="2"/>
  <c r="L176" i="1"/>
  <c r="K139" i="2"/>
  <c r="K229" i="2"/>
  <c r="K227" i="2"/>
  <c r="K883" i="2"/>
  <c r="K209" i="2"/>
  <c r="K967" i="2"/>
  <c r="K908" i="2"/>
  <c r="K817" i="2"/>
  <c r="L791" i="2"/>
  <c r="K791" i="2"/>
  <c r="K639" i="2"/>
  <c r="K623" i="2"/>
  <c r="K576" i="2"/>
  <c r="L600" i="2"/>
  <c r="K600" i="2"/>
  <c r="L510" i="2"/>
  <c r="L456" i="2"/>
  <c r="L409" i="2"/>
  <c r="K407" i="2"/>
  <c r="K261" i="2"/>
  <c r="K164" i="2"/>
  <c r="K90" i="2"/>
  <c r="L264" i="2"/>
  <c r="K322" i="2"/>
  <c r="K146" i="1"/>
  <c r="L120" i="2"/>
  <c r="K180" i="1"/>
  <c r="L83" i="2"/>
  <c r="L196" i="1"/>
  <c r="K123" i="1"/>
  <c r="L927" i="2"/>
  <c r="K842" i="2"/>
  <c r="K771" i="2"/>
  <c r="K724" i="2"/>
  <c r="K533" i="2"/>
  <c r="K501" i="2"/>
  <c r="K493" i="2"/>
  <c r="L432" i="2"/>
  <c r="K397" i="2"/>
  <c r="L274" i="2"/>
  <c r="K279" i="2"/>
  <c r="K243" i="2"/>
  <c r="L349" i="2"/>
  <c r="L244" i="2"/>
  <c r="L276" i="2"/>
  <c r="L106" i="2"/>
  <c r="K262" i="2"/>
  <c r="L159" i="2"/>
  <c r="K186" i="1"/>
  <c r="K72" i="1"/>
  <c r="K82" i="1"/>
  <c r="L956" i="2"/>
  <c r="K775" i="2"/>
  <c r="L741" i="2"/>
  <c r="L716" i="2"/>
  <c r="K716" i="2"/>
  <c r="L460" i="2"/>
  <c r="K437" i="2"/>
  <c r="K539" i="2"/>
  <c r="K394" i="2"/>
  <c r="L327" i="2"/>
  <c r="K395" i="2"/>
  <c r="K253" i="2"/>
  <c r="L198" i="2"/>
  <c r="K384" i="2"/>
  <c r="L321" i="2"/>
  <c r="K400" i="2"/>
  <c r="L157" i="2"/>
  <c r="K204" i="1"/>
  <c r="L228" i="2"/>
  <c r="K143" i="1"/>
  <c r="L190" i="1"/>
  <c r="K976" i="2"/>
  <c r="L913" i="2"/>
  <c r="L862" i="2"/>
  <c r="L846" i="2"/>
  <c r="L827" i="2"/>
  <c r="K816" i="2"/>
  <c r="L793" i="2"/>
  <c r="K689" i="2"/>
  <c r="K549" i="2"/>
  <c r="K507" i="2"/>
  <c r="L476" i="2"/>
  <c r="K451" i="2"/>
  <c r="L311" i="2"/>
  <c r="K405" i="2"/>
  <c r="L331" i="2"/>
  <c r="K344" i="2"/>
  <c r="L186" i="2"/>
  <c r="K268" i="2"/>
  <c r="K391" i="2"/>
  <c r="K287" i="2"/>
  <c r="L140" i="2"/>
  <c r="K108" i="2"/>
  <c r="L81" i="1"/>
  <c r="L177" i="1"/>
  <c r="K971" i="2"/>
  <c r="L417" i="2"/>
  <c r="L143" i="2"/>
  <c r="L119" i="2"/>
  <c r="K426" i="2"/>
  <c r="L217" i="2"/>
  <c r="K950" i="2"/>
  <c r="K795" i="2"/>
  <c r="K778" i="2"/>
  <c r="L778" i="2"/>
  <c r="L748" i="2"/>
  <c r="K719" i="2"/>
  <c r="L719" i="2"/>
  <c r="L688" i="2"/>
  <c r="K688" i="2"/>
  <c r="K682" i="2"/>
  <c r="L637" i="2"/>
  <c r="L621" i="2"/>
  <c r="L474" i="2"/>
  <c r="K474" i="2"/>
  <c r="K429" i="2"/>
  <c r="L402" i="2"/>
  <c r="K377" i="2"/>
  <c r="L377" i="2"/>
  <c r="K375" i="2"/>
  <c r="K245" i="2"/>
  <c r="K148" i="2"/>
  <c r="L345" i="2"/>
  <c r="L145" i="2"/>
  <c r="L280" i="2"/>
  <c r="L138" i="2"/>
  <c r="L250" i="2"/>
  <c r="K158" i="1"/>
  <c r="K163" i="1"/>
  <c r="K84" i="1"/>
  <c r="L84" i="1"/>
  <c r="K961" i="2"/>
  <c r="L931" i="2"/>
  <c r="K880" i="2"/>
  <c r="K843" i="2"/>
  <c r="K750" i="2"/>
  <c r="L750" i="2"/>
  <c r="K739" i="2"/>
  <c r="K711" i="2"/>
  <c r="L521" i="2"/>
  <c r="K486" i="2"/>
  <c r="K496" i="2"/>
  <c r="K433" i="2"/>
  <c r="L291" i="2"/>
  <c r="K274" i="2"/>
  <c r="K336" i="2"/>
  <c r="K233" i="2"/>
  <c r="K88" i="2"/>
  <c r="K288" i="2"/>
  <c r="K121" i="2"/>
  <c r="L132" i="2"/>
  <c r="K216" i="2"/>
  <c r="K147" i="1"/>
  <c r="L68" i="1"/>
  <c r="K941" i="2"/>
  <c r="K914" i="2"/>
  <c r="K840" i="2"/>
  <c r="K824" i="2"/>
  <c r="K754" i="2"/>
  <c r="L754" i="2"/>
  <c r="L677" i="2"/>
  <c r="K687" i="2"/>
  <c r="L547" i="2"/>
  <c r="K530" i="2"/>
  <c r="K470" i="2"/>
  <c r="K415" i="2"/>
  <c r="K540" i="2"/>
  <c r="L273" i="2"/>
  <c r="K237" i="2"/>
  <c r="K182" i="2"/>
  <c r="K191" i="2"/>
  <c r="K254" i="2"/>
  <c r="L208" i="1"/>
  <c r="K111" i="2"/>
  <c r="L917" i="2"/>
  <c r="K878" i="2"/>
  <c r="L830" i="2"/>
  <c r="L784" i="2"/>
  <c r="L722" i="2"/>
  <c r="K722" i="2"/>
  <c r="L693" i="2"/>
  <c r="K590" i="2"/>
  <c r="K558" i="2"/>
  <c r="L511" i="2"/>
  <c r="K484" i="2"/>
  <c r="K548" i="2"/>
  <c r="K421" i="2"/>
  <c r="L389" i="2"/>
  <c r="K302" i="2"/>
  <c r="K331" i="2"/>
  <c r="L328" i="2"/>
  <c r="K176" i="2"/>
  <c r="L100" i="2"/>
  <c r="L187" i="2"/>
  <c r="L146" i="2"/>
  <c r="K212" i="2"/>
  <c r="L130" i="2"/>
  <c r="K115" i="2"/>
  <c r="L115" i="2"/>
  <c r="L181" i="1"/>
  <c r="K63" i="1"/>
  <c r="K387" i="2"/>
  <c r="K417" i="2"/>
  <c r="K143" i="2"/>
  <c r="K56" i="1"/>
  <c r="K450" i="2"/>
  <c r="K102" i="1"/>
  <c r="K973" i="2"/>
  <c r="L912" i="2"/>
  <c r="L799" i="2"/>
  <c r="K799" i="2"/>
  <c r="K752" i="2"/>
  <c r="K643" i="2"/>
  <c r="K627" i="2"/>
  <c r="L506" i="2"/>
  <c r="L534" i="2"/>
  <c r="L482" i="2"/>
  <c r="K482" i="2"/>
  <c r="L445" i="2"/>
  <c r="L434" i="2"/>
  <c r="L335" i="2"/>
  <c r="L245" i="2"/>
  <c r="L148" i="2"/>
  <c r="K232" i="2"/>
  <c r="L382" i="2"/>
  <c r="K163" i="2"/>
  <c r="L185" i="2"/>
  <c r="L258" i="2"/>
  <c r="K127" i="1"/>
  <c r="K955" i="2"/>
  <c r="K806" i="2"/>
  <c r="K586" i="2"/>
  <c r="K525" i="2"/>
  <c r="K462" i="2"/>
  <c r="L444" i="2"/>
  <c r="K428" i="2"/>
  <c r="K299" i="2"/>
  <c r="L298" i="2"/>
  <c r="L403" i="2"/>
  <c r="L233" i="2"/>
  <c r="K99" i="2"/>
  <c r="K271" i="2"/>
  <c r="K399" i="2"/>
  <c r="L246" i="2"/>
  <c r="L77" i="2"/>
  <c r="K118" i="2"/>
  <c r="L124" i="2"/>
  <c r="K198" i="1"/>
  <c r="K51" i="1"/>
  <c r="L73" i="1"/>
  <c r="K71" i="1"/>
  <c r="K948" i="2"/>
  <c r="K926" i="2"/>
  <c r="L918" i="2"/>
  <c r="K918" i="2"/>
  <c r="L857" i="2"/>
  <c r="K789" i="2"/>
  <c r="L745" i="2"/>
  <c r="L708" i="2"/>
  <c r="K708" i="2"/>
  <c r="K478" i="2"/>
  <c r="K497" i="2"/>
  <c r="L413" i="2"/>
  <c r="L443" i="2"/>
  <c r="L296" i="2"/>
  <c r="L237" i="2"/>
  <c r="L166" i="2"/>
  <c r="L337" i="2"/>
  <c r="L330" i="2"/>
  <c r="L185" i="1"/>
  <c r="K195" i="1"/>
  <c r="K112" i="1"/>
  <c r="L974" i="2"/>
  <c r="K966" i="2"/>
  <c r="K934" i="2"/>
  <c r="K921" i="2"/>
  <c r="K892" i="2"/>
  <c r="K822" i="2"/>
  <c r="K747" i="2"/>
  <c r="L753" i="2"/>
  <c r="K714" i="2"/>
  <c r="K515" i="2"/>
  <c r="L500" i="2"/>
  <c r="K435" i="2"/>
  <c r="K491" i="2"/>
  <c r="L315" i="2"/>
  <c r="K257" i="2"/>
  <c r="K160" i="2"/>
  <c r="K92" i="2"/>
  <c r="K325" i="2"/>
  <c r="L236" i="2"/>
  <c r="L79" i="2"/>
  <c r="L136" i="2"/>
  <c r="K660" i="2"/>
  <c r="K636" i="2"/>
  <c r="K628" i="2"/>
  <c r="K653" i="2"/>
  <c r="L937" i="2"/>
  <c r="L881" i="2"/>
  <c r="L951" i="2"/>
  <c r="L960" i="2"/>
  <c r="L875" i="2"/>
  <c r="L891" i="2"/>
  <c r="L867" i="2"/>
  <c r="L896" i="2"/>
  <c r="L894" i="2"/>
  <c r="L954" i="2"/>
  <c r="L868" i="2"/>
  <c r="K859" i="2"/>
  <c r="K820" i="2"/>
  <c r="L665" i="2"/>
  <c r="K380" i="2"/>
  <c r="L454" i="2"/>
  <c r="L667" i="2"/>
  <c r="L325" i="2"/>
  <c r="L940" i="2"/>
  <c r="K650" i="2"/>
  <c r="K630" i="2"/>
  <c r="K622" i="2"/>
  <c r="L611" i="2"/>
  <c r="L876" i="2"/>
  <c r="K852" i="2"/>
  <c r="K836" i="2"/>
  <c r="K804" i="2"/>
  <c r="L673" i="2"/>
  <c r="K83" i="1"/>
  <c r="K67" i="1"/>
  <c r="K125" i="1"/>
  <c r="K168" i="1"/>
  <c r="K202" i="1"/>
  <c r="K860" i="2"/>
  <c r="K938" i="2"/>
  <c r="K858" i="2"/>
  <c r="K831" i="2"/>
  <c r="K370" i="2"/>
  <c r="K856" i="2"/>
  <c r="K144" i="2"/>
</calcChain>
</file>

<file path=xl/sharedStrings.xml><?xml version="1.0" encoding="utf-8"?>
<sst xmlns="http://schemas.openxmlformats.org/spreadsheetml/2006/main" count="7511" uniqueCount="211">
  <si>
    <r>
      <t xml:space="preserve">가용한 조합에 대해 측정한 자료입니다. </t>
    </r>
    <r>
      <rPr>
        <sz val="14"/>
        <color rgb="FFFF0000"/>
        <rFont val="맑은 고딕"/>
        <family val="3"/>
        <charset val="129"/>
      </rPr>
      <t>오차</t>
    </r>
    <r>
      <rPr>
        <sz val="14"/>
        <color rgb="FF000000"/>
        <rFont val="맑은 고딕"/>
        <family val="3"/>
        <charset val="129"/>
      </rPr>
      <t>는 대략 쁠마 5%이하입니다.</t>
    </r>
  </si>
  <si>
    <t>데미지및마나시트</t>
  </si>
  <si>
    <t>나선의 추적자</t>
  </si>
  <si>
    <t>류탄</t>
  </si>
  <si>
    <t>사형 집행</t>
  </si>
  <si>
    <t>플라즈마 불릿</t>
  </si>
  <si>
    <t>메테오 스트림</t>
  </si>
  <si>
    <t>썸머쏠트 샷</t>
  </si>
  <si>
    <t>종말의 전조</t>
  </si>
  <si>
    <t>스파이럴 플레임</t>
  </si>
  <si>
    <t>이퀼리브리엄</t>
  </si>
  <si>
    <t>심판의 시간</t>
  </si>
  <si>
    <t>대재앙</t>
  </si>
  <si>
    <t>데스파이어</t>
  </si>
  <si>
    <t>샷건 연사</t>
  </si>
  <si>
    <t>트리플 익스플로젼</t>
  </si>
  <si>
    <t>민첩한 사격</t>
  </si>
  <si>
    <t>퀵 샷</t>
  </si>
  <si>
    <t>샷건의 지배자</t>
  </si>
  <si>
    <t>조준 사격</t>
  </si>
  <si>
    <t>잔혹한 추적자</t>
  </si>
  <si>
    <t>최후의 만찬</t>
  </si>
  <si>
    <t>퍼펙트 샷</t>
  </si>
  <si>
    <t>치명타 피해가 증가하는 특성만 치명타 피해 측정을 하였습니다.</t>
  </si>
  <si>
    <t>쿨타임</t>
  </si>
  <si>
    <t>치명타 적중률이나 쿨타임 관련 특성이 포함된 것은 측정하지 않고 복붙입니다.</t>
  </si>
  <si>
    <t>류탄, 이퀼리 브리엄에 버그가 있습니다. 실제값으로 나오게 공식을 맞춰논 상태입니다.</t>
  </si>
  <si>
    <t>공식으로 계산한 이론 값</t>
  </si>
  <si>
    <t>실제 측정 값</t>
  </si>
  <si>
    <t>치명 안뜬 피해</t>
  </si>
  <si>
    <t>치명 뜬 피해</t>
  </si>
  <si>
    <t>1타</t>
  </si>
  <si>
    <t>2타</t>
  </si>
  <si>
    <t>마나소모</t>
  </si>
  <si>
    <t>핸드건</t>
  </si>
  <si>
    <t>샷건</t>
  </si>
  <si>
    <t>라이플</t>
  </si>
  <si>
    <t>3타</t>
  </si>
  <si>
    <t>4타</t>
  </si>
  <si>
    <t>기타</t>
  </si>
  <si>
    <t>치명 안뜬 값 오차</t>
  </si>
  <si>
    <t>1타크리</t>
  </si>
  <si>
    <t>2타크리</t>
  </si>
  <si>
    <t>3타크리</t>
  </si>
  <si>
    <t>4타크리</t>
  </si>
  <si>
    <t>치명 뜬 값 오차</t>
  </si>
  <si>
    <t>비고</t>
  </si>
  <si>
    <t>번호</t>
  </si>
  <si>
    <t>레벨</t>
  </si>
  <si>
    <t>스킬이름</t>
  </si>
  <si>
    <t>트라이포드</t>
  </si>
  <si>
    <t>횟수나거리</t>
  </si>
  <si>
    <t>총합딜</t>
  </si>
  <si>
    <t>스킬능력치시트</t>
  </si>
  <si>
    <t>1단계</t>
  </si>
  <si>
    <t>2단계</t>
  </si>
  <si>
    <t>3단계</t>
  </si>
  <si>
    <t>총합치명딜</t>
  </si>
  <si>
    <t>평균</t>
  </si>
  <si>
    <t>1차</t>
  </si>
  <si>
    <t>2차</t>
  </si>
  <si>
    <t>3차</t>
  </si>
  <si>
    <t>4차</t>
  </si>
  <si>
    <t>5차</t>
  </si>
  <si>
    <t>종합</t>
  </si>
  <si>
    <t>보스를 기준으로한 스킬 비교 예시 시트입니다.</t>
  </si>
  <si>
    <t>보는 방법</t>
  </si>
  <si>
    <t>0/0/0/</t>
  </si>
  <si>
    <t>공격력</t>
  </si>
  <si>
    <t>1. 왼쪽의 작은 상자를 본다.</t>
  </si>
  <si>
    <t>전투중 마나 회복량</t>
  </si>
  <si>
    <t>조건있는 스킬은 조건 충족 못시킬때도 넣었습니다.</t>
  </si>
  <si>
    <t>마나</t>
  </si>
  <si>
    <t>모든 스킬은 풀 히트 기준입니다.</t>
  </si>
  <si>
    <t>2. 뻘건부분을 입력한다.</t>
  </si>
  <si>
    <t>치명타율</t>
  </si>
  <si>
    <t>치명타피해</t>
  </si>
  <si>
    <t>3. 밑에 변하는 값들을 확인한다.</t>
  </si>
  <si>
    <t>감소율</t>
  </si>
  <si>
    <t>2/0/0/</t>
  </si>
  <si>
    <t>원거리</t>
  </si>
  <si>
    <t>근접</t>
  </si>
  <si>
    <t>첫번째는 스킬 나열, 번호가 같으면 같은 스킬입니다.</t>
  </si>
  <si>
    <t>두번째는 모든 스킬 순위</t>
  </si>
  <si>
    <t>세번째는 장비별 스킬 순위</t>
  </si>
  <si>
    <t>최종 DPS는 풀히트 기준입니다.</t>
  </si>
  <si>
    <t>보스대상</t>
  </si>
  <si>
    <t>3/0/0/</t>
  </si>
  <si>
    <t>백어택은 데미지 20%, 치명타 적중률 20% 증가 계산</t>
  </si>
  <si>
    <t>0/2/0/</t>
  </si>
  <si>
    <t>밑에 초록색칸에서 실질DPS, 마나소모, DPS순위를 확인할 수 있습니다.</t>
  </si>
  <si>
    <t>0/3/0/</t>
  </si>
  <si>
    <t>0/0/2/</t>
  </si>
  <si>
    <t>성립 요건</t>
  </si>
  <si>
    <t>다른건 전~~~혀 안건드셔도 됩니다.</t>
  </si>
  <si>
    <t>0/2/2/</t>
  </si>
  <si>
    <t>치명 고려한 실질 기대값</t>
  </si>
  <si>
    <t>치명 안뜬 피해값</t>
  </si>
  <si>
    <t>0/3/2/</t>
  </si>
  <si>
    <t>2/0/2/</t>
  </si>
  <si>
    <t>치명 뜬 피해값</t>
  </si>
  <si>
    <t>2/2/0/</t>
  </si>
  <si>
    <t>2/2/2/</t>
  </si>
  <si>
    <t>2/3/0/</t>
  </si>
  <si>
    <t>백어택여부</t>
  </si>
  <si>
    <t>조건</t>
  </si>
  <si>
    <t>실질DPS</t>
  </si>
  <si>
    <t>초당마나소모</t>
  </si>
  <si>
    <t>2/3/2/</t>
  </si>
  <si>
    <t>DPS순위</t>
  </si>
  <si>
    <t>장비내순위</t>
  </si>
  <si>
    <t>3/0/2/</t>
  </si>
  <si>
    <t>최종기대딜</t>
  </si>
  <si>
    <t>1타기대</t>
  </si>
  <si>
    <t>2타기대</t>
  </si>
  <si>
    <t>3타기대</t>
  </si>
  <si>
    <t>4타기대</t>
  </si>
  <si>
    <t>3/2/0/</t>
  </si>
  <si>
    <t>기타딜기대</t>
  </si>
  <si>
    <t>계산쿨타임</t>
  </si>
  <si>
    <t>계산무력화</t>
  </si>
  <si>
    <t>계산치명타율</t>
  </si>
  <si>
    <t>계산마나소모</t>
  </si>
  <si>
    <t>계산치명타피해</t>
  </si>
  <si>
    <t>시전시간</t>
  </si>
  <si>
    <t>총기본피해</t>
  </si>
  <si>
    <t>1타기본</t>
  </si>
  <si>
    <t>2타기본</t>
  </si>
  <si>
    <t>3타기본</t>
  </si>
  <si>
    <t>기본쿨</t>
  </si>
  <si>
    <t>기본무력화</t>
  </si>
  <si>
    <t>기본마나소모</t>
  </si>
  <si>
    <t>3/2/2/</t>
  </si>
  <si>
    <t>원의중심부</t>
  </si>
  <si>
    <t>3/3/0/</t>
  </si>
  <si>
    <t>3/3/2/</t>
  </si>
  <si>
    <t>0/1/0/</t>
  </si>
  <si>
    <t>버그있음</t>
  </si>
  <si>
    <t>0/1/1/</t>
  </si>
  <si>
    <t>0/1/2/</t>
  </si>
  <si>
    <t>0/2/1/</t>
  </si>
  <si>
    <t>0/3/1/</t>
  </si>
  <si>
    <t>원의외곽부</t>
  </si>
  <si>
    <t>생명50%이상</t>
  </si>
  <si>
    <t>0/0/1/</t>
  </si>
  <si>
    <t>3/1/2/</t>
  </si>
  <si>
    <t>3/0/1/</t>
  </si>
  <si>
    <t>3/3/1/</t>
  </si>
  <si>
    <t>1/0/0/</t>
  </si>
  <si>
    <t>백어택</t>
  </si>
  <si>
    <t>1/0/1/</t>
  </si>
  <si>
    <t>1/0/2/</t>
  </si>
  <si>
    <t>1/2/0/</t>
  </si>
  <si>
    <t>1/2/1/</t>
  </si>
  <si>
    <t>1/2/2/</t>
  </si>
  <si>
    <t>1/3/0/</t>
  </si>
  <si>
    <t>1/3/1/</t>
  </si>
  <si>
    <t>1/3/2/</t>
  </si>
  <si>
    <t>생명50%이하</t>
  </si>
  <si>
    <t>3/2/1/</t>
  </si>
  <si>
    <t>잡몹대상</t>
  </si>
  <si>
    <t>2/0/1/</t>
  </si>
  <si>
    <t>2/2/1/</t>
  </si>
  <si>
    <t>1/1/0/</t>
  </si>
  <si>
    <t>1/1/1/</t>
  </si>
  <si>
    <t>1/1/2/</t>
  </si>
  <si>
    <t>생명력50%이하</t>
  </si>
  <si>
    <t>공중</t>
  </si>
  <si>
    <t>2/1/0/</t>
  </si>
  <si>
    <t>2/1/1/</t>
  </si>
  <si>
    <t>2/1/2/</t>
  </si>
  <si>
    <t>2/3/1/</t>
  </si>
  <si>
    <t>생명50%이상, 공중</t>
  </si>
  <si>
    <t>적용안됨</t>
  </si>
  <si>
    <t>생명력40%이하</t>
  </si>
  <si>
    <t>공중에뜬적</t>
  </si>
  <si>
    <t>넘어진적</t>
  </si>
  <si>
    <t>무력화대상</t>
  </si>
  <si>
    <t>안무력화대상</t>
  </si>
  <si>
    <t>3/1/0/</t>
  </si>
  <si>
    <t>생명40%이하</t>
  </si>
  <si>
    <t>생명40%이상</t>
  </si>
  <si>
    <t>3/1/1/</t>
  </si>
  <si>
    <t>넘어짐</t>
  </si>
  <si>
    <t>잡몹</t>
  </si>
  <si>
    <t xml:space="preserve"> 버그있음, 잡몹</t>
  </si>
  <si>
    <t>5명사망</t>
  </si>
  <si>
    <t>노말</t>
  </si>
  <si>
    <t>치명</t>
  </si>
  <si>
    <t>치명확율</t>
  </si>
  <si>
    <t>입력란</t>
    <phoneticPr fontId="16" type="noConversion"/>
  </si>
  <si>
    <t>무기공격력평균</t>
    <phoneticPr fontId="16" type="noConversion"/>
  </si>
  <si>
    <t>스탯</t>
    <phoneticPr fontId="16" type="noConversion"/>
  </si>
  <si>
    <t>빨강룬 공격력</t>
    <phoneticPr fontId="16" type="noConversion"/>
  </si>
  <si>
    <t>속성무기 고려x</t>
    <phoneticPr fontId="16" type="noConversion"/>
  </si>
  <si>
    <t>오차범위 2~3퍼센트</t>
    <phoneticPr fontId="16" type="noConversion"/>
  </si>
  <si>
    <t>노랑색만 수정하셔서 계산하시면 됩니다.</t>
    <phoneticPr fontId="16" type="noConversion"/>
  </si>
  <si>
    <t>공격속도(신속)</t>
    <phoneticPr fontId="16" type="noConversion"/>
  </si>
  <si>
    <t>쿨타임(신속)</t>
    <phoneticPr fontId="16" type="noConversion"/>
  </si>
  <si>
    <t>치명타피해</t>
    <phoneticPr fontId="16" type="noConversion"/>
  </si>
  <si>
    <t>특화</t>
    <phoneticPr fontId="16" type="noConversion"/>
  </si>
  <si>
    <t>핸드건치피</t>
    <phoneticPr fontId="16" type="noConversion"/>
  </si>
  <si>
    <t>샷건쿨감</t>
    <phoneticPr fontId="16" type="noConversion"/>
  </si>
  <si>
    <t>라이플방관</t>
    <phoneticPr fontId="16" type="noConversion"/>
  </si>
  <si>
    <t>라이플증뎀</t>
    <phoneticPr fontId="16" type="noConversion"/>
  </si>
  <si>
    <t>백어택증뎀</t>
    <phoneticPr fontId="16" type="noConversion"/>
  </si>
  <si>
    <t>백어택치명률</t>
    <phoneticPr fontId="16" type="noConversion"/>
  </si>
  <si>
    <t>샷건근접증뎀</t>
    <phoneticPr fontId="16" type="noConversion"/>
  </si>
  <si>
    <t>공격력</t>
    <phoneticPr fontId="16" type="noConversion"/>
  </si>
  <si>
    <t>특화</t>
    <phoneticPr fontId="15" type="noConversion"/>
  </si>
  <si>
    <t>신속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</si>
</sst>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0_ "/>
    <numFmt numFmtId="178" formatCode="0.00_);[Red]\(0.00\)"/>
    <numFmt numFmtId="179" formatCode="0_);[Red]\(0\)"/>
  </numFmts>
  <fonts count="23">
    <font>
      <sz val="11"/>
      <color rgb="FF000000"/>
      <name val="맑은 고딕"/>
    </font>
    <font>
      <sz val="9"/>
      <color rgb="FF000000"/>
      <name val="맑은 고딕"/>
      <family val="3"/>
      <charset val="129"/>
    </font>
    <font>
      <sz val="14"/>
      <color rgb="FF000000"/>
      <name val="맑은 고딕"/>
      <family val="3"/>
      <charset val="129"/>
    </font>
    <font>
      <sz val="11"/>
      <name val="맑은 고딕"/>
      <family val="3"/>
      <charset val="129"/>
    </font>
    <font>
      <sz val="9"/>
      <color rgb="FF9C6500"/>
      <name val="맑은 고딕"/>
      <family val="3"/>
      <charset val="129"/>
    </font>
    <font>
      <sz val="9"/>
      <color rgb="FF006100"/>
      <name val="맑은 고딕"/>
      <family val="3"/>
      <charset val="129"/>
    </font>
    <font>
      <sz val="22"/>
      <color rgb="FF000000"/>
      <name val="맑은 고딕"/>
      <family val="3"/>
      <charset val="129"/>
    </font>
    <font>
      <sz val="9"/>
      <color rgb="FF9C0006"/>
      <name val="맑은 고딕"/>
      <family val="3"/>
      <charset val="129"/>
    </font>
    <font>
      <sz val="9"/>
      <color rgb="FFFF0000"/>
      <name val="맑은 고딕"/>
      <family val="3"/>
      <charset val="129"/>
    </font>
    <font>
      <sz val="20"/>
      <color rgb="FF000000"/>
      <name val="맑은 고딕"/>
      <family val="3"/>
      <charset val="129"/>
    </font>
    <font>
      <sz val="16"/>
      <color rgb="FF000000"/>
      <name val="맑은 고딕"/>
      <family val="3"/>
      <charset val="129"/>
    </font>
    <font>
      <sz val="9"/>
      <color rgb="FFFFC000"/>
      <name val="맑은 고딕"/>
      <family val="3"/>
      <charset val="129"/>
    </font>
    <font>
      <sz val="9"/>
      <color rgb="FF00B0F0"/>
      <name val="맑은 고딕"/>
      <family val="3"/>
      <charset val="129"/>
    </font>
    <font>
      <sz val="9"/>
      <color rgb="FF7030A0"/>
      <name val="맑은 고딕"/>
      <family val="3"/>
      <charset val="129"/>
    </font>
    <font>
      <sz val="14"/>
      <color rgb="FFFF0000"/>
      <name val="맑은 고딕"/>
      <family val="3"/>
      <charset val="129"/>
    </font>
    <font>
      <sz val="8"/>
      <name val="돋움"/>
      <family val="3"/>
      <charset val="129"/>
    </font>
    <font>
      <sz val="8"/>
      <name val="맑은 고딕"/>
      <family val="2"/>
      <charset val="129"/>
      <scheme val="minor"/>
    </font>
    <font>
      <sz val="6"/>
      <color rgb="FF000000"/>
      <name val="맑은 고딕"/>
      <family val="3"/>
      <charset val="129"/>
    </font>
    <font>
      <b/>
      <sz val="6"/>
      <color theme="1"/>
      <name val="맑은 고딕"/>
      <family val="3"/>
      <charset val="129"/>
      <scheme val="minor"/>
    </font>
    <font>
      <sz val="6"/>
      <color theme="1"/>
      <name val="맑은 고딕"/>
      <family val="3"/>
      <charset val="129"/>
    </font>
    <font>
      <b/>
      <sz val="6"/>
      <color rgb="FFFF0000"/>
      <name val="맑은 고딕"/>
      <family val="3"/>
      <charset val="129"/>
    </font>
    <font>
      <u/>
      <sz val="6"/>
      <color rgb="FFFF0000"/>
      <name val="맑은 고딕"/>
      <family val="3"/>
      <charset val="129"/>
    </font>
    <font>
      <sz val="6"/>
      <color rgb="FFFF0000"/>
      <name val="맑은 고딕"/>
      <family val="3"/>
      <charset val="129"/>
    </font>
  </fonts>
  <fills count="9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9D9D9"/>
        <bgColor indexed="64"/>
      </patternFill>
    </fill>
  </fills>
  <borders count="5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medium">
        <color rgb="FF000000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212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center" vertical="center"/>
    </xf>
    <xf numFmtId="2" fontId="1" fillId="0" borderId="5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5" xfId="0" applyFont="1" applyBorder="1" applyAlignment="1">
      <alignment vertical="center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center" vertical="center"/>
    </xf>
    <xf numFmtId="0" fontId="5" fillId="3" borderId="16" xfId="0" applyFont="1" applyFill="1" applyBorder="1" applyAlignment="1">
      <alignment vertical="center"/>
    </xf>
    <xf numFmtId="0" fontId="5" fillId="3" borderId="17" xfId="0" applyFont="1" applyFill="1" applyBorder="1" applyAlignment="1">
      <alignment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vertical="center"/>
    </xf>
    <xf numFmtId="0" fontId="5" fillId="3" borderId="19" xfId="0" applyFont="1" applyFill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5" fillId="3" borderId="20" xfId="0" applyFont="1" applyFill="1" applyBorder="1" applyAlignment="1">
      <alignment horizontal="right" vertical="center"/>
    </xf>
    <xf numFmtId="0" fontId="1" fillId="0" borderId="5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right" vertical="center"/>
    </xf>
    <xf numFmtId="0" fontId="1" fillId="0" borderId="22" xfId="0" applyFont="1" applyBorder="1" applyAlignment="1">
      <alignment horizontal="center" vertical="center"/>
    </xf>
    <xf numFmtId="0" fontId="5" fillId="3" borderId="23" xfId="0" applyFont="1" applyFill="1" applyBorder="1" applyAlignment="1">
      <alignment horizontal="right" vertical="center"/>
    </xf>
    <xf numFmtId="0" fontId="1" fillId="0" borderId="6" xfId="0" applyFont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" fillId="3" borderId="20" xfId="0" applyFont="1" applyFill="1" applyBorder="1" applyAlignment="1">
      <alignment vertical="center"/>
    </xf>
    <xf numFmtId="0" fontId="5" fillId="3" borderId="21" xfId="0" applyFont="1" applyFill="1" applyBorder="1" applyAlignment="1">
      <alignment vertical="center"/>
    </xf>
    <xf numFmtId="0" fontId="1" fillId="0" borderId="8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0" borderId="24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5" xfId="0" applyFont="1" applyBorder="1" applyAlignment="1">
      <alignment horizontal="right" vertical="center"/>
    </xf>
    <xf numFmtId="0" fontId="1" fillId="0" borderId="4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6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27" xfId="0" applyFont="1" applyBorder="1" applyAlignment="1">
      <alignment horizontal="right" vertical="center"/>
    </xf>
    <xf numFmtId="1" fontId="1" fillId="0" borderId="25" xfId="0" applyNumberFormat="1" applyFont="1" applyBorder="1" applyAlignment="1">
      <alignment horizontal="right" vertical="center"/>
    </xf>
    <xf numFmtId="1" fontId="1" fillId="0" borderId="26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1" fontId="1" fillId="0" borderId="27" xfId="0" applyNumberFormat="1" applyFont="1" applyBorder="1" applyAlignment="1">
      <alignment horizontal="right" vertical="center"/>
    </xf>
    <xf numFmtId="0" fontId="7" fillId="4" borderId="28" xfId="0" applyFont="1" applyFill="1" applyBorder="1" applyAlignment="1">
      <alignment horizontal="center" vertical="center"/>
    </xf>
    <xf numFmtId="176" fontId="8" fillId="0" borderId="25" xfId="0" applyNumberFormat="1" applyFont="1" applyBorder="1" applyAlignment="1">
      <alignment horizontal="right" vertical="center"/>
    </xf>
    <xf numFmtId="176" fontId="1" fillId="0" borderId="26" xfId="0" applyNumberFormat="1" applyFont="1" applyBorder="1" applyAlignment="1">
      <alignment horizontal="right" vertical="center"/>
    </xf>
    <xf numFmtId="176" fontId="1" fillId="0" borderId="27" xfId="0" applyNumberFormat="1" applyFont="1" applyBorder="1" applyAlignment="1">
      <alignment horizontal="right" vertical="center"/>
    </xf>
    <xf numFmtId="2" fontId="1" fillId="0" borderId="5" xfId="0" applyNumberFormat="1" applyFont="1" applyBorder="1" applyAlignment="1">
      <alignment horizontal="right" vertical="center"/>
    </xf>
    <xf numFmtId="0" fontId="1" fillId="0" borderId="26" xfId="0" applyFont="1" applyBorder="1" applyAlignment="1">
      <alignment horizontal="right" vertical="center"/>
    </xf>
    <xf numFmtId="0" fontId="8" fillId="0" borderId="29" xfId="0" applyFont="1" applyBorder="1" applyAlignment="1">
      <alignment horizontal="right" vertical="center"/>
    </xf>
    <xf numFmtId="0" fontId="7" fillId="4" borderId="18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31" xfId="0" applyFont="1" applyBorder="1" applyAlignment="1">
      <alignment horizontal="right" vertical="center"/>
    </xf>
    <xf numFmtId="0" fontId="1" fillId="0" borderId="32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2" xfId="0" applyFont="1" applyBorder="1" applyAlignment="1">
      <alignment vertical="center"/>
    </xf>
    <xf numFmtId="0" fontId="1" fillId="0" borderId="33" xfId="0" applyFont="1" applyBorder="1" applyAlignment="1">
      <alignment horizontal="right" vertical="center"/>
    </xf>
    <xf numFmtId="1" fontId="1" fillId="0" borderId="31" xfId="0" applyNumberFormat="1" applyFont="1" applyBorder="1" applyAlignment="1">
      <alignment horizontal="right" vertical="center"/>
    </xf>
    <xf numFmtId="1" fontId="1" fillId="0" borderId="32" xfId="0" applyNumberFormat="1" applyFont="1" applyBorder="1" applyAlignment="1">
      <alignment horizontal="right" vertical="center"/>
    </xf>
    <xf numFmtId="1" fontId="1" fillId="0" borderId="33" xfId="0" applyNumberFormat="1" applyFont="1" applyBorder="1" applyAlignment="1">
      <alignment horizontal="right" vertical="center"/>
    </xf>
    <xf numFmtId="1" fontId="1" fillId="0" borderId="5" xfId="0" applyNumberFormat="1" applyFont="1" applyBorder="1" applyAlignment="1">
      <alignment horizontal="right" vertical="center"/>
    </xf>
    <xf numFmtId="176" fontId="8" fillId="0" borderId="31" xfId="0" applyNumberFormat="1" applyFont="1" applyBorder="1" applyAlignment="1">
      <alignment horizontal="right" vertical="center"/>
    </xf>
    <xf numFmtId="176" fontId="1" fillId="0" borderId="32" xfId="0" applyNumberFormat="1" applyFont="1" applyBorder="1" applyAlignment="1">
      <alignment horizontal="right" vertical="center"/>
    </xf>
    <xf numFmtId="176" fontId="1" fillId="0" borderId="33" xfId="0" applyNumberFormat="1" applyFont="1" applyBorder="1" applyAlignment="1">
      <alignment horizontal="right" vertical="center"/>
    </xf>
    <xf numFmtId="0" fontId="1" fillId="0" borderId="32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8" fillId="0" borderId="34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0" borderId="13" xfId="0" applyFont="1" applyBorder="1" applyAlignment="1">
      <alignment horizontal="right" vertical="center"/>
    </xf>
    <xf numFmtId="0" fontId="1" fillId="0" borderId="15" xfId="0" applyFont="1" applyBorder="1" applyAlignment="1">
      <alignment horizontal="right" vertical="center"/>
    </xf>
    <xf numFmtId="0" fontId="1" fillId="0" borderId="12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5" fillId="3" borderId="35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1" fillId="0" borderId="1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vertical="center"/>
    </xf>
    <xf numFmtId="0" fontId="5" fillId="3" borderId="2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0" fontId="1" fillId="0" borderId="14" xfId="0" applyFont="1" applyBorder="1" applyAlignment="1">
      <alignment vertical="center"/>
    </xf>
    <xf numFmtId="0" fontId="11" fillId="0" borderId="2" xfId="0" applyFont="1" applyBorder="1" applyAlignment="1">
      <alignment horizontal="left" vertical="center"/>
    </xf>
    <xf numFmtId="1" fontId="1" fillId="0" borderId="4" xfId="0" applyNumberFormat="1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right" vertical="center"/>
    </xf>
    <xf numFmtId="1" fontId="1" fillId="0" borderId="0" xfId="0" applyNumberFormat="1" applyFont="1" applyAlignment="1">
      <alignment horizontal="right" vertical="center"/>
    </xf>
    <xf numFmtId="1" fontId="1" fillId="0" borderId="2" xfId="0" applyNumberFormat="1" applyFont="1" applyBorder="1" applyAlignment="1">
      <alignment horizontal="right" vertical="center"/>
    </xf>
    <xf numFmtId="176" fontId="1" fillId="0" borderId="2" xfId="0" applyNumberFormat="1" applyFont="1" applyBorder="1" applyAlignment="1">
      <alignment horizontal="right" vertical="center"/>
    </xf>
    <xf numFmtId="176" fontId="1" fillId="0" borderId="3" xfId="0" applyNumberFormat="1" applyFont="1" applyBorder="1" applyAlignment="1">
      <alignment horizontal="right" vertical="center"/>
    </xf>
    <xf numFmtId="1" fontId="1" fillId="0" borderId="3" xfId="0" applyNumberFormat="1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" fillId="0" borderId="36" xfId="0" applyFont="1" applyBorder="1" applyAlignment="1">
      <alignment vertical="center"/>
    </xf>
    <xf numFmtId="176" fontId="1" fillId="0" borderId="0" xfId="0" applyNumberFormat="1" applyFont="1" applyAlignment="1">
      <alignment horizontal="right" vertical="center"/>
    </xf>
    <xf numFmtId="176" fontId="1" fillId="0" borderId="5" xfId="0" applyNumberFormat="1" applyFont="1" applyBorder="1" applyAlignment="1">
      <alignment horizontal="right" vertical="center"/>
    </xf>
    <xf numFmtId="176" fontId="8" fillId="0" borderId="34" xfId="0" applyNumberFormat="1" applyFont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1" fontId="1" fillId="0" borderId="32" xfId="0" applyNumberFormat="1" applyFont="1" applyBorder="1" applyAlignment="1">
      <alignment vertical="center"/>
    </xf>
    <xf numFmtId="1" fontId="1" fillId="0" borderId="33" xfId="0" applyNumberFormat="1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13" fillId="0" borderId="13" xfId="0" applyFont="1" applyBorder="1" applyAlignment="1">
      <alignment horizontal="left" vertical="center"/>
    </xf>
    <xf numFmtId="1" fontId="1" fillId="0" borderId="12" xfId="0" applyNumberFormat="1" applyFont="1" applyBorder="1" applyAlignment="1">
      <alignment horizontal="right" vertical="center"/>
    </xf>
    <xf numFmtId="1" fontId="1" fillId="0" borderId="13" xfId="0" applyNumberFormat="1" applyFont="1" applyBorder="1" applyAlignment="1">
      <alignment horizontal="right" vertical="center"/>
    </xf>
    <xf numFmtId="1" fontId="1" fillId="0" borderId="15" xfId="0" applyNumberFormat="1" applyFont="1" applyBorder="1" applyAlignment="1">
      <alignment horizontal="right" vertical="center"/>
    </xf>
    <xf numFmtId="176" fontId="1" fillId="0" borderId="13" xfId="0" applyNumberFormat="1" applyFont="1" applyBorder="1" applyAlignment="1">
      <alignment horizontal="right" vertical="center"/>
    </xf>
    <xf numFmtId="176" fontId="1" fillId="0" borderId="15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left" vertical="center"/>
    </xf>
    <xf numFmtId="1" fontId="8" fillId="0" borderId="0" xfId="0" applyNumberFormat="1" applyFont="1" applyAlignment="1">
      <alignment horizontal="right" vertical="center"/>
    </xf>
    <xf numFmtId="2" fontId="1" fillId="0" borderId="2" xfId="0" applyNumberFormat="1" applyFont="1" applyBorder="1" applyAlignment="1">
      <alignment horizontal="right" vertical="center"/>
    </xf>
    <xf numFmtId="0" fontId="1" fillId="0" borderId="34" xfId="0" applyFont="1" applyBorder="1" applyAlignment="1">
      <alignment horizontal="right" vertical="center"/>
    </xf>
    <xf numFmtId="0" fontId="1" fillId="0" borderId="38" xfId="0" applyFont="1" applyBorder="1" applyAlignment="1">
      <alignment horizontal="left" vertical="center"/>
    </xf>
    <xf numFmtId="0" fontId="1" fillId="0" borderId="39" xfId="0" applyFont="1" applyBorder="1" applyAlignment="1">
      <alignment horizontal="right" vertical="center"/>
    </xf>
    <xf numFmtId="0" fontId="1" fillId="0" borderId="40" xfId="0" applyFont="1" applyBorder="1" applyAlignment="1">
      <alignment horizontal="left" vertical="center"/>
    </xf>
    <xf numFmtId="0" fontId="1" fillId="0" borderId="40" xfId="0" applyFont="1" applyBorder="1" applyAlignment="1">
      <alignment vertical="center"/>
    </xf>
    <xf numFmtId="0" fontId="1" fillId="0" borderId="41" xfId="0" applyFont="1" applyBorder="1" applyAlignment="1">
      <alignment horizontal="right" vertical="center"/>
    </xf>
    <xf numFmtId="1" fontId="1" fillId="0" borderId="39" xfId="0" applyNumberFormat="1" applyFont="1" applyBorder="1" applyAlignment="1">
      <alignment horizontal="right" vertical="center"/>
    </xf>
    <xf numFmtId="1" fontId="1" fillId="0" borderId="40" xfId="0" applyNumberFormat="1" applyFont="1" applyBorder="1" applyAlignment="1">
      <alignment horizontal="right" vertical="center"/>
    </xf>
    <xf numFmtId="1" fontId="1" fillId="0" borderId="41" xfId="0" applyNumberFormat="1" applyFont="1" applyBorder="1" applyAlignment="1">
      <alignment horizontal="right" vertical="center"/>
    </xf>
    <xf numFmtId="176" fontId="8" fillId="0" borderId="39" xfId="0" applyNumberFormat="1" applyFont="1" applyBorder="1" applyAlignment="1">
      <alignment horizontal="right" vertical="center"/>
    </xf>
    <xf numFmtId="176" fontId="1" fillId="0" borderId="40" xfId="0" applyNumberFormat="1" applyFont="1" applyBorder="1" applyAlignment="1">
      <alignment horizontal="right" vertical="center"/>
    </xf>
    <xf numFmtId="176" fontId="1" fillId="0" borderId="41" xfId="0" applyNumberFormat="1" applyFont="1" applyBorder="1" applyAlignment="1">
      <alignment horizontal="right" vertical="center"/>
    </xf>
    <xf numFmtId="0" fontId="1" fillId="0" borderId="40" xfId="0" applyFont="1" applyBorder="1" applyAlignment="1">
      <alignment horizontal="right" vertical="center"/>
    </xf>
    <xf numFmtId="0" fontId="8" fillId="0" borderId="42" xfId="0" applyFont="1" applyBorder="1" applyAlignment="1">
      <alignment horizontal="right" vertical="center"/>
    </xf>
    <xf numFmtId="0" fontId="1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1" fontId="8" fillId="0" borderId="13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/>
    </xf>
    <xf numFmtId="1" fontId="8" fillId="0" borderId="5" xfId="0" applyNumberFormat="1" applyFont="1" applyBorder="1" applyAlignment="1">
      <alignment horizontal="right" vertical="center"/>
    </xf>
    <xf numFmtId="1" fontId="8" fillId="0" borderId="15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19" fillId="0" borderId="17" xfId="0" applyFont="1" applyBorder="1" applyAlignment="1">
      <alignment vertical="center" wrapText="1"/>
    </xf>
    <xf numFmtId="0" fontId="17" fillId="0" borderId="43" xfId="0" applyFont="1" applyBorder="1" applyAlignment="1">
      <alignment horizontal="center" vertical="center" wrapText="1"/>
    </xf>
    <xf numFmtId="1" fontId="20" fillId="6" borderId="43" xfId="0" applyNumberFormat="1" applyFont="1" applyFill="1" applyBorder="1" applyAlignment="1">
      <alignment horizontal="center" vertical="center" wrapText="1"/>
    </xf>
    <xf numFmtId="0" fontId="17" fillId="0" borderId="43" xfId="0" applyFont="1" applyFill="1" applyBorder="1" applyAlignment="1">
      <alignment horizontal="center" vertical="center" wrapText="1"/>
    </xf>
    <xf numFmtId="177" fontId="20" fillId="6" borderId="43" xfId="0" applyNumberFormat="1" applyFont="1" applyFill="1" applyBorder="1" applyAlignment="1">
      <alignment horizontal="center" vertical="center" wrapText="1"/>
    </xf>
    <xf numFmtId="0" fontId="21" fillId="0" borderId="17" xfId="0" applyFont="1" applyBorder="1" applyAlignment="1">
      <alignment vertical="center"/>
    </xf>
    <xf numFmtId="176" fontId="20" fillId="6" borderId="43" xfId="0" applyNumberFormat="1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176" fontId="20" fillId="0" borderId="17" xfId="0" applyNumberFormat="1" applyFont="1" applyFill="1" applyBorder="1" applyAlignment="1">
      <alignment horizontal="center" vertical="center" wrapText="1"/>
    </xf>
    <xf numFmtId="0" fontId="19" fillId="0" borderId="17" xfId="0" applyFont="1" applyBorder="1" applyAlignment="1">
      <alignment vertical="center"/>
    </xf>
    <xf numFmtId="0" fontId="22" fillId="0" borderId="17" xfId="0" applyFont="1" applyBorder="1" applyAlignment="1">
      <alignment vertical="center"/>
    </xf>
    <xf numFmtId="0" fontId="17" fillId="8" borderId="43" xfId="0" applyFont="1" applyFill="1" applyBorder="1" applyAlignment="1">
      <alignment horizontal="center" vertical="center" wrapText="1"/>
    </xf>
    <xf numFmtId="0" fontId="17" fillId="5" borderId="43" xfId="0" applyFont="1" applyFill="1" applyBorder="1" applyAlignment="1">
      <alignment horizontal="center" vertical="center" wrapText="1"/>
    </xf>
    <xf numFmtId="177" fontId="17" fillId="0" borderId="43" xfId="0" applyNumberFormat="1" applyFont="1" applyBorder="1" applyAlignment="1">
      <alignment horizontal="right" vertical="center" wrapText="1"/>
    </xf>
    <xf numFmtId="0" fontId="19" fillId="0" borderId="0" xfId="0" applyFont="1" applyAlignment="1">
      <alignment vertical="center"/>
    </xf>
    <xf numFmtId="0" fontId="19" fillId="5" borderId="43" xfId="0" applyFont="1" applyFill="1" applyBorder="1" applyAlignment="1">
      <alignment vertical="center"/>
    </xf>
    <xf numFmtId="0" fontId="19" fillId="0" borderId="43" xfId="0" applyFont="1" applyBorder="1" applyAlignment="1">
      <alignment vertical="center"/>
    </xf>
    <xf numFmtId="0" fontId="19" fillId="0" borderId="17" xfId="0" applyFont="1" applyFill="1" applyBorder="1" applyAlignment="1">
      <alignment vertical="center"/>
    </xf>
    <xf numFmtId="177" fontId="7" fillId="4" borderId="1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178" fontId="1" fillId="0" borderId="1" xfId="0" applyNumberFormat="1" applyFont="1" applyBorder="1" applyAlignment="1">
      <alignment horizontal="right" vertical="center"/>
    </xf>
    <xf numFmtId="178" fontId="1" fillId="0" borderId="2" xfId="0" applyNumberFormat="1" applyFont="1" applyBorder="1" applyAlignment="1">
      <alignment horizontal="right" vertical="center"/>
    </xf>
    <xf numFmtId="178" fontId="1" fillId="0" borderId="3" xfId="0" applyNumberFormat="1" applyFont="1" applyBorder="1" applyAlignment="1">
      <alignment horizontal="right" vertical="center"/>
    </xf>
    <xf numFmtId="178" fontId="1" fillId="0" borderId="2" xfId="0" applyNumberFormat="1" applyFont="1" applyBorder="1" applyAlignment="1">
      <alignment vertical="center"/>
    </xf>
    <xf numFmtId="178" fontId="1" fillId="0" borderId="4" xfId="0" applyNumberFormat="1" applyFont="1" applyBorder="1" applyAlignment="1">
      <alignment horizontal="right" vertical="center"/>
    </xf>
    <xf numFmtId="178" fontId="1" fillId="0" borderId="0" xfId="0" applyNumberFormat="1" applyFont="1" applyAlignment="1">
      <alignment horizontal="right" vertical="center"/>
    </xf>
    <xf numFmtId="178" fontId="1" fillId="0" borderId="5" xfId="0" applyNumberFormat="1" applyFont="1" applyBorder="1" applyAlignment="1">
      <alignment horizontal="right" vertical="center"/>
    </xf>
    <xf numFmtId="178" fontId="1" fillId="0" borderId="0" xfId="0" applyNumberFormat="1" applyFont="1" applyAlignment="1">
      <alignment vertical="center"/>
    </xf>
    <xf numFmtId="178" fontId="1" fillId="0" borderId="0" xfId="0" applyNumberFormat="1" applyFont="1" applyBorder="1" applyAlignment="1">
      <alignment horizontal="right" vertical="center"/>
    </xf>
    <xf numFmtId="178" fontId="1" fillId="0" borderId="0" xfId="0" applyNumberFormat="1" applyFont="1" applyBorder="1" applyAlignment="1">
      <alignment vertical="center"/>
    </xf>
    <xf numFmtId="178" fontId="1" fillId="0" borderId="12" xfId="0" applyNumberFormat="1" applyFont="1" applyBorder="1" applyAlignment="1">
      <alignment horizontal="right" vertical="center"/>
    </xf>
    <xf numFmtId="178" fontId="1" fillId="0" borderId="13" xfId="0" applyNumberFormat="1" applyFont="1" applyBorder="1" applyAlignment="1">
      <alignment horizontal="right" vertical="center"/>
    </xf>
    <xf numFmtId="178" fontId="1" fillId="0" borderId="15" xfId="0" applyNumberFormat="1" applyFont="1" applyBorder="1" applyAlignment="1">
      <alignment horizontal="right" vertical="center"/>
    </xf>
    <xf numFmtId="178" fontId="1" fillId="0" borderId="13" xfId="0" applyNumberFormat="1" applyFont="1" applyBorder="1" applyAlignment="1">
      <alignment vertical="center"/>
    </xf>
    <xf numFmtId="178" fontId="1" fillId="0" borderId="49" xfId="0" applyNumberFormat="1" applyFont="1" applyBorder="1" applyAlignment="1">
      <alignment horizontal="right" vertical="center"/>
    </xf>
    <xf numFmtId="178" fontId="1" fillId="0" borderId="47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8" fillId="5" borderId="43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5" borderId="44" xfId="0" applyFont="1" applyFill="1" applyBorder="1" applyAlignment="1">
      <alignment horizontal="center" vertical="center"/>
    </xf>
    <xf numFmtId="0" fontId="19" fillId="5" borderId="45" xfId="0" applyFont="1" applyFill="1" applyBorder="1" applyAlignment="1">
      <alignment horizontal="center" vertical="center"/>
    </xf>
    <xf numFmtId="0" fontId="19" fillId="5" borderId="4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78" fontId="1" fillId="0" borderId="16" xfId="0" applyNumberFormat="1" applyFont="1" applyBorder="1" applyAlignment="1">
      <alignment horizontal="right" vertical="center"/>
    </xf>
    <xf numFmtId="179" fontId="1" fillId="0" borderId="2" xfId="0" applyNumberFormat="1" applyFont="1" applyBorder="1" applyAlignment="1">
      <alignment horizontal="right" vertical="center"/>
    </xf>
    <xf numFmtId="179" fontId="1" fillId="0" borderId="0" xfId="0" applyNumberFormat="1" applyFont="1" applyAlignment="1">
      <alignment horizontal="right" vertical="center"/>
    </xf>
    <xf numFmtId="179" fontId="1" fillId="0" borderId="5" xfId="0" applyNumberFormat="1" applyFont="1" applyBorder="1" applyAlignment="1">
      <alignment horizontal="right" vertical="center"/>
    </xf>
    <xf numFmtId="179" fontId="1" fillId="0" borderId="0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right" vertical="center"/>
    </xf>
    <xf numFmtId="179" fontId="1" fillId="0" borderId="48" xfId="0" applyNumberFormat="1" applyFont="1" applyBorder="1" applyAlignment="1">
      <alignment horizontal="right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000"/>
  <sheetViews>
    <sheetView topLeftCell="A18" workbookViewId="0">
      <selection activeCell="E51" sqref="E51"/>
    </sheetView>
  </sheetViews>
  <sheetFormatPr defaultColWidth="12.625" defaultRowHeight="15" customHeight="1"/>
  <cols>
    <col min="1" max="1" width="7.875" customWidth="1"/>
    <col min="2" max="2" width="3.125" customWidth="1"/>
    <col min="3" max="3" width="2.75" customWidth="1"/>
    <col min="4" max="4" width="11.75" customWidth="1"/>
    <col min="5" max="6" width="7.875" customWidth="1"/>
    <col min="7" max="7" width="9.125" customWidth="1"/>
    <col min="8" max="12" width="7.875" customWidth="1"/>
    <col min="13" max="55" width="7.875" hidden="1" customWidth="1"/>
    <col min="56" max="63" width="7.875" customWidth="1"/>
  </cols>
  <sheetData>
    <row r="1" spans="1:63" ht="12" hidden="1" customHeight="1">
      <c r="A1" s="2"/>
      <c r="B1" s="2"/>
      <c r="C1" s="2"/>
      <c r="D1" s="2"/>
      <c r="E1" s="2"/>
      <c r="F1" s="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2" hidden="1" customHeight="1">
      <c r="A2" s="2"/>
      <c r="B2" s="5" t="s">
        <v>1</v>
      </c>
      <c r="C2" s="6" t="s">
        <v>2</v>
      </c>
      <c r="D2" s="6" t="s">
        <v>3</v>
      </c>
      <c r="E2" s="6" t="s">
        <v>4</v>
      </c>
      <c r="F2" s="8"/>
      <c r="G2" s="6" t="s">
        <v>5</v>
      </c>
      <c r="H2" s="6" t="s">
        <v>6</v>
      </c>
      <c r="I2" s="6" t="s">
        <v>7</v>
      </c>
      <c r="J2" s="6" t="s">
        <v>8</v>
      </c>
      <c r="K2" s="6"/>
      <c r="L2" s="6" t="s">
        <v>9</v>
      </c>
      <c r="M2" s="6"/>
      <c r="N2" s="6" t="s">
        <v>10</v>
      </c>
      <c r="O2" s="6" t="s">
        <v>11</v>
      </c>
      <c r="P2" s="6"/>
      <c r="Q2" s="6" t="s">
        <v>12</v>
      </c>
      <c r="R2" s="6" t="s">
        <v>13</v>
      </c>
      <c r="S2" s="6"/>
      <c r="T2" s="6" t="s">
        <v>14</v>
      </c>
      <c r="U2" s="6"/>
      <c r="V2" s="6"/>
      <c r="W2" s="6" t="s">
        <v>15</v>
      </c>
      <c r="X2" s="6" t="s">
        <v>16</v>
      </c>
      <c r="Y2" s="6" t="s">
        <v>17</v>
      </c>
      <c r="Z2" s="6" t="s">
        <v>18</v>
      </c>
      <c r="AA2" s="6"/>
      <c r="AB2" s="6" t="s">
        <v>19</v>
      </c>
      <c r="AC2" s="6"/>
      <c r="AD2" s="6" t="s">
        <v>20</v>
      </c>
      <c r="AE2" s="6"/>
      <c r="AF2" s="6" t="s">
        <v>21</v>
      </c>
      <c r="AG2" s="9" t="s">
        <v>22</v>
      </c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2" hidden="1" customHeight="1">
      <c r="A3" s="2"/>
      <c r="B3" s="10" t="s">
        <v>24</v>
      </c>
      <c r="C3" s="1">
        <v>8</v>
      </c>
      <c r="D3" s="1">
        <v>6</v>
      </c>
      <c r="E3" s="1">
        <v>12</v>
      </c>
      <c r="F3" s="3"/>
      <c r="G3" s="1">
        <v>8</v>
      </c>
      <c r="H3" s="1">
        <v>20</v>
      </c>
      <c r="I3" s="1">
        <v>9</v>
      </c>
      <c r="J3" s="1">
        <v>24</v>
      </c>
      <c r="K3" s="1"/>
      <c r="L3" s="1">
        <v>36</v>
      </c>
      <c r="M3" s="1"/>
      <c r="N3" s="1">
        <v>16</v>
      </c>
      <c r="O3" s="1">
        <v>30</v>
      </c>
      <c r="P3" s="1"/>
      <c r="Q3" s="1">
        <v>24</v>
      </c>
      <c r="R3" s="1">
        <v>24</v>
      </c>
      <c r="S3" s="1"/>
      <c r="T3" s="1">
        <v>36</v>
      </c>
      <c r="U3" s="1"/>
      <c r="V3" s="1"/>
      <c r="W3" s="1">
        <v>30</v>
      </c>
      <c r="X3" s="1">
        <v>6</v>
      </c>
      <c r="Y3" s="1">
        <v>8</v>
      </c>
      <c r="Z3" s="1">
        <v>24</v>
      </c>
      <c r="AA3" s="1"/>
      <c r="AB3" s="1">
        <v>24</v>
      </c>
      <c r="AC3" s="1"/>
      <c r="AD3" s="1">
        <v>18</v>
      </c>
      <c r="AE3" s="1"/>
      <c r="AF3" s="1">
        <v>36</v>
      </c>
      <c r="AG3" s="11">
        <v>30</v>
      </c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2" hidden="1" customHeight="1">
      <c r="A4" s="2"/>
      <c r="B4" s="10">
        <v>1</v>
      </c>
      <c r="C4" s="1">
        <v>209</v>
      </c>
      <c r="D4" s="1">
        <v>123</v>
      </c>
      <c r="E4" s="1">
        <v>40</v>
      </c>
      <c r="F4" s="3">
        <v>159</v>
      </c>
      <c r="G4" s="1">
        <v>18</v>
      </c>
      <c r="H4" s="1">
        <v>403</v>
      </c>
      <c r="I4" s="1">
        <v>78</v>
      </c>
      <c r="J4" s="1">
        <v>152</v>
      </c>
      <c r="K4" s="1">
        <v>193</v>
      </c>
      <c r="L4" s="1">
        <v>489</v>
      </c>
      <c r="M4" s="1">
        <v>41</v>
      </c>
      <c r="N4" s="1">
        <v>574</v>
      </c>
      <c r="O4" s="1">
        <v>116</v>
      </c>
      <c r="P4" s="1">
        <v>46</v>
      </c>
      <c r="Q4" s="1">
        <v>491</v>
      </c>
      <c r="R4" s="1">
        <v>385</v>
      </c>
      <c r="S4" s="1">
        <v>215</v>
      </c>
      <c r="T4" s="1">
        <v>171</v>
      </c>
      <c r="U4" s="1">
        <v>171</v>
      </c>
      <c r="V4" s="1">
        <v>231</v>
      </c>
      <c r="W4" s="1">
        <v>161</v>
      </c>
      <c r="X4" s="1">
        <v>72</v>
      </c>
      <c r="Y4" s="1">
        <v>67</v>
      </c>
      <c r="Z4" s="1">
        <v>230</v>
      </c>
      <c r="AA4" s="1">
        <v>156</v>
      </c>
      <c r="AB4" s="1">
        <v>120</v>
      </c>
      <c r="AC4" s="1">
        <v>203</v>
      </c>
      <c r="AD4" s="1">
        <v>174</v>
      </c>
      <c r="AE4" s="1">
        <v>173</v>
      </c>
      <c r="AF4" s="1">
        <v>705</v>
      </c>
      <c r="AG4" s="11">
        <v>740</v>
      </c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2" hidden="1" customHeight="1">
      <c r="A5" s="2"/>
      <c r="B5" s="10">
        <v>4</v>
      </c>
      <c r="C5" s="1">
        <v>599</v>
      </c>
      <c r="D5" s="1">
        <v>326</v>
      </c>
      <c r="E5" s="1">
        <v>104</v>
      </c>
      <c r="F5" s="3">
        <v>417</v>
      </c>
      <c r="G5" s="1">
        <v>48</v>
      </c>
      <c r="H5" s="1">
        <v>1070</v>
      </c>
      <c r="I5" s="1">
        <v>207</v>
      </c>
      <c r="J5" s="1">
        <v>403</v>
      </c>
      <c r="K5" s="1">
        <v>514</v>
      </c>
      <c r="L5" s="1">
        <v>1298</v>
      </c>
      <c r="M5" s="1">
        <v>107</v>
      </c>
      <c r="N5" s="1">
        <v>1524</v>
      </c>
      <c r="O5" s="1">
        <v>307</v>
      </c>
      <c r="P5" s="1">
        <v>122</v>
      </c>
      <c r="Q5" s="1">
        <v>1305</v>
      </c>
      <c r="R5" s="1">
        <v>1030</v>
      </c>
      <c r="S5" s="1">
        <v>571</v>
      </c>
      <c r="T5" s="1">
        <v>453</v>
      </c>
      <c r="U5" s="1">
        <v>453</v>
      </c>
      <c r="V5" s="1">
        <v>614</v>
      </c>
      <c r="W5" s="1">
        <v>427</v>
      </c>
      <c r="X5" s="1">
        <v>193</v>
      </c>
      <c r="Y5" s="1">
        <v>176</v>
      </c>
      <c r="Z5" s="1">
        <v>613</v>
      </c>
      <c r="AA5" s="1">
        <v>414</v>
      </c>
      <c r="AB5" s="1">
        <v>318</v>
      </c>
      <c r="AC5" s="1">
        <v>536</v>
      </c>
      <c r="AD5" s="1">
        <v>462</v>
      </c>
      <c r="AE5" s="1">
        <v>460</v>
      </c>
      <c r="AF5" s="1">
        <v>1872</v>
      </c>
      <c r="AG5" s="11">
        <v>1996</v>
      </c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12" hidden="1" customHeight="1">
      <c r="A6" s="2"/>
      <c r="B6" s="10">
        <v>7</v>
      </c>
      <c r="C6" s="1">
        <v>722</v>
      </c>
      <c r="D6" s="1">
        <v>419</v>
      </c>
      <c r="E6" s="1">
        <v>135</v>
      </c>
      <c r="F6" s="3">
        <v>542</v>
      </c>
      <c r="G6" s="1">
        <v>61</v>
      </c>
      <c r="H6" s="1">
        <v>1380</v>
      </c>
      <c r="I6" s="1">
        <v>267</v>
      </c>
      <c r="J6" s="1">
        <v>520</v>
      </c>
      <c r="K6" s="1">
        <v>663</v>
      </c>
      <c r="L6" s="1">
        <v>1676</v>
      </c>
      <c r="M6" s="1">
        <v>139</v>
      </c>
      <c r="N6" s="1">
        <v>1965</v>
      </c>
      <c r="O6" s="1">
        <v>396</v>
      </c>
      <c r="P6" s="1">
        <v>158</v>
      </c>
      <c r="Q6" s="1">
        <v>1683</v>
      </c>
      <c r="R6" s="1">
        <v>1327</v>
      </c>
      <c r="S6" s="1">
        <v>737</v>
      </c>
      <c r="T6" s="1">
        <v>585</v>
      </c>
      <c r="U6" s="1">
        <v>585</v>
      </c>
      <c r="V6" s="1">
        <v>792</v>
      </c>
      <c r="W6" s="1">
        <v>552</v>
      </c>
      <c r="X6" s="1">
        <v>249</v>
      </c>
      <c r="Y6" s="1">
        <v>228</v>
      </c>
      <c r="Z6" s="1">
        <v>791</v>
      </c>
      <c r="AA6" s="1">
        <v>536</v>
      </c>
      <c r="AB6" s="1">
        <v>412</v>
      </c>
      <c r="AC6" s="1">
        <v>694</v>
      </c>
      <c r="AD6" s="1">
        <v>595</v>
      </c>
      <c r="AE6" s="1">
        <v>594</v>
      </c>
      <c r="AF6" s="1">
        <v>2415</v>
      </c>
      <c r="AG6" s="11">
        <v>2537</v>
      </c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63" ht="12" hidden="1" customHeight="1">
      <c r="A7" s="2"/>
      <c r="B7" s="10">
        <v>10</v>
      </c>
      <c r="C7" s="1">
        <v>827</v>
      </c>
      <c r="D7" s="1">
        <v>479</v>
      </c>
      <c r="E7" s="1">
        <v>154</v>
      </c>
      <c r="F7" s="3">
        <v>618</v>
      </c>
      <c r="G7" s="1">
        <v>69</v>
      </c>
      <c r="H7" s="1">
        <v>1577</v>
      </c>
      <c r="I7" s="1">
        <v>305</v>
      </c>
      <c r="J7" s="1">
        <v>595</v>
      </c>
      <c r="K7" s="1">
        <v>759</v>
      </c>
      <c r="L7" s="1">
        <v>1916</v>
      </c>
      <c r="M7" s="1">
        <v>157</v>
      </c>
      <c r="N7" s="1">
        <v>2245</v>
      </c>
      <c r="O7" s="1">
        <v>452</v>
      </c>
      <c r="P7" s="1">
        <v>180</v>
      </c>
      <c r="Q7" s="1">
        <v>1925</v>
      </c>
      <c r="R7" s="1">
        <v>1530</v>
      </c>
      <c r="S7" s="1">
        <v>844</v>
      </c>
      <c r="T7" s="1">
        <v>670</v>
      </c>
      <c r="U7" s="1">
        <v>670</v>
      </c>
      <c r="V7" s="1">
        <v>906</v>
      </c>
      <c r="W7" s="1">
        <v>629</v>
      </c>
      <c r="X7" s="1">
        <v>284</v>
      </c>
      <c r="Y7" s="1">
        <v>262</v>
      </c>
      <c r="Z7" s="1">
        <v>907</v>
      </c>
      <c r="AA7" s="1">
        <v>614</v>
      </c>
      <c r="AB7" s="1">
        <v>471</v>
      </c>
      <c r="AC7" s="1">
        <v>794</v>
      </c>
      <c r="AD7" s="1">
        <v>677</v>
      </c>
      <c r="AE7" s="1">
        <v>680</v>
      </c>
      <c r="AF7" s="1">
        <v>2761</v>
      </c>
      <c r="AG7" s="11">
        <v>2901</v>
      </c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ht="12" hidden="1" customHeight="1">
      <c r="A8" s="2"/>
      <c r="B8" s="10">
        <v>1</v>
      </c>
      <c r="C8" s="13">
        <v>3.7225609756097562</v>
      </c>
      <c r="D8" s="13">
        <v>2.1981707317073171</v>
      </c>
      <c r="E8" s="13">
        <v>0.69817073170731703</v>
      </c>
      <c r="F8" s="14">
        <v>2.7957317073170733</v>
      </c>
      <c r="G8" s="13">
        <v>0.31707317073170732</v>
      </c>
      <c r="H8" s="13">
        <v>7.2164634146341466</v>
      </c>
      <c r="I8" s="13">
        <v>1.3932926829268293</v>
      </c>
      <c r="J8" s="13">
        <v>2.7134146341463414</v>
      </c>
      <c r="K8" s="13">
        <v>3.4664634146341462</v>
      </c>
      <c r="L8" s="13">
        <v>8.75</v>
      </c>
      <c r="M8" s="13">
        <v>0.72865853658536583</v>
      </c>
      <c r="N8" s="13">
        <v>10.301829268292684</v>
      </c>
      <c r="O8" s="13">
        <v>2.0731707317073171</v>
      </c>
      <c r="P8" s="13">
        <v>0.82926829268292679</v>
      </c>
      <c r="Q8" s="13">
        <v>8.7896341463414629</v>
      </c>
      <c r="R8" s="13">
        <v>6.8414634146341466</v>
      </c>
      <c r="S8" s="13">
        <v>3.8475609756097562</v>
      </c>
      <c r="T8" s="13">
        <v>2.8841463414634148</v>
      </c>
      <c r="U8" s="13">
        <v>2.8841463414634148</v>
      </c>
      <c r="V8" s="13">
        <v>4.1371951219512191</v>
      </c>
      <c r="W8" s="13">
        <v>2.8689024390243905</v>
      </c>
      <c r="X8" s="13">
        <v>1.2896341463414633</v>
      </c>
      <c r="Y8" s="13">
        <v>1.1890243902439024</v>
      </c>
      <c r="Z8" s="13">
        <v>4.1463414634146343</v>
      </c>
      <c r="AA8" s="13">
        <v>2.7987804878048781</v>
      </c>
      <c r="AB8" s="13">
        <v>2.1402439024390243</v>
      </c>
      <c r="AC8" s="13">
        <v>3.6128048780487805</v>
      </c>
      <c r="AD8" s="13">
        <v>3.100609756097561</v>
      </c>
      <c r="AE8" s="13">
        <v>3.100609756097561</v>
      </c>
      <c r="AF8" s="13">
        <v>12.609756097560975</v>
      </c>
      <c r="AG8" s="15">
        <v>13.25</v>
      </c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ht="12" hidden="1" customHeight="1">
      <c r="A9" s="2"/>
      <c r="B9" s="10">
        <v>4</v>
      </c>
      <c r="C9" s="13">
        <v>4.2987804878048781</v>
      </c>
      <c r="D9" s="13">
        <v>2.6097560975609757</v>
      </c>
      <c r="E9" s="13">
        <v>0.83231707317073167</v>
      </c>
      <c r="F9" s="14">
        <v>3.3201219512195124</v>
      </c>
      <c r="G9" s="13">
        <v>0.37804878048780488</v>
      </c>
      <c r="H9" s="13">
        <v>8.5640243902439028</v>
      </c>
      <c r="I9" s="13">
        <v>1.6554878048780488</v>
      </c>
      <c r="J9" s="13">
        <v>3.225609756097561</v>
      </c>
      <c r="K9" s="13">
        <v>4.1128048780487809</v>
      </c>
      <c r="L9" s="13">
        <v>10.390243902439025</v>
      </c>
      <c r="M9" s="13">
        <v>0.86585365853658536</v>
      </c>
      <c r="N9" s="13">
        <v>12.228658536585366</v>
      </c>
      <c r="O9" s="13">
        <v>2.4603658536585367</v>
      </c>
      <c r="P9" s="13">
        <v>0.9847560975609756</v>
      </c>
      <c r="Q9" s="13">
        <v>10.435975609756097</v>
      </c>
      <c r="R9" s="13">
        <v>8.1219512195121943</v>
      </c>
      <c r="S9" s="13">
        <v>4.5701219512195124</v>
      </c>
      <c r="T9" s="13">
        <v>3.6402439024390243</v>
      </c>
      <c r="U9" s="13">
        <v>3.6402439024390243</v>
      </c>
      <c r="V9" s="13">
        <v>4.9146341463414638</v>
      </c>
      <c r="W9" s="13">
        <v>3.4054878048780486</v>
      </c>
      <c r="X9" s="13">
        <v>1.5304878048780488</v>
      </c>
      <c r="Y9" s="13">
        <v>1.4115853658536586</v>
      </c>
      <c r="Z9" s="13">
        <v>4.9207317073170733</v>
      </c>
      <c r="AA9" s="13">
        <v>3.3231707317073171</v>
      </c>
      <c r="AB9" s="13">
        <v>2.5426829268292681</v>
      </c>
      <c r="AC9" s="13">
        <v>4.2896341463414638</v>
      </c>
      <c r="AD9" s="13">
        <v>3.6798780487804876</v>
      </c>
      <c r="AE9" s="13">
        <v>3.6798780487804876</v>
      </c>
      <c r="AF9" s="13">
        <v>14.972560975609756</v>
      </c>
      <c r="AG9" s="15">
        <v>15.640243902439025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ht="12" hidden="1" customHeight="1">
      <c r="A10" s="2"/>
      <c r="B10" s="10">
        <v>7</v>
      </c>
      <c r="C10" s="13">
        <v>4.6768292682926829</v>
      </c>
      <c r="D10" s="13">
        <v>2.7652439024390243</v>
      </c>
      <c r="E10" s="13">
        <v>0.88109756097560976</v>
      </c>
      <c r="F10" s="14">
        <v>3.5121951219512195</v>
      </c>
      <c r="G10" s="13">
        <v>0.39939024390243905</v>
      </c>
      <c r="H10" s="13">
        <v>8.7713414634146343</v>
      </c>
      <c r="I10" s="13">
        <v>1.7530487804878048</v>
      </c>
      <c r="J10" s="13">
        <v>3.4146341463414633</v>
      </c>
      <c r="K10" s="13">
        <v>4.3628048780487809</v>
      </c>
      <c r="L10" s="13">
        <v>11.009146341463415</v>
      </c>
      <c r="M10" s="13">
        <v>0.91768292682926833</v>
      </c>
      <c r="N10" s="13">
        <v>12.957317073170731</v>
      </c>
      <c r="O10" s="13">
        <v>2.6097560975609757</v>
      </c>
      <c r="P10" s="13">
        <v>1.0426829268292683</v>
      </c>
      <c r="Q10" s="13">
        <v>11.060975609756097</v>
      </c>
      <c r="R10" s="13">
        <v>8.6158536585365848</v>
      </c>
      <c r="S10" s="13">
        <v>4.8414634146341466</v>
      </c>
      <c r="T10" s="13">
        <v>3.8567073170731709</v>
      </c>
      <c r="U10" s="13">
        <v>3.8567073170731709</v>
      </c>
      <c r="V10" s="13">
        <v>5.2073170731707314</v>
      </c>
      <c r="W10" s="13">
        <v>3.6097560975609757</v>
      </c>
      <c r="X10" s="13">
        <v>1.6219512195121952</v>
      </c>
      <c r="Y10" s="13">
        <v>1.4939024390243902</v>
      </c>
      <c r="Z10" s="13">
        <v>5.2164634146341466</v>
      </c>
      <c r="AA10" s="13">
        <v>3.5213414634146343</v>
      </c>
      <c r="AB10" s="13">
        <v>2.6920731707317072</v>
      </c>
      <c r="AC10" s="13">
        <v>4.5426829268292686</v>
      </c>
      <c r="AD10" s="13">
        <v>3.899390243902439</v>
      </c>
      <c r="AE10" s="13">
        <v>3.899390243902439</v>
      </c>
      <c r="AF10" s="13">
        <v>15.865853658536585</v>
      </c>
      <c r="AG10" s="15">
        <v>16.670731707317074</v>
      </c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spans="1:63" ht="12" hidden="1" customHeight="1">
      <c r="A11" s="2"/>
      <c r="B11" s="10">
        <v>10</v>
      </c>
      <c r="C11" s="13">
        <v>4.8323170731707314</v>
      </c>
      <c r="D11" s="13">
        <v>2.8597560975609757</v>
      </c>
      <c r="E11" s="13">
        <v>0.90853658536585369</v>
      </c>
      <c r="F11" s="14">
        <v>3.6280487804878048</v>
      </c>
      <c r="G11" s="13">
        <v>0.41158536585365851</v>
      </c>
      <c r="H11" s="13">
        <v>9.3810975609756095</v>
      </c>
      <c r="I11" s="13">
        <v>1.8140243902439024</v>
      </c>
      <c r="J11" s="13">
        <v>3.5304878048780486</v>
      </c>
      <c r="K11" s="13">
        <v>4.5060975609756095</v>
      </c>
      <c r="L11" s="13">
        <v>11.378048780487806</v>
      </c>
      <c r="M11" s="13">
        <v>0.94817073170731703</v>
      </c>
      <c r="N11" s="13">
        <v>13.390243902439025</v>
      </c>
      <c r="O11" s="13">
        <v>2.6951219512195124</v>
      </c>
      <c r="P11" s="13">
        <v>1.0762195121951219</v>
      </c>
      <c r="Q11" s="13">
        <v>11.426829268292684</v>
      </c>
      <c r="R11" s="13">
        <v>8.8993902439024382</v>
      </c>
      <c r="S11" s="13">
        <v>5.0030487804878048</v>
      </c>
      <c r="T11" s="13">
        <v>3.9847560975609757</v>
      </c>
      <c r="U11" s="13">
        <v>3.9847560975609757</v>
      </c>
      <c r="V11" s="13">
        <v>5.3841463414634143</v>
      </c>
      <c r="W11" s="13">
        <v>3.7317073170731709</v>
      </c>
      <c r="X11" s="13">
        <v>1.6737804878048781</v>
      </c>
      <c r="Y11" s="13">
        <v>1.5426829268292683</v>
      </c>
      <c r="Z11" s="13">
        <v>5.3932926829268295</v>
      </c>
      <c r="AA11" s="13">
        <v>3.6371951219512195</v>
      </c>
      <c r="AB11" s="13">
        <v>2.7835365853658538</v>
      </c>
      <c r="AC11" s="13">
        <v>4.6951219512195124</v>
      </c>
      <c r="AD11" s="13">
        <v>4.0304878048780486</v>
      </c>
      <c r="AE11" s="13">
        <v>4.0274390243902438</v>
      </c>
      <c r="AF11" s="13">
        <v>16.39329268292683</v>
      </c>
      <c r="AG11" s="15">
        <v>17.225609756097562</v>
      </c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spans="1:63" ht="12" hidden="1" customHeight="1">
      <c r="A12" s="2"/>
      <c r="B12" s="10" t="s">
        <v>33</v>
      </c>
      <c r="C12" s="1" t="s">
        <v>34</v>
      </c>
      <c r="D12" s="1" t="s">
        <v>34</v>
      </c>
      <c r="E12" s="1" t="s">
        <v>34</v>
      </c>
      <c r="F12" s="3"/>
      <c r="G12" s="1" t="s">
        <v>34</v>
      </c>
      <c r="H12" s="1" t="s">
        <v>34</v>
      </c>
      <c r="I12" s="1" t="s">
        <v>34</v>
      </c>
      <c r="J12" s="1" t="s">
        <v>35</v>
      </c>
      <c r="K12" s="1"/>
      <c r="L12" s="1" t="s">
        <v>36</v>
      </c>
      <c r="M12" s="1"/>
      <c r="N12" s="1" t="s">
        <v>34</v>
      </c>
      <c r="O12" s="1" t="s">
        <v>35</v>
      </c>
      <c r="P12" s="1"/>
      <c r="Q12" s="1" t="s">
        <v>36</v>
      </c>
      <c r="R12" s="1" t="s">
        <v>34</v>
      </c>
      <c r="S12" s="1"/>
      <c r="T12" s="1" t="s">
        <v>35</v>
      </c>
      <c r="U12" s="1"/>
      <c r="V12" s="1"/>
      <c r="W12" s="1" t="s">
        <v>36</v>
      </c>
      <c r="X12" s="1" t="s">
        <v>34</v>
      </c>
      <c r="Y12" s="1" t="s">
        <v>34</v>
      </c>
      <c r="Z12" s="1" t="s">
        <v>35</v>
      </c>
      <c r="AA12" s="1"/>
      <c r="AB12" s="1" t="s">
        <v>36</v>
      </c>
      <c r="AC12" s="1"/>
      <c r="AD12" s="1" t="s">
        <v>34</v>
      </c>
      <c r="AE12" s="1"/>
      <c r="AF12" s="1" t="s">
        <v>35</v>
      </c>
      <c r="AG12" s="11" t="s">
        <v>36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ht="12" hidden="1" customHeight="1">
      <c r="A13" s="2"/>
      <c r="B13" s="10">
        <v>1</v>
      </c>
      <c r="C13" s="1">
        <v>53</v>
      </c>
      <c r="D13" s="1">
        <v>45</v>
      </c>
      <c r="E13" s="1">
        <v>67</v>
      </c>
      <c r="F13" s="3"/>
      <c r="G13" s="1">
        <v>53</v>
      </c>
      <c r="H13" s="1">
        <v>91</v>
      </c>
      <c r="I13" s="1">
        <v>57</v>
      </c>
      <c r="J13" s="1">
        <v>101</v>
      </c>
      <c r="K13" s="1"/>
      <c r="L13" s="1">
        <v>127</v>
      </c>
      <c r="M13" s="1"/>
      <c r="N13" s="1">
        <v>80</v>
      </c>
      <c r="O13" s="1">
        <v>114</v>
      </c>
      <c r="P13" s="1"/>
      <c r="Q13" s="1">
        <v>101</v>
      </c>
      <c r="R13" s="1">
        <v>101</v>
      </c>
      <c r="S13" s="1"/>
      <c r="T13" s="1">
        <v>127</v>
      </c>
      <c r="U13" s="1"/>
      <c r="V13" s="1"/>
      <c r="W13" s="1">
        <v>114</v>
      </c>
      <c r="X13" s="1">
        <v>45</v>
      </c>
      <c r="Y13" s="1">
        <v>53</v>
      </c>
      <c r="Z13" s="1">
        <v>101</v>
      </c>
      <c r="AA13" s="1"/>
      <c r="AB13" s="1">
        <v>101</v>
      </c>
      <c r="AC13" s="1"/>
      <c r="AD13" s="1">
        <v>85</v>
      </c>
      <c r="AE13" s="1"/>
      <c r="AF13" s="1">
        <v>127</v>
      </c>
      <c r="AG13" s="11">
        <v>114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spans="1:63" ht="12" hidden="1" customHeight="1">
      <c r="A14" s="2"/>
      <c r="B14" s="10">
        <v>4</v>
      </c>
      <c r="C14" s="1">
        <v>106</v>
      </c>
      <c r="D14" s="1">
        <v>90</v>
      </c>
      <c r="E14" s="1">
        <v>134</v>
      </c>
      <c r="F14" s="3"/>
      <c r="G14" s="1">
        <v>106</v>
      </c>
      <c r="H14" s="1">
        <v>179</v>
      </c>
      <c r="I14" s="1">
        <v>113</v>
      </c>
      <c r="J14" s="1">
        <v>199</v>
      </c>
      <c r="K14" s="1"/>
      <c r="L14" s="1">
        <v>252</v>
      </c>
      <c r="M14" s="1"/>
      <c r="N14" s="1">
        <v>158</v>
      </c>
      <c r="O14" s="1">
        <v>227</v>
      </c>
      <c r="P14" s="1"/>
      <c r="Q14" s="1">
        <v>199</v>
      </c>
      <c r="R14" s="1">
        <v>199</v>
      </c>
      <c r="S14" s="1"/>
      <c r="T14" s="1">
        <v>252</v>
      </c>
      <c r="U14" s="1"/>
      <c r="V14" s="1"/>
      <c r="W14" s="1">
        <v>227</v>
      </c>
      <c r="X14" s="1">
        <v>90</v>
      </c>
      <c r="Y14" s="1">
        <v>106</v>
      </c>
      <c r="Z14" s="1">
        <v>199</v>
      </c>
      <c r="AA14" s="1"/>
      <c r="AB14" s="1">
        <v>199</v>
      </c>
      <c r="AC14" s="1"/>
      <c r="AD14" s="1">
        <v>169</v>
      </c>
      <c r="AE14" s="1"/>
      <c r="AF14" s="1">
        <v>252</v>
      </c>
      <c r="AG14" s="11">
        <v>227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63" ht="12" hidden="1" customHeight="1">
      <c r="A15" s="2"/>
      <c r="B15" s="10">
        <v>7</v>
      </c>
      <c r="C15" s="1">
        <v>193</v>
      </c>
      <c r="D15" s="1">
        <v>163</v>
      </c>
      <c r="E15" s="1">
        <v>243</v>
      </c>
      <c r="F15" s="3"/>
      <c r="G15" s="1">
        <v>193</v>
      </c>
      <c r="H15" s="1">
        <v>326</v>
      </c>
      <c r="I15" s="1">
        <v>206</v>
      </c>
      <c r="J15" s="1">
        <v>363</v>
      </c>
      <c r="K15" s="1"/>
      <c r="L15" s="1">
        <v>458</v>
      </c>
      <c r="M15" s="1"/>
      <c r="N15" s="1">
        <v>287</v>
      </c>
      <c r="O15" s="1">
        <v>412</v>
      </c>
      <c r="P15" s="1"/>
      <c r="Q15" s="1">
        <v>363</v>
      </c>
      <c r="R15" s="1">
        <v>363</v>
      </c>
      <c r="S15" s="1"/>
      <c r="T15" s="1">
        <v>458</v>
      </c>
      <c r="U15" s="1"/>
      <c r="V15" s="1"/>
      <c r="W15" s="1">
        <v>412</v>
      </c>
      <c r="X15" s="1">
        <v>163</v>
      </c>
      <c r="Y15" s="1">
        <v>193</v>
      </c>
      <c r="Z15" s="1">
        <v>363</v>
      </c>
      <c r="AA15" s="1"/>
      <c r="AB15" s="1">
        <v>363</v>
      </c>
      <c r="AC15" s="1"/>
      <c r="AD15" s="1">
        <v>307</v>
      </c>
      <c r="AE15" s="1"/>
      <c r="AF15" s="1">
        <v>458</v>
      </c>
      <c r="AG15" s="11">
        <v>412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63" ht="12" hidden="1" customHeight="1">
      <c r="A16" s="2"/>
      <c r="B16" s="10">
        <v>10</v>
      </c>
      <c r="C16" s="1">
        <v>277</v>
      </c>
      <c r="D16" s="1">
        <v>235</v>
      </c>
      <c r="E16" s="1">
        <v>349</v>
      </c>
      <c r="F16" s="3"/>
      <c r="G16" s="1">
        <v>277</v>
      </c>
      <c r="H16" s="1">
        <v>469</v>
      </c>
      <c r="I16" s="1">
        <v>296</v>
      </c>
      <c r="J16" s="1">
        <v>521</v>
      </c>
      <c r="K16" s="1"/>
      <c r="L16" s="1">
        <v>657</v>
      </c>
      <c r="M16" s="1"/>
      <c r="N16" s="1">
        <v>412</v>
      </c>
      <c r="O16" s="1">
        <v>592</v>
      </c>
      <c r="P16" s="1"/>
      <c r="Q16" s="1">
        <v>521</v>
      </c>
      <c r="R16" s="1">
        <v>521</v>
      </c>
      <c r="S16" s="1"/>
      <c r="T16" s="1">
        <v>657</v>
      </c>
      <c r="U16" s="1"/>
      <c r="V16" s="1"/>
      <c r="W16" s="1">
        <v>592</v>
      </c>
      <c r="X16" s="1">
        <v>235</v>
      </c>
      <c r="Y16" s="1">
        <v>277</v>
      </c>
      <c r="Z16" s="1">
        <v>521</v>
      </c>
      <c r="AA16" s="1"/>
      <c r="AB16" s="1">
        <v>521</v>
      </c>
      <c r="AC16" s="1"/>
      <c r="AD16" s="1">
        <v>441</v>
      </c>
      <c r="AE16" s="1"/>
      <c r="AF16" s="1">
        <v>657</v>
      </c>
      <c r="AG16" s="11">
        <v>592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ht="12" hidden="1" customHeight="1">
      <c r="A17" s="2"/>
      <c r="B17" s="16">
        <v>1</v>
      </c>
      <c r="C17" s="17">
        <v>2</v>
      </c>
      <c r="D17" s="17">
        <v>3</v>
      </c>
      <c r="E17" s="17">
        <v>4</v>
      </c>
      <c r="F17" s="19">
        <v>5</v>
      </c>
      <c r="G17" s="17">
        <v>6</v>
      </c>
      <c r="H17" s="17">
        <v>7</v>
      </c>
      <c r="I17" s="17">
        <v>8</v>
      </c>
      <c r="J17" s="17">
        <v>9</v>
      </c>
      <c r="K17" s="17">
        <v>10</v>
      </c>
      <c r="L17" s="17">
        <v>11</v>
      </c>
      <c r="M17" s="17">
        <v>12</v>
      </c>
      <c r="N17" s="17">
        <v>13</v>
      </c>
      <c r="O17" s="17">
        <v>14</v>
      </c>
      <c r="P17" s="17">
        <v>15</v>
      </c>
      <c r="Q17" s="17">
        <v>16</v>
      </c>
      <c r="R17" s="17">
        <v>17</v>
      </c>
      <c r="S17" s="17">
        <v>18</v>
      </c>
      <c r="T17" s="17">
        <v>19</v>
      </c>
      <c r="U17" s="17">
        <v>20</v>
      </c>
      <c r="V17" s="17">
        <v>21</v>
      </c>
      <c r="W17" s="17">
        <v>22</v>
      </c>
      <c r="X17" s="17">
        <v>23</v>
      </c>
      <c r="Y17" s="17">
        <v>24</v>
      </c>
      <c r="Z17" s="17">
        <v>25</v>
      </c>
      <c r="AA17" s="17">
        <v>26</v>
      </c>
      <c r="AB17" s="17">
        <v>27</v>
      </c>
      <c r="AC17" s="17">
        <v>28</v>
      </c>
      <c r="AD17" s="17">
        <v>29</v>
      </c>
      <c r="AE17" s="17">
        <v>30</v>
      </c>
      <c r="AF17" s="17">
        <v>31</v>
      </c>
      <c r="AG17" s="21">
        <v>32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ht="12" customHeight="1">
      <c r="A18" s="2"/>
      <c r="B18" s="20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4"/>
      <c r="Q18" s="25" t="s">
        <v>53</v>
      </c>
      <c r="R18" s="26" t="s">
        <v>54</v>
      </c>
      <c r="S18" s="27"/>
      <c r="T18" s="27"/>
      <c r="U18" s="28"/>
      <c r="V18" s="27"/>
      <c r="W18" s="29"/>
      <c r="X18" s="26" t="s">
        <v>55</v>
      </c>
      <c r="Y18" s="27"/>
      <c r="Z18" s="27"/>
      <c r="AA18" s="27"/>
      <c r="AB18" s="27"/>
      <c r="AC18" s="29"/>
      <c r="AD18" s="26" t="s">
        <v>56</v>
      </c>
      <c r="AE18" s="27"/>
      <c r="AF18" s="27"/>
      <c r="AG18" s="29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2"/>
      <c r="AX18" s="2"/>
      <c r="AY18" s="2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ht="12" customHeight="1">
      <c r="A19" s="2"/>
      <c r="B19" s="31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33"/>
      <c r="Q19" s="35" t="s">
        <v>49</v>
      </c>
      <c r="R19" s="37">
        <v>1</v>
      </c>
      <c r="S19" s="39"/>
      <c r="T19" s="37">
        <v>2</v>
      </c>
      <c r="U19" s="42"/>
      <c r="V19" s="37">
        <v>3</v>
      </c>
      <c r="W19" s="39"/>
      <c r="X19" s="37">
        <v>1</v>
      </c>
      <c r="Y19" s="39"/>
      <c r="Z19" s="37">
        <v>2</v>
      </c>
      <c r="AA19" s="39"/>
      <c r="AB19" s="43">
        <v>3</v>
      </c>
      <c r="AC19" s="39"/>
      <c r="AD19" s="37">
        <v>1</v>
      </c>
      <c r="AE19" s="39"/>
      <c r="AF19" s="43">
        <v>2</v>
      </c>
      <c r="AG19" s="39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2"/>
      <c r="AX19" s="2"/>
      <c r="AY19" s="2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ht="12" customHeight="1">
      <c r="A20" s="2"/>
      <c r="B20" s="31"/>
      <c r="C20" s="2"/>
      <c r="D20" s="2"/>
      <c r="E20" s="2"/>
      <c r="F20" s="185" t="s">
        <v>65</v>
      </c>
      <c r="G20" s="186"/>
      <c r="H20" s="186"/>
      <c r="I20" s="186"/>
      <c r="J20" s="186"/>
      <c r="K20" s="186"/>
      <c r="L20" s="186"/>
      <c r="M20" s="186"/>
      <c r="N20" s="186"/>
      <c r="O20" s="186"/>
      <c r="P20" s="33"/>
      <c r="Q20" s="45" t="s">
        <v>2</v>
      </c>
      <c r="R20" s="20"/>
      <c r="S20" s="24"/>
      <c r="T20" s="20">
        <v>0</v>
      </c>
      <c r="U20" s="23">
        <v>1</v>
      </c>
      <c r="V20" s="20">
        <v>0</v>
      </c>
      <c r="W20" s="24">
        <v>15</v>
      </c>
      <c r="X20" s="20"/>
      <c r="Y20" s="24"/>
      <c r="Z20" s="20">
        <v>1</v>
      </c>
      <c r="AA20" s="24">
        <v>1.18</v>
      </c>
      <c r="AB20" s="20">
        <v>1</v>
      </c>
      <c r="AC20" s="24">
        <v>1.3</v>
      </c>
      <c r="AD20" s="20"/>
      <c r="AE20" s="24"/>
      <c r="AF20" s="22">
        <v>1</v>
      </c>
      <c r="AG20" s="24">
        <v>2</v>
      </c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2"/>
      <c r="AX20" s="2"/>
      <c r="AY20" s="2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ht="12" customHeight="1">
      <c r="A21" s="2"/>
      <c r="B21" s="31"/>
      <c r="C21" s="2"/>
      <c r="D21" s="2"/>
      <c r="E21" s="2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33"/>
      <c r="Q21" s="47" t="s">
        <v>3</v>
      </c>
      <c r="R21" s="31"/>
      <c r="S21" s="33"/>
      <c r="T21" s="31"/>
      <c r="U21" s="50"/>
      <c r="V21" s="31"/>
      <c r="W21" s="33"/>
      <c r="X21" s="31">
        <v>1</v>
      </c>
      <c r="Y21" s="33">
        <v>1.5</v>
      </c>
      <c r="Z21" s="31">
        <v>1</v>
      </c>
      <c r="AA21" s="33">
        <v>0.5</v>
      </c>
      <c r="AB21" s="31">
        <v>1</v>
      </c>
      <c r="AC21" s="33">
        <f>0.25*0.25</f>
        <v>6.25E-2</v>
      </c>
      <c r="AD21" s="31">
        <v>1</v>
      </c>
      <c r="AE21" s="33">
        <v>1.2</v>
      </c>
      <c r="AF21" s="2">
        <v>0</v>
      </c>
      <c r="AG21" s="33">
        <v>1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2"/>
      <c r="AX21" s="2"/>
      <c r="AY21" s="2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ht="12" customHeight="1">
      <c r="A22" s="2"/>
      <c r="B22" s="31"/>
      <c r="C22" s="54" t="s">
        <v>68</v>
      </c>
      <c r="D22" s="56">
        <v>300</v>
      </c>
      <c r="E22" s="2"/>
      <c r="F22" s="185" t="s">
        <v>71</v>
      </c>
      <c r="G22" s="186"/>
      <c r="H22" s="186"/>
      <c r="I22" s="186"/>
      <c r="J22" s="186"/>
      <c r="K22" s="186"/>
      <c r="L22" s="186"/>
      <c r="M22" s="186"/>
      <c r="N22" s="186"/>
      <c r="O22" s="186"/>
      <c r="P22" s="33"/>
      <c r="Q22" s="47" t="s">
        <v>4</v>
      </c>
      <c r="R22" s="31"/>
      <c r="S22" s="33"/>
      <c r="T22" s="31"/>
      <c r="U22" s="50"/>
      <c r="V22" s="31">
        <v>1</v>
      </c>
      <c r="W22" s="33">
        <v>1.5</v>
      </c>
      <c r="X22" s="31"/>
      <c r="Y22" s="33"/>
      <c r="Z22" s="31"/>
      <c r="AA22" s="33"/>
      <c r="AB22" s="31">
        <v>1</v>
      </c>
      <c r="AC22" s="33">
        <v>1.4</v>
      </c>
      <c r="AD22" s="31">
        <v>1</v>
      </c>
      <c r="AE22" s="33">
        <v>2</v>
      </c>
      <c r="AF22" s="2">
        <v>1</v>
      </c>
      <c r="AG22" s="33">
        <v>1.75</v>
      </c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2"/>
      <c r="AX22" s="2"/>
      <c r="AY22" s="2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ht="12" customHeight="1">
      <c r="A23" s="2"/>
      <c r="B23" s="31"/>
      <c r="C23" s="25" t="s">
        <v>70</v>
      </c>
      <c r="D23" s="50">
        <v>101</v>
      </c>
      <c r="E23" s="2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33"/>
      <c r="Q23" s="47" t="s">
        <v>5</v>
      </c>
      <c r="R23" s="31"/>
      <c r="S23" s="33"/>
      <c r="T23" s="31">
        <v>1</v>
      </c>
      <c r="U23" s="50">
        <v>0.8</v>
      </c>
      <c r="V23" s="31"/>
      <c r="W23" s="33"/>
      <c r="X23" s="31">
        <v>1</v>
      </c>
      <c r="Y23" s="33">
        <v>1.25</v>
      </c>
      <c r="Z23" s="31"/>
      <c r="AA23" s="33"/>
      <c r="AB23" s="31">
        <v>1</v>
      </c>
      <c r="AC23" s="60">
        <v>1.2133333333333334</v>
      </c>
      <c r="AD23" s="31">
        <v>1</v>
      </c>
      <c r="AE23" s="33">
        <v>1.5</v>
      </c>
      <c r="AF23" s="2">
        <v>1</v>
      </c>
      <c r="AG23" s="33">
        <v>2.4</v>
      </c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2"/>
      <c r="AX23" s="2"/>
      <c r="AY23" s="2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1:63" ht="12" customHeight="1">
      <c r="A24" s="2"/>
      <c r="B24" s="31"/>
      <c r="C24" s="25" t="s">
        <v>72</v>
      </c>
      <c r="D24" s="50">
        <v>2817</v>
      </c>
      <c r="E24" s="2"/>
      <c r="F24" s="185" t="s">
        <v>73</v>
      </c>
      <c r="G24" s="186"/>
      <c r="H24" s="186"/>
      <c r="I24" s="186"/>
      <c r="J24" s="186"/>
      <c r="K24" s="186"/>
      <c r="L24" s="186"/>
      <c r="M24" s="186"/>
      <c r="N24" s="186"/>
      <c r="O24" s="186"/>
      <c r="P24" s="33"/>
      <c r="Q24" s="47" t="s">
        <v>6</v>
      </c>
      <c r="R24" s="31">
        <v>1</v>
      </c>
      <c r="S24" s="33">
        <v>0.5</v>
      </c>
      <c r="T24" s="31"/>
      <c r="U24" s="50"/>
      <c r="V24" s="31">
        <v>1</v>
      </c>
      <c r="W24" s="33">
        <v>1.2</v>
      </c>
      <c r="X24" s="31"/>
      <c r="Y24" s="33"/>
      <c r="Z24" s="31">
        <v>0</v>
      </c>
      <c r="AA24" s="33">
        <v>60</v>
      </c>
      <c r="AB24" s="31">
        <v>1</v>
      </c>
      <c r="AC24" s="33">
        <v>1.24</v>
      </c>
      <c r="AD24" s="31">
        <v>1</v>
      </c>
      <c r="AE24" s="33">
        <v>1.6</v>
      </c>
      <c r="AF24" s="2">
        <v>1</v>
      </c>
      <c r="AG24" s="33">
        <v>1.4</v>
      </c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2"/>
      <c r="AX24" s="2"/>
      <c r="AY24" s="2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spans="1:63" ht="12" customHeight="1">
      <c r="A25" s="2"/>
      <c r="B25" s="31"/>
      <c r="C25" s="25" t="s">
        <v>75</v>
      </c>
      <c r="D25" s="63">
        <v>20</v>
      </c>
      <c r="E25" s="2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33"/>
      <c r="Q25" s="47" t="s">
        <v>7</v>
      </c>
      <c r="R25" s="31">
        <v>1</v>
      </c>
      <c r="S25" s="33">
        <v>0.5</v>
      </c>
      <c r="T25" s="31">
        <v>0</v>
      </c>
      <c r="U25" s="50">
        <v>0.625</v>
      </c>
      <c r="V25" s="31"/>
      <c r="W25" s="33"/>
      <c r="X25" s="31">
        <v>1</v>
      </c>
      <c r="Y25" s="33">
        <v>0.8</v>
      </c>
      <c r="Z25" s="31">
        <v>1</v>
      </c>
      <c r="AA25" s="33">
        <v>1.5</v>
      </c>
      <c r="AB25" s="31"/>
      <c r="AC25" s="33"/>
      <c r="AD25" s="31">
        <v>1</v>
      </c>
      <c r="AE25" s="33">
        <v>2</v>
      </c>
      <c r="AF25" s="2">
        <v>0</v>
      </c>
      <c r="AG25" s="33">
        <v>3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2"/>
      <c r="AX25" s="2"/>
      <c r="AY25" s="2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ht="12" customHeight="1">
      <c r="A26" s="2"/>
      <c r="B26" s="31"/>
      <c r="C26" s="25" t="s">
        <v>76</v>
      </c>
      <c r="D26" s="63">
        <v>200</v>
      </c>
      <c r="E26" s="2"/>
      <c r="F26" s="185"/>
      <c r="G26" s="186"/>
      <c r="H26" s="186"/>
      <c r="I26" s="186"/>
      <c r="J26" s="186"/>
      <c r="K26" s="186"/>
      <c r="L26" s="186"/>
      <c r="M26" s="186"/>
      <c r="N26" s="186"/>
      <c r="O26" s="186"/>
      <c r="P26" s="33"/>
      <c r="Q26" s="47" t="s">
        <v>8</v>
      </c>
      <c r="R26" s="31">
        <v>1</v>
      </c>
      <c r="S26" s="33">
        <v>1.2</v>
      </c>
      <c r="T26" s="31"/>
      <c r="U26" s="50"/>
      <c r="V26" s="31"/>
      <c r="W26" s="33"/>
      <c r="X26" s="31">
        <v>0</v>
      </c>
      <c r="Y26" s="33">
        <v>25</v>
      </c>
      <c r="Z26" s="31"/>
      <c r="AA26" s="33"/>
      <c r="AB26" s="31">
        <v>1</v>
      </c>
      <c r="AC26" s="33">
        <v>1.24</v>
      </c>
      <c r="AD26" s="31">
        <v>1</v>
      </c>
      <c r="AE26" s="33">
        <v>1.5</v>
      </c>
      <c r="AF26" s="2">
        <v>1</v>
      </c>
      <c r="AG26" s="33">
        <v>1.2</v>
      </c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2"/>
      <c r="AX26" s="2"/>
      <c r="AY26" s="2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ht="12" customHeight="1">
      <c r="A27" s="2"/>
      <c r="B27" s="31"/>
      <c r="C27" s="67" t="s">
        <v>78</v>
      </c>
      <c r="D27" s="68">
        <v>40</v>
      </c>
      <c r="E27" s="2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33"/>
      <c r="Q27" s="47" t="s">
        <v>9</v>
      </c>
      <c r="R27" s="31"/>
      <c r="S27" s="33"/>
      <c r="T27" s="31">
        <v>0</v>
      </c>
      <c r="U27" s="50">
        <v>1</v>
      </c>
      <c r="V27" s="31">
        <v>0</v>
      </c>
      <c r="W27" s="33">
        <v>1</v>
      </c>
      <c r="X27" s="31">
        <v>1</v>
      </c>
      <c r="Y27" s="33">
        <v>1.5</v>
      </c>
      <c r="Z27" s="31"/>
      <c r="AA27" s="33"/>
      <c r="AB27" s="31">
        <v>0</v>
      </c>
      <c r="AC27" s="33">
        <v>60</v>
      </c>
      <c r="AD27" s="31">
        <v>1</v>
      </c>
      <c r="AE27" s="33">
        <v>3</v>
      </c>
      <c r="AF27" s="2">
        <v>1</v>
      </c>
      <c r="AG27" s="33">
        <v>1.3</v>
      </c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2"/>
      <c r="AX27" s="2"/>
      <c r="AY27" s="2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spans="1:63" ht="12" customHeight="1">
      <c r="A28" s="2"/>
      <c r="B28" s="31"/>
      <c r="C28" s="54" t="s">
        <v>80</v>
      </c>
      <c r="D28" s="23">
        <v>1</v>
      </c>
      <c r="E28" s="2"/>
      <c r="F28" s="1"/>
      <c r="G28" s="1"/>
      <c r="H28" s="1"/>
      <c r="I28" s="1"/>
      <c r="J28" s="1"/>
      <c r="K28" s="1"/>
      <c r="L28" s="1"/>
      <c r="M28" s="1"/>
      <c r="N28" s="1"/>
      <c r="O28" s="1"/>
      <c r="P28" s="33"/>
      <c r="Q28" s="47" t="s">
        <v>10</v>
      </c>
      <c r="R28" s="31">
        <v>1</v>
      </c>
      <c r="S28" s="33">
        <v>0.85</v>
      </c>
      <c r="T28" s="31">
        <v>1</v>
      </c>
      <c r="U28" s="50">
        <v>1.18</v>
      </c>
      <c r="V28" s="31"/>
      <c r="W28" s="33"/>
      <c r="X28" s="31">
        <v>1</v>
      </c>
      <c r="Y28" s="33">
        <v>1.25</v>
      </c>
      <c r="Z28" s="31">
        <v>0</v>
      </c>
      <c r="AA28" s="33">
        <v>30</v>
      </c>
      <c r="AB28" s="31"/>
      <c r="AC28" s="33"/>
      <c r="AD28" s="31">
        <v>1</v>
      </c>
      <c r="AE28" s="33">
        <v>1</v>
      </c>
      <c r="AF28" s="2">
        <v>0</v>
      </c>
      <c r="AG28" s="33">
        <v>100</v>
      </c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2"/>
      <c r="AX28" s="2"/>
      <c r="AY28" s="2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spans="1:63" ht="12" customHeight="1">
      <c r="A29" s="2"/>
      <c r="B29" s="31"/>
      <c r="C29" s="67" t="s">
        <v>81</v>
      </c>
      <c r="D29" s="68">
        <v>1.5</v>
      </c>
      <c r="E29" s="2"/>
      <c r="F29" s="1"/>
      <c r="G29" s="1"/>
      <c r="H29" s="1"/>
      <c r="I29" s="1"/>
      <c r="J29" s="1"/>
      <c r="K29" s="1"/>
      <c r="L29" s="1"/>
      <c r="M29" s="1"/>
      <c r="N29" s="1"/>
      <c r="O29" s="1"/>
      <c r="P29" s="33"/>
      <c r="Q29" s="47" t="s">
        <v>11</v>
      </c>
      <c r="R29" s="31">
        <v>0</v>
      </c>
      <c r="S29" s="33">
        <v>5</v>
      </c>
      <c r="T29" s="31">
        <v>0</v>
      </c>
      <c r="U29" s="50">
        <v>15</v>
      </c>
      <c r="V29" s="31"/>
      <c r="W29" s="33"/>
      <c r="X29" s="31"/>
      <c r="Y29" s="33"/>
      <c r="Z29" s="31">
        <v>1</v>
      </c>
      <c r="AA29" s="33">
        <v>1.5</v>
      </c>
      <c r="AB29" s="31"/>
      <c r="AC29" s="33"/>
      <c r="AD29" s="31">
        <v>1</v>
      </c>
      <c r="AE29" s="33">
        <v>6</v>
      </c>
      <c r="AF29" s="2"/>
      <c r="AG29" s="33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2"/>
      <c r="AX29" s="2"/>
      <c r="AY29" s="2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ht="12" customHeight="1">
      <c r="A30" s="2"/>
      <c r="B30" s="31"/>
      <c r="C30" s="2"/>
      <c r="D30" s="1"/>
      <c r="E30" s="2"/>
      <c r="F30" s="193" t="s">
        <v>82</v>
      </c>
      <c r="G30" s="186"/>
      <c r="H30" s="186"/>
      <c r="I30" s="186"/>
      <c r="J30" s="186"/>
      <c r="K30" s="186"/>
      <c r="L30" s="186"/>
      <c r="M30" s="186"/>
      <c r="N30" s="186"/>
      <c r="O30" s="186"/>
      <c r="P30" s="33"/>
      <c r="Q30" s="47" t="s">
        <v>12</v>
      </c>
      <c r="R30" s="31"/>
      <c r="S30" s="33"/>
      <c r="T30" s="31"/>
      <c r="U30" s="50"/>
      <c r="V30" s="31"/>
      <c r="W30" s="33"/>
      <c r="X30" s="31">
        <v>1</v>
      </c>
      <c r="Y30" s="33">
        <v>1.3</v>
      </c>
      <c r="Z30" s="31">
        <v>0</v>
      </c>
      <c r="AA30" s="33">
        <v>40</v>
      </c>
      <c r="AB30" s="31">
        <v>1</v>
      </c>
      <c r="AC30" s="33">
        <v>1.4</v>
      </c>
      <c r="AD30" s="31">
        <v>0</v>
      </c>
      <c r="AE30" s="33">
        <v>0.5</v>
      </c>
      <c r="AF30" s="2">
        <v>0</v>
      </c>
      <c r="AG30" s="33">
        <v>0.6</v>
      </c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2"/>
      <c r="AX30" s="2"/>
      <c r="AY30" s="2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ht="12" customHeight="1">
      <c r="A31" s="2"/>
      <c r="B31" s="31"/>
      <c r="C31" s="2"/>
      <c r="D31" s="1"/>
      <c r="E31" s="2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33"/>
      <c r="Q31" s="47" t="s">
        <v>13</v>
      </c>
      <c r="R31" s="31"/>
      <c r="S31" s="33"/>
      <c r="T31" s="31"/>
      <c r="U31" s="50"/>
      <c r="V31" s="31">
        <v>0</v>
      </c>
      <c r="W31" s="33">
        <v>40</v>
      </c>
      <c r="X31" s="31">
        <v>1</v>
      </c>
      <c r="Y31" s="33">
        <v>1.3</v>
      </c>
      <c r="Z31" s="31"/>
      <c r="AA31" s="33"/>
      <c r="AB31" s="31">
        <v>1</v>
      </c>
      <c r="AC31" s="33">
        <v>2</v>
      </c>
      <c r="AD31" s="31"/>
      <c r="AE31" s="33"/>
      <c r="AF31" s="2">
        <v>1</v>
      </c>
      <c r="AG31" s="33">
        <v>1.33</v>
      </c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2"/>
      <c r="AX31" s="2"/>
      <c r="AY31" s="2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ht="12" customHeight="1">
      <c r="A32" s="2"/>
      <c r="B32" s="31"/>
      <c r="C32" s="2"/>
      <c r="D32" s="2"/>
      <c r="E32" s="2"/>
      <c r="F32" s="193" t="s">
        <v>83</v>
      </c>
      <c r="G32" s="186"/>
      <c r="H32" s="186"/>
      <c r="I32" s="186"/>
      <c r="J32" s="186"/>
      <c r="K32" s="186"/>
      <c r="L32" s="186"/>
      <c r="M32" s="186"/>
      <c r="N32" s="186"/>
      <c r="O32" s="186"/>
      <c r="P32" s="33"/>
      <c r="Q32" s="47" t="s">
        <v>14</v>
      </c>
      <c r="R32" s="31">
        <v>0</v>
      </c>
      <c r="S32" s="33">
        <v>50</v>
      </c>
      <c r="T32" s="31">
        <v>1</v>
      </c>
      <c r="U32" s="50">
        <v>0.5</v>
      </c>
      <c r="V32" s="31"/>
      <c r="W32" s="33"/>
      <c r="X32" s="31">
        <v>0</v>
      </c>
      <c r="Y32" s="33">
        <v>25</v>
      </c>
      <c r="Z32" s="31"/>
      <c r="AA32" s="33"/>
      <c r="AB32" s="31">
        <v>1</v>
      </c>
      <c r="AC32" s="33">
        <v>1.36</v>
      </c>
      <c r="AD32" s="31">
        <v>1</v>
      </c>
      <c r="AE32" s="33">
        <v>0.6</v>
      </c>
      <c r="AF32" s="2">
        <v>1</v>
      </c>
      <c r="AG32" s="33">
        <v>1.2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2"/>
      <c r="AX32" s="2"/>
      <c r="AY32" s="2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ht="12" customHeight="1">
      <c r="A33" s="2"/>
      <c r="B33" s="31"/>
      <c r="C33" s="2"/>
      <c r="D33" s="2"/>
      <c r="E33" s="2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33"/>
      <c r="Q33" s="47" t="s">
        <v>15</v>
      </c>
      <c r="R33" s="31"/>
      <c r="S33" s="33"/>
      <c r="T33" s="31">
        <v>1</v>
      </c>
      <c r="U33" s="50">
        <v>1.25</v>
      </c>
      <c r="V33" s="31">
        <v>0</v>
      </c>
      <c r="W33" s="74">
        <v>1</v>
      </c>
      <c r="X33" s="31">
        <v>1</v>
      </c>
      <c r="Y33" s="33">
        <v>0.8</v>
      </c>
      <c r="Z33" s="31"/>
      <c r="AA33" s="33"/>
      <c r="AB33" s="31">
        <v>1</v>
      </c>
      <c r="AC33" s="33">
        <v>0.2</v>
      </c>
      <c r="AD33" s="31">
        <v>0</v>
      </c>
      <c r="AE33" s="33">
        <v>40</v>
      </c>
      <c r="AF33" s="2">
        <v>1</v>
      </c>
      <c r="AG33" s="33">
        <v>1.3</v>
      </c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2"/>
      <c r="AX33" s="2"/>
      <c r="AY33" s="2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spans="1:63" ht="12" customHeight="1">
      <c r="A34" s="2"/>
      <c r="B34" s="31"/>
      <c r="C34" s="2"/>
      <c r="D34" s="2"/>
      <c r="E34" s="2"/>
      <c r="F34" s="193" t="s">
        <v>84</v>
      </c>
      <c r="G34" s="186"/>
      <c r="H34" s="186"/>
      <c r="I34" s="186"/>
      <c r="J34" s="186"/>
      <c r="K34" s="186"/>
      <c r="L34" s="186"/>
      <c r="M34" s="186"/>
      <c r="N34" s="186"/>
      <c r="O34" s="186"/>
      <c r="P34" s="33"/>
      <c r="Q34" s="47" t="s">
        <v>16</v>
      </c>
      <c r="R34" s="31">
        <v>1</v>
      </c>
      <c r="S34" s="33">
        <v>0.5</v>
      </c>
      <c r="T34" s="31">
        <v>1</v>
      </c>
      <c r="U34" s="50">
        <v>0.9</v>
      </c>
      <c r="V34" s="31">
        <v>0</v>
      </c>
      <c r="W34" s="33">
        <v>15</v>
      </c>
      <c r="X34" s="31">
        <v>1</v>
      </c>
      <c r="Y34" s="33">
        <v>1.4</v>
      </c>
      <c r="Z34" s="31"/>
      <c r="AA34" s="33"/>
      <c r="AB34" s="31"/>
      <c r="AC34" s="33"/>
      <c r="AD34" s="31">
        <v>1</v>
      </c>
      <c r="AE34" s="33">
        <v>1.5</v>
      </c>
      <c r="AF34" s="2">
        <v>1</v>
      </c>
      <c r="AG34" s="33">
        <v>1.5</v>
      </c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2"/>
      <c r="AX34" s="2"/>
      <c r="AY34" s="2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spans="1:63" ht="12" customHeight="1">
      <c r="A35" s="2"/>
      <c r="B35" s="31"/>
      <c r="C35" s="2"/>
      <c r="D35" s="2"/>
      <c r="E35" s="2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33"/>
      <c r="Q35" s="47" t="s">
        <v>17</v>
      </c>
      <c r="R35" s="31">
        <v>1</v>
      </c>
      <c r="S35" s="33">
        <v>0.8</v>
      </c>
      <c r="T35" s="31"/>
      <c r="U35" s="50"/>
      <c r="V35" s="31">
        <v>0</v>
      </c>
      <c r="W35" s="33">
        <v>1</v>
      </c>
      <c r="X35" s="31"/>
      <c r="Y35" s="33"/>
      <c r="Z35" s="31">
        <v>1</v>
      </c>
      <c r="AA35" s="33">
        <v>1.5</v>
      </c>
      <c r="AB35" s="31">
        <v>1</v>
      </c>
      <c r="AC35" s="33">
        <v>1.4</v>
      </c>
      <c r="AD35" s="31">
        <v>0</v>
      </c>
      <c r="AE35" s="33">
        <v>150</v>
      </c>
      <c r="AF35" s="2">
        <v>0</v>
      </c>
      <c r="AG35" s="33">
        <v>1</v>
      </c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2"/>
      <c r="AX35" s="2"/>
      <c r="AY35" s="2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ht="12" customHeight="1">
      <c r="A36" s="2"/>
      <c r="B36" s="31"/>
      <c r="C36" s="2"/>
      <c r="D36" s="2"/>
      <c r="E36" s="2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33"/>
      <c r="Q36" s="47" t="s">
        <v>18</v>
      </c>
      <c r="R36" s="31">
        <v>0</v>
      </c>
      <c r="S36" s="33">
        <v>4</v>
      </c>
      <c r="T36" s="31">
        <v>1</v>
      </c>
      <c r="U36" s="50">
        <v>0.8</v>
      </c>
      <c r="V36" s="31">
        <v>1</v>
      </c>
      <c r="W36" s="33">
        <v>1.2</v>
      </c>
      <c r="X36" s="31">
        <v>0</v>
      </c>
      <c r="Y36" s="33">
        <v>40</v>
      </c>
      <c r="Z36" s="31">
        <v>0</v>
      </c>
      <c r="AA36" s="33">
        <v>1</v>
      </c>
      <c r="AB36" s="31" t="s">
        <v>86</v>
      </c>
      <c r="AC36" s="33">
        <v>5</v>
      </c>
      <c r="AD36" s="31">
        <v>1</v>
      </c>
      <c r="AE36" s="33">
        <v>2.8</v>
      </c>
      <c r="AF36" s="2">
        <v>1</v>
      </c>
      <c r="AG36" s="33">
        <v>3</v>
      </c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2"/>
      <c r="AX36" s="2"/>
      <c r="AY36" s="2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ht="12" customHeight="1">
      <c r="A37" s="2"/>
      <c r="B37" s="31"/>
      <c r="C37" s="2"/>
      <c r="D37" s="2"/>
      <c r="E37" s="2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33"/>
      <c r="Q37" s="47" t="s">
        <v>19</v>
      </c>
      <c r="R37" s="31"/>
      <c r="S37" s="33"/>
      <c r="T37" s="31"/>
      <c r="U37" s="50"/>
      <c r="V37" s="31">
        <v>0</v>
      </c>
      <c r="W37" s="33">
        <v>100</v>
      </c>
      <c r="X37" s="31">
        <v>1</v>
      </c>
      <c r="Y37" s="33">
        <v>1.25</v>
      </c>
      <c r="Z37" s="31"/>
      <c r="AA37" s="33"/>
      <c r="AB37" s="31"/>
      <c r="AC37" s="33"/>
      <c r="AD37" s="31">
        <v>0</v>
      </c>
      <c r="AE37" s="33">
        <v>1</v>
      </c>
      <c r="AF37" s="2">
        <v>1</v>
      </c>
      <c r="AG37" s="33">
        <v>2</v>
      </c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2"/>
      <c r="AX37" s="2"/>
      <c r="AY37" s="2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ht="12" customHeight="1">
      <c r="A38" s="2"/>
      <c r="B38" s="31"/>
      <c r="C38" s="2"/>
      <c r="D38" s="2"/>
      <c r="E38" s="2"/>
      <c r="F38" s="1"/>
      <c r="G38" s="1"/>
      <c r="H38" s="1"/>
      <c r="I38" s="1"/>
      <c r="J38" s="1"/>
      <c r="K38" s="1"/>
      <c r="L38" s="1"/>
      <c r="M38" s="1"/>
      <c r="N38" s="1"/>
      <c r="O38" s="1"/>
      <c r="P38" s="33"/>
      <c r="Q38" s="47" t="s">
        <v>20</v>
      </c>
      <c r="R38" s="31">
        <v>0</v>
      </c>
      <c r="S38" s="33">
        <v>3</v>
      </c>
      <c r="T38" s="31">
        <v>1</v>
      </c>
      <c r="U38" s="50">
        <v>0.5</v>
      </c>
      <c r="V38" s="31"/>
      <c r="W38" s="33"/>
      <c r="X38" s="31">
        <v>0</v>
      </c>
      <c r="Y38" s="33">
        <v>60</v>
      </c>
      <c r="Z38" s="31">
        <v>1</v>
      </c>
      <c r="AA38" s="33">
        <v>1.5</v>
      </c>
      <c r="AB38" s="31"/>
      <c r="AC38" s="33"/>
      <c r="AD38" s="31">
        <v>1</v>
      </c>
      <c r="AE38" s="33">
        <v>2</v>
      </c>
      <c r="AF38" s="2">
        <v>1</v>
      </c>
      <c r="AG38" s="33">
        <v>2</v>
      </c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2"/>
      <c r="AX38" s="2"/>
      <c r="AY38" s="2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ht="12" customHeight="1">
      <c r="A39" s="2"/>
      <c r="B39" s="31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33"/>
      <c r="Q39" s="47" t="s">
        <v>21</v>
      </c>
      <c r="R39" s="31">
        <v>0</v>
      </c>
      <c r="S39" s="33">
        <v>6</v>
      </c>
      <c r="T39" s="31">
        <v>0</v>
      </c>
      <c r="U39" s="50">
        <v>0.2</v>
      </c>
      <c r="V39" s="31"/>
      <c r="W39" s="33"/>
      <c r="X39" s="31">
        <v>0</v>
      </c>
      <c r="Y39" s="33">
        <v>0.3</v>
      </c>
      <c r="Z39" s="31"/>
      <c r="AA39" s="33"/>
      <c r="AB39" s="31">
        <v>1</v>
      </c>
      <c r="AC39" s="33">
        <v>1.5</v>
      </c>
      <c r="AD39" s="31">
        <v>1</v>
      </c>
      <c r="AE39" s="33">
        <v>1.4</v>
      </c>
      <c r="AF39" s="2">
        <v>1</v>
      </c>
      <c r="AG39" s="33">
        <v>1.6</v>
      </c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2"/>
      <c r="AX39" s="2"/>
      <c r="AY39" s="2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ht="12" customHeight="1">
      <c r="A40" s="2"/>
      <c r="B40" s="81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3"/>
      <c r="Q40" s="84" t="s">
        <v>22</v>
      </c>
      <c r="R40" s="81">
        <v>1</v>
      </c>
      <c r="S40" s="83">
        <v>0.5</v>
      </c>
      <c r="T40" s="81"/>
      <c r="U40" s="68"/>
      <c r="V40" s="81"/>
      <c r="W40" s="83"/>
      <c r="X40" s="81">
        <v>1</v>
      </c>
      <c r="Y40" s="83">
        <v>1.3</v>
      </c>
      <c r="Z40" s="81"/>
      <c r="AA40" s="83"/>
      <c r="AB40" s="81">
        <v>0</v>
      </c>
      <c r="AC40" s="83">
        <v>0.4</v>
      </c>
      <c r="AD40" s="81"/>
      <c r="AE40" s="83"/>
      <c r="AF40" s="82">
        <v>0</v>
      </c>
      <c r="AG40" s="83">
        <v>100</v>
      </c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ht="12" customHeight="1">
      <c r="A41" s="2"/>
      <c r="B41" s="86"/>
      <c r="C41" s="2"/>
      <c r="D41" s="2"/>
      <c r="E41" s="2"/>
      <c r="F41" s="3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ht="12" customHeight="1">
      <c r="A42" s="1"/>
      <c r="B42" s="20"/>
      <c r="C42" s="22"/>
      <c r="D42" s="22"/>
      <c r="E42" s="6"/>
      <c r="F42" s="190" t="s">
        <v>93</v>
      </c>
      <c r="G42" s="191"/>
      <c r="H42" s="192"/>
      <c r="I42" s="190" t="s">
        <v>96</v>
      </c>
      <c r="J42" s="191"/>
      <c r="K42" s="191"/>
      <c r="L42" s="191"/>
      <c r="M42" s="191"/>
      <c r="N42" s="191"/>
      <c r="O42" s="191"/>
      <c r="P42" s="191"/>
      <c r="Q42" s="191"/>
      <c r="R42" s="192"/>
      <c r="S42" s="187" t="s">
        <v>97</v>
      </c>
      <c r="T42" s="188"/>
      <c r="U42" s="188"/>
      <c r="V42" s="188"/>
      <c r="W42" s="188"/>
      <c r="X42" s="189"/>
      <c r="Y42" s="187" t="s">
        <v>100</v>
      </c>
      <c r="Z42" s="188"/>
      <c r="AA42" s="188"/>
      <c r="AB42" s="188"/>
      <c r="AC42" s="188"/>
      <c r="AD42" s="189"/>
      <c r="AE42" s="1"/>
      <c r="AF42" s="1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87" t="s">
        <v>54</v>
      </c>
      <c r="AS42" s="88"/>
      <c r="AT42" s="88"/>
      <c r="AU42" s="87" t="s">
        <v>55</v>
      </c>
      <c r="AV42" s="88"/>
      <c r="AW42" s="88"/>
      <c r="AX42" s="38" t="s">
        <v>56</v>
      </c>
      <c r="AY42" s="40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spans="1:63" ht="12" customHeight="1">
      <c r="A43" s="1"/>
      <c r="B43" s="89" t="s">
        <v>47</v>
      </c>
      <c r="C43" s="54" t="s">
        <v>48</v>
      </c>
      <c r="D43" s="8" t="s">
        <v>49</v>
      </c>
      <c r="E43" s="8" t="s">
        <v>50</v>
      </c>
      <c r="F43" s="12" t="s">
        <v>104</v>
      </c>
      <c r="G43" s="90" t="s">
        <v>105</v>
      </c>
      <c r="H43" s="42" t="s">
        <v>51</v>
      </c>
      <c r="I43" s="91" t="s">
        <v>106</v>
      </c>
      <c r="J43" s="92" t="s">
        <v>107</v>
      </c>
      <c r="K43" s="92" t="s">
        <v>109</v>
      </c>
      <c r="L43" s="94" t="s">
        <v>110</v>
      </c>
      <c r="M43" s="6" t="s">
        <v>112</v>
      </c>
      <c r="N43" s="6" t="s">
        <v>113</v>
      </c>
      <c r="O43" s="6" t="s">
        <v>114</v>
      </c>
      <c r="P43" s="6" t="s">
        <v>115</v>
      </c>
      <c r="Q43" s="6" t="s">
        <v>116</v>
      </c>
      <c r="R43" s="9" t="s">
        <v>118</v>
      </c>
      <c r="S43" s="5" t="s">
        <v>52</v>
      </c>
      <c r="T43" s="6" t="s">
        <v>31</v>
      </c>
      <c r="U43" s="6" t="s">
        <v>32</v>
      </c>
      <c r="V43" s="6" t="s">
        <v>37</v>
      </c>
      <c r="W43" s="6" t="s">
        <v>38</v>
      </c>
      <c r="X43" s="9" t="s">
        <v>39</v>
      </c>
      <c r="Y43" s="5" t="s">
        <v>57</v>
      </c>
      <c r="Z43" s="6" t="s">
        <v>31</v>
      </c>
      <c r="AA43" s="6" t="s">
        <v>32</v>
      </c>
      <c r="AB43" s="6" t="s">
        <v>37</v>
      </c>
      <c r="AC43" s="6" t="s">
        <v>38</v>
      </c>
      <c r="AD43" s="9" t="s">
        <v>39</v>
      </c>
      <c r="AE43" s="95" t="s">
        <v>119</v>
      </c>
      <c r="AF43" s="96" t="s">
        <v>120</v>
      </c>
      <c r="AG43" s="96" t="s">
        <v>121</v>
      </c>
      <c r="AH43" s="96" t="s">
        <v>122</v>
      </c>
      <c r="AI43" s="96" t="s">
        <v>123</v>
      </c>
      <c r="AJ43" s="96" t="s">
        <v>124</v>
      </c>
      <c r="AK43" s="8" t="s">
        <v>125</v>
      </c>
      <c r="AL43" s="8" t="s">
        <v>126</v>
      </c>
      <c r="AM43" s="8" t="s">
        <v>127</v>
      </c>
      <c r="AN43" s="8" t="s">
        <v>128</v>
      </c>
      <c r="AO43" s="8" t="s">
        <v>129</v>
      </c>
      <c r="AP43" s="8" t="s">
        <v>130</v>
      </c>
      <c r="AQ43" s="8" t="s">
        <v>131</v>
      </c>
      <c r="AR43" s="5">
        <v>1</v>
      </c>
      <c r="AS43" s="6">
        <v>2</v>
      </c>
      <c r="AT43" s="9">
        <v>3</v>
      </c>
      <c r="AU43" s="5">
        <v>1</v>
      </c>
      <c r="AV43" s="6">
        <v>2</v>
      </c>
      <c r="AW43" s="9">
        <v>3</v>
      </c>
      <c r="AX43" s="5">
        <v>1</v>
      </c>
      <c r="AY43" s="6">
        <v>2</v>
      </c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spans="1:63" ht="12" customHeight="1">
      <c r="A44" s="1"/>
      <c r="B44" s="97">
        <v>1</v>
      </c>
      <c r="C44" s="20">
        <v>10</v>
      </c>
      <c r="D44" s="98" t="s">
        <v>2</v>
      </c>
      <c r="E44" s="22" t="s">
        <v>108</v>
      </c>
      <c r="F44" s="54"/>
      <c r="G44" s="22" t="s">
        <v>133</v>
      </c>
      <c r="H44" s="24"/>
      <c r="I44" s="99">
        <f t="shared" ref="I44:I96" si="0">M44/AE44</f>
        <v>202.95110801393727</v>
      </c>
      <c r="J44" s="101">
        <f t="shared" ref="J44:J96" si="1">AH44/AE44</f>
        <v>39.571428571428569</v>
      </c>
      <c r="K44" s="101">
        <f t="shared" ref="K44:K96" si="2">RANK(I44,$I$44:$I$96)</f>
        <v>35</v>
      </c>
      <c r="L44" s="74">
        <f t="shared" ref="L44:L62" si="3">RANK(I44,$I$44:$I$62)</f>
        <v>12</v>
      </c>
      <c r="M44" s="100">
        <f t="shared" ref="M44:M55" si="4">SUM(N44:R44)</f>
        <v>1420.6577560975609</v>
      </c>
      <c r="N44" s="103">
        <f t="shared" ref="N44:N49" si="5">T44*(1+(AG44/100)*(AI44/100-1))</f>
        <v>1420.6577560975609</v>
      </c>
      <c r="O44" s="103"/>
      <c r="P44" s="103"/>
      <c r="Q44" s="103"/>
      <c r="R44" s="104"/>
      <c r="S44" s="100">
        <f t="shared" ref="S44:S49" si="6">SUM(T44:X44)</f>
        <v>1183.881463414634</v>
      </c>
      <c r="T44" s="103">
        <f t="shared" ref="T44:T46" si="7">AL44*AV44*AW44*AY44</f>
        <v>1183.881463414634</v>
      </c>
      <c r="U44" s="103"/>
      <c r="V44" s="103"/>
      <c r="W44" s="103"/>
      <c r="X44" s="104"/>
      <c r="Y44" s="100">
        <f t="shared" ref="Y44:Y96" si="8">SUM(Z44:AD44)</f>
        <v>2367.7629268292681</v>
      </c>
      <c r="Z44" s="103">
        <f t="shared" ref="Z44:Z56" si="9">T44*$D$26/100</f>
        <v>2367.7629268292681</v>
      </c>
      <c r="AA44" s="103"/>
      <c r="AB44" s="103"/>
      <c r="AC44" s="103"/>
      <c r="AD44" s="104"/>
      <c r="AE44" s="100">
        <f t="shared" ref="AE44:AE46" si="10">AO44-AS44</f>
        <v>7</v>
      </c>
      <c r="AF44" s="102"/>
      <c r="AG44" s="102">
        <f t="shared" ref="AG44:AG47" si="11">IF($D$25+AT44&gt;100,100,$D$25+AT44)</f>
        <v>20</v>
      </c>
      <c r="AH44" s="102">
        <f t="shared" ref="AH44:AH48" si="12">AQ44</f>
        <v>277</v>
      </c>
      <c r="AI44" s="102">
        <f t="shared" ref="AI44:AI46" si="13">$D$26</f>
        <v>200</v>
      </c>
      <c r="AJ44" s="103">
        <f t="shared" ref="AJ44:AJ46" si="14">10*AY44/12</f>
        <v>0.83333333333333337</v>
      </c>
      <c r="AK44" s="102">
        <f t="shared" ref="AK44:AK60" si="15">SUM(AL44:AN44)</f>
        <v>910.67804878048776</v>
      </c>
      <c r="AL44" s="102">
        <f t="shared" ref="AL44:AL46" si="16">(VLOOKUP(C44,$B$4:$AA$7,2,FALSE)+VLOOKUP(C44,$B$8:$AA$11,2,FALSE)*$D$22)*$D$27/100</f>
        <v>910.67804878048776</v>
      </c>
      <c r="AM44" s="102"/>
      <c r="AN44" s="102"/>
      <c r="AO44" s="6">
        <v>8</v>
      </c>
      <c r="AP44" s="22"/>
      <c r="AQ44" s="105">
        <f t="shared" ref="AQ44:AQ46" si="17">VLOOKUP(C44,$B$13:$AA$16,2,FALSE)</f>
        <v>277</v>
      </c>
      <c r="AR44" s="5"/>
      <c r="AS44" s="6">
        <v>1</v>
      </c>
      <c r="AT44" s="9">
        <v>0</v>
      </c>
      <c r="AU44" s="5"/>
      <c r="AV44" s="6">
        <v>1</v>
      </c>
      <c r="AW44" s="6">
        <v>1.3</v>
      </c>
      <c r="AX44" s="5"/>
      <c r="AY44" s="9">
        <v>1</v>
      </c>
      <c r="AZ44" s="2"/>
      <c r="BA44" s="2"/>
      <c r="BB44" s="2"/>
      <c r="BC44" s="1"/>
      <c r="BD44" s="106"/>
      <c r="BE44" s="2"/>
      <c r="BF44" s="2"/>
      <c r="BG44" s="2"/>
      <c r="BH44" s="2"/>
      <c r="BI44" s="1"/>
      <c r="BJ44" s="1"/>
      <c r="BK44" s="1"/>
    </row>
    <row r="45" spans="1:63" ht="12" customHeight="1">
      <c r="A45" s="1"/>
      <c r="B45" s="107">
        <v>1</v>
      </c>
      <c r="C45" s="31">
        <v>10</v>
      </c>
      <c r="D45" s="106" t="s">
        <v>2</v>
      </c>
      <c r="E45" s="2" t="s">
        <v>108</v>
      </c>
      <c r="F45" s="25"/>
      <c r="G45" s="2" t="s">
        <v>142</v>
      </c>
      <c r="H45" s="33"/>
      <c r="I45" s="99">
        <f t="shared" si="0"/>
        <v>156.11623693379789</v>
      </c>
      <c r="J45" s="101">
        <f t="shared" si="1"/>
        <v>39.571428571428569</v>
      </c>
      <c r="K45" s="101">
        <f t="shared" si="2"/>
        <v>47</v>
      </c>
      <c r="L45" s="74">
        <f t="shared" si="3"/>
        <v>16</v>
      </c>
      <c r="M45" s="99">
        <f t="shared" si="4"/>
        <v>1092.8136585365853</v>
      </c>
      <c r="N45" s="108">
        <f t="shared" si="5"/>
        <v>1092.8136585365853</v>
      </c>
      <c r="O45" s="108"/>
      <c r="P45" s="108"/>
      <c r="Q45" s="108"/>
      <c r="R45" s="109"/>
      <c r="S45" s="99">
        <f t="shared" si="6"/>
        <v>910.67804878048776</v>
      </c>
      <c r="T45" s="108">
        <f t="shared" si="7"/>
        <v>910.67804878048776</v>
      </c>
      <c r="U45" s="108"/>
      <c r="V45" s="108"/>
      <c r="W45" s="108"/>
      <c r="X45" s="109"/>
      <c r="Y45" s="99">
        <f t="shared" si="8"/>
        <v>1821.3560975609755</v>
      </c>
      <c r="Z45" s="108">
        <f t="shared" si="9"/>
        <v>1821.3560975609755</v>
      </c>
      <c r="AA45" s="108"/>
      <c r="AB45" s="108"/>
      <c r="AC45" s="108"/>
      <c r="AD45" s="109"/>
      <c r="AE45" s="99">
        <f t="shared" si="10"/>
        <v>7</v>
      </c>
      <c r="AF45" s="101"/>
      <c r="AG45" s="101">
        <f t="shared" si="11"/>
        <v>20</v>
      </c>
      <c r="AH45" s="101">
        <f t="shared" si="12"/>
        <v>277</v>
      </c>
      <c r="AI45" s="101">
        <f t="shared" si="13"/>
        <v>200</v>
      </c>
      <c r="AJ45" s="108">
        <f t="shared" si="14"/>
        <v>0.83333333333333337</v>
      </c>
      <c r="AK45" s="101">
        <f t="shared" si="15"/>
        <v>910.67804878048776</v>
      </c>
      <c r="AL45" s="101">
        <f t="shared" si="16"/>
        <v>910.67804878048776</v>
      </c>
      <c r="AM45" s="101"/>
      <c r="AN45" s="101"/>
      <c r="AO45" s="1">
        <v>8</v>
      </c>
      <c r="AP45" s="2"/>
      <c r="AQ45" s="74">
        <f t="shared" si="17"/>
        <v>277</v>
      </c>
      <c r="AR45" s="10"/>
      <c r="AS45" s="1">
        <v>1</v>
      </c>
      <c r="AT45" s="11">
        <v>0</v>
      </c>
      <c r="AU45" s="10"/>
      <c r="AV45" s="1">
        <v>1</v>
      </c>
      <c r="AW45" s="1">
        <v>1</v>
      </c>
      <c r="AX45" s="10"/>
      <c r="AY45" s="11">
        <v>1</v>
      </c>
      <c r="AZ45" s="2"/>
      <c r="BA45" s="2"/>
      <c r="BB45" s="2"/>
      <c r="BC45" s="1"/>
      <c r="BD45" s="106"/>
      <c r="BE45" s="2"/>
      <c r="BF45" s="2"/>
      <c r="BG45" s="2"/>
      <c r="BH45" s="2"/>
      <c r="BI45" s="1"/>
      <c r="BJ45" s="1"/>
      <c r="BK45" s="1"/>
    </row>
    <row r="46" spans="1:63" ht="12" customHeight="1">
      <c r="A46" s="2"/>
      <c r="B46" s="107">
        <v>2</v>
      </c>
      <c r="C46" s="31">
        <v>10</v>
      </c>
      <c r="D46" s="106" t="s">
        <v>2</v>
      </c>
      <c r="E46" s="2" t="s">
        <v>101</v>
      </c>
      <c r="F46" s="31"/>
      <c r="G46" s="2"/>
      <c r="H46" s="33"/>
      <c r="I46" s="99">
        <f t="shared" si="0"/>
        <v>184.2171595818815</v>
      </c>
      <c r="J46" s="101">
        <f t="shared" si="1"/>
        <v>39.571428571428569</v>
      </c>
      <c r="K46" s="101">
        <f t="shared" si="2"/>
        <v>40</v>
      </c>
      <c r="L46" s="74">
        <f t="shared" si="3"/>
        <v>15</v>
      </c>
      <c r="M46" s="99">
        <f t="shared" si="4"/>
        <v>1289.5201170731705</v>
      </c>
      <c r="N46" s="108">
        <f t="shared" si="5"/>
        <v>1289.5201170731705</v>
      </c>
      <c r="O46" s="108"/>
      <c r="P46" s="108"/>
      <c r="Q46" s="108"/>
      <c r="R46" s="109"/>
      <c r="S46" s="99">
        <f t="shared" si="6"/>
        <v>1074.6000975609754</v>
      </c>
      <c r="T46" s="108">
        <f t="shared" si="7"/>
        <v>1074.6000975609754</v>
      </c>
      <c r="U46" s="108"/>
      <c r="V46" s="108"/>
      <c r="W46" s="108"/>
      <c r="X46" s="109"/>
      <c r="Y46" s="99">
        <f t="shared" si="8"/>
        <v>2149.2001951219509</v>
      </c>
      <c r="Z46" s="108">
        <f t="shared" si="9"/>
        <v>2149.2001951219509</v>
      </c>
      <c r="AA46" s="108"/>
      <c r="AB46" s="108"/>
      <c r="AC46" s="108"/>
      <c r="AD46" s="109"/>
      <c r="AE46" s="99">
        <f t="shared" si="10"/>
        <v>7</v>
      </c>
      <c r="AF46" s="101"/>
      <c r="AG46" s="101">
        <f t="shared" si="11"/>
        <v>20</v>
      </c>
      <c r="AH46" s="101">
        <f t="shared" si="12"/>
        <v>277</v>
      </c>
      <c r="AI46" s="101">
        <f t="shared" si="13"/>
        <v>200</v>
      </c>
      <c r="AJ46" s="108">
        <f t="shared" si="14"/>
        <v>0.83333333333333337</v>
      </c>
      <c r="AK46" s="101">
        <f t="shared" si="15"/>
        <v>910.67804878048776</v>
      </c>
      <c r="AL46" s="101">
        <f t="shared" si="16"/>
        <v>910.67804878048776</v>
      </c>
      <c r="AM46" s="101"/>
      <c r="AN46" s="101"/>
      <c r="AO46" s="1">
        <v>8</v>
      </c>
      <c r="AP46" s="2"/>
      <c r="AQ46" s="74">
        <f t="shared" si="17"/>
        <v>277</v>
      </c>
      <c r="AR46" s="10"/>
      <c r="AS46" s="1">
        <v>1</v>
      </c>
      <c r="AT46" s="11">
        <v>0</v>
      </c>
      <c r="AU46" s="10"/>
      <c r="AV46" s="1">
        <v>1.18</v>
      </c>
      <c r="AW46" s="1">
        <v>1</v>
      </c>
      <c r="AX46" s="10"/>
      <c r="AY46" s="11">
        <v>1</v>
      </c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</row>
    <row r="47" spans="1:63" ht="12" customHeight="1">
      <c r="A47" s="1"/>
      <c r="B47" s="107">
        <v>3</v>
      </c>
      <c r="C47" s="31">
        <v>10</v>
      </c>
      <c r="D47" s="106" t="s">
        <v>13</v>
      </c>
      <c r="E47" s="2" t="s">
        <v>145</v>
      </c>
      <c r="F47" s="25"/>
      <c r="G47" s="2"/>
      <c r="H47" s="33"/>
      <c r="I47" s="99">
        <f t="shared" si="0"/>
        <v>275.95493902439028</v>
      </c>
      <c r="J47" s="101">
        <f t="shared" si="1"/>
        <v>21.708333333333332</v>
      </c>
      <c r="K47" s="101">
        <f t="shared" si="2"/>
        <v>18</v>
      </c>
      <c r="L47" s="74">
        <f t="shared" si="3"/>
        <v>5</v>
      </c>
      <c r="M47" s="99">
        <f t="shared" si="4"/>
        <v>6622.9185365853673</v>
      </c>
      <c r="N47" s="108">
        <f t="shared" si="5"/>
        <v>4245.1750975609766</v>
      </c>
      <c r="O47" s="108">
        <f>U47*(1+($D$25/100)*($D$26/100-1))</f>
        <v>1463.2267317073172</v>
      </c>
      <c r="P47" s="108"/>
      <c r="Q47" s="108"/>
      <c r="R47" s="109">
        <f>X47*(1+($D$25/100)*($D$26/100-1))</f>
        <v>914.51670731707327</v>
      </c>
      <c r="S47" s="99">
        <f t="shared" si="6"/>
        <v>4215.7555487804884</v>
      </c>
      <c r="T47" s="108">
        <f>AL47*AY47</f>
        <v>2234.3026829268297</v>
      </c>
      <c r="U47" s="108">
        <f>AM47*AU47*AW47</f>
        <v>1219.3556097560977</v>
      </c>
      <c r="V47" s="108"/>
      <c r="W47" s="108"/>
      <c r="X47" s="109">
        <f>IF(AU47=1,0,U47*0.625)</f>
        <v>762.09725609756106</v>
      </c>
      <c r="Y47" s="99">
        <f t="shared" si="8"/>
        <v>8431.5110975609769</v>
      </c>
      <c r="Z47" s="108">
        <f t="shared" si="9"/>
        <v>4468.6053658536594</v>
      </c>
      <c r="AA47" s="108">
        <f>U47*$D$26/100</f>
        <v>2438.7112195121954</v>
      </c>
      <c r="AB47" s="108"/>
      <c r="AC47" s="108"/>
      <c r="AD47" s="109">
        <f t="shared" ref="AD47:AD48" si="18">X47*$D$26/100</f>
        <v>1524.1945121951221</v>
      </c>
      <c r="AE47" s="99">
        <f>AO47</f>
        <v>24</v>
      </c>
      <c r="AF47" s="101"/>
      <c r="AG47" s="101">
        <f t="shared" si="11"/>
        <v>60</v>
      </c>
      <c r="AH47" s="101">
        <f t="shared" si="12"/>
        <v>521</v>
      </c>
      <c r="AI47" s="101">
        <f>IF(AY47=1,$D$26,$D$26+50)</f>
        <v>250</v>
      </c>
      <c r="AJ47" s="101">
        <f>10/IF(AY47=1,2.5,2)</f>
        <v>5</v>
      </c>
      <c r="AK47" s="101">
        <f t="shared" si="15"/>
        <v>2617.8926829268294</v>
      </c>
      <c r="AL47" s="101">
        <f>(VLOOKUP(C47,$B$4:$AG$7,17,FALSE)+VLOOKUP(C47,$B$8:$AG$11,17,FALSE)*$D$22)*$D$27/100</f>
        <v>1679.9268292682927</v>
      </c>
      <c r="AM47" s="101">
        <f>(VLOOKUP(C47,$B$4:$AG$7,18,FALSE)+VLOOKUP(C47,$B$8:$AG$11,18,FALSE)*$D$22)*$D$27/100</f>
        <v>937.96585365853662</v>
      </c>
      <c r="AN47" s="101"/>
      <c r="AO47" s="1">
        <v>24</v>
      </c>
      <c r="AP47" s="2"/>
      <c r="AQ47" s="74">
        <f>VLOOKUP(C47,$B$13:$AA$16,17,FALSE)</f>
        <v>521</v>
      </c>
      <c r="AR47" s="10"/>
      <c r="AS47" s="1"/>
      <c r="AT47" s="11">
        <v>40</v>
      </c>
      <c r="AU47" s="10">
        <v>1.3</v>
      </c>
      <c r="AV47" s="1"/>
      <c r="AW47" s="1">
        <v>1</v>
      </c>
      <c r="AX47" s="10"/>
      <c r="AY47" s="11">
        <v>1.33</v>
      </c>
      <c r="AZ47" s="2"/>
      <c r="BA47" s="2"/>
      <c r="BB47" s="2"/>
      <c r="BC47" s="1"/>
      <c r="BD47" s="106"/>
      <c r="BE47" s="2"/>
      <c r="BF47" s="2"/>
      <c r="BG47" s="2"/>
      <c r="BH47" s="2"/>
      <c r="BI47" s="1"/>
      <c r="BJ47" s="1"/>
      <c r="BK47" s="1"/>
    </row>
    <row r="48" spans="1:63" ht="12" customHeight="1">
      <c r="A48" s="1"/>
      <c r="B48" s="107">
        <v>4</v>
      </c>
      <c r="C48" s="31">
        <v>10</v>
      </c>
      <c r="D48" s="106" t="s">
        <v>3</v>
      </c>
      <c r="E48" s="2" t="s">
        <v>139</v>
      </c>
      <c r="F48" s="25"/>
      <c r="G48" s="2"/>
      <c r="H48" s="33"/>
      <c r="I48" s="99">
        <f t="shared" si="0"/>
        <v>320.8624390243902</v>
      </c>
      <c r="J48" s="101">
        <f t="shared" si="1"/>
        <v>39.166666666666664</v>
      </c>
      <c r="K48" s="101">
        <f t="shared" si="2"/>
        <v>9</v>
      </c>
      <c r="L48" s="74">
        <f t="shared" si="3"/>
        <v>2</v>
      </c>
      <c r="M48" s="99">
        <f t="shared" si="4"/>
        <v>1925.1746341463413</v>
      </c>
      <c r="N48" s="108">
        <f t="shared" si="5"/>
        <v>962.58731707317065</v>
      </c>
      <c r="O48" s="108"/>
      <c r="P48" s="108"/>
      <c r="Q48" s="108"/>
      <c r="R48" s="109">
        <f>X48*(1+(AG48/100)*(AI48/100-1))</f>
        <v>962.58731707317065</v>
      </c>
      <c r="S48" s="99">
        <f t="shared" si="6"/>
        <v>1604.3121951219512</v>
      </c>
      <c r="T48" s="108">
        <f>AL48*AU48*AV48*AW48*AX48</f>
        <v>802.15609756097558</v>
      </c>
      <c r="U48" s="108"/>
      <c r="V48" s="108"/>
      <c r="W48" s="108"/>
      <c r="X48" s="109">
        <f>AL48*AU48*AV48*IF(AW48=1,1,0.25)*AX48*AY48</f>
        <v>802.15609756097558</v>
      </c>
      <c r="Y48" s="99">
        <f t="shared" si="8"/>
        <v>3208.6243902439023</v>
      </c>
      <c r="Z48" s="108">
        <f t="shared" si="9"/>
        <v>1604.3121951219512</v>
      </c>
      <c r="AA48" s="108"/>
      <c r="AB48" s="108"/>
      <c r="AC48" s="108"/>
      <c r="AD48" s="109">
        <f t="shared" si="18"/>
        <v>1604.3121951219512</v>
      </c>
      <c r="AE48" s="99">
        <f>IF(AV48=1,AO48,AO48+6)</f>
        <v>6</v>
      </c>
      <c r="AF48" s="101"/>
      <c r="AG48" s="101">
        <f>IF($D$25&gt;100,100,$D$25)</f>
        <v>20</v>
      </c>
      <c r="AH48" s="101">
        <f t="shared" si="12"/>
        <v>235</v>
      </c>
      <c r="AI48" s="101">
        <f t="shared" ref="AI48:AI56" si="19">$D$26</f>
        <v>200</v>
      </c>
      <c r="AJ48" s="108">
        <f>10/13</f>
        <v>0.76923076923076927</v>
      </c>
      <c r="AK48" s="101">
        <f t="shared" si="15"/>
        <v>534.77073170731705</v>
      </c>
      <c r="AL48" s="101">
        <f>(VLOOKUP(C48,$B$4:$AG$7,3,FALSE)+VLOOKUP(C48,$B$8:$AG$11,3,FALSE)*$D$22)*$D$27/100</f>
        <v>534.77073170731705</v>
      </c>
      <c r="AM48" s="101"/>
      <c r="AN48" s="101"/>
      <c r="AO48" s="1">
        <v>6</v>
      </c>
      <c r="AP48" s="2"/>
      <c r="AQ48" s="74">
        <f>VLOOKUP(C48,$B$13:$AA$16,3,FALSE)</f>
        <v>235</v>
      </c>
      <c r="AR48" s="10"/>
      <c r="AS48" s="1"/>
      <c r="AT48" s="11"/>
      <c r="AU48" s="10">
        <v>1.5</v>
      </c>
      <c r="AV48" s="1">
        <v>1</v>
      </c>
      <c r="AW48" s="1">
        <v>1</v>
      </c>
      <c r="AX48" s="10">
        <v>1</v>
      </c>
      <c r="AY48" s="11">
        <v>1</v>
      </c>
      <c r="AZ48" s="2"/>
      <c r="BA48" s="2"/>
      <c r="BB48" s="2"/>
      <c r="BC48" s="1"/>
      <c r="BD48" s="106"/>
      <c r="BE48" s="2"/>
      <c r="BF48" s="2"/>
      <c r="BG48" s="2"/>
      <c r="BH48" s="2"/>
      <c r="BI48" s="1"/>
      <c r="BJ48" s="1"/>
      <c r="BK48" s="2"/>
    </row>
    <row r="49" spans="1:63" ht="12" customHeight="1">
      <c r="A49" s="1"/>
      <c r="B49" s="107">
        <v>5</v>
      </c>
      <c r="C49" s="31">
        <v>10</v>
      </c>
      <c r="D49" s="106" t="s">
        <v>6</v>
      </c>
      <c r="E49" s="2" t="s">
        <v>147</v>
      </c>
      <c r="F49" s="25"/>
      <c r="G49" s="2" t="s">
        <v>86</v>
      </c>
      <c r="H49" s="33"/>
      <c r="I49" s="99">
        <f t="shared" si="0"/>
        <v>250.91704132682929</v>
      </c>
      <c r="J49" s="101">
        <f t="shared" si="1"/>
        <v>23.45</v>
      </c>
      <c r="K49" s="101">
        <f t="shared" si="2"/>
        <v>25</v>
      </c>
      <c r="L49" s="74">
        <f t="shared" si="3"/>
        <v>7</v>
      </c>
      <c r="M49" s="99">
        <f t="shared" si="4"/>
        <v>5018.3408265365861</v>
      </c>
      <c r="N49" s="108">
        <f t="shared" si="5"/>
        <v>5018.3408265365861</v>
      </c>
      <c r="O49" s="108"/>
      <c r="P49" s="108"/>
      <c r="Q49" s="108"/>
      <c r="R49" s="109"/>
      <c r="S49" s="99">
        <f t="shared" si="6"/>
        <v>4181.9506887804882</v>
      </c>
      <c r="T49" s="108">
        <f>AL49*AW49*AT49*AX49*AY49</f>
        <v>4181.9506887804882</v>
      </c>
      <c r="U49" s="108"/>
      <c r="V49" s="108"/>
      <c r="W49" s="108"/>
      <c r="X49" s="109"/>
      <c r="Y49" s="99">
        <f t="shared" si="8"/>
        <v>8363.9013775609765</v>
      </c>
      <c r="Z49" s="108">
        <f t="shared" si="9"/>
        <v>8363.9013775609765</v>
      </c>
      <c r="AA49" s="108"/>
      <c r="AB49" s="108"/>
      <c r="AC49" s="108"/>
      <c r="AD49" s="109"/>
      <c r="AE49" s="99">
        <f t="shared" ref="AE49:AE55" si="20">AO49</f>
        <v>20</v>
      </c>
      <c r="AF49" s="101"/>
      <c r="AG49" s="101">
        <f>IF($D$25+AV49&gt;100,100,$D$25+AV49)</f>
        <v>20</v>
      </c>
      <c r="AH49" s="101">
        <f t="shared" ref="AH49:AH51" si="21">AQ49*AR49</f>
        <v>469</v>
      </c>
      <c r="AI49" s="101">
        <f t="shared" si="19"/>
        <v>200</v>
      </c>
      <c r="AJ49" s="108">
        <f>10/IF(AX49=1,IF(AY49=1,5,6),4)</f>
        <v>2.5</v>
      </c>
      <c r="AK49" s="101">
        <f t="shared" si="15"/>
        <v>1756.5317073170734</v>
      </c>
      <c r="AL49" s="101">
        <f>(VLOOKUP(C49,$B$4:$AG$7,7,FALSE)+VLOOKUP(C49,$B$8:$AG$11,7,FALSE)*$D$22)*$D$27/100</f>
        <v>1756.5317073170734</v>
      </c>
      <c r="AM49" s="101"/>
      <c r="AN49" s="101"/>
      <c r="AO49" s="1">
        <v>20</v>
      </c>
      <c r="AP49" s="2"/>
      <c r="AQ49" s="74">
        <f>VLOOKUP(C49,$B$13:$AA$16,7,FALSE)</f>
        <v>469</v>
      </c>
      <c r="AR49" s="10">
        <v>1</v>
      </c>
      <c r="AS49" s="1"/>
      <c r="AT49" s="11">
        <v>1.2</v>
      </c>
      <c r="AU49" s="10"/>
      <c r="AV49" s="1">
        <v>0</v>
      </c>
      <c r="AW49" s="1">
        <v>1.24</v>
      </c>
      <c r="AX49" s="10">
        <v>1.6</v>
      </c>
      <c r="AY49" s="11">
        <v>1</v>
      </c>
      <c r="AZ49" s="2"/>
      <c r="BA49" s="2"/>
      <c r="BB49" s="2"/>
      <c r="BC49" s="1"/>
      <c r="BD49" s="106"/>
      <c r="BE49" s="2"/>
      <c r="BF49" s="2"/>
      <c r="BG49" s="2"/>
      <c r="BH49" s="2"/>
      <c r="BI49" s="1"/>
      <c r="BJ49" s="1"/>
      <c r="BK49" s="2"/>
    </row>
    <row r="50" spans="1:63" ht="12" customHeight="1">
      <c r="A50" s="1"/>
      <c r="B50" s="107">
        <v>6</v>
      </c>
      <c r="C50" s="31">
        <v>10</v>
      </c>
      <c r="D50" s="106" t="s">
        <v>16</v>
      </c>
      <c r="E50" s="2" t="s">
        <v>145</v>
      </c>
      <c r="F50" s="25" t="s">
        <v>149</v>
      </c>
      <c r="G50" s="2"/>
      <c r="H50" s="33">
        <f t="shared" ref="H50:H51" si="22">AX50*2</f>
        <v>2</v>
      </c>
      <c r="I50" s="99">
        <f t="shared" si="0"/>
        <v>204.70933170731703</v>
      </c>
      <c r="J50" s="101">
        <f t="shared" si="1"/>
        <v>39.166666666666664</v>
      </c>
      <c r="K50" s="101">
        <f t="shared" si="2"/>
        <v>34</v>
      </c>
      <c r="L50" s="74">
        <f t="shared" si="3"/>
        <v>11</v>
      </c>
      <c r="M50" s="99">
        <f t="shared" si="4"/>
        <v>1228.2559902439023</v>
      </c>
      <c r="N50" s="108">
        <f t="shared" ref="N50:N51" si="23">T50*(1+((AG50+IF(F50="백어택",20,0))/100)*(AI50/100-1))</f>
        <v>1228.2559902439023</v>
      </c>
      <c r="O50" s="108"/>
      <c r="P50" s="108"/>
      <c r="Q50" s="108"/>
      <c r="R50" s="109"/>
      <c r="S50" s="99">
        <f t="shared" ref="S50:S51" si="24">SUM(T50:X50)*H50</f>
        <v>1584.8464390243901</v>
      </c>
      <c r="T50" s="108">
        <f t="shared" ref="T50:T51" si="25">AL50*AU50*AY50*IF(F50="백어택",1.2,1)</f>
        <v>792.42321951219503</v>
      </c>
      <c r="U50" s="108"/>
      <c r="V50" s="108"/>
      <c r="W50" s="108"/>
      <c r="X50" s="109"/>
      <c r="Y50" s="99">
        <f t="shared" si="8"/>
        <v>1584.8464390243901</v>
      </c>
      <c r="Z50" s="108">
        <f t="shared" si="9"/>
        <v>1584.8464390243901</v>
      </c>
      <c r="AA50" s="108"/>
      <c r="AB50" s="108"/>
      <c r="AC50" s="108"/>
      <c r="AD50" s="109"/>
      <c r="AE50" s="99">
        <f t="shared" si="20"/>
        <v>6</v>
      </c>
      <c r="AF50" s="101"/>
      <c r="AG50" s="101">
        <f t="shared" ref="AG50:AG51" si="26">IF($D$25+AT50&gt;100,100,$D$25+AT50)</f>
        <v>35</v>
      </c>
      <c r="AH50" s="101">
        <f t="shared" si="21"/>
        <v>235</v>
      </c>
      <c r="AI50" s="101">
        <f t="shared" si="19"/>
        <v>200</v>
      </c>
      <c r="AJ50" s="108">
        <f t="shared" ref="AJ50:AJ51" si="27">10*AS50/IF(AX50=1,5,3.5)</f>
        <v>2</v>
      </c>
      <c r="AK50" s="101">
        <f t="shared" si="15"/>
        <v>314.45365853658535</v>
      </c>
      <c r="AL50" s="101">
        <f t="shared" ref="AL50:AL51" si="28">((VLOOKUP(C50,$B$4:$AG$7,23,FALSE)+VLOOKUP(C50,$B$8:$AG$11,23,FALSE)*$D$22))*$D$27/100</f>
        <v>314.45365853658535</v>
      </c>
      <c r="AM50" s="101"/>
      <c r="AN50" s="101"/>
      <c r="AO50" s="1">
        <v>6</v>
      </c>
      <c r="AP50" s="2"/>
      <c r="AQ50" s="74">
        <f t="shared" ref="AQ50:AQ51" si="29">VLOOKUP(C50,$B$13:$AA$16,23,FALSE)</f>
        <v>235</v>
      </c>
      <c r="AR50" s="10">
        <v>1</v>
      </c>
      <c r="AS50" s="1">
        <v>1</v>
      </c>
      <c r="AT50" s="11">
        <v>15</v>
      </c>
      <c r="AU50" s="10">
        <v>1.4</v>
      </c>
      <c r="AV50" s="1"/>
      <c r="AW50" s="1"/>
      <c r="AX50" s="10">
        <v>1</v>
      </c>
      <c r="AY50" s="11">
        <v>1.5</v>
      </c>
      <c r="AZ50" s="2"/>
      <c r="BA50" s="2"/>
      <c r="BB50" s="2"/>
      <c r="BC50" s="1"/>
      <c r="BD50" s="106"/>
      <c r="BE50" s="2"/>
      <c r="BF50" s="2"/>
      <c r="BG50" s="2"/>
      <c r="BH50" s="2"/>
      <c r="BI50" s="1"/>
      <c r="BJ50" s="1"/>
      <c r="BK50" s="1"/>
    </row>
    <row r="51" spans="1:63" ht="12" customHeight="1">
      <c r="A51" s="1"/>
      <c r="B51" s="107">
        <v>6</v>
      </c>
      <c r="C51" s="31">
        <v>10</v>
      </c>
      <c r="D51" s="106" t="s">
        <v>16</v>
      </c>
      <c r="E51" s="2" t="s">
        <v>145</v>
      </c>
      <c r="F51" s="25"/>
      <c r="G51" s="2"/>
      <c r="H51" s="33">
        <f t="shared" si="22"/>
        <v>2</v>
      </c>
      <c r="I51" s="99">
        <f t="shared" si="0"/>
        <v>148.57935365853658</v>
      </c>
      <c r="J51" s="101">
        <f t="shared" si="1"/>
        <v>39.166666666666664</v>
      </c>
      <c r="K51" s="101">
        <f t="shared" si="2"/>
        <v>48</v>
      </c>
      <c r="L51" s="74">
        <f t="shared" si="3"/>
        <v>17</v>
      </c>
      <c r="M51" s="99">
        <f t="shared" si="4"/>
        <v>891.4761219512194</v>
      </c>
      <c r="N51" s="108">
        <f t="shared" si="23"/>
        <v>891.4761219512194</v>
      </c>
      <c r="O51" s="108"/>
      <c r="P51" s="108"/>
      <c r="Q51" s="108"/>
      <c r="R51" s="109"/>
      <c r="S51" s="99">
        <f t="shared" si="24"/>
        <v>1320.7053658536583</v>
      </c>
      <c r="T51" s="108">
        <f t="shared" si="25"/>
        <v>660.35268292682917</v>
      </c>
      <c r="U51" s="108"/>
      <c r="V51" s="108"/>
      <c r="W51" s="108"/>
      <c r="X51" s="109"/>
      <c r="Y51" s="99">
        <f t="shared" si="8"/>
        <v>1320.7053658536583</v>
      </c>
      <c r="Z51" s="108">
        <f t="shared" si="9"/>
        <v>1320.7053658536583</v>
      </c>
      <c r="AA51" s="108"/>
      <c r="AB51" s="108"/>
      <c r="AC51" s="108"/>
      <c r="AD51" s="109"/>
      <c r="AE51" s="99">
        <f t="shared" si="20"/>
        <v>6</v>
      </c>
      <c r="AF51" s="101"/>
      <c r="AG51" s="101">
        <f t="shared" si="26"/>
        <v>35</v>
      </c>
      <c r="AH51" s="101">
        <f t="shared" si="21"/>
        <v>235</v>
      </c>
      <c r="AI51" s="101">
        <f t="shared" si="19"/>
        <v>200</v>
      </c>
      <c r="AJ51" s="108">
        <f t="shared" si="27"/>
        <v>2</v>
      </c>
      <c r="AK51" s="101">
        <f t="shared" si="15"/>
        <v>314.45365853658535</v>
      </c>
      <c r="AL51" s="101">
        <f t="shared" si="28"/>
        <v>314.45365853658535</v>
      </c>
      <c r="AM51" s="101"/>
      <c r="AN51" s="101"/>
      <c r="AO51" s="1">
        <v>6</v>
      </c>
      <c r="AP51" s="2"/>
      <c r="AQ51" s="74">
        <f t="shared" si="29"/>
        <v>235</v>
      </c>
      <c r="AR51" s="10">
        <v>1</v>
      </c>
      <c r="AS51" s="1">
        <v>1</v>
      </c>
      <c r="AT51" s="11">
        <v>15</v>
      </c>
      <c r="AU51" s="10">
        <v>1.4</v>
      </c>
      <c r="AV51" s="1"/>
      <c r="AW51" s="1"/>
      <c r="AX51" s="10">
        <v>1</v>
      </c>
      <c r="AY51" s="11">
        <v>1.5</v>
      </c>
      <c r="AZ51" s="2"/>
      <c r="BA51" s="2"/>
      <c r="BB51" s="2"/>
      <c r="BC51" s="1"/>
      <c r="BD51" s="106"/>
      <c r="BE51" s="2"/>
      <c r="BF51" s="2"/>
      <c r="BG51" s="2"/>
      <c r="BH51" s="2"/>
      <c r="BI51" s="1"/>
      <c r="BJ51" s="1"/>
      <c r="BK51" s="1"/>
    </row>
    <row r="52" spans="1:63" ht="12" customHeight="1">
      <c r="A52" s="1"/>
      <c r="B52" s="107">
        <v>7</v>
      </c>
      <c r="C52" s="31">
        <v>10</v>
      </c>
      <c r="D52" s="106" t="s">
        <v>4</v>
      </c>
      <c r="E52" s="2" t="s">
        <v>135</v>
      </c>
      <c r="F52" s="25" t="s">
        <v>149</v>
      </c>
      <c r="G52" s="2" t="s">
        <v>143</v>
      </c>
      <c r="H52" s="33"/>
      <c r="I52" s="99">
        <f t="shared" si="0"/>
        <v>266.60663707317076</v>
      </c>
      <c r="J52" s="101">
        <f t="shared" si="1"/>
        <v>29.083333333333332</v>
      </c>
      <c r="K52" s="101">
        <f t="shared" si="2"/>
        <v>22</v>
      </c>
      <c r="L52" s="74">
        <f t="shared" si="3"/>
        <v>6</v>
      </c>
      <c r="M52" s="99">
        <f t="shared" si="4"/>
        <v>3199.2796448780491</v>
      </c>
      <c r="N52" s="108">
        <f t="shared" ref="N52:N55" si="30">T52*(1+((AG52+IF(F52="백어택",20,0))/100))*((AI52/100-1))</f>
        <v>429.97346341463413</v>
      </c>
      <c r="O52" s="108">
        <f t="shared" ref="O52:O55" si="31">U52*(1+((AG52+IF(F52="백어택",20,0))/100)*(AI52/100-1))</f>
        <v>2769.3061814634148</v>
      </c>
      <c r="P52" s="108"/>
      <c r="Q52" s="108"/>
      <c r="R52" s="109"/>
      <c r="S52" s="99">
        <f t="shared" ref="S52:S74" si="32">SUM(T52:X52)</f>
        <v>2285.1997463414637</v>
      </c>
      <c r="T52" s="108">
        <f t="shared" ref="T52:T55" si="33">AT52*AL52*IF(F52="백어택",1.2,1)</f>
        <v>307.12390243902439</v>
      </c>
      <c r="U52" s="108">
        <f t="shared" ref="U52:U55" si="34">AM52*AW52*AX52*AY52*IF(F52="백어택",1.2,1)</f>
        <v>1978.0758439024391</v>
      </c>
      <c r="V52" s="108"/>
      <c r="W52" s="108"/>
      <c r="X52" s="109"/>
      <c r="Y52" s="99">
        <f t="shared" si="8"/>
        <v>4570.3994926829273</v>
      </c>
      <c r="Z52" s="108">
        <f t="shared" si="9"/>
        <v>614.24780487804878</v>
      </c>
      <c r="AA52" s="108">
        <f t="shared" ref="AA52:AA55" si="35">U52*$D$26/100</f>
        <v>3956.1516878048783</v>
      </c>
      <c r="AB52" s="108"/>
      <c r="AC52" s="108"/>
      <c r="AD52" s="109"/>
      <c r="AE52" s="99">
        <f t="shared" si="20"/>
        <v>12</v>
      </c>
      <c r="AF52" s="101"/>
      <c r="AG52" s="101">
        <f t="shared" ref="AG52:AG56" si="36">IF($D$25&gt;100,100,$D$25)</f>
        <v>20</v>
      </c>
      <c r="AH52" s="101">
        <f t="shared" ref="AH52:AH55" si="37">AQ52</f>
        <v>349</v>
      </c>
      <c r="AI52" s="101">
        <f t="shared" si="19"/>
        <v>200</v>
      </c>
      <c r="AJ52" s="108">
        <f t="shared" ref="AJ52:AJ55" si="38">10/IF(AY52=1,5,4)</f>
        <v>2.5</v>
      </c>
      <c r="AK52" s="101">
        <f t="shared" si="15"/>
        <v>853.19024390243908</v>
      </c>
      <c r="AL52" s="101">
        <f t="shared" ref="AL52:AL55" si="39">(VLOOKUP(C52,$B$4:$AG$7,4,FALSE)+VLOOKUP(C52,$B$8:$AG$11,4,FALSE)*$D$22)*$D$27/100</f>
        <v>170.62439024390244</v>
      </c>
      <c r="AM52" s="101">
        <f t="shared" ref="AM52:AM55" si="40">(VLOOKUP(C52,$B$4:$AG$7,5,FALSE)+VLOOKUP(C52,$B$8:$AG$11,5,FALSE)*$D$22)*$D$27/100</f>
        <v>682.56585365853664</v>
      </c>
      <c r="AN52" s="101"/>
      <c r="AO52" s="1">
        <v>12</v>
      </c>
      <c r="AP52" s="2"/>
      <c r="AQ52" s="74">
        <f t="shared" ref="AQ52:AQ55" si="41">VLOOKUP(C52,$B$13:$AA$16,4,FALSE)</f>
        <v>349</v>
      </c>
      <c r="AR52" s="10"/>
      <c r="AS52" s="1"/>
      <c r="AT52" s="11">
        <v>1.5</v>
      </c>
      <c r="AU52" s="10"/>
      <c r="AV52" s="1"/>
      <c r="AW52" s="1">
        <v>1.4</v>
      </c>
      <c r="AX52" s="10">
        <v>1</v>
      </c>
      <c r="AY52" s="11">
        <v>1.7250000000000001</v>
      </c>
      <c r="AZ52" s="2"/>
      <c r="BA52" s="2"/>
      <c r="BB52" s="2"/>
      <c r="BC52" s="1"/>
      <c r="BD52" s="106"/>
      <c r="BE52" s="2"/>
      <c r="BF52" s="2"/>
      <c r="BG52" s="2"/>
      <c r="BH52" s="2"/>
      <c r="BI52" s="1"/>
      <c r="BJ52" s="1"/>
      <c r="BK52" s="1"/>
    </row>
    <row r="53" spans="1:63" ht="12" customHeight="1">
      <c r="A53" s="1"/>
      <c r="B53" s="107">
        <v>7</v>
      </c>
      <c r="C53" s="31">
        <v>10</v>
      </c>
      <c r="D53" s="106" t="s">
        <v>4</v>
      </c>
      <c r="E53" s="2" t="s">
        <v>135</v>
      </c>
      <c r="F53" s="25" t="s">
        <v>149</v>
      </c>
      <c r="G53" s="2" t="s">
        <v>158</v>
      </c>
      <c r="H53" s="33"/>
      <c r="I53" s="99">
        <f t="shared" si="0"/>
        <v>200.67077560975608</v>
      </c>
      <c r="J53" s="101">
        <f t="shared" si="1"/>
        <v>29.083333333333332</v>
      </c>
      <c r="K53" s="101">
        <f t="shared" si="2"/>
        <v>36</v>
      </c>
      <c r="L53" s="74">
        <f t="shared" si="3"/>
        <v>13</v>
      </c>
      <c r="M53" s="99">
        <f t="shared" si="4"/>
        <v>2408.0493073170728</v>
      </c>
      <c r="N53" s="108">
        <f t="shared" si="30"/>
        <v>429.97346341463413</v>
      </c>
      <c r="O53" s="108">
        <f t="shared" si="31"/>
        <v>1978.0758439024389</v>
      </c>
      <c r="P53" s="108"/>
      <c r="Q53" s="108"/>
      <c r="R53" s="109"/>
      <c r="S53" s="99">
        <f t="shared" si="32"/>
        <v>1720.035219512195</v>
      </c>
      <c r="T53" s="108">
        <f t="shared" si="33"/>
        <v>307.12390243902439</v>
      </c>
      <c r="U53" s="108">
        <f t="shared" si="34"/>
        <v>1412.9113170731707</v>
      </c>
      <c r="V53" s="108"/>
      <c r="W53" s="108"/>
      <c r="X53" s="109"/>
      <c r="Y53" s="99">
        <f t="shared" si="8"/>
        <v>3440.07043902439</v>
      </c>
      <c r="Z53" s="108">
        <f t="shared" si="9"/>
        <v>614.24780487804878</v>
      </c>
      <c r="AA53" s="108">
        <f t="shared" si="35"/>
        <v>2825.8226341463414</v>
      </c>
      <c r="AB53" s="108"/>
      <c r="AC53" s="108"/>
      <c r="AD53" s="109"/>
      <c r="AE53" s="99">
        <f t="shared" si="20"/>
        <v>12</v>
      </c>
      <c r="AF53" s="101"/>
      <c r="AG53" s="101">
        <f t="shared" si="36"/>
        <v>20</v>
      </c>
      <c r="AH53" s="101">
        <f t="shared" si="37"/>
        <v>349</v>
      </c>
      <c r="AI53" s="101">
        <f t="shared" si="19"/>
        <v>200</v>
      </c>
      <c r="AJ53" s="108">
        <f t="shared" si="38"/>
        <v>2.5</v>
      </c>
      <c r="AK53" s="101">
        <f t="shared" si="15"/>
        <v>853.19024390243908</v>
      </c>
      <c r="AL53" s="101">
        <f t="shared" si="39"/>
        <v>170.62439024390244</v>
      </c>
      <c r="AM53" s="101">
        <f t="shared" si="40"/>
        <v>682.56585365853664</v>
      </c>
      <c r="AN53" s="101"/>
      <c r="AO53" s="1">
        <v>12</v>
      </c>
      <c r="AP53" s="2"/>
      <c r="AQ53" s="74">
        <f t="shared" si="41"/>
        <v>349</v>
      </c>
      <c r="AR53" s="10"/>
      <c r="AS53" s="1"/>
      <c r="AT53" s="11">
        <v>1.5</v>
      </c>
      <c r="AU53" s="10"/>
      <c r="AV53" s="1"/>
      <c r="AW53" s="1">
        <v>1</v>
      </c>
      <c r="AX53" s="10">
        <v>1</v>
      </c>
      <c r="AY53" s="11">
        <v>1.7250000000000001</v>
      </c>
      <c r="AZ53" s="2"/>
      <c r="BA53" s="2"/>
      <c r="BB53" s="2"/>
      <c r="BC53" s="1"/>
      <c r="BD53" s="106"/>
      <c r="BE53" s="2"/>
      <c r="BF53" s="2"/>
      <c r="BG53" s="2"/>
      <c r="BH53" s="2"/>
      <c r="BI53" s="1"/>
      <c r="BJ53" s="1"/>
      <c r="BK53" s="1"/>
    </row>
    <row r="54" spans="1:63" ht="12" customHeight="1">
      <c r="A54" s="1"/>
      <c r="B54" s="107">
        <v>7</v>
      </c>
      <c r="C54" s="31">
        <v>10</v>
      </c>
      <c r="D54" s="106" t="s">
        <v>4</v>
      </c>
      <c r="E54" s="2" t="s">
        <v>135</v>
      </c>
      <c r="F54" s="25"/>
      <c r="G54" s="2" t="s">
        <v>143</v>
      </c>
      <c r="H54" s="33"/>
      <c r="I54" s="99">
        <f t="shared" si="0"/>
        <v>190.43331219512197</v>
      </c>
      <c r="J54" s="101">
        <f t="shared" si="1"/>
        <v>29.083333333333332</v>
      </c>
      <c r="K54" s="101">
        <f t="shared" si="2"/>
        <v>39</v>
      </c>
      <c r="L54" s="74">
        <f t="shared" si="3"/>
        <v>14</v>
      </c>
      <c r="M54" s="99">
        <f t="shared" si="4"/>
        <v>2285.1997463414637</v>
      </c>
      <c r="N54" s="108">
        <f t="shared" si="30"/>
        <v>307.12390243902439</v>
      </c>
      <c r="O54" s="108">
        <f t="shared" si="31"/>
        <v>1978.0758439024391</v>
      </c>
      <c r="P54" s="108"/>
      <c r="Q54" s="108"/>
      <c r="R54" s="109"/>
      <c r="S54" s="99">
        <f t="shared" si="32"/>
        <v>1904.3331219512197</v>
      </c>
      <c r="T54" s="108">
        <f t="shared" si="33"/>
        <v>255.93658536585366</v>
      </c>
      <c r="U54" s="108">
        <f t="shared" si="34"/>
        <v>1648.396536585366</v>
      </c>
      <c r="V54" s="108"/>
      <c r="W54" s="108"/>
      <c r="X54" s="109"/>
      <c r="Y54" s="99">
        <f t="shared" si="8"/>
        <v>3808.6662439024399</v>
      </c>
      <c r="Z54" s="108">
        <f t="shared" si="9"/>
        <v>511.87317073170726</v>
      </c>
      <c r="AA54" s="108">
        <f t="shared" si="35"/>
        <v>3296.7930731707324</v>
      </c>
      <c r="AB54" s="108"/>
      <c r="AC54" s="108"/>
      <c r="AD54" s="109"/>
      <c r="AE54" s="99">
        <f t="shared" si="20"/>
        <v>12</v>
      </c>
      <c r="AF54" s="101"/>
      <c r="AG54" s="101">
        <f t="shared" si="36"/>
        <v>20</v>
      </c>
      <c r="AH54" s="101">
        <f t="shared" si="37"/>
        <v>349</v>
      </c>
      <c r="AI54" s="101">
        <f t="shared" si="19"/>
        <v>200</v>
      </c>
      <c r="AJ54" s="108">
        <f t="shared" si="38"/>
        <v>2.5</v>
      </c>
      <c r="AK54" s="101">
        <f t="shared" si="15"/>
        <v>853.19024390243908</v>
      </c>
      <c r="AL54" s="101">
        <f t="shared" si="39"/>
        <v>170.62439024390244</v>
      </c>
      <c r="AM54" s="101">
        <f t="shared" si="40"/>
        <v>682.56585365853664</v>
      </c>
      <c r="AN54" s="101"/>
      <c r="AO54" s="1">
        <v>12</v>
      </c>
      <c r="AP54" s="2"/>
      <c r="AQ54" s="74">
        <f t="shared" si="41"/>
        <v>349</v>
      </c>
      <c r="AR54" s="10"/>
      <c r="AS54" s="1"/>
      <c r="AT54" s="11">
        <v>1.5</v>
      </c>
      <c r="AU54" s="10"/>
      <c r="AV54" s="1"/>
      <c r="AW54" s="1">
        <v>1.4</v>
      </c>
      <c r="AX54" s="10">
        <v>1</v>
      </c>
      <c r="AY54" s="11">
        <v>1.7250000000000001</v>
      </c>
      <c r="AZ54" s="2"/>
      <c r="BA54" s="2"/>
      <c r="BB54" s="2"/>
      <c r="BC54" s="1"/>
      <c r="BD54" s="106"/>
      <c r="BE54" s="2"/>
      <c r="BF54" s="2"/>
      <c r="BG54" s="2"/>
      <c r="BH54" s="2"/>
      <c r="BI54" s="1"/>
      <c r="BJ54" s="1"/>
      <c r="BK54" s="1"/>
    </row>
    <row r="55" spans="1:63" ht="12" customHeight="1">
      <c r="A55" s="1"/>
      <c r="B55" s="107">
        <v>7</v>
      </c>
      <c r="C55" s="31">
        <v>10</v>
      </c>
      <c r="D55" s="106" t="s">
        <v>4</v>
      </c>
      <c r="E55" s="2" t="s">
        <v>135</v>
      </c>
      <c r="F55" s="25"/>
      <c r="G55" s="2" t="s">
        <v>158</v>
      </c>
      <c r="H55" s="33"/>
      <c r="I55" s="99">
        <f t="shared" si="0"/>
        <v>143.33626829268292</v>
      </c>
      <c r="J55" s="101">
        <f t="shared" si="1"/>
        <v>29.083333333333332</v>
      </c>
      <c r="K55" s="101">
        <f t="shared" si="2"/>
        <v>50</v>
      </c>
      <c r="L55" s="74">
        <f t="shared" si="3"/>
        <v>18</v>
      </c>
      <c r="M55" s="99">
        <f t="shared" si="4"/>
        <v>1720.035219512195</v>
      </c>
      <c r="N55" s="108">
        <f t="shared" si="30"/>
        <v>307.12390243902439</v>
      </c>
      <c r="O55" s="108">
        <f t="shared" si="31"/>
        <v>1412.9113170731707</v>
      </c>
      <c r="P55" s="108"/>
      <c r="Q55" s="108"/>
      <c r="R55" s="109"/>
      <c r="S55" s="99">
        <f t="shared" si="32"/>
        <v>1433.3626829268294</v>
      </c>
      <c r="T55" s="108">
        <f t="shared" si="33"/>
        <v>255.93658536585366</v>
      </c>
      <c r="U55" s="108">
        <f t="shared" si="34"/>
        <v>1177.4260975609757</v>
      </c>
      <c r="V55" s="108"/>
      <c r="W55" s="108"/>
      <c r="X55" s="109"/>
      <c r="Y55" s="99">
        <f t="shared" si="8"/>
        <v>2866.7253658536588</v>
      </c>
      <c r="Z55" s="108">
        <f t="shared" si="9"/>
        <v>511.87317073170726</v>
      </c>
      <c r="AA55" s="108">
        <f t="shared" si="35"/>
        <v>2354.8521951219514</v>
      </c>
      <c r="AB55" s="108"/>
      <c r="AC55" s="108"/>
      <c r="AD55" s="109"/>
      <c r="AE55" s="99">
        <f t="shared" si="20"/>
        <v>12</v>
      </c>
      <c r="AF55" s="101"/>
      <c r="AG55" s="101">
        <f t="shared" si="36"/>
        <v>20</v>
      </c>
      <c r="AH55" s="101">
        <f t="shared" si="37"/>
        <v>349</v>
      </c>
      <c r="AI55" s="101">
        <f t="shared" si="19"/>
        <v>200</v>
      </c>
      <c r="AJ55" s="108">
        <f t="shared" si="38"/>
        <v>2.5</v>
      </c>
      <c r="AK55" s="101">
        <f t="shared" si="15"/>
        <v>853.19024390243908</v>
      </c>
      <c r="AL55" s="101">
        <f t="shared" si="39"/>
        <v>170.62439024390244</v>
      </c>
      <c r="AM55" s="101">
        <f t="shared" si="40"/>
        <v>682.56585365853664</v>
      </c>
      <c r="AN55" s="101"/>
      <c r="AO55" s="1">
        <v>12</v>
      </c>
      <c r="AP55" s="2"/>
      <c r="AQ55" s="74">
        <f t="shared" si="41"/>
        <v>349</v>
      </c>
      <c r="AR55" s="10"/>
      <c r="AS55" s="1"/>
      <c r="AT55" s="11">
        <v>1.5</v>
      </c>
      <c r="AU55" s="10"/>
      <c r="AV55" s="1"/>
      <c r="AW55" s="1">
        <v>1</v>
      </c>
      <c r="AX55" s="10">
        <v>1</v>
      </c>
      <c r="AY55" s="11">
        <v>1.7250000000000001</v>
      </c>
      <c r="AZ55" s="2"/>
      <c r="BA55" s="2"/>
      <c r="BB55" s="2"/>
      <c r="BC55" s="1"/>
      <c r="BD55" s="106"/>
      <c r="BE55" s="2"/>
      <c r="BF55" s="2"/>
      <c r="BG55" s="2"/>
      <c r="BH55" s="2"/>
      <c r="BI55" s="1"/>
      <c r="BJ55" s="1"/>
      <c r="BK55" s="1"/>
    </row>
    <row r="56" spans="1:63" ht="12" customHeight="1">
      <c r="A56" s="1"/>
      <c r="B56" s="107">
        <v>8</v>
      </c>
      <c r="C56" s="31">
        <v>10</v>
      </c>
      <c r="D56" s="106" t="s">
        <v>7</v>
      </c>
      <c r="E56" s="2" t="s">
        <v>140</v>
      </c>
      <c r="F56" s="25"/>
      <c r="G56" s="2"/>
      <c r="H56" s="33"/>
      <c r="I56" s="99">
        <f t="shared" si="0"/>
        <v>135.87317073170732</v>
      </c>
      <c r="J56" s="101">
        <f t="shared" si="1"/>
        <v>32.888888888888886</v>
      </c>
      <c r="K56" s="101">
        <f t="shared" si="2"/>
        <v>53</v>
      </c>
      <c r="L56" s="74">
        <f t="shared" si="3"/>
        <v>19</v>
      </c>
      <c r="M56" s="99">
        <f>N56+R56/2</f>
        <v>1222.858536585366</v>
      </c>
      <c r="N56" s="108">
        <f>T56*(1+(AG56/100)*(AI56/100-1))</f>
        <v>1222.858536585366</v>
      </c>
      <c r="O56" s="108"/>
      <c r="P56" s="108"/>
      <c r="Q56" s="108"/>
      <c r="R56" s="109">
        <f>X56*(1+(AG56/100)*(AI56/100-1))</f>
        <v>0</v>
      </c>
      <c r="S56" s="99">
        <f t="shared" si="32"/>
        <v>1019.0487804878051</v>
      </c>
      <c r="T56" s="108">
        <f>AL56*AV56*AX56</f>
        <v>1019.0487804878051</v>
      </c>
      <c r="U56" s="108"/>
      <c r="V56" s="108"/>
      <c r="W56" s="108"/>
      <c r="X56" s="109">
        <f>AS56*AL56</f>
        <v>0</v>
      </c>
      <c r="Y56" s="99">
        <f t="shared" si="8"/>
        <v>2038.0975609756101</v>
      </c>
      <c r="Z56" s="108">
        <f t="shared" si="9"/>
        <v>2038.0975609756101</v>
      </c>
      <c r="AA56" s="108"/>
      <c r="AB56" s="108"/>
      <c r="AC56" s="108"/>
      <c r="AD56" s="109">
        <f>X56*$D$26/100</f>
        <v>0</v>
      </c>
      <c r="AE56" s="99">
        <f>AO56-AY56</f>
        <v>9</v>
      </c>
      <c r="AF56" s="101"/>
      <c r="AG56" s="101">
        <f t="shared" si="36"/>
        <v>20</v>
      </c>
      <c r="AH56" s="101">
        <f>AQ56*AR56</f>
        <v>296</v>
      </c>
      <c r="AI56" s="101">
        <f t="shared" si="19"/>
        <v>200</v>
      </c>
      <c r="AJ56" s="108">
        <f>10*AX56*AU56/9</f>
        <v>2.2222222222222223</v>
      </c>
      <c r="AK56" s="101">
        <f t="shared" si="15"/>
        <v>339.68292682926835</v>
      </c>
      <c r="AL56" s="101">
        <f>(VLOOKUP(C56,$B$4:$AG$7,8,FALSE)+VLOOKUP(C56,$B$8:$AG$11,8,FALSE)*$D$22)*$D$27/100</f>
        <v>339.68292682926835</v>
      </c>
      <c r="AM56" s="101"/>
      <c r="AN56" s="101"/>
      <c r="AO56" s="1">
        <v>9</v>
      </c>
      <c r="AP56" s="2"/>
      <c r="AQ56" s="74">
        <f>VLOOKUP(C56,$B$13:$AA$16,8,FALSE)</f>
        <v>296</v>
      </c>
      <c r="AR56" s="10">
        <v>1</v>
      </c>
      <c r="AS56" s="1">
        <v>0</v>
      </c>
      <c r="AT56" s="11"/>
      <c r="AU56" s="10">
        <v>1</v>
      </c>
      <c r="AV56" s="1">
        <v>1.5</v>
      </c>
      <c r="AW56" s="1"/>
      <c r="AX56" s="10">
        <v>2</v>
      </c>
      <c r="AY56" s="11">
        <v>0</v>
      </c>
      <c r="AZ56" s="2"/>
      <c r="BA56" s="2"/>
      <c r="BB56" s="2"/>
      <c r="BC56" s="1"/>
      <c r="BD56" s="106"/>
      <c r="BE56" s="2"/>
      <c r="BF56" s="2"/>
      <c r="BG56" s="2"/>
      <c r="BH56" s="2"/>
      <c r="BI56" s="1"/>
      <c r="BJ56" s="1"/>
      <c r="BK56" s="1"/>
    </row>
    <row r="57" spans="1:63" ht="12" customHeight="1">
      <c r="A57" s="1"/>
      <c r="B57" s="107">
        <v>9</v>
      </c>
      <c r="C57" s="31">
        <v>10</v>
      </c>
      <c r="D57" s="106" t="s">
        <v>10</v>
      </c>
      <c r="E57" s="2" t="s">
        <v>138</v>
      </c>
      <c r="F57" s="25" t="s">
        <v>149</v>
      </c>
      <c r="G57" s="2" t="s">
        <v>137</v>
      </c>
      <c r="H57" s="33"/>
      <c r="I57" s="99">
        <f t="shared" si="0"/>
        <v>328.75884146341457</v>
      </c>
      <c r="J57" s="101">
        <f t="shared" si="1"/>
        <v>25.75</v>
      </c>
      <c r="K57" s="101">
        <f t="shared" si="2"/>
        <v>8</v>
      </c>
      <c r="L57" s="74">
        <f t="shared" si="3"/>
        <v>1</v>
      </c>
      <c r="M57" s="99">
        <f t="shared" ref="M57:M96" si="42">SUM(N57:R57)</f>
        <v>5260.1414634146331</v>
      </c>
      <c r="N57" s="108">
        <f t="shared" ref="N57:N60" si="43">T57*(1+((AG57+IF(F57="백어택",20,0))/100)*(AI57/100-1))</f>
        <v>5260.1414634146331</v>
      </c>
      <c r="O57" s="108"/>
      <c r="P57" s="108"/>
      <c r="Q57" s="108"/>
      <c r="R57" s="109"/>
      <c r="S57" s="99">
        <f t="shared" si="32"/>
        <v>3757.2439024390237</v>
      </c>
      <c r="T57" s="108">
        <f t="shared" ref="T57:T58" si="44">AL57*AS57*AU57*AX57*IF(AY57=0,1,0.5)*IF(F57="백어택",1.2,1)</f>
        <v>3757.2439024390237</v>
      </c>
      <c r="U57" s="108"/>
      <c r="V57" s="108"/>
      <c r="W57" s="108"/>
      <c r="X57" s="109"/>
      <c r="Y57" s="99">
        <f t="shared" si="8"/>
        <v>7514.4878048780483</v>
      </c>
      <c r="Z57" s="108">
        <f t="shared" ref="Z57:Z58" si="45">T57*AI57/100</f>
        <v>7514.4878048780483</v>
      </c>
      <c r="AA57" s="108"/>
      <c r="AB57" s="108"/>
      <c r="AC57" s="108"/>
      <c r="AD57" s="109"/>
      <c r="AE57" s="99">
        <f t="shared" ref="AE57:AE58" si="46">AO57</f>
        <v>16</v>
      </c>
      <c r="AF57" s="101"/>
      <c r="AG57" s="101">
        <f t="shared" ref="AG57:AG58" si="47">IF($D$25+AV57&gt;100,100,$D$25+AV57)</f>
        <v>20</v>
      </c>
      <c r="AH57" s="101">
        <f t="shared" ref="AH57:AH58" si="48">AQ57</f>
        <v>412</v>
      </c>
      <c r="AI57" s="101">
        <f t="shared" ref="AI57:AI58" si="49">$D$26+AY57</f>
        <v>200</v>
      </c>
      <c r="AJ57" s="108">
        <f t="shared" ref="AJ57:AJ58" si="50">10*AR57/(7-IF(AX57=1,0,3))</f>
        <v>1.4285714285714286</v>
      </c>
      <c r="AK57" s="101">
        <f t="shared" si="15"/>
        <v>2504.8292682926826</v>
      </c>
      <c r="AL57" s="101">
        <f t="shared" ref="AL57:AL58" si="51">(VLOOKUP(C57,$B$4:$AG$7,13,FALSE)+VLOOKUP(C57,$B$8:$AG$11,13,FALSE)*$D$22)*$D$27/100</f>
        <v>2504.8292682926826</v>
      </c>
      <c r="AM57" s="101"/>
      <c r="AN57" s="101"/>
      <c r="AO57" s="1">
        <v>16</v>
      </c>
      <c r="AP57" s="2"/>
      <c r="AQ57" s="74">
        <f t="shared" ref="AQ57:AQ58" si="52">VLOOKUP(C57,$B$13:$AA$16,13,FALSE)</f>
        <v>412</v>
      </c>
      <c r="AR57" s="10">
        <v>1</v>
      </c>
      <c r="AS57" s="1">
        <v>1</v>
      </c>
      <c r="AT57" s="11"/>
      <c r="AU57" s="10">
        <v>1.25</v>
      </c>
      <c r="AV57" s="1">
        <v>0</v>
      </c>
      <c r="AW57" s="1"/>
      <c r="AX57" s="10">
        <v>1</v>
      </c>
      <c r="AY57" s="11">
        <v>0</v>
      </c>
      <c r="AZ57" s="2"/>
      <c r="BA57" s="2"/>
      <c r="BB57" s="2"/>
      <c r="BC57" s="1"/>
      <c r="BD57" s="106"/>
      <c r="BE57" s="2"/>
      <c r="BF57" s="2"/>
      <c r="BG57" s="2"/>
      <c r="BH57" s="2"/>
      <c r="BI57" s="1"/>
      <c r="BJ57" s="1"/>
      <c r="BK57" s="1"/>
    </row>
    <row r="58" spans="1:63" ht="12" customHeight="1">
      <c r="A58" s="1"/>
      <c r="B58" s="107">
        <v>9</v>
      </c>
      <c r="C58" s="31">
        <v>10</v>
      </c>
      <c r="D58" s="106" t="s">
        <v>10</v>
      </c>
      <c r="E58" s="2" t="s">
        <v>138</v>
      </c>
      <c r="F58" s="25"/>
      <c r="G58" s="2" t="s">
        <v>137</v>
      </c>
      <c r="H58" s="33"/>
      <c r="I58" s="99">
        <f t="shared" si="0"/>
        <v>234.82774390243898</v>
      </c>
      <c r="J58" s="101">
        <f t="shared" si="1"/>
        <v>25.75</v>
      </c>
      <c r="K58" s="101">
        <f t="shared" si="2"/>
        <v>28</v>
      </c>
      <c r="L58" s="74">
        <f t="shared" si="3"/>
        <v>8</v>
      </c>
      <c r="M58" s="99">
        <f t="shared" si="42"/>
        <v>3757.2439024390237</v>
      </c>
      <c r="N58" s="108">
        <f t="shared" si="43"/>
        <v>3757.2439024390237</v>
      </c>
      <c r="O58" s="108"/>
      <c r="P58" s="108"/>
      <c r="Q58" s="108"/>
      <c r="R58" s="109"/>
      <c r="S58" s="99">
        <f t="shared" si="32"/>
        <v>3131.0365853658532</v>
      </c>
      <c r="T58" s="108">
        <f t="shared" si="44"/>
        <v>3131.0365853658532</v>
      </c>
      <c r="U58" s="108"/>
      <c r="V58" s="108"/>
      <c r="W58" s="108"/>
      <c r="X58" s="109"/>
      <c r="Y58" s="99">
        <f t="shared" si="8"/>
        <v>6262.0731707317063</v>
      </c>
      <c r="Z58" s="108">
        <f t="shared" si="45"/>
        <v>6262.0731707317063</v>
      </c>
      <c r="AA58" s="108"/>
      <c r="AB58" s="108"/>
      <c r="AC58" s="108"/>
      <c r="AD58" s="109"/>
      <c r="AE58" s="99">
        <f t="shared" si="46"/>
        <v>16</v>
      </c>
      <c r="AF58" s="101"/>
      <c r="AG58" s="101">
        <f t="shared" si="47"/>
        <v>20</v>
      </c>
      <c r="AH58" s="101">
        <f t="shared" si="48"/>
        <v>412</v>
      </c>
      <c r="AI58" s="101">
        <f t="shared" si="49"/>
        <v>200</v>
      </c>
      <c r="AJ58" s="108">
        <f t="shared" si="50"/>
        <v>1.4285714285714286</v>
      </c>
      <c r="AK58" s="101">
        <f t="shared" si="15"/>
        <v>2504.8292682926826</v>
      </c>
      <c r="AL58" s="101">
        <f t="shared" si="51"/>
        <v>2504.8292682926826</v>
      </c>
      <c r="AM58" s="101"/>
      <c r="AN58" s="101"/>
      <c r="AO58" s="1">
        <v>16</v>
      </c>
      <c r="AP58" s="2"/>
      <c r="AQ58" s="74">
        <f t="shared" si="52"/>
        <v>412</v>
      </c>
      <c r="AR58" s="10">
        <v>1</v>
      </c>
      <c r="AS58" s="1">
        <v>1</v>
      </c>
      <c r="AT58" s="11"/>
      <c r="AU58" s="10">
        <v>1.25</v>
      </c>
      <c r="AV58" s="1">
        <v>0</v>
      </c>
      <c r="AW58" s="1"/>
      <c r="AX58" s="10">
        <v>1</v>
      </c>
      <c r="AY58" s="11">
        <v>0</v>
      </c>
      <c r="AZ58" s="2"/>
      <c r="BA58" s="2"/>
      <c r="BB58" s="2"/>
      <c r="BC58" s="1"/>
      <c r="BD58" s="106"/>
      <c r="BE58" s="2"/>
      <c r="BF58" s="2"/>
      <c r="BG58" s="2"/>
      <c r="BH58" s="2"/>
      <c r="BI58" s="1"/>
      <c r="BJ58" s="1"/>
      <c r="BK58" s="1"/>
    </row>
    <row r="59" spans="1:63" ht="12" customHeight="1">
      <c r="A59" s="1"/>
      <c r="B59" s="107">
        <v>10</v>
      </c>
      <c r="C59" s="31">
        <v>10</v>
      </c>
      <c r="D59" s="106" t="s">
        <v>20</v>
      </c>
      <c r="E59" s="2" t="s">
        <v>153</v>
      </c>
      <c r="F59" s="25" t="s">
        <v>149</v>
      </c>
      <c r="G59" s="2"/>
      <c r="H59" s="33"/>
      <c r="I59" s="99">
        <f t="shared" si="0"/>
        <v>295.93459512195113</v>
      </c>
      <c r="J59" s="101">
        <f t="shared" si="1"/>
        <v>29.4</v>
      </c>
      <c r="K59" s="101">
        <f t="shared" si="2"/>
        <v>13</v>
      </c>
      <c r="L59" s="74">
        <f t="shared" si="3"/>
        <v>4</v>
      </c>
      <c r="M59" s="99">
        <f t="shared" si="42"/>
        <v>4439.018926829267</v>
      </c>
      <c r="N59" s="108">
        <f t="shared" si="43"/>
        <v>1901.2355121951214</v>
      </c>
      <c r="O59" s="108">
        <f t="shared" ref="O59:O60" si="53">U59*(1+(($D$25+IF(F59="백어택",20,0))/100)*($D$26/100-1))</f>
        <v>2537.7834146341461</v>
      </c>
      <c r="P59" s="108"/>
      <c r="Q59" s="108"/>
      <c r="R59" s="109"/>
      <c r="S59" s="99">
        <f t="shared" si="32"/>
        <v>3170.7278048780486</v>
      </c>
      <c r="T59" s="108">
        <f t="shared" ref="T59:T60" si="54">AL59*AV59*IF(F59="백어택",1.2,1)</f>
        <v>1358.0253658536583</v>
      </c>
      <c r="U59" s="108">
        <f t="shared" ref="U59:U60" si="55">AM59*AX59*AY59*IF(F59="백어택",1.2,1)</f>
        <v>1812.7024390243903</v>
      </c>
      <c r="V59" s="108"/>
      <c r="W59" s="108"/>
      <c r="X59" s="109"/>
      <c r="Y59" s="99">
        <f t="shared" si="8"/>
        <v>6341.4556097560971</v>
      </c>
      <c r="Z59" s="108">
        <f t="shared" ref="Z59:AA59" si="56">T59*$D$26/100</f>
        <v>2716.0507317073166</v>
      </c>
      <c r="AA59" s="108">
        <f t="shared" si="56"/>
        <v>3625.4048780487806</v>
      </c>
      <c r="AB59" s="108"/>
      <c r="AC59" s="108"/>
      <c r="AD59" s="109"/>
      <c r="AE59" s="99">
        <f t="shared" ref="AE59:AE60" si="57">AO59-AR59</f>
        <v>15</v>
      </c>
      <c r="AF59" s="101"/>
      <c r="AG59" s="101">
        <f t="shared" ref="AG59:AG60" si="58">IF($D$25+AU59&gt;100,100,$D$25+AU59)</f>
        <v>20</v>
      </c>
      <c r="AH59" s="101">
        <f t="shared" ref="AH59:AH60" si="59">AQ59*AS59</f>
        <v>441</v>
      </c>
      <c r="AI59" s="101">
        <f t="shared" ref="AI59:AI60" si="60">$D$26</f>
        <v>200</v>
      </c>
      <c r="AJ59" s="108">
        <f t="shared" ref="AJ59:AJ60" si="61">10*IF(AV59=1,1,5/4.5)/IF(AX59=1,5,3.5)</f>
        <v>3.1746031746031744</v>
      </c>
      <c r="AK59" s="101">
        <f t="shared" si="15"/>
        <v>1509.7512195121951</v>
      </c>
      <c r="AL59" s="101">
        <f t="shared" ref="AL59:AL60" si="62">(VLOOKUP(C59,$B$4:$AG$7,29,FALSE)+VLOOKUP(C59,$B$8:$AG$11,29,FALSE)*$D$22)*$D$27/100</f>
        <v>754.45853658536578</v>
      </c>
      <c r="AM59" s="101">
        <f t="shared" ref="AM59:AM60" si="63">(VLOOKUP(C59,$B$4:$AG$7,30,FALSE)+VLOOKUP(C59,$B$8:$AG$11,30,FALSE)*$D$22)*$D$27/100</f>
        <v>755.29268292682934</v>
      </c>
      <c r="AN59" s="101"/>
      <c r="AO59" s="1">
        <v>18</v>
      </c>
      <c r="AP59" s="2"/>
      <c r="AQ59" s="74">
        <f t="shared" ref="AQ59:AQ60" si="64">VLOOKUP(C59,$B$13:$AG$16,29,FALSE)</f>
        <v>441</v>
      </c>
      <c r="AR59" s="10">
        <v>3</v>
      </c>
      <c r="AS59" s="1">
        <v>1</v>
      </c>
      <c r="AT59" s="11"/>
      <c r="AU59" s="10">
        <v>0</v>
      </c>
      <c r="AV59" s="1">
        <v>1.5</v>
      </c>
      <c r="AW59" s="1"/>
      <c r="AX59" s="10">
        <v>2</v>
      </c>
      <c r="AY59" s="11">
        <v>1</v>
      </c>
      <c r="AZ59" s="2"/>
      <c r="BA59" s="2"/>
      <c r="BB59" s="2"/>
      <c r="BC59" s="1"/>
      <c r="BD59" s="106"/>
      <c r="BE59" s="2"/>
      <c r="BF59" s="2"/>
      <c r="BG59" s="2"/>
      <c r="BH59" s="2"/>
      <c r="BI59" s="1"/>
      <c r="BJ59" s="1"/>
      <c r="BK59" s="1"/>
    </row>
    <row r="60" spans="1:63" ht="12" customHeight="1">
      <c r="A60" s="1"/>
      <c r="B60" s="107">
        <v>10</v>
      </c>
      <c r="C60" s="31">
        <v>10</v>
      </c>
      <c r="D60" s="106" t="s">
        <v>20</v>
      </c>
      <c r="E60" s="2" t="s">
        <v>153</v>
      </c>
      <c r="F60" s="25"/>
      <c r="G60" s="2"/>
      <c r="H60" s="33"/>
      <c r="I60" s="99">
        <f t="shared" si="0"/>
        <v>211.38185365853658</v>
      </c>
      <c r="J60" s="101">
        <f t="shared" si="1"/>
        <v>29.4</v>
      </c>
      <c r="K60" s="101">
        <f t="shared" si="2"/>
        <v>32</v>
      </c>
      <c r="L60" s="74">
        <f t="shared" si="3"/>
        <v>10</v>
      </c>
      <c r="M60" s="99">
        <f t="shared" si="42"/>
        <v>3170.7278048780486</v>
      </c>
      <c r="N60" s="108">
        <f t="shared" si="43"/>
        <v>1358.0253658536583</v>
      </c>
      <c r="O60" s="108">
        <f t="shared" si="53"/>
        <v>1812.7024390243903</v>
      </c>
      <c r="P60" s="108"/>
      <c r="Q60" s="108"/>
      <c r="R60" s="109"/>
      <c r="S60" s="99">
        <f t="shared" si="32"/>
        <v>2642.2731707317071</v>
      </c>
      <c r="T60" s="108">
        <f t="shared" si="54"/>
        <v>1131.6878048780486</v>
      </c>
      <c r="U60" s="108">
        <f t="shared" si="55"/>
        <v>1510.5853658536587</v>
      </c>
      <c r="V60" s="108"/>
      <c r="W60" s="108"/>
      <c r="X60" s="109"/>
      <c r="Y60" s="99">
        <f t="shared" si="8"/>
        <v>5284.5463414634141</v>
      </c>
      <c r="Z60" s="108">
        <f t="shared" ref="Z60:AA60" si="65">T60*$D$26/100</f>
        <v>2263.3756097560972</v>
      </c>
      <c r="AA60" s="108">
        <f t="shared" si="65"/>
        <v>3021.1707317073174</v>
      </c>
      <c r="AB60" s="108"/>
      <c r="AC60" s="108"/>
      <c r="AD60" s="109"/>
      <c r="AE60" s="99">
        <f t="shared" si="57"/>
        <v>15</v>
      </c>
      <c r="AF60" s="101"/>
      <c r="AG60" s="101">
        <f t="shared" si="58"/>
        <v>20</v>
      </c>
      <c r="AH60" s="101">
        <f t="shared" si="59"/>
        <v>441</v>
      </c>
      <c r="AI60" s="101">
        <f t="shared" si="60"/>
        <v>200</v>
      </c>
      <c r="AJ60" s="108">
        <f t="shared" si="61"/>
        <v>3.1746031746031744</v>
      </c>
      <c r="AK60" s="101">
        <f t="shared" si="15"/>
        <v>1509.7512195121951</v>
      </c>
      <c r="AL60" s="101">
        <f t="shared" si="62"/>
        <v>754.45853658536578</v>
      </c>
      <c r="AM60" s="101">
        <f t="shared" si="63"/>
        <v>755.29268292682934</v>
      </c>
      <c r="AN60" s="101"/>
      <c r="AO60" s="1">
        <v>18</v>
      </c>
      <c r="AP60" s="2"/>
      <c r="AQ60" s="74">
        <f t="shared" si="64"/>
        <v>441</v>
      </c>
      <c r="AR60" s="10">
        <v>3</v>
      </c>
      <c r="AS60" s="1">
        <v>1</v>
      </c>
      <c r="AT60" s="11"/>
      <c r="AU60" s="10">
        <v>0</v>
      </c>
      <c r="AV60" s="1">
        <v>1.5</v>
      </c>
      <c r="AW60" s="1"/>
      <c r="AX60" s="10">
        <v>2</v>
      </c>
      <c r="AY60" s="11">
        <v>1</v>
      </c>
      <c r="AZ60" s="2"/>
      <c r="BA60" s="2"/>
      <c r="BB60" s="2"/>
      <c r="BC60" s="1"/>
      <c r="BD60" s="111"/>
      <c r="BE60" s="2"/>
      <c r="BF60" s="3"/>
      <c r="BG60" s="2"/>
      <c r="BH60" s="2"/>
      <c r="BI60" s="1"/>
      <c r="BJ60" s="1"/>
      <c r="BK60" s="1"/>
    </row>
    <row r="61" spans="1:63" ht="12" customHeight="1">
      <c r="A61" s="1"/>
      <c r="B61" s="107">
        <v>11</v>
      </c>
      <c r="C61" s="31">
        <v>10</v>
      </c>
      <c r="D61" s="106" t="s">
        <v>17</v>
      </c>
      <c r="E61" s="2" t="s">
        <v>147</v>
      </c>
      <c r="F61" s="25"/>
      <c r="G61" s="2"/>
      <c r="H61" s="33">
        <f>IF(AT61=1,3,IF(AY61=1,3,2))</f>
        <v>3</v>
      </c>
      <c r="I61" s="99">
        <f t="shared" si="0"/>
        <v>228.31353658536582</v>
      </c>
      <c r="J61" s="101">
        <f t="shared" si="1"/>
        <v>34.625</v>
      </c>
      <c r="K61" s="101">
        <f t="shared" si="2"/>
        <v>29</v>
      </c>
      <c r="L61" s="74">
        <f t="shared" si="3"/>
        <v>9</v>
      </c>
      <c r="M61" s="99">
        <f t="shared" si="42"/>
        <v>1826.5082926829266</v>
      </c>
      <c r="N61" s="108">
        <f t="shared" ref="N61:N62" si="66">T61*(1+(AG61/100)*(AI61/100-1))</f>
        <v>434.88292682926829</v>
      </c>
      <c r="O61" s="108">
        <f>U61*(1+(AG61/100)*(AI61/100-1))</f>
        <v>608.83609756097553</v>
      </c>
      <c r="P61" s="108">
        <f>V61*(1+(AG61/100)*(AI61/100-1))</f>
        <v>782.78926829268289</v>
      </c>
      <c r="Q61" s="108"/>
      <c r="R61" s="109"/>
      <c r="S61" s="99">
        <f t="shared" si="32"/>
        <v>1217.6721951219511</v>
      </c>
      <c r="T61" s="108">
        <f>AL61*AV61</f>
        <v>289.92195121951221</v>
      </c>
      <c r="U61" s="108">
        <f>AL61*AW61</f>
        <v>405.89073170731706</v>
      </c>
      <c r="V61" s="108">
        <f>IF(H61=3,AL61,0)*(1+AW61-1+AW61-1)</f>
        <v>521.85951219512197</v>
      </c>
      <c r="W61" s="108"/>
      <c r="X61" s="109"/>
      <c r="Y61" s="99">
        <f t="shared" si="8"/>
        <v>4261.8526829268294</v>
      </c>
      <c r="Z61" s="108">
        <f>T61*AI61/100</f>
        <v>1014.7268292682928</v>
      </c>
      <c r="AA61" s="108">
        <f>U61*AI61/100</f>
        <v>1420.6175609756099</v>
      </c>
      <c r="AB61" s="108">
        <f>V61*AI61/100</f>
        <v>1826.508292682927</v>
      </c>
      <c r="AC61" s="108"/>
      <c r="AD61" s="109"/>
      <c r="AE61" s="99">
        <f t="shared" ref="AE61:AE66" si="67">AO61</f>
        <v>8</v>
      </c>
      <c r="AF61" s="101"/>
      <c r="AG61" s="101">
        <f t="shared" ref="AG61:AG62" si="68">IF($D$25&gt;100,100,$D$25)</f>
        <v>20</v>
      </c>
      <c r="AH61" s="101">
        <f t="shared" ref="AH61:AH62" si="69">AQ61</f>
        <v>277</v>
      </c>
      <c r="AI61" s="101">
        <f>$D$26+AX61</f>
        <v>350</v>
      </c>
      <c r="AJ61" s="108">
        <f>10*AR61/IF(AT61=0,IF(AY61=0,8,5),5)</f>
        <v>2</v>
      </c>
      <c r="AK61" s="101">
        <f>H61*SUM(AL61:AN61)</f>
        <v>869.76585365853657</v>
      </c>
      <c r="AL61" s="101">
        <f>((VLOOKUP(C61,$B$4:$AG$7,24,FALSE)+VLOOKUP(C61,$B$8:$AG$11,24,FALSE)*$D$22))*$D$27/100</f>
        <v>289.92195121951221</v>
      </c>
      <c r="AM61" s="101"/>
      <c r="AN61" s="101"/>
      <c r="AO61" s="1">
        <v>8</v>
      </c>
      <c r="AP61" s="2"/>
      <c r="AQ61" s="74">
        <f>VLOOKUP(C61,$B$13:$AA$16,24,FALSE)</f>
        <v>277</v>
      </c>
      <c r="AR61" s="10">
        <v>1</v>
      </c>
      <c r="AS61" s="1"/>
      <c r="AT61" s="11">
        <v>1</v>
      </c>
      <c r="AU61" s="10"/>
      <c r="AV61" s="1">
        <v>1</v>
      </c>
      <c r="AW61" s="1">
        <v>1.4</v>
      </c>
      <c r="AX61" s="10">
        <v>150</v>
      </c>
      <c r="AY61" s="11">
        <v>0</v>
      </c>
      <c r="AZ61" s="2"/>
      <c r="BA61" s="2"/>
      <c r="BB61" s="2"/>
      <c r="BC61" s="1"/>
      <c r="BD61" s="106"/>
      <c r="BE61" s="2"/>
      <c r="BF61" s="2"/>
      <c r="BG61" s="2"/>
      <c r="BH61" s="2"/>
      <c r="BI61" s="1"/>
      <c r="BJ61" s="1"/>
      <c r="BK61" s="1"/>
    </row>
    <row r="62" spans="1:63" ht="12" customHeight="1">
      <c r="A62" s="1"/>
      <c r="B62" s="107">
        <v>12</v>
      </c>
      <c r="C62" s="31">
        <v>10</v>
      </c>
      <c r="D62" s="106" t="s">
        <v>5</v>
      </c>
      <c r="E62" s="2" t="s">
        <v>139</v>
      </c>
      <c r="F62" s="25"/>
      <c r="G62" s="2"/>
      <c r="H62" s="33">
        <v>9</v>
      </c>
      <c r="I62" s="99">
        <f t="shared" si="0"/>
        <v>311.81048780487799</v>
      </c>
      <c r="J62" s="101">
        <f t="shared" si="1"/>
        <v>34.625</v>
      </c>
      <c r="K62" s="101">
        <f t="shared" si="2"/>
        <v>11</v>
      </c>
      <c r="L62" s="74">
        <f t="shared" si="3"/>
        <v>3</v>
      </c>
      <c r="M62" s="99">
        <f t="shared" si="42"/>
        <v>2494.483902439024</v>
      </c>
      <c r="N62" s="108">
        <f t="shared" si="66"/>
        <v>2494.483902439024</v>
      </c>
      <c r="O62" s="108"/>
      <c r="P62" s="108"/>
      <c r="Q62" s="108"/>
      <c r="R62" s="109"/>
      <c r="S62" s="99">
        <f t="shared" si="32"/>
        <v>2078.7365853658534</v>
      </c>
      <c r="T62" s="108">
        <f>AL62*AU62*AW62*AX62*AY62</f>
        <v>2078.7365853658534</v>
      </c>
      <c r="U62" s="108"/>
      <c r="V62" s="108"/>
      <c r="W62" s="108"/>
      <c r="X62" s="109"/>
      <c r="Y62" s="99">
        <f t="shared" si="8"/>
        <v>4157.4731707317069</v>
      </c>
      <c r="Z62" s="108">
        <f>T62*$D$26/100</f>
        <v>4157.4731707317069</v>
      </c>
      <c r="AA62" s="108"/>
      <c r="AB62" s="108"/>
      <c r="AC62" s="108"/>
      <c r="AD62" s="109"/>
      <c r="AE62" s="99">
        <f t="shared" si="67"/>
        <v>8</v>
      </c>
      <c r="AF62" s="101"/>
      <c r="AG62" s="101">
        <f t="shared" si="68"/>
        <v>20</v>
      </c>
      <c r="AH62" s="101">
        <f t="shared" si="69"/>
        <v>277</v>
      </c>
      <c r="AI62" s="101">
        <f>$D$26</f>
        <v>200</v>
      </c>
      <c r="AJ62" s="108">
        <f>1*AS62</f>
        <v>1</v>
      </c>
      <c r="AK62" s="101">
        <f t="shared" ref="AK62:AK96" si="70">SUM(AL62:AN62)</f>
        <v>692.91219512195119</v>
      </c>
      <c r="AL62" s="101">
        <f>(H62*(VLOOKUP(C62,$B$4:$AG$7,6,FALSE)+VLOOKUP(C62,$B$8:$AG$11,6,FALSE)*$D$22))*$D$27/100</f>
        <v>692.91219512195119</v>
      </c>
      <c r="AM62" s="101"/>
      <c r="AN62" s="101"/>
      <c r="AO62" s="1">
        <v>8</v>
      </c>
      <c r="AP62" s="2"/>
      <c r="AQ62" s="74">
        <f>VLOOKUP(C62,$B$13:$AA$16,6,FALSE)</f>
        <v>277</v>
      </c>
      <c r="AR62" s="10"/>
      <c r="AS62" s="1">
        <v>1</v>
      </c>
      <c r="AT62" s="11"/>
      <c r="AU62" s="10">
        <v>1.25</v>
      </c>
      <c r="AV62" s="1"/>
      <c r="AW62" s="1">
        <v>1</v>
      </c>
      <c r="AX62" s="10">
        <v>1</v>
      </c>
      <c r="AY62" s="11">
        <v>2.4</v>
      </c>
      <c r="AZ62" s="2"/>
      <c r="BA62" s="2"/>
      <c r="BB62" s="2"/>
      <c r="BC62" s="1"/>
      <c r="BD62" s="106"/>
      <c r="BE62" s="2"/>
      <c r="BF62" s="2"/>
      <c r="BG62" s="2"/>
      <c r="BH62" s="2"/>
      <c r="BI62" s="1"/>
      <c r="BJ62" s="1"/>
      <c r="BK62" s="1"/>
    </row>
    <row r="63" spans="1:63" ht="12" customHeight="1">
      <c r="A63" s="1"/>
      <c r="B63" s="107">
        <v>13</v>
      </c>
      <c r="C63" s="31">
        <v>10</v>
      </c>
      <c r="D63" s="111" t="s">
        <v>14</v>
      </c>
      <c r="E63" s="2" t="s">
        <v>164</v>
      </c>
      <c r="F63" s="25"/>
      <c r="G63" s="2"/>
      <c r="H63" s="33" t="s">
        <v>81</v>
      </c>
      <c r="I63" s="99">
        <f t="shared" si="0"/>
        <v>279.26035772357721</v>
      </c>
      <c r="J63" s="101">
        <f t="shared" si="1"/>
        <v>18.25</v>
      </c>
      <c r="K63" s="101">
        <f t="shared" si="2"/>
        <v>17</v>
      </c>
      <c r="L63" s="74">
        <f t="shared" ref="L63:L85" si="71">RANK(I63,$I$63:$I$85)</f>
        <v>11</v>
      </c>
      <c r="M63" s="99">
        <f t="shared" si="42"/>
        <v>10053.37287804878</v>
      </c>
      <c r="N63" s="101">
        <f t="shared" ref="N63:N74" si="72">T63*(1+((AG63+IF(F63="백어택",20,0))/100)*(AI63/100-1))</f>
        <v>1874.7539634146342</v>
      </c>
      <c r="O63" s="101">
        <f t="shared" ref="O63:O66" si="73">U63*(1+((AG63+IF(F63="백어택",20,0))/100)*(AI63/100-1))</f>
        <v>1874.7539634146342</v>
      </c>
      <c r="P63" s="101">
        <f t="shared" ref="P63:P66" si="74">V63*(1+((AG63+IF(F63="백어택",20,0))/100)*(AI63*IF(AX63=1,AW63,1)/100-1))</f>
        <v>2533.8501219512191</v>
      </c>
      <c r="Q63" s="101">
        <f t="shared" ref="Q63:Q66" si="75">W63*(1+((AG63+IF(F63="백어택",20,0))/100)*(AI63*AW63/100-1))</f>
        <v>3770.0148292682925</v>
      </c>
      <c r="R63" s="109"/>
      <c r="S63" s="99">
        <f t="shared" si="32"/>
        <v>6002.0136585365854</v>
      </c>
      <c r="T63" s="101">
        <f t="shared" ref="T63:T66" si="76">AL63*AY63*IF(F63="백어택",1.2,1)</f>
        <v>1119.2560975609756</v>
      </c>
      <c r="U63" s="101">
        <f t="shared" ref="U63:U66" si="77">AM63*AY63*IF(F63="백어택",1.2,1)</f>
        <v>1119.2560975609756</v>
      </c>
      <c r="V63" s="101">
        <f t="shared" ref="V63:V66" si="78">AN63*AY63*IF(F63="백어택",1.2,1)</f>
        <v>1512.7463414634144</v>
      </c>
      <c r="W63" s="101">
        <f t="shared" ref="W63:W66" si="79">(T63+U63+V63)*IF(AX63=1,0,0.6)*IF(F63="백어택",1.2,1)</f>
        <v>2250.7551219512193</v>
      </c>
      <c r="X63" s="74"/>
      <c r="Y63" s="99">
        <f t="shared" si="8"/>
        <v>15005.034146341462</v>
      </c>
      <c r="Z63" s="101">
        <f t="shared" ref="Z63:Z66" si="80">T63*AI63/100</f>
        <v>2798.1402439024391</v>
      </c>
      <c r="AA63" s="101">
        <f t="shared" ref="AA63:AA66" si="81">U63*AI63/100</f>
        <v>2798.1402439024391</v>
      </c>
      <c r="AB63" s="101">
        <f t="shared" ref="AB63:AB66" si="82">V63*AI63*IF(AX63=1,AW63,1)/100</f>
        <v>3781.8658536585363</v>
      </c>
      <c r="AC63" s="101">
        <f t="shared" ref="AC63:AC66" si="83">W63*AI63*AW63/100</f>
        <v>5626.887804878048</v>
      </c>
      <c r="AD63" s="74"/>
      <c r="AE63" s="99">
        <f t="shared" si="67"/>
        <v>36</v>
      </c>
      <c r="AF63" s="101"/>
      <c r="AG63" s="101">
        <f t="shared" ref="AG63:AG66" si="84">IF($D$25+AU63&gt;100,100,$D$25+AU63)</f>
        <v>45</v>
      </c>
      <c r="AH63" s="101">
        <f t="shared" ref="AH63:AH66" si="85">AQ63*AS63</f>
        <v>657</v>
      </c>
      <c r="AI63" s="101">
        <f t="shared" ref="AI63:AI66" si="86">$D$26+IF(H63="근접",AR63,0)+IF(AY63=1,0,50)</f>
        <v>250</v>
      </c>
      <c r="AJ63" s="108">
        <f t="shared" ref="AJ63:AJ66" si="87">10/3</f>
        <v>3.3333333333333335</v>
      </c>
      <c r="AK63" s="101">
        <f t="shared" si="70"/>
        <v>3751.2585365853656</v>
      </c>
      <c r="AL63" s="101">
        <f t="shared" ref="AL63:AL66" si="88">(IF(H63="근접",$D$29*(VLOOKUP(C63,$B$4:$AG$7,19,FALSE)+VLOOKUP(C63,$B$8:$AG$11,19,FALSE)*$D$22),$D$28*(VLOOKUP(C63,$B$4:$AG$7,19,FALSE)+VLOOKUP(C63,$B$8:$AG$11,19,FALSE)*$D$22)))*$D$27/100</f>
        <v>1119.2560975609756</v>
      </c>
      <c r="AM63" s="101">
        <f t="shared" ref="AM63:AM66" si="89">(IF(H63="근접",$D$29*(VLOOKUP(C63,$B$4:$AG$7,20,FALSE)+VLOOKUP(C63,$B$8:$AG$11,20,FALSE)*$D$22),$D$28*(VLOOKUP(C63,$B$4:$AG$7,20,FALSE)+VLOOKUP(C63,$B$8:$AG$11,20,FALSE)*$D$22)))*$D$27/100</f>
        <v>1119.2560975609756</v>
      </c>
      <c r="AN63" s="101">
        <f t="shared" ref="AN63:AN66" si="90">(IF(H63="근접",$D$29*(VLOOKUP(C63,$B$4:$AG$7,21,FALSE)+VLOOKUP(C63,$B$8:$AG$11,21,FALSE)*$D$22),$D$28*(VLOOKUP(C63,$B$4:$AG$7,21,FALSE)+VLOOKUP(C63,$B$8:$AG$11,21,FALSE)*$D$22)))*$D$27/100</f>
        <v>1512.7463414634144</v>
      </c>
      <c r="AO63" s="1">
        <v>36</v>
      </c>
      <c r="AP63" s="2"/>
      <c r="AQ63" s="74">
        <f t="shared" ref="AQ63:AQ66" si="91">VLOOKUP(C63,$B$13:$AA$16,19,FALSE)</f>
        <v>657</v>
      </c>
      <c r="AR63" s="10">
        <v>50</v>
      </c>
      <c r="AS63" s="1">
        <v>1</v>
      </c>
      <c r="AT63" s="11"/>
      <c r="AU63" s="10">
        <v>25</v>
      </c>
      <c r="AV63" s="1"/>
      <c r="AW63" s="1">
        <v>1</v>
      </c>
      <c r="AX63" s="10">
        <v>0.6</v>
      </c>
      <c r="AY63" s="11">
        <v>1</v>
      </c>
      <c r="AZ63" s="2"/>
      <c r="BA63" s="2"/>
      <c r="BB63" s="2"/>
      <c r="BC63" s="1"/>
      <c r="BD63" s="111"/>
      <c r="BE63" s="2"/>
      <c r="BF63" s="3"/>
      <c r="BG63" s="2"/>
      <c r="BH63" s="2"/>
      <c r="BI63" s="1"/>
      <c r="BJ63" s="1"/>
      <c r="BK63" s="1"/>
    </row>
    <row r="64" spans="1:63" ht="12" customHeight="1">
      <c r="A64" s="1"/>
      <c r="B64" s="107">
        <v>13</v>
      </c>
      <c r="C64" s="31">
        <v>10</v>
      </c>
      <c r="D64" s="111" t="s">
        <v>14</v>
      </c>
      <c r="E64" s="2" t="s">
        <v>164</v>
      </c>
      <c r="F64" s="25"/>
      <c r="G64" s="2"/>
      <c r="H64" s="33" t="s">
        <v>80</v>
      </c>
      <c r="I64" s="99">
        <f t="shared" si="0"/>
        <v>161.16518157181571</v>
      </c>
      <c r="J64" s="101">
        <f t="shared" si="1"/>
        <v>18.25</v>
      </c>
      <c r="K64" s="101">
        <f t="shared" si="2"/>
        <v>44</v>
      </c>
      <c r="L64" s="74">
        <f t="shared" si="71"/>
        <v>21</v>
      </c>
      <c r="M64" s="99">
        <f t="shared" si="42"/>
        <v>5801.9465365853657</v>
      </c>
      <c r="N64" s="101">
        <f t="shared" si="72"/>
        <v>1081.9475609756098</v>
      </c>
      <c r="O64" s="101">
        <f t="shared" si="73"/>
        <v>1081.9475609756098</v>
      </c>
      <c r="P64" s="101">
        <f t="shared" si="74"/>
        <v>1462.3214634146339</v>
      </c>
      <c r="Q64" s="101">
        <f t="shared" si="75"/>
        <v>2175.7299512195123</v>
      </c>
      <c r="R64" s="109"/>
      <c r="S64" s="99">
        <f t="shared" si="32"/>
        <v>4001.3424390243904</v>
      </c>
      <c r="T64" s="101">
        <f t="shared" si="76"/>
        <v>746.17073170731715</v>
      </c>
      <c r="U64" s="101">
        <f t="shared" si="77"/>
        <v>746.17073170731715</v>
      </c>
      <c r="V64" s="101">
        <f t="shared" si="78"/>
        <v>1008.4975609756096</v>
      </c>
      <c r="W64" s="101">
        <f t="shared" si="79"/>
        <v>1500.5034146341463</v>
      </c>
      <c r="X64" s="74"/>
      <c r="Y64" s="99">
        <f t="shared" si="8"/>
        <v>8002.6848780487808</v>
      </c>
      <c r="Z64" s="101">
        <f t="shared" si="80"/>
        <v>1492.3414634146343</v>
      </c>
      <c r="AA64" s="101">
        <f t="shared" si="81"/>
        <v>1492.3414634146343</v>
      </c>
      <c r="AB64" s="101">
        <f t="shared" si="82"/>
        <v>2016.9951219512193</v>
      </c>
      <c r="AC64" s="101">
        <f t="shared" si="83"/>
        <v>3001.0068292682927</v>
      </c>
      <c r="AD64" s="74"/>
      <c r="AE64" s="99">
        <f t="shared" si="67"/>
        <v>36</v>
      </c>
      <c r="AF64" s="101"/>
      <c r="AG64" s="101">
        <f t="shared" si="84"/>
        <v>45</v>
      </c>
      <c r="AH64" s="101">
        <f t="shared" si="85"/>
        <v>657</v>
      </c>
      <c r="AI64" s="101">
        <f t="shared" si="86"/>
        <v>200</v>
      </c>
      <c r="AJ64" s="108">
        <f t="shared" si="87"/>
        <v>3.3333333333333335</v>
      </c>
      <c r="AK64" s="101">
        <f t="shared" si="70"/>
        <v>2500.839024390244</v>
      </c>
      <c r="AL64" s="101">
        <f t="shared" si="88"/>
        <v>746.17073170731715</v>
      </c>
      <c r="AM64" s="101">
        <f t="shared" si="89"/>
        <v>746.17073170731715</v>
      </c>
      <c r="AN64" s="101">
        <f t="shared" si="90"/>
        <v>1008.4975609756096</v>
      </c>
      <c r="AO64" s="1">
        <v>36</v>
      </c>
      <c r="AP64" s="2"/>
      <c r="AQ64" s="74">
        <f t="shared" si="91"/>
        <v>657</v>
      </c>
      <c r="AR64" s="10">
        <v>50</v>
      </c>
      <c r="AS64" s="1">
        <v>1</v>
      </c>
      <c r="AT64" s="11"/>
      <c r="AU64" s="10">
        <v>25</v>
      </c>
      <c r="AV64" s="1"/>
      <c r="AW64" s="1">
        <v>1</v>
      </c>
      <c r="AX64" s="10">
        <v>0.6</v>
      </c>
      <c r="AY64" s="11">
        <v>1</v>
      </c>
      <c r="AZ64" s="2"/>
      <c r="BA64" s="2"/>
      <c r="BB64" s="2"/>
      <c r="BC64" s="1"/>
      <c r="BD64" s="111"/>
      <c r="BE64" s="2"/>
      <c r="BF64" s="3"/>
      <c r="BG64" s="2"/>
      <c r="BH64" s="2"/>
      <c r="BI64" s="1"/>
      <c r="BJ64" s="1"/>
      <c r="BK64" s="1"/>
    </row>
    <row r="65" spans="1:63" ht="12" customHeight="1">
      <c r="A65" s="1"/>
      <c r="B65" s="107">
        <v>13</v>
      </c>
      <c r="C65" s="31">
        <v>10</v>
      </c>
      <c r="D65" s="111" t="s">
        <v>14</v>
      </c>
      <c r="E65" s="2" t="s">
        <v>164</v>
      </c>
      <c r="F65" s="25" t="s">
        <v>149</v>
      </c>
      <c r="G65" s="2"/>
      <c r="H65" s="33" t="s">
        <v>81</v>
      </c>
      <c r="I65" s="99">
        <f t="shared" si="0"/>
        <v>424.76750829268286</v>
      </c>
      <c r="J65" s="101">
        <f t="shared" si="1"/>
        <v>18.25</v>
      </c>
      <c r="K65" s="101">
        <f t="shared" si="2"/>
        <v>2</v>
      </c>
      <c r="L65" s="74">
        <f t="shared" si="71"/>
        <v>2</v>
      </c>
      <c r="M65" s="99">
        <f t="shared" si="42"/>
        <v>15291.630298536584</v>
      </c>
      <c r="N65" s="101">
        <f t="shared" si="72"/>
        <v>2652.636951219512</v>
      </c>
      <c r="O65" s="101">
        <f t="shared" si="73"/>
        <v>2652.636951219512</v>
      </c>
      <c r="P65" s="101">
        <f t="shared" si="74"/>
        <v>3585.2088292682924</v>
      </c>
      <c r="Q65" s="101">
        <f t="shared" si="75"/>
        <v>6401.1475668292678</v>
      </c>
      <c r="R65" s="109"/>
      <c r="S65" s="99">
        <f t="shared" si="32"/>
        <v>7742.5976195121948</v>
      </c>
      <c r="T65" s="101">
        <f t="shared" si="76"/>
        <v>1343.1073170731706</v>
      </c>
      <c r="U65" s="101">
        <f t="shared" si="77"/>
        <v>1343.1073170731706</v>
      </c>
      <c r="V65" s="101">
        <f t="shared" si="78"/>
        <v>1815.2956097560973</v>
      </c>
      <c r="W65" s="101">
        <f t="shared" si="79"/>
        <v>3241.0873756097558</v>
      </c>
      <c r="X65" s="74"/>
      <c r="Y65" s="99">
        <f t="shared" si="8"/>
        <v>19356.494048780485</v>
      </c>
      <c r="Z65" s="101">
        <f t="shared" si="80"/>
        <v>3357.7682926829266</v>
      </c>
      <c r="AA65" s="101">
        <f t="shared" si="81"/>
        <v>3357.7682926829266</v>
      </c>
      <c r="AB65" s="101">
        <f t="shared" si="82"/>
        <v>4538.2390243902428</v>
      </c>
      <c r="AC65" s="101">
        <f t="shared" si="83"/>
        <v>8102.7184390243901</v>
      </c>
      <c r="AD65" s="74"/>
      <c r="AE65" s="99">
        <f t="shared" si="67"/>
        <v>36</v>
      </c>
      <c r="AF65" s="101"/>
      <c r="AG65" s="101">
        <f t="shared" si="84"/>
        <v>45</v>
      </c>
      <c r="AH65" s="101">
        <f t="shared" si="85"/>
        <v>657</v>
      </c>
      <c r="AI65" s="101">
        <f t="shared" si="86"/>
        <v>250</v>
      </c>
      <c r="AJ65" s="108">
        <f t="shared" si="87"/>
        <v>3.3333333333333335</v>
      </c>
      <c r="AK65" s="101">
        <f t="shared" si="70"/>
        <v>3751.2585365853656</v>
      </c>
      <c r="AL65" s="101">
        <f t="shared" si="88"/>
        <v>1119.2560975609756</v>
      </c>
      <c r="AM65" s="101">
        <f t="shared" si="89"/>
        <v>1119.2560975609756</v>
      </c>
      <c r="AN65" s="101">
        <f t="shared" si="90"/>
        <v>1512.7463414634144</v>
      </c>
      <c r="AO65" s="1">
        <v>36</v>
      </c>
      <c r="AP65" s="2"/>
      <c r="AQ65" s="74">
        <f t="shared" si="91"/>
        <v>657</v>
      </c>
      <c r="AR65" s="10">
        <v>50</v>
      </c>
      <c r="AS65" s="1">
        <v>1</v>
      </c>
      <c r="AT65" s="11"/>
      <c r="AU65" s="10">
        <v>25</v>
      </c>
      <c r="AV65" s="1"/>
      <c r="AW65" s="1">
        <v>1</v>
      </c>
      <c r="AX65" s="10">
        <v>0.6</v>
      </c>
      <c r="AY65" s="11">
        <v>1</v>
      </c>
      <c r="AZ65" s="2"/>
      <c r="BA65" s="2"/>
      <c r="BB65" s="2"/>
      <c r="BC65" s="1"/>
      <c r="BD65" s="111"/>
      <c r="BE65" s="2"/>
      <c r="BF65" s="3"/>
      <c r="BG65" s="2"/>
      <c r="BH65" s="2"/>
      <c r="BI65" s="1"/>
      <c r="BJ65" s="1"/>
      <c r="BK65" s="1"/>
    </row>
    <row r="66" spans="1:63" ht="12" customHeight="1">
      <c r="A66" s="1"/>
      <c r="B66" s="107">
        <v>13</v>
      </c>
      <c r="C66" s="31">
        <v>10</v>
      </c>
      <c r="D66" s="111" t="s">
        <v>14</v>
      </c>
      <c r="E66" s="2" t="s">
        <v>164</v>
      </c>
      <c r="F66" s="25" t="s">
        <v>149</v>
      </c>
      <c r="G66" s="2"/>
      <c r="H66" s="33" t="s">
        <v>80</v>
      </c>
      <c r="I66" s="99">
        <f t="shared" si="0"/>
        <v>236.57937170731708</v>
      </c>
      <c r="J66" s="101">
        <f t="shared" si="1"/>
        <v>18.25</v>
      </c>
      <c r="K66" s="101">
        <f t="shared" si="2"/>
        <v>27</v>
      </c>
      <c r="L66" s="74">
        <f t="shared" si="71"/>
        <v>17</v>
      </c>
      <c r="M66" s="99">
        <f t="shared" si="42"/>
        <v>8516.8573814634146</v>
      </c>
      <c r="N66" s="101">
        <f t="shared" si="72"/>
        <v>1477.4180487804879</v>
      </c>
      <c r="O66" s="101">
        <f t="shared" si="73"/>
        <v>1477.4180487804879</v>
      </c>
      <c r="P66" s="101">
        <f t="shared" si="74"/>
        <v>1996.825170731707</v>
      </c>
      <c r="Q66" s="101">
        <f t="shared" si="75"/>
        <v>3565.1961131707312</v>
      </c>
      <c r="R66" s="109"/>
      <c r="S66" s="99">
        <f t="shared" si="32"/>
        <v>5161.7317463414638</v>
      </c>
      <c r="T66" s="101">
        <f t="shared" si="76"/>
        <v>895.40487804878057</v>
      </c>
      <c r="U66" s="101">
        <f t="shared" si="77"/>
        <v>895.40487804878057</v>
      </c>
      <c r="V66" s="101">
        <f t="shared" si="78"/>
        <v>1210.1970731707315</v>
      </c>
      <c r="W66" s="101">
        <f t="shared" si="79"/>
        <v>2160.7249170731707</v>
      </c>
      <c r="X66" s="74"/>
      <c r="Y66" s="99">
        <f t="shared" si="8"/>
        <v>10323.463492682928</v>
      </c>
      <c r="Z66" s="101">
        <f t="shared" si="80"/>
        <v>1790.8097560975611</v>
      </c>
      <c r="AA66" s="101">
        <f t="shared" si="81"/>
        <v>1790.8097560975611</v>
      </c>
      <c r="AB66" s="101">
        <f t="shared" si="82"/>
        <v>2420.3941463414631</v>
      </c>
      <c r="AC66" s="101">
        <f t="shared" si="83"/>
        <v>4321.4498341463413</v>
      </c>
      <c r="AD66" s="74"/>
      <c r="AE66" s="99">
        <f t="shared" si="67"/>
        <v>36</v>
      </c>
      <c r="AF66" s="101"/>
      <c r="AG66" s="101">
        <f t="shared" si="84"/>
        <v>45</v>
      </c>
      <c r="AH66" s="101">
        <f t="shared" si="85"/>
        <v>657</v>
      </c>
      <c r="AI66" s="101">
        <f t="shared" si="86"/>
        <v>200</v>
      </c>
      <c r="AJ66" s="108">
        <f t="shared" si="87"/>
        <v>3.3333333333333335</v>
      </c>
      <c r="AK66" s="101">
        <f t="shared" si="70"/>
        <v>2500.839024390244</v>
      </c>
      <c r="AL66" s="101">
        <f t="shared" si="88"/>
        <v>746.17073170731715</v>
      </c>
      <c r="AM66" s="101">
        <f t="shared" si="89"/>
        <v>746.17073170731715</v>
      </c>
      <c r="AN66" s="101">
        <f t="shared" si="90"/>
        <v>1008.4975609756096</v>
      </c>
      <c r="AO66" s="1">
        <v>36</v>
      </c>
      <c r="AP66" s="2"/>
      <c r="AQ66" s="74">
        <f t="shared" si="91"/>
        <v>657</v>
      </c>
      <c r="AR66" s="10">
        <v>50</v>
      </c>
      <c r="AS66" s="1">
        <v>1</v>
      </c>
      <c r="AT66" s="11"/>
      <c r="AU66" s="10">
        <v>25</v>
      </c>
      <c r="AV66" s="1"/>
      <c r="AW66" s="1">
        <v>1</v>
      </c>
      <c r="AX66" s="10">
        <v>0.6</v>
      </c>
      <c r="AY66" s="11">
        <v>1</v>
      </c>
      <c r="AZ66" s="2"/>
      <c r="BA66" s="2"/>
      <c r="BB66" s="2"/>
      <c r="BC66" s="1"/>
      <c r="BD66" s="111"/>
      <c r="BE66" s="2"/>
      <c r="BF66" s="3"/>
      <c r="BG66" s="2"/>
      <c r="BH66" s="2"/>
      <c r="BI66" s="1"/>
      <c r="BJ66" s="1"/>
      <c r="BK66" s="1"/>
    </row>
    <row r="67" spans="1:63" ht="12" customHeight="1">
      <c r="A67" s="1"/>
      <c r="B67" s="107">
        <v>14</v>
      </c>
      <c r="C67" s="31">
        <v>10</v>
      </c>
      <c r="D67" s="111" t="s">
        <v>18</v>
      </c>
      <c r="E67" s="2" t="s">
        <v>164</v>
      </c>
      <c r="F67" s="25"/>
      <c r="G67" s="2"/>
      <c r="H67" s="33" t="s">
        <v>81</v>
      </c>
      <c r="I67" s="99">
        <f t="shared" si="0"/>
        <v>339.3583609756098</v>
      </c>
      <c r="J67" s="101">
        <f t="shared" si="1"/>
        <v>26.05</v>
      </c>
      <c r="K67" s="101">
        <f t="shared" si="2"/>
        <v>7</v>
      </c>
      <c r="L67" s="74">
        <f t="shared" si="71"/>
        <v>7</v>
      </c>
      <c r="M67" s="99">
        <f t="shared" si="42"/>
        <v>6787.1672195121955</v>
      </c>
      <c r="N67" s="108">
        <f t="shared" si="72"/>
        <v>6787.1672195121955</v>
      </c>
      <c r="O67" s="108">
        <f t="shared" ref="O67:O74" si="92">U67*(1+(($D$25+IF(F67="백어택",20,0))/100)*(AI67/100-1))</f>
        <v>0</v>
      </c>
      <c r="P67" s="108"/>
      <c r="Q67" s="108"/>
      <c r="R67" s="109"/>
      <c r="S67" s="99">
        <f t="shared" si="32"/>
        <v>4241.979512195122</v>
      </c>
      <c r="T67" s="108">
        <f t="shared" ref="T67:T74" si="93">AL67*IF(H67="근접",AT67,IF(AV67=1,AT67,1))*AX67*IF(F67="백어택",1.2,1)</f>
        <v>4241.979512195122</v>
      </c>
      <c r="U67" s="108">
        <f t="shared" ref="U67:U74" si="94">IF(AX67=1,AM67*IF(H67="근접",AT67,IF(AV67=1,AT67,1)),0)*AY67*IF(AX67=1,1,0)*IF(F67="백어택",1.2,1)</f>
        <v>0</v>
      </c>
      <c r="V67" s="108"/>
      <c r="W67" s="108"/>
      <c r="X67" s="109"/>
      <c r="Y67" s="99">
        <f t="shared" si="8"/>
        <v>8483.9590243902439</v>
      </c>
      <c r="Z67" s="108">
        <f t="shared" ref="Z67:AA67" si="95">T67*$D$26/100</f>
        <v>8483.9590243902439</v>
      </c>
      <c r="AA67" s="108">
        <f t="shared" si="95"/>
        <v>0</v>
      </c>
      <c r="AB67" s="108"/>
      <c r="AC67" s="108"/>
      <c r="AD67" s="109"/>
      <c r="AE67" s="99">
        <f t="shared" ref="AE67:AE74" si="96">(AO67-AR67)*IF(AW67="보스대상",1,POWER(0.85,AW67))</f>
        <v>20</v>
      </c>
      <c r="AF67" s="101"/>
      <c r="AG67" s="101">
        <f t="shared" ref="AG67:AG74" si="97">IF($D$25&gt;100,100,$D$25)+AU67</f>
        <v>60</v>
      </c>
      <c r="AH67" s="101">
        <f t="shared" ref="AH67:AH75" si="98">AQ67</f>
        <v>521</v>
      </c>
      <c r="AI67" s="101">
        <f t="shared" ref="AI67:AI75" si="99">$D$26</f>
        <v>200</v>
      </c>
      <c r="AJ67" s="112">
        <f t="shared" ref="AJ67:AJ74" si="100">10*AS67/IF(AX67=1,IF(AY67=1,4.5,4),4)</f>
        <v>2.5</v>
      </c>
      <c r="AK67" s="101">
        <f t="shared" si="70"/>
        <v>2538.0878048780487</v>
      </c>
      <c r="AL67" s="101">
        <f t="shared" ref="AL67:AL74" si="101">IF(AV67=1,$D$29*(VLOOKUP(C67,$B$4:$AG$7,25,FALSE)+VLOOKUP(C67,$B$8:$AG$11,25,FALSE)*$D$22),(IF(H67="근접",$D$29*(VLOOKUP(C67,$B$4:$AG$7,25,FALSE)+VLOOKUP(C67,$B$8:$AG$11,25,FALSE)*$D$22),$D$28*(VLOOKUP(C67,$B$4:$AG$7,25,FALSE)+VLOOKUP(C67,$B$8:$AG$11,25,FALSE)*$D$22))))*$D$27/100</f>
        <v>1514.9926829268295</v>
      </c>
      <c r="AM67" s="101">
        <f t="shared" ref="AM67:AM74" si="102">(IF(AV67=1,$D$29*(VLOOKUP(C67,$B$4:$AG$7,26,FALSE)+VLOOKUP(C67,$B$8:$AG$11,26,FALSE)*$D$22),IF(H67="근접",$D$29*(VLOOKUP(C67,$B$4:$AG$7,26,FALSE)+VLOOKUP(C67,$B$8:$AG$11,26,FALSE)*$D$22),$D$28*(VLOOKUP(C67,$B$4:$AG$7,26,FALSE)+VLOOKUP(C67,$B$8:$AG$11,26,FALSE)*$D$22))))*$D$27/100</f>
        <v>1023.0951219512194</v>
      </c>
      <c r="AN67" s="101"/>
      <c r="AO67" s="1">
        <v>24</v>
      </c>
      <c r="AP67" s="2"/>
      <c r="AQ67" s="74">
        <f t="shared" ref="AQ67:AQ74" si="103">VLOOKUP(C67,$B$13:$AA$16,25,FALSE)</f>
        <v>521</v>
      </c>
      <c r="AR67" s="10">
        <v>4</v>
      </c>
      <c r="AS67" s="1">
        <v>1</v>
      </c>
      <c r="AT67" s="11">
        <v>1</v>
      </c>
      <c r="AU67" s="10">
        <v>40</v>
      </c>
      <c r="AV67" s="1">
        <v>0</v>
      </c>
      <c r="AW67" s="1" t="s">
        <v>86</v>
      </c>
      <c r="AX67" s="10">
        <v>2.8</v>
      </c>
      <c r="AY67" s="11">
        <v>1</v>
      </c>
      <c r="AZ67" s="2"/>
      <c r="BA67" s="2"/>
      <c r="BB67" s="2"/>
      <c r="BC67" s="1"/>
      <c r="BD67" s="111"/>
      <c r="BE67" s="2"/>
      <c r="BF67" s="3"/>
      <c r="BG67" s="2"/>
      <c r="BH67" s="2"/>
      <c r="BI67" s="1"/>
      <c r="BJ67" s="1"/>
      <c r="BK67" s="1"/>
    </row>
    <row r="68" spans="1:63" ht="12" customHeight="1">
      <c r="A68" s="1"/>
      <c r="B68" s="107">
        <v>14</v>
      </c>
      <c r="C68" s="31">
        <v>10</v>
      </c>
      <c r="D68" s="111" t="s">
        <v>18</v>
      </c>
      <c r="E68" s="2" t="s">
        <v>164</v>
      </c>
      <c r="F68" s="25"/>
      <c r="G68" s="2"/>
      <c r="H68" s="33" t="s">
        <v>80</v>
      </c>
      <c r="I68" s="99">
        <f t="shared" si="0"/>
        <v>226.2389073170732</v>
      </c>
      <c r="J68" s="101">
        <f t="shared" si="1"/>
        <v>26.05</v>
      </c>
      <c r="K68" s="101">
        <f t="shared" si="2"/>
        <v>30</v>
      </c>
      <c r="L68" s="74">
        <f t="shared" si="71"/>
        <v>18</v>
      </c>
      <c r="M68" s="99">
        <f t="shared" si="42"/>
        <v>4524.778146341464</v>
      </c>
      <c r="N68" s="108">
        <f t="shared" si="72"/>
        <v>4524.778146341464</v>
      </c>
      <c r="O68" s="108">
        <f t="shared" si="92"/>
        <v>0</v>
      </c>
      <c r="P68" s="108"/>
      <c r="Q68" s="108"/>
      <c r="R68" s="109"/>
      <c r="S68" s="99">
        <f t="shared" si="32"/>
        <v>2827.9863414634146</v>
      </c>
      <c r="T68" s="108">
        <f t="shared" si="93"/>
        <v>2827.9863414634146</v>
      </c>
      <c r="U68" s="108">
        <f t="shared" si="94"/>
        <v>0</v>
      </c>
      <c r="V68" s="108"/>
      <c r="W68" s="108"/>
      <c r="X68" s="109"/>
      <c r="Y68" s="99">
        <f t="shared" si="8"/>
        <v>5655.9726829268293</v>
      </c>
      <c r="Z68" s="108">
        <f t="shared" ref="Z68:AA68" si="104">T68*$D$26/100</f>
        <v>5655.9726829268293</v>
      </c>
      <c r="AA68" s="108">
        <f t="shared" si="104"/>
        <v>0</v>
      </c>
      <c r="AB68" s="108"/>
      <c r="AC68" s="108"/>
      <c r="AD68" s="109"/>
      <c r="AE68" s="99">
        <f t="shared" si="96"/>
        <v>20</v>
      </c>
      <c r="AF68" s="101"/>
      <c r="AG68" s="101">
        <f t="shared" si="97"/>
        <v>60</v>
      </c>
      <c r="AH68" s="101">
        <f t="shared" si="98"/>
        <v>521</v>
      </c>
      <c r="AI68" s="101">
        <f t="shared" si="99"/>
        <v>200</v>
      </c>
      <c r="AJ68" s="112">
        <f t="shared" si="100"/>
        <v>2.5</v>
      </c>
      <c r="AK68" s="101">
        <f t="shared" si="70"/>
        <v>1692.0585365853658</v>
      </c>
      <c r="AL68" s="101">
        <f t="shared" si="101"/>
        <v>1009.9951219512195</v>
      </c>
      <c r="AM68" s="101">
        <f t="shared" si="102"/>
        <v>682.06341463414628</v>
      </c>
      <c r="AN68" s="101"/>
      <c r="AO68" s="1">
        <v>24</v>
      </c>
      <c r="AP68" s="2"/>
      <c r="AQ68" s="74">
        <f t="shared" si="103"/>
        <v>521</v>
      </c>
      <c r="AR68" s="10">
        <v>4</v>
      </c>
      <c r="AS68" s="1">
        <v>1</v>
      </c>
      <c r="AT68" s="11">
        <v>1</v>
      </c>
      <c r="AU68" s="10">
        <v>40</v>
      </c>
      <c r="AV68" s="1">
        <v>0</v>
      </c>
      <c r="AW68" s="1" t="s">
        <v>86</v>
      </c>
      <c r="AX68" s="10">
        <v>2.8</v>
      </c>
      <c r="AY68" s="11">
        <v>1</v>
      </c>
      <c r="AZ68" s="2"/>
      <c r="BA68" s="2"/>
      <c r="BB68" s="2"/>
      <c r="BC68" s="1"/>
      <c r="BD68" s="111"/>
      <c r="BE68" s="2"/>
      <c r="BF68" s="3"/>
      <c r="BG68" s="2"/>
      <c r="BH68" s="2"/>
      <c r="BI68" s="1"/>
      <c r="BJ68" s="1"/>
      <c r="BK68" s="1"/>
    </row>
    <row r="69" spans="1:63" ht="12" customHeight="1">
      <c r="A69" s="1"/>
      <c r="B69" s="107">
        <v>14</v>
      </c>
      <c r="C69" s="31">
        <v>10</v>
      </c>
      <c r="D69" s="111" t="s">
        <v>18</v>
      </c>
      <c r="E69" s="2" t="s">
        <v>164</v>
      </c>
      <c r="F69" s="25" t="s">
        <v>149</v>
      </c>
      <c r="G69" s="2"/>
      <c r="H69" s="33" t="s">
        <v>81</v>
      </c>
      <c r="I69" s="99">
        <f t="shared" si="0"/>
        <v>458.13378731707314</v>
      </c>
      <c r="J69" s="101">
        <f t="shared" si="1"/>
        <v>26.05</v>
      </c>
      <c r="K69" s="101">
        <f t="shared" si="2"/>
        <v>1</v>
      </c>
      <c r="L69" s="74">
        <f t="shared" si="71"/>
        <v>1</v>
      </c>
      <c r="M69" s="99">
        <f t="shared" si="42"/>
        <v>9162.6757463414633</v>
      </c>
      <c r="N69" s="108">
        <f t="shared" si="72"/>
        <v>9162.6757463414633</v>
      </c>
      <c r="O69" s="108">
        <f t="shared" si="92"/>
        <v>0</v>
      </c>
      <c r="P69" s="108"/>
      <c r="Q69" s="108"/>
      <c r="R69" s="109"/>
      <c r="S69" s="99">
        <f t="shared" si="32"/>
        <v>5090.3754146341462</v>
      </c>
      <c r="T69" s="108">
        <f t="shared" si="93"/>
        <v>5090.3754146341462</v>
      </c>
      <c r="U69" s="108">
        <f t="shared" si="94"/>
        <v>0</v>
      </c>
      <c r="V69" s="108"/>
      <c r="W69" s="108"/>
      <c r="X69" s="109"/>
      <c r="Y69" s="99">
        <f t="shared" si="8"/>
        <v>10180.750829268292</v>
      </c>
      <c r="Z69" s="108">
        <f t="shared" ref="Z69:AA69" si="105">T69*$D$26/100</f>
        <v>10180.750829268292</v>
      </c>
      <c r="AA69" s="108">
        <f t="shared" si="105"/>
        <v>0</v>
      </c>
      <c r="AB69" s="108"/>
      <c r="AC69" s="108"/>
      <c r="AD69" s="109"/>
      <c r="AE69" s="99">
        <f t="shared" si="96"/>
        <v>20</v>
      </c>
      <c r="AF69" s="101"/>
      <c r="AG69" s="101">
        <f t="shared" si="97"/>
        <v>60</v>
      </c>
      <c r="AH69" s="101">
        <f t="shared" si="98"/>
        <v>521</v>
      </c>
      <c r="AI69" s="101">
        <f t="shared" si="99"/>
        <v>200</v>
      </c>
      <c r="AJ69" s="112">
        <f t="shared" si="100"/>
        <v>2.5</v>
      </c>
      <c r="AK69" s="101">
        <f t="shared" si="70"/>
        <v>2538.0878048780487</v>
      </c>
      <c r="AL69" s="101">
        <f t="shared" si="101"/>
        <v>1514.9926829268295</v>
      </c>
      <c r="AM69" s="101">
        <f t="shared" si="102"/>
        <v>1023.0951219512194</v>
      </c>
      <c r="AN69" s="101"/>
      <c r="AO69" s="1">
        <v>24</v>
      </c>
      <c r="AP69" s="2"/>
      <c r="AQ69" s="74">
        <f t="shared" si="103"/>
        <v>521</v>
      </c>
      <c r="AR69" s="10">
        <v>4</v>
      </c>
      <c r="AS69" s="1">
        <v>1</v>
      </c>
      <c r="AT69" s="11">
        <v>1</v>
      </c>
      <c r="AU69" s="10">
        <v>40</v>
      </c>
      <c r="AV69" s="1">
        <v>0</v>
      </c>
      <c r="AW69" s="1" t="s">
        <v>86</v>
      </c>
      <c r="AX69" s="10">
        <v>2.8</v>
      </c>
      <c r="AY69" s="11">
        <v>1</v>
      </c>
      <c r="AZ69" s="2"/>
      <c r="BA69" s="2"/>
      <c r="BB69" s="2"/>
      <c r="BC69" s="1"/>
      <c r="BD69" s="111"/>
      <c r="BE69" s="2"/>
      <c r="BF69" s="3"/>
      <c r="BG69" s="2"/>
      <c r="BH69" s="2"/>
      <c r="BI69" s="1"/>
      <c r="BJ69" s="1"/>
      <c r="BK69" s="1"/>
    </row>
    <row r="70" spans="1:63" ht="12" customHeight="1">
      <c r="A70" s="1"/>
      <c r="B70" s="107">
        <v>14</v>
      </c>
      <c r="C70" s="31">
        <v>10</v>
      </c>
      <c r="D70" s="111" t="s">
        <v>18</v>
      </c>
      <c r="E70" s="2" t="s">
        <v>164</v>
      </c>
      <c r="F70" s="25" t="s">
        <v>149</v>
      </c>
      <c r="G70" s="2"/>
      <c r="H70" s="33" t="s">
        <v>80</v>
      </c>
      <c r="I70" s="99">
        <f t="shared" si="0"/>
        <v>305.42252487804876</v>
      </c>
      <c r="J70" s="101">
        <f t="shared" si="1"/>
        <v>26.05</v>
      </c>
      <c r="K70" s="101">
        <f t="shared" si="2"/>
        <v>12</v>
      </c>
      <c r="L70" s="74">
        <f t="shared" si="71"/>
        <v>9</v>
      </c>
      <c r="M70" s="99">
        <f t="shared" si="42"/>
        <v>6108.4504975609752</v>
      </c>
      <c r="N70" s="108">
        <f t="shared" si="72"/>
        <v>6108.4504975609752</v>
      </c>
      <c r="O70" s="108">
        <f t="shared" si="92"/>
        <v>0</v>
      </c>
      <c r="P70" s="108"/>
      <c r="Q70" s="108"/>
      <c r="R70" s="109"/>
      <c r="S70" s="99">
        <f t="shared" si="32"/>
        <v>3393.5836097560973</v>
      </c>
      <c r="T70" s="108">
        <f t="shared" si="93"/>
        <v>3393.5836097560973</v>
      </c>
      <c r="U70" s="108">
        <f t="shared" si="94"/>
        <v>0</v>
      </c>
      <c r="V70" s="108"/>
      <c r="W70" s="108"/>
      <c r="X70" s="109"/>
      <c r="Y70" s="99">
        <f t="shared" si="8"/>
        <v>6787.1672195121946</v>
      </c>
      <c r="Z70" s="108">
        <f t="shared" ref="Z70:AA70" si="106">T70*$D$26/100</f>
        <v>6787.1672195121946</v>
      </c>
      <c r="AA70" s="108">
        <f t="shared" si="106"/>
        <v>0</v>
      </c>
      <c r="AB70" s="108"/>
      <c r="AC70" s="108"/>
      <c r="AD70" s="109"/>
      <c r="AE70" s="99">
        <f t="shared" si="96"/>
        <v>20</v>
      </c>
      <c r="AF70" s="101"/>
      <c r="AG70" s="101">
        <f t="shared" si="97"/>
        <v>60</v>
      </c>
      <c r="AH70" s="101">
        <f t="shared" si="98"/>
        <v>521</v>
      </c>
      <c r="AI70" s="101">
        <f t="shared" si="99"/>
        <v>200</v>
      </c>
      <c r="AJ70" s="112">
        <f t="shared" si="100"/>
        <v>2.5</v>
      </c>
      <c r="AK70" s="101">
        <f t="shared" si="70"/>
        <v>1692.0585365853658</v>
      </c>
      <c r="AL70" s="101">
        <f t="shared" si="101"/>
        <v>1009.9951219512195</v>
      </c>
      <c r="AM70" s="101">
        <f t="shared" si="102"/>
        <v>682.06341463414628</v>
      </c>
      <c r="AN70" s="101"/>
      <c r="AO70" s="1">
        <v>24</v>
      </c>
      <c r="AP70" s="2"/>
      <c r="AQ70" s="74">
        <f t="shared" si="103"/>
        <v>521</v>
      </c>
      <c r="AR70" s="10">
        <v>4</v>
      </c>
      <c r="AS70" s="1">
        <v>1</v>
      </c>
      <c r="AT70" s="11">
        <v>1</v>
      </c>
      <c r="AU70" s="10">
        <v>40</v>
      </c>
      <c r="AV70" s="1">
        <v>0</v>
      </c>
      <c r="AW70" s="1" t="s">
        <v>86</v>
      </c>
      <c r="AX70" s="10">
        <v>2.8</v>
      </c>
      <c r="AY70" s="11">
        <v>1</v>
      </c>
      <c r="AZ70" s="2"/>
      <c r="BA70" s="2"/>
      <c r="BB70" s="2"/>
      <c r="BC70" s="1"/>
      <c r="BD70" s="111"/>
      <c r="BE70" s="2"/>
      <c r="BF70" s="3"/>
      <c r="BG70" s="2"/>
      <c r="BH70" s="2"/>
      <c r="BI70" s="1"/>
      <c r="BJ70" s="1"/>
      <c r="BK70" s="1"/>
    </row>
    <row r="71" spans="1:63" ht="12" customHeight="1">
      <c r="A71" s="1"/>
      <c r="B71" s="107">
        <v>15</v>
      </c>
      <c r="C71" s="31">
        <v>10</v>
      </c>
      <c r="D71" s="111" t="s">
        <v>18</v>
      </c>
      <c r="E71" s="2" t="s">
        <v>154</v>
      </c>
      <c r="F71" s="25"/>
      <c r="G71" s="2"/>
      <c r="H71" s="33" t="s">
        <v>81</v>
      </c>
      <c r="I71" s="99">
        <f t="shared" si="0"/>
        <v>275.05668292682924</v>
      </c>
      <c r="J71" s="101">
        <f t="shared" si="1"/>
        <v>26.05</v>
      </c>
      <c r="K71" s="101">
        <f t="shared" si="2"/>
        <v>20</v>
      </c>
      <c r="L71" s="74">
        <f t="shared" si="71"/>
        <v>13</v>
      </c>
      <c r="M71" s="99">
        <f t="shared" si="42"/>
        <v>5501.1336585365852</v>
      </c>
      <c r="N71" s="108">
        <f t="shared" si="72"/>
        <v>1817.9912195121954</v>
      </c>
      <c r="O71" s="108">
        <f t="shared" si="92"/>
        <v>3683.1424390243897</v>
      </c>
      <c r="P71" s="108"/>
      <c r="Q71" s="108"/>
      <c r="R71" s="109"/>
      <c r="S71" s="99">
        <f t="shared" si="32"/>
        <v>4584.2780487804876</v>
      </c>
      <c r="T71" s="108">
        <f t="shared" si="93"/>
        <v>1514.9926829268295</v>
      </c>
      <c r="U71" s="108">
        <f t="shared" si="94"/>
        <v>3069.2853658536583</v>
      </c>
      <c r="V71" s="108"/>
      <c r="W71" s="108"/>
      <c r="X71" s="109"/>
      <c r="Y71" s="99">
        <f t="shared" si="8"/>
        <v>9168.5560975609751</v>
      </c>
      <c r="Z71" s="108">
        <f t="shared" ref="Z71:AA71" si="107">T71*$D$26/100</f>
        <v>3029.985365853659</v>
      </c>
      <c r="AA71" s="108">
        <f t="shared" si="107"/>
        <v>6138.5707317073166</v>
      </c>
      <c r="AB71" s="108"/>
      <c r="AC71" s="108"/>
      <c r="AD71" s="109"/>
      <c r="AE71" s="99">
        <f t="shared" si="96"/>
        <v>20</v>
      </c>
      <c r="AF71" s="101"/>
      <c r="AG71" s="101">
        <f t="shared" si="97"/>
        <v>20</v>
      </c>
      <c r="AH71" s="101">
        <f t="shared" si="98"/>
        <v>521</v>
      </c>
      <c r="AI71" s="101">
        <f t="shared" si="99"/>
        <v>200</v>
      </c>
      <c r="AJ71" s="112">
        <f t="shared" si="100"/>
        <v>2.5</v>
      </c>
      <c r="AK71" s="101">
        <f t="shared" si="70"/>
        <v>2538.0878048780487</v>
      </c>
      <c r="AL71" s="101">
        <f t="shared" si="101"/>
        <v>1514.9926829268295</v>
      </c>
      <c r="AM71" s="101">
        <f t="shared" si="102"/>
        <v>1023.0951219512194</v>
      </c>
      <c r="AN71" s="101"/>
      <c r="AO71" s="1">
        <v>24</v>
      </c>
      <c r="AP71" s="2"/>
      <c r="AQ71" s="74">
        <f t="shared" si="103"/>
        <v>521</v>
      </c>
      <c r="AR71" s="10">
        <v>4</v>
      </c>
      <c r="AS71" s="1">
        <v>1</v>
      </c>
      <c r="AT71" s="11">
        <v>1</v>
      </c>
      <c r="AU71" s="10">
        <v>0</v>
      </c>
      <c r="AV71" s="1">
        <v>1</v>
      </c>
      <c r="AW71" s="1" t="s">
        <v>86</v>
      </c>
      <c r="AX71" s="10">
        <v>1</v>
      </c>
      <c r="AY71" s="11">
        <v>3</v>
      </c>
      <c r="AZ71" s="2"/>
      <c r="BA71" s="2"/>
      <c r="BB71" s="2"/>
      <c r="BC71" s="1"/>
      <c r="BD71" s="111"/>
      <c r="BE71" s="2"/>
      <c r="BF71" s="3"/>
      <c r="BG71" s="2"/>
      <c r="BH71" s="2"/>
      <c r="BI71" s="1"/>
      <c r="BJ71" s="1"/>
      <c r="BK71" s="1"/>
    </row>
    <row r="72" spans="1:63" ht="12" customHeight="1">
      <c r="A72" s="1"/>
      <c r="B72" s="107">
        <v>15</v>
      </c>
      <c r="C72" s="31">
        <v>10</v>
      </c>
      <c r="D72" s="111" t="s">
        <v>18</v>
      </c>
      <c r="E72" s="2" t="s">
        <v>154</v>
      </c>
      <c r="F72" s="25"/>
      <c r="G72" s="2"/>
      <c r="H72" s="33" t="s">
        <v>80</v>
      </c>
      <c r="I72" s="99">
        <f t="shared" si="0"/>
        <v>275.05668292682924</v>
      </c>
      <c r="J72" s="101">
        <f t="shared" si="1"/>
        <v>26.05</v>
      </c>
      <c r="K72" s="101">
        <f t="shared" si="2"/>
        <v>20</v>
      </c>
      <c r="L72" s="74">
        <f t="shared" si="71"/>
        <v>13</v>
      </c>
      <c r="M72" s="99">
        <f t="shared" si="42"/>
        <v>5501.1336585365852</v>
      </c>
      <c r="N72" s="108">
        <f t="shared" si="72"/>
        <v>1817.9912195121954</v>
      </c>
      <c r="O72" s="108">
        <f t="shared" si="92"/>
        <v>3683.1424390243897</v>
      </c>
      <c r="P72" s="108"/>
      <c r="Q72" s="108"/>
      <c r="R72" s="109"/>
      <c r="S72" s="99">
        <f t="shared" si="32"/>
        <v>4584.2780487804876</v>
      </c>
      <c r="T72" s="108">
        <f t="shared" si="93"/>
        <v>1514.9926829268295</v>
      </c>
      <c r="U72" s="108">
        <f t="shared" si="94"/>
        <v>3069.2853658536583</v>
      </c>
      <c r="V72" s="108"/>
      <c r="W72" s="108"/>
      <c r="X72" s="109"/>
      <c r="Y72" s="99">
        <f t="shared" si="8"/>
        <v>9168.5560975609751</v>
      </c>
      <c r="Z72" s="108">
        <f t="shared" ref="Z72:AA72" si="108">T72*$D$26/100</f>
        <v>3029.985365853659</v>
      </c>
      <c r="AA72" s="108">
        <f t="shared" si="108"/>
        <v>6138.5707317073166</v>
      </c>
      <c r="AB72" s="108"/>
      <c r="AC72" s="108"/>
      <c r="AD72" s="109"/>
      <c r="AE72" s="99">
        <f t="shared" si="96"/>
        <v>20</v>
      </c>
      <c r="AF72" s="101"/>
      <c r="AG72" s="101">
        <f t="shared" si="97"/>
        <v>20</v>
      </c>
      <c r="AH72" s="101">
        <f t="shared" si="98"/>
        <v>521</v>
      </c>
      <c r="AI72" s="101">
        <f t="shared" si="99"/>
        <v>200</v>
      </c>
      <c r="AJ72" s="112">
        <f t="shared" si="100"/>
        <v>2.5</v>
      </c>
      <c r="AK72" s="101">
        <f t="shared" si="70"/>
        <v>2538.0878048780487</v>
      </c>
      <c r="AL72" s="101">
        <f t="shared" si="101"/>
        <v>1514.9926829268295</v>
      </c>
      <c r="AM72" s="101">
        <f t="shared" si="102"/>
        <v>1023.0951219512194</v>
      </c>
      <c r="AN72" s="101"/>
      <c r="AO72" s="1">
        <v>24</v>
      </c>
      <c r="AP72" s="2"/>
      <c r="AQ72" s="74">
        <f t="shared" si="103"/>
        <v>521</v>
      </c>
      <c r="AR72" s="10">
        <v>4</v>
      </c>
      <c r="AS72" s="1">
        <v>1</v>
      </c>
      <c r="AT72" s="11">
        <v>1</v>
      </c>
      <c r="AU72" s="10">
        <v>0</v>
      </c>
      <c r="AV72" s="1">
        <v>1</v>
      </c>
      <c r="AW72" s="1" t="s">
        <v>86</v>
      </c>
      <c r="AX72" s="10">
        <v>1</v>
      </c>
      <c r="AY72" s="11">
        <v>3</v>
      </c>
      <c r="AZ72" s="2"/>
      <c r="BA72" s="2"/>
      <c r="BB72" s="2"/>
      <c r="BC72" s="1"/>
      <c r="BD72" s="111"/>
      <c r="BE72" s="2"/>
      <c r="BF72" s="3"/>
      <c r="BG72" s="2"/>
      <c r="BH72" s="2"/>
      <c r="BI72" s="1"/>
      <c r="BJ72" s="1"/>
      <c r="BK72" s="2"/>
    </row>
    <row r="73" spans="1:63" ht="12" customHeight="1">
      <c r="A73" s="1"/>
      <c r="B73" s="107">
        <v>15</v>
      </c>
      <c r="C73" s="31">
        <v>10</v>
      </c>
      <c r="D73" s="111" t="s">
        <v>18</v>
      </c>
      <c r="E73" s="2" t="s">
        <v>154</v>
      </c>
      <c r="F73" s="25" t="s">
        <v>149</v>
      </c>
      <c r="G73" s="2"/>
      <c r="H73" s="33" t="s">
        <v>81</v>
      </c>
      <c r="I73" s="99">
        <f t="shared" si="0"/>
        <v>385.07935609756095</v>
      </c>
      <c r="J73" s="101">
        <f t="shared" si="1"/>
        <v>26.05</v>
      </c>
      <c r="K73" s="101">
        <f t="shared" si="2"/>
        <v>4</v>
      </c>
      <c r="L73" s="74">
        <f t="shared" si="71"/>
        <v>4</v>
      </c>
      <c r="M73" s="99">
        <f t="shared" si="42"/>
        <v>7701.5871219512192</v>
      </c>
      <c r="N73" s="108">
        <f t="shared" si="72"/>
        <v>2545.1877073170735</v>
      </c>
      <c r="O73" s="108">
        <f t="shared" si="92"/>
        <v>5156.3994146341456</v>
      </c>
      <c r="P73" s="108"/>
      <c r="Q73" s="108"/>
      <c r="R73" s="109"/>
      <c r="S73" s="99">
        <f t="shared" si="32"/>
        <v>5501.1336585365852</v>
      </c>
      <c r="T73" s="108">
        <f t="shared" si="93"/>
        <v>1817.9912195121954</v>
      </c>
      <c r="U73" s="108">
        <f t="shared" si="94"/>
        <v>3683.1424390243897</v>
      </c>
      <c r="V73" s="108"/>
      <c r="W73" s="108"/>
      <c r="X73" s="109"/>
      <c r="Y73" s="99">
        <f t="shared" si="8"/>
        <v>11002.26731707317</v>
      </c>
      <c r="Z73" s="108">
        <f t="shared" ref="Z73:AA73" si="109">T73*$D$26/100</f>
        <v>3635.9824390243907</v>
      </c>
      <c r="AA73" s="108">
        <f t="shared" si="109"/>
        <v>7366.2848780487793</v>
      </c>
      <c r="AB73" s="108"/>
      <c r="AC73" s="108"/>
      <c r="AD73" s="109"/>
      <c r="AE73" s="99">
        <f t="shared" si="96"/>
        <v>20</v>
      </c>
      <c r="AF73" s="101"/>
      <c r="AG73" s="101">
        <f t="shared" si="97"/>
        <v>20</v>
      </c>
      <c r="AH73" s="101">
        <f t="shared" si="98"/>
        <v>521</v>
      </c>
      <c r="AI73" s="101">
        <f t="shared" si="99"/>
        <v>200</v>
      </c>
      <c r="AJ73" s="112">
        <f t="shared" si="100"/>
        <v>2.5</v>
      </c>
      <c r="AK73" s="101">
        <f t="shared" si="70"/>
        <v>2538.0878048780487</v>
      </c>
      <c r="AL73" s="101">
        <f t="shared" si="101"/>
        <v>1514.9926829268295</v>
      </c>
      <c r="AM73" s="101">
        <f t="shared" si="102"/>
        <v>1023.0951219512194</v>
      </c>
      <c r="AN73" s="101"/>
      <c r="AO73" s="1">
        <v>24</v>
      </c>
      <c r="AP73" s="2"/>
      <c r="AQ73" s="74">
        <f t="shared" si="103"/>
        <v>521</v>
      </c>
      <c r="AR73" s="10">
        <v>4</v>
      </c>
      <c r="AS73" s="1">
        <v>1</v>
      </c>
      <c r="AT73" s="11">
        <v>1</v>
      </c>
      <c r="AU73" s="10">
        <v>0</v>
      </c>
      <c r="AV73" s="1">
        <v>1</v>
      </c>
      <c r="AW73" s="1" t="s">
        <v>86</v>
      </c>
      <c r="AX73" s="10">
        <v>1</v>
      </c>
      <c r="AY73" s="11">
        <v>3</v>
      </c>
      <c r="AZ73" s="2"/>
      <c r="BA73" s="2"/>
      <c r="BB73" s="2"/>
      <c r="BC73" s="1"/>
      <c r="BD73" s="111"/>
      <c r="BE73" s="2"/>
      <c r="BF73" s="3"/>
      <c r="BG73" s="2"/>
      <c r="BH73" s="2"/>
      <c r="BI73" s="1"/>
      <c r="BJ73" s="1"/>
      <c r="BK73" s="2"/>
    </row>
    <row r="74" spans="1:63" ht="12" customHeight="1">
      <c r="A74" s="1"/>
      <c r="B74" s="107">
        <v>15</v>
      </c>
      <c r="C74" s="31">
        <v>10</v>
      </c>
      <c r="D74" s="111" t="s">
        <v>18</v>
      </c>
      <c r="E74" s="2" t="s">
        <v>154</v>
      </c>
      <c r="F74" s="25" t="s">
        <v>149</v>
      </c>
      <c r="G74" s="2"/>
      <c r="H74" s="33" t="s">
        <v>80</v>
      </c>
      <c r="I74" s="99">
        <f t="shared" si="0"/>
        <v>385.07935609756095</v>
      </c>
      <c r="J74" s="101">
        <f t="shared" si="1"/>
        <v>26.05</v>
      </c>
      <c r="K74" s="101">
        <f t="shared" si="2"/>
        <v>4</v>
      </c>
      <c r="L74" s="74">
        <f t="shared" si="71"/>
        <v>4</v>
      </c>
      <c r="M74" s="99">
        <f t="shared" si="42"/>
        <v>7701.5871219512192</v>
      </c>
      <c r="N74" s="108">
        <f t="shared" si="72"/>
        <v>2545.1877073170735</v>
      </c>
      <c r="O74" s="108">
        <f t="shared" si="92"/>
        <v>5156.3994146341456</v>
      </c>
      <c r="P74" s="108"/>
      <c r="Q74" s="108"/>
      <c r="R74" s="109"/>
      <c r="S74" s="99">
        <f t="shared" si="32"/>
        <v>5501.1336585365852</v>
      </c>
      <c r="T74" s="108">
        <f t="shared" si="93"/>
        <v>1817.9912195121954</v>
      </c>
      <c r="U74" s="108">
        <f t="shared" si="94"/>
        <v>3683.1424390243897</v>
      </c>
      <c r="V74" s="108"/>
      <c r="W74" s="108"/>
      <c r="X74" s="109"/>
      <c r="Y74" s="99">
        <f t="shared" si="8"/>
        <v>11002.26731707317</v>
      </c>
      <c r="Z74" s="108">
        <f t="shared" ref="Z74:AA74" si="110">T74*$D$26/100</f>
        <v>3635.9824390243907</v>
      </c>
      <c r="AA74" s="108">
        <f t="shared" si="110"/>
        <v>7366.2848780487793</v>
      </c>
      <c r="AB74" s="108"/>
      <c r="AC74" s="108"/>
      <c r="AD74" s="109"/>
      <c r="AE74" s="99">
        <f t="shared" si="96"/>
        <v>20</v>
      </c>
      <c r="AF74" s="101"/>
      <c r="AG74" s="101">
        <f t="shared" si="97"/>
        <v>20</v>
      </c>
      <c r="AH74" s="101">
        <f t="shared" si="98"/>
        <v>521</v>
      </c>
      <c r="AI74" s="101">
        <f t="shared" si="99"/>
        <v>200</v>
      </c>
      <c r="AJ74" s="112">
        <f t="shared" si="100"/>
        <v>2.5</v>
      </c>
      <c r="AK74" s="101">
        <f t="shared" si="70"/>
        <v>2538.0878048780487</v>
      </c>
      <c r="AL74" s="101">
        <f t="shared" si="101"/>
        <v>1514.9926829268295</v>
      </c>
      <c r="AM74" s="101">
        <f t="shared" si="102"/>
        <v>1023.0951219512194</v>
      </c>
      <c r="AN74" s="101"/>
      <c r="AO74" s="1">
        <v>24</v>
      </c>
      <c r="AP74" s="2"/>
      <c r="AQ74" s="74">
        <f t="shared" si="103"/>
        <v>521</v>
      </c>
      <c r="AR74" s="10">
        <v>4</v>
      </c>
      <c r="AS74" s="1">
        <v>1</v>
      </c>
      <c r="AT74" s="11">
        <v>1</v>
      </c>
      <c r="AU74" s="10">
        <v>0</v>
      </c>
      <c r="AV74" s="1">
        <v>1</v>
      </c>
      <c r="AW74" s="1" t="s">
        <v>86</v>
      </c>
      <c r="AX74" s="10">
        <v>1</v>
      </c>
      <c r="AY74" s="11">
        <v>3</v>
      </c>
      <c r="AZ74" s="2"/>
      <c r="BA74" s="2"/>
      <c r="BB74" s="2"/>
      <c r="BC74" s="1"/>
      <c r="BD74" s="111"/>
      <c r="BE74" s="2"/>
      <c r="BF74" s="3"/>
      <c r="BG74" s="2"/>
      <c r="BH74" s="2"/>
      <c r="BI74" s="1"/>
      <c r="BJ74" s="1"/>
      <c r="BK74" s="1"/>
    </row>
    <row r="75" spans="1:63" ht="12" customHeight="1">
      <c r="A75" s="1"/>
      <c r="B75" s="107">
        <v>16</v>
      </c>
      <c r="C75" s="31">
        <v>10</v>
      </c>
      <c r="D75" s="111" t="s">
        <v>11</v>
      </c>
      <c r="E75" s="2" t="s">
        <v>153</v>
      </c>
      <c r="F75" s="25"/>
      <c r="G75" s="2"/>
      <c r="H75" s="33">
        <f>IF(AX75=1,5,1)</f>
        <v>1</v>
      </c>
      <c r="I75" s="99">
        <f t="shared" si="0"/>
        <v>159.69635121951217</v>
      </c>
      <c r="J75" s="101">
        <f t="shared" si="1"/>
        <v>23.68</v>
      </c>
      <c r="K75" s="101">
        <f t="shared" si="2"/>
        <v>46</v>
      </c>
      <c r="L75" s="74">
        <f t="shared" si="71"/>
        <v>22</v>
      </c>
      <c r="M75" s="99">
        <f t="shared" si="42"/>
        <v>3992.4087804878045</v>
      </c>
      <c r="N75" s="108">
        <f>T75*(1+(AG75/100)*(AI75/100-1))</f>
        <v>3630.3453658536582</v>
      </c>
      <c r="O75" s="108">
        <f>U75*(1+(AG75/100)*(AI75/100-1))</f>
        <v>362.06341463414634</v>
      </c>
      <c r="P75" s="108"/>
      <c r="Q75" s="108"/>
      <c r="R75" s="109"/>
      <c r="S75" s="99">
        <f>T75</f>
        <v>3025.2878048780485</v>
      </c>
      <c r="T75" s="108">
        <f>H75*AL75*AX75</f>
        <v>3025.2878048780485</v>
      </c>
      <c r="U75" s="108">
        <f>AM75*AV75</f>
        <v>301.71951219512198</v>
      </c>
      <c r="V75" s="108"/>
      <c r="W75" s="108"/>
      <c r="X75" s="109"/>
      <c r="Y75" s="99">
        <f t="shared" si="8"/>
        <v>6654.0146341463405</v>
      </c>
      <c r="Z75" s="108">
        <f t="shared" ref="Z75:AA75" si="111">T75*$D$26/100</f>
        <v>6050.575609756097</v>
      </c>
      <c r="AA75" s="108">
        <f t="shared" si="111"/>
        <v>603.43902439024396</v>
      </c>
      <c r="AB75" s="108"/>
      <c r="AC75" s="108"/>
      <c r="AD75" s="109"/>
      <c r="AE75" s="99">
        <f>AO75-AR75</f>
        <v>25</v>
      </c>
      <c r="AF75" s="101"/>
      <c r="AG75" s="101">
        <f>IF($D$25+AS75&gt;100,100,$D$25+AS75)</f>
        <v>20</v>
      </c>
      <c r="AH75" s="101">
        <f t="shared" si="98"/>
        <v>592</v>
      </c>
      <c r="AI75" s="101">
        <f t="shared" si="99"/>
        <v>200</v>
      </c>
      <c r="AJ75" s="108">
        <f>10/IF(AX75=1,7,6)</f>
        <v>1.6666666666666667</v>
      </c>
      <c r="AK75" s="101">
        <f t="shared" si="70"/>
        <v>705.36097560975611</v>
      </c>
      <c r="AL75" s="101">
        <f>(VLOOKUP(C75,$B$4:$AG$7,14,FALSE)+VLOOKUP(C75,$B$8:$AG$11,14,FALSE)*$D$22)*$D$27/100</f>
        <v>504.21463414634144</v>
      </c>
      <c r="AM75" s="101">
        <f>(VLOOKUP(C75,$B$4:$AG$7,15,FALSE)+VLOOKUP(C75,$B$8:$AG$11,15,FALSE)*$D$22)*$D$27/100</f>
        <v>201.14634146341464</v>
      </c>
      <c r="AN75" s="101"/>
      <c r="AO75" s="1">
        <v>30</v>
      </c>
      <c r="AP75" s="2"/>
      <c r="AQ75" s="74">
        <f>VLOOKUP(C75,$B$13:$AA$16,14,FALSE)</f>
        <v>592</v>
      </c>
      <c r="AR75" s="10">
        <v>5</v>
      </c>
      <c r="AS75" s="1">
        <v>0</v>
      </c>
      <c r="AT75" s="11"/>
      <c r="AU75" s="10"/>
      <c r="AV75" s="1">
        <v>1.5</v>
      </c>
      <c r="AW75" s="1"/>
      <c r="AX75" s="10">
        <v>6</v>
      </c>
      <c r="AY75" s="11"/>
      <c r="AZ75" s="2"/>
      <c r="BA75" s="2"/>
      <c r="BB75" s="2"/>
      <c r="BC75" s="1"/>
      <c r="BD75" s="111"/>
      <c r="BE75" s="2"/>
      <c r="BF75" s="3"/>
      <c r="BG75" s="2"/>
      <c r="BH75" s="2"/>
      <c r="BI75" s="1"/>
      <c r="BJ75" s="1"/>
      <c r="BK75" s="1"/>
    </row>
    <row r="76" spans="1:63" ht="12" customHeight="1">
      <c r="A76" s="1"/>
      <c r="B76" s="107">
        <v>17</v>
      </c>
      <c r="C76" s="31">
        <v>10</v>
      </c>
      <c r="D76" s="111" t="s">
        <v>8</v>
      </c>
      <c r="E76" s="2" t="s">
        <v>164</v>
      </c>
      <c r="F76" s="25"/>
      <c r="G76" s="2"/>
      <c r="H76" s="33" t="s">
        <v>81</v>
      </c>
      <c r="I76" s="99">
        <f t="shared" si="0"/>
        <v>255.59751219512194</v>
      </c>
      <c r="J76" s="101">
        <f t="shared" si="1"/>
        <v>30.391666666666666</v>
      </c>
      <c r="K76" s="101">
        <f t="shared" si="2"/>
        <v>23</v>
      </c>
      <c r="L76" s="74">
        <f t="shared" si="71"/>
        <v>15</v>
      </c>
      <c r="M76" s="99">
        <f t="shared" si="42"/>
        <v>6134.3402926829267</v>
      </c>
      <c r="N76" s="108">
        <f t="shared" ref="N76:N79" si="112">T76*(1+((AG76+IF(F76="백어택",20,0))/100)*(IF(AY76=1,$D$26,$D$26+50)/100-1))</f>
        <v>1726.9287804878049</v>
      </c>
      <c r="O76" s="108">
        <f t="shared" ref="O76:O79" si="113">U76*(1+((AG76+IF(F76="백어택",20,0))/100)*(AI76/100-1))</f>
        <v>2203.7057560975609</v>
      </c>
      <c r="P76" s="108">
        <f t="shared" ref="P76:P79" si="114">V76*(1+((AG76+IF(F76="백어택",20,0))/100)*(AI76/100-1))</f>
        <v>2203.7057560975609</v>
      </c>
      <c r="Q76" s="108"/>
      <c r="R76" s="109"/>
      <c r="S76" s="99">
        <f t="shared" ref="S76:S96" si="115">SUM(T76:X76)</f>
        <v>4230.5795121951223</v>
      </c>
      <c r="T76" s="108">
        <f t="shared" ref="T76:T79" si="116">AL76*IF(H76="근접",AR76,1)*AY76*IF(F76="백어택",1.2,1)</f>
        <v>1190.9853658536585</v>
      </c>
      <c r="U76" s="108">
        <f t="shared" ref="U76:U79" si="117">AM76*IF(H76="근접",AR76,1)*AY76*IF(F76="백어택",1.2,1)</f>
        <v>1519.7970731707317</v>
      </c>
      <c r="V76" s="108">
        <f t="shared" ref="V76:V79" si="118">IF(AX76=1,0,AM76*IF(H76="근접",AR76,1)*AY76)*IF(F76="백어택",1.2,1)</f>
        <v>1519.7970731707317</v>
      </c>
      <c r="W76" s="108"/>
      <c r="X76" s="109"/>
      <c r="Y76" s="99">
        <f t="shared" si="8"/>
        <v>8461.1590243902447</v>
      </c>
      <c r="Z76" s="108">
        <f t="shared" ref="Z76:Z79" si="119">T76*IF(AY76=1,$D$26,$D$26+50)/100</f>
        <v>2381.9707317073171</v>
      </c>
      <c r="AA76" s="108">
        <f t="shared" ref="AA76:AA79" si="120">U76*AI76/100</f>
        <v>3039.5941463414633</v>
      </c>
      <c r="AB76" s="108">
        <f t="shared" ref="AB76:AB79" si="121">V76*AI76/100</f>
        <v>3039.5941463414633</v>
      </c>
      <c r="AC76" s="108"/>
      <c r="AD76" s="109"/>
      <c r="AE76" s="99">
        <f t="shared" ref="AE76:AE79" si="122">AO76</f>
        <v>24</v>
      </c>
      <c r="AF76" s="101"/>
      <c r="AG76" s="101">
        <f t="shared" ref="AG76:AG79" si="123">IF($D$25+AU76&gt;100,100,$D$25+AU76)</f>
        <v>45</v>
      </c>
      <c r="AH76" s="101">
        <f t="shared" ref="AH76:AH79" si="124">IF(AX76=1,AQ76,AQ76*1.4)</f>
        <v>729.4</v>
      </c>
      <c r="AI76" s="101">
        <f t="shared" ref="AI76:AI79" si="125">IF(AY76=1,$D$26,$D$26+50)*AW76</f>
        <v>200</v>
      </c>
      <c r="AJ76" s="108">
        <f t="shared" ref="AJ76:AJ79" si="126">10/6/AX76</f>
        <v>1.1111111111111112</v>
      </c>
      <c r="AK76" s="101">
        <f t="shared" si="70"/>
        <v>2258.9853658536585</v>
      </c>
      <c r="AL76" s="101">
        <f t="shared" ref="AL76:AL79" si="127">(IF(H76="근접",$D$29*(VLOOKUP(C76,$B$4:$AG$7,9,FALSE)+VLOOKUP(C76,$B$8:$AG$11,9,FALSE)*$D$22),$D$28*(VLOOKUP(C76,$B$4:$AG$7,9,FALSE)+VLOOKUP(C76,$B$8:$AG$11,9,FALSE)*$D$22)))*$D$27/100</f>
        <v>992.48780487804879</v>
      </c>
      <c r="AM76" s="101">
        <f t="shared" ref="AM76:AM79" si="128">(IF(H76="근접",$D$29*(VLOOKUP(C76,$B$4:$AG$7,10,FALSE)+VLOOKUP(C76,$B$8:$AG$11,10,FALSE)*$D$22),$D$28*(VLOOKUP(C76,$B$4:$AG$7,10,FALSE)+VLOOKUP(C76,$B$8:$AG$11,10,FALSE)*$D$22)))*$D$27/100</f>
        <v>1266.4975609756098</v>
      </c>
      <c r="AN76" s="101"/>
      <c r="AO76" s="1">
        <v>24</v>
      </c>
      <c r="AP76" s="2"/>
      <c r="AQ76" s="74">
        <f t="shared" ref="AQ76:AQ79" si="129">VLOOKUP(C76,$B$13:$AA$16,9,FALSE)</f>
        <v>521</v>
      </c>
      <c r="AR76" s="10">
        <v>1.2</v>
      </c>
      <c r="AS76" s="1"/>
      <c r="AT76" s="11"/>
      <c r="AU76" s="10">
        <v>25</v>
      </c>
      <c r="AV76" s="1"/>
      <c r="AW76" s="1">
        <v>1</v>
      </c>
      <c r="AX76" s="10">
        <v>1.5</v>
      </c>
      <c r="AY76" s="11">
        <v>1</v>
      </c>
      <c r="AZ76" s="2"/>
      <c r="BA76" s="2"/>
      <c r="BB76" s="2"/>
      <c r="BC76" s="1"/>
      <c r="BD76" s="111"/>
      <c r="BE76" s="2"/>
      <c r="BF76" s="3"/>
      <c r="BG76" s="2"/>
      <c r="BH76" s="2"/>
      <c r="BI76" s="1"/>
      <c r="BJ76" s="1"/>
      <c r="BK76" s="1"/>
    </row>
    <row r="77" spans="1:63" ht="12" customHeight="1">
      <c r="A77" s="1"/>
      <c r="B77" s="107">
        <v>17</v>
      </c>
      <c r="C77" s="31">
        <v>10</v>
      </c>
      <c r="D77" s="111" t="s">
        <v>8</v>
      </c>
      <c r="E77" s="2" t="s">
        <v>164</v>
      </c>
      <c r="F77" s="25"/>
      <c r="G77" s="2"/>
      <c r="H77" s="33" t="s">
        <v>80</v>
      </c>
      <c r="I77" s="99">
        <f t="shared" si="0"/>
        <v>141.99861788617889</v>
      </c>
      <c r="J77" s="101">
        <f t="shared" si="1"/>
        <v>30.391666666666666</v>
      </c>
      <c r="K77" s="101">
        <f t="shared" si="2"/>
        <v>51</v>
      </c>
      <c r="L77" s="74">
        <f t="shared" si="71"/>
        <v>23</v>
      </c>
      <c r="M77" s="99">
        <f t="shared" si="42"/>
        <v>3407.9668292682932</v>
      </c>
      <c r="N77" s="108">
        <f t="shared" si="112"/>
        <v>959.40487804878046</v>
      </c>
      <c r="O77" s="108">
        <f t="shared" si="113"/>
        <v>1224.2809756097563</v>
      </c>
      <c r="P77" s="108">
        <f t="shared" si="114"/>
        <v>1224.2809756097563</v>
      </c>
      <c r="Q77" s="108"/>
      <c r="R77" s="109"/>
      <c r="S77" s="99">
        <f t="shared" si="115"/>
        <v>2350.3219512195124</v>
      </c>
      <c r="T77" s="108">
        <f t="shared" si="116"/>
        <v>661.65853658536582</v>
      </c>
      <c r="U77" s="108">
        <f t="shared" si="117"/>
        <v>844.33170731707332</v>
      </c>
      <c r="V77" s="108">
        <f t="shared" si="118"/>
        <v>844.33170731707332</v>
      </c>
      <c r="W77" s="108"/>
      <c r="X77" s="109"/>
      <c r="Y77" s="99">
        <f t="shared" si="8"/>
        <v>4700.6439024390247</v>
      </c>
      <c r="Z77" s="108">
        <f t="shared" si="119"/>
        <v>1323.3170731707316</v>
      </c>
      <c r="AA77" s="108">
        <f t="shared" si="120"/>
        <v>1688.6634146341466</v>
      </c>
      <c r="AB77" s="108">
        <f t="shared" si="121"/>
        <v>1688.6634146341466</v>
      </c>
      <c r="AC77" s="108"/>
      <c r="AD77" s="109"/>
      <c r="AE77" s="99">
        <f t="shared" si="122"/>
        <v>24</v>
      </c>
      <c r="AF77" s="101"/>
      <c r="AG77" s="101">
        <f t="shared" si="123"/>
        <v>45</v>
      </c>
      <c r="AH77" s="101">
        <f t="shared" si="124"/>
        <v>729.4</v>
      </c>
      <c r="AI77" s="101">
        <f t="shared" si="125"/>
        <v>200</v>
      </c>
      <c r="AJ77" s="108">
        <f t="shared" si="126"/>
        <v>1.1111111111111112</v>
      </c>
      <c r="AK77" s="101">
        <f t="shared" si="70"/>
        <v>1505.990243902439</v>
      </c>
      <c r="AL77" s="101">
        <f t="shared" si="127"/>
        <v>661.65853658536582</v>
      </c>
      <c r="AM77" s="101">
        <f t="shared" si="128"/>
        <v>844.33170731707332</v>
      </c>
      <c r="AN77" s="101"/>
      <c r="AO77" s="1">
        <v>24</v>
      </c>
      <c r="AP77" s="2"/>
      <c r="AQ77" s="74">
        <f t="shared" si="129"/>
        <v>521</v>
      </c>
      <c r="AR77" s="10">
        <v>1.2</v>
      </c>
      <c r="AS77" s="1"/>
      <c r="AT77" s="11"/>
      <c r="AU77" s="10">
        <v>25</v>
      </c>
      <c r="AV77" s="1"/>
      <c r="AW77" s="1">
        <v>1</v>
      </c>
      <c r="AX77" s="10">
        <v>1.5</v>
      </c>
      <c r="AY77" s="11">
        <v>1</v>
      </c>
      <c r="AZ77" s="2"/>
      <c r="BA77" s="2"/>
      <c r="BB77" s="2"/>
      <c r="BC77" s="1"/>
      <c r="BD77" s="111"/>
      <c r="BE77" s="2"/>
      <c r="BF77" s="3"/>
      <c r="BG77" s="2"/>
      <c r="BH77" s="2"/>
      <c r="BI77" s="1"/>
      <c r="BJ77" s="1"/>
      <c r="BK77" s="1"/>
    </row>
    <row r="78" spans="1:63" ht="12" customHeight="1">
      <c r="A78" s="1"/>
      <c r="B78" s="107">
        <v>17</v>
      </c>
      <c r="C78" s="31">
        <v>10</v>
      </c>
      <c r="D78" s="111" t="s">
        <v>8</v>
      </c>
      <c r="E78" s="2" t="s">
        <v>164</v>
      </c>
      <c r="F78" s="25" t="s">
        <v>149</v>
      </c>
      <c r="G78" s="2"/>
      <c r="H78" s="33" t="s">
        <v>81</v>
      </c>
      <c r="I78" s="99">
        <f t="shared" si="0"/>
        <v>349.02280975609756</v>
      </c>
      <c r="J78" s="101">
        <f t="shared" si="1"/>
        <v>30.391666666666666</v>
      </c>
      <c r="K78" s="101">
        <f t="shared" si="2"/>
        <v>6</v>
      </c>
      <c r="L78" s="74">
        <f t="shared" si="71"/>
        <v>6</v>
      </c>
      <c r="M78" s="99">
        <f t="shared" si="42"/>
        <v>8376.5474341463414</v>
      </c>
      <c r="N78" s="108">
        <f t="shared" si="112"/>
        <v>2358.1510243902439</v>
      </c>
      <c r="O78" s="108">
        <f t="shared" si="113"/>
        <v>3009.1982048780483</v>
      </c>
      <c r="P78" s="108">
        <f t="shared" si="114"/>
        <v>3009.1982048780483</v>
      </c>
      <c r="Q78" s="108"/>
      <c r="R78" s="109"/>
      <c r="S78" s="99">
        <f t="shared" si="115"/>
        <v>5076.6954146341459</v>
      </c>
      <c r="T78" s="108">
        <f t="shared" si="116"/>
        <v>1429.1824390243903</v>
      </c>
      <c r="U78" s="108">
        <f t="shared" si="117"/>
        <v>1823.7564878048779</v>
      </c>
      <c r="V78" s="108">
        <f t="shared" si="118"/>
        <v>1823.7564878048779</v>
      </c>
      <c r="W78" s="108"/>
      <c r="X78" s="109"/>
      <c r="Y78" s="99">
        <f t="shared" si="8"/>
        <v>10153.390829268292</v>
      </c>
      <c r="Z78" s="108">
        <f t="shared" si="119"/>
        <v>2858.3648780487802</v>
      </c>
      <c r="AA78" s="108">
        <f t="shared" si="120"/>
        <v>3647.5129756097558</v>
      </c>
      <c r="AB78" s="108">
        <f t="shared" si="121"/>
        <v>3647.5129756097558</v>
      </c>
      <c r="AC78" s="108"/>
      <c r="AD78" s="109"/>
      <c r="AE78" s="99">
        <f t="shared" si="122"/>
        <v>24</v>
      </c>
      <c r="AF78" s="101"/>
      <c r="AG78" s="101">
        <f t="shared" si="123"/>
        <v>45</v>
      </c>
      <c r="AH78" s="101">
        <f t="shared" si="124"/>
        <v>729.4</v>
      </c>
      <c r="AI78" s="101">
        <f t="shared" si="125"/>
        <v>200</v>
      </c>
      <c r="AJ78" s="108">
        <f t="shared" si="126"/>
        <v>1.1111111111111112</v>
      </c>
      <c r="AK78" s="101">
        <f t="shared" si="70"/>
        <v>2258.9853658536585</v>
      </c>
      <c r="AL78" s="101">
        <f t="shared" si="127"/>
        <v>992.48780487804879</v>
      </c>
      <c r="AM78" s="101">
        <f t="shared" si="128"/>
        <v>1266.4975609756098</v>
      </c>
      <c r="AN78" s="101"/>
      <c r="AO78" s="1">
        <v>24</v>
      </c>
      <c r="AP78" s="2"/>
      <c r="AQ78" s="74">
        <f t="shared" si="129"/>
        <v>521</v>
      </c>
      <c r="AR78" s="10">
        <v>1.2</v>
      </c>
      <c r="AS78" s="1"/>
      <c r="AT78" s="11"/>
      <c r="AU78" s="10">
        <v>25</v>
      </c>
      <c r="AV78" s="1"/>
      <c r="AW78" s="1">
        <v>1</v>
      </c>
      <c r="AX78" s="10">
        <v>1.5</v>
      </c>
      <c r="AY78" s="11">
        <v>1</v>
      </c>
      <c r="AZ78" s="2"/>
      <c r="BA78" s="2"/>
      <c r="BB78" s="2"/>
      <c r="BC78" s="1"/>
      <c r="BD78" s="111"/>
      <c r="BE78" s="2"/>
      <c r="BF78" s="3"/>
      <c r="BG78" s="2"/>
      <c r="BH78" s="2"/>
      <c r="BI78" s="1"/>
      <c r="BJ78" s="1"/>
      <c r="BK78" s="1"/>
    </row>
    <row r="79" spans="1:63" ht="12" customHeight="1">
      <c r="A79" s="1"/>
      <c r="B79" s="107">
        <v>17</v>
      </c>
      <c r="C79" s="31">
        <v>10</v>
      </c>
      <c r="D79" s="111" t="s">
        <v>8</v>
      </c>
      <c r="E79" s="2" t="s">
        <v>164</v>
      </c>
      <c r="F79" s="25" t="s">
        <v>149</v>
      </c>
      <c r="G79" s="2"/>
      <c r="H79" s="33" t="s">
        <v>80</v>
      </c>
      <c r="I79" s="99">
        <f t="shared" si="0"/>
        <v>193.90156097560975</v>
      </c>
      <c r="J79" s="101">
        <f t="shared" si="1"/>
        <v>30.391666666666666</v>
      </c>
      <c r="K79" s="101">
        <f t="shared" si="2"/>
        <v>38</v>
      </c>
      <c r="L79" s="74">
        <f t="shared" si="71"/>
        <v>20</v>
      </c>
      <c r="M79" s="99">
        <f t="shared" si="42"/>
        <v>4653.6374634146341</v>
      </c>
      <c r="N79" s="108">
        <f t="shared" si="112"/>
        <v>1310.0839024390241</v>
      </c>
      <c r="O79" s="108">
        <f t="shared" si="113"/>
        <v>1671.7767804878051</v>
      </c>
      <c r="P79" s="108">
        <f t="shared" si="114"/>
        <v>1671.7767804878051</v>
      </c>
      <c r="Q79" s="108"/>
      <c r="R79" s="109"/>
      <c r="S79" s="99">
        <f t="shared" si="115"/>
        <v>2820.3863414634147</v>
      </c>
      <c r="T79" s="108">
        <f t="shared" si="116"/>
        <v>793.99024390243892</v>
      </c>
      <c r="U79" s="108">
        <f t="shared" si="117"/>
        <v>1013.198048780488</v>
      </c>
      <c r="V79" s="108">
        <f t="shared" si="118"/>
        <v>1013.198048780488</v>
      </c>
      <c r="W79" s="108"/>
      <c r="X79" s="109"/>
      <c r="Y79" s="99">
        <f t="shared" si="8"/>
        <v>5640.7726829268304</v>
      </c>
      <c r="Z79" s="108">
        <f t="shared" si="119"/>
        <v>1587.9804878048778</v>
      </c>
      <c r="AA79" s="108">
        <f t="shared" si="120"/>
        <v>2026.3960975609762</v>
      </c>
      <c r="AB79" s="108">
        <f t="shared" si="121"/>
        <v>2026.3960975609762</v>
      </c>
      <c r="AC79" s="108"/>
      <c r="AD79" s="109"/>
      <c r="AE79" s="99">
        <f t="shared" si="122"/>
        <v>24</v>
      </c>
      <c r="AF79" s="101"/>
      <c r="AG79" s="101">
        <f t="shared" si="123"/>
        <v>45</v>
      </c>
      <c r="AH79" s="101">
        <f t="shared" si="124"/>
        <v>729.4</v>
      </c>
      <c r="AI79" s="101">
        <f t="shared" si="125"/>
        <v>200</v>
      </c>
      <c r="AJ79" s="108">
        <f t="shared" si="126"/>
        <v>1.1111111111111112</v>
      </c>
      <c r="AK79" s="101">
        <f t="shared" si="70"/>
        <v>1505.990243902439</v>
      </c>
      <c r="AL79" s="101">
        <f t="shared" si="127"/>
        <v>661.65853658536582</v>
      </c>
      <c r="AM79" s="101">
        <f t="shared" si="128"/>
        <v>844.33170731707332</v>
      </c>
      <c r="AN79" s="101"/>
      <c r="AO79" s="1">
        <v>24</v>
      </c>
      <c r="AP79" s="2"/>
      <c r="AQ79" s="74">
        <f t="shared" si="129"/>
        <v>521</v>
      </c>
      <c r="AR79" s="10">
        <v>1.2</v>
      </c>
      <c r="AS79" s="1"/>
      <c r="AT79" s="11"/>
      <c r="AU79" s="10">
        <v>25</v>
      </c>
      <c r="AV79" s="1"/>
      <c r="AW79" s="1">
        <v>1</v>
      </c>
      <c r="AX79" s="10">
        <v>1.5</v>
      </c>
      <c r="AY79" s="11">
        <v>1</v>
      </c>
      <c r="AZ79" s="2"/>
      <c r="BA79" s="2"/>
      <c r="BB79" s="2"/>
      <c r="BC79" s="1"/>
      <c r="BD79" s="111"/>
      <c r="BE79" s="2"/>
      <c r="BF79" s="3"/>
      <c r="BG79" s="2"/>
      <c r="BH79" s="2"/>
      <c r="BI79" s="1"/>
      <c r="BJ79" s="1"/>
      <c r="BK79" s="1"/>
    </row>
    <row r="80" spans="1:63" ht="12" customHeight="1">
      <c r="A80" s="1"/>
      <c r="B80" s="107">
        <v>18</v>
      </c>
      <c r="C80" s="31">
        <v>10</v>
      </c>
      <c r="D80" s="111" t="s">
        <v>21</v>
      </c>
      <c r="E80" s="2" t="s">
        <v>164</v>
      </c>
      <c r="F80" s="25"/>
      <c r="G80" s="2"/>
      <c r="H80" s="33"/>
      <c r="I80" s="99">
        <f t="shared" si="0"/>
        <v>245.72760975609756</v>
      </c>
      <c r="J80" s="101">
        <f t="shared" si="1"/>
        <v>21.9</v>
      </c>
      <c r="K80" s="101">
        <f t="shared" si="2"/>
        <v>26</v>
      </c>
      <c r="L80" s="74">
        <f t="shared" si="71"/>
        <v>16</v>
      </c>
      <c r="M80" s="99">
        <f t="shared" si="42"/>
        <v>7371.828292682927</v>
      </c>
      <c r="N80" s="108">
        <f t="shared" ref="N80:N85" si="130">T80*(1+((AG80+IF(F80="백어택",20,0))/100)*(AI80/100-1))</f>
        <v>5160.2798048780487</v>
      </c>
      <c r="O80" s="108"/>
      <c r="P80" s="108"/>
      <c r="Q80" s="108"/>
      <c r="R80" s="109">
        <f t="shared" ref="R80:R85" si="131">X80*(1+(AG80/100)*(AI80/100-1))</f>
        <v>2211.5484878048778</v>
      </c>
      <c r="S80" s="99">
        <f t="shared" si="115"/>
        <v>6143.1902439024389</v>
      </c>
      <c r="T80" s="108">
        <f t="shared" ref="T80:T85" si="132">AL80*AW80*AX80*AY80*IF(F80="백어택",1.2,1)</f>
        <v>4300.2331707317071</v>
      </c>
      <c r="U80" s="108"/>
      <c r="V80" s="108"/>
      <c r="W80" s="108"/>
      <c r="X80" s="109">
        <f t="shared" ref="X80:X85" si="133">AL80*AS80+IF(AX80=1,AL80*AU80,AL80*AU80*2)</f>
        <v>1842.9570731707315</v>
      </c>
      <c r="Y80" s="99">
        <f t="shared" si="8"/>
        <v>12286.380487804878</v>
      </c>
      <c r="Z80" s="108">
        <f t="shared" ref="Z80:Z92" si="134">T80*$D$26/100</f>
        <v>8600.4663414634142</v>
      </c>
      <c r="AA80" s="108"/>
      <c r="AB80" s="108"/>
      <c r="AC80" s="108"/>
      <c r="AD80" s="109">
        <f t="shared" ref="AD80:AD91" si="135">X80*$D$26/100</f>
        <v>3685.914146341463</v>
      </c>
      <c r="AE80" s="99">
        <f t="shared" ref="AE80:AE85" si="136">AO80-AR80</f>
        <v>30</v>
      </c>
      <c r="AF80" s="101"/>
      <c r="AG80" s="101">
        <f t="shared" ref="AG80:AG85" si="137">IF($D$25&gt;100,100,$D$25)</f>
        <v>20</v>
      </c>
      <c r="AH80" s="101">
        <f t="shared" ref="AH80:AH95" si="138">AQ80</f>
        <v>657</v>
      </c>
      <c r="AI80" s="101">
        <f t="shared" ref="AI80:AI96" si="139">$D$26</f>
        <v>200</v>
      </c>
      <c r="AJ80" s="108">
        <f t="shared" ref="AJ80:AJ85" si="140">10/6</f>
        <v>1.6666666666666667</v>
      </c>
      <c r="AK80" s="101">
        <f t="shared" si="70"/>
        <v>3071.5951219512194</v>
      </c>
      <c r="AL80" s="101">
        <f t="shared" ref="AL80:AL85" si="141">(VLOOKUP(C80,$B$4:$AG$7,31,FALSE)+VLOOKUP(C80,$B$8:$AG$11,31,FALSE)*$D$22)*$D$27/100</f>
        <v>3071.5951219512194</v>
      </c>
      <c r="AM80" s="101"/>
      <c r="AN80" s="101"/>
      <c r="AO80" s="1">
        <v>36</v>
      </c>
      <c r="AP80" s="2"/>
      <c r="AQ80" s="74">
        <f t="shared" ref="AQ80:AQ85" si="142">VLOOKUP(C80,$B$13:$AG$16,31,FALSE)</f>
        <v>657</v>
      </c>
      <c r="AR80" s="10">
        <v>6</v>
      </c>
      <c r="AS80" s="1">
        <v>0</v>
      </c>
      <c r="AT80" s="11"/>
      <c r="AU80" s="10">
        <v>0.3</v>
      </c>
      <c r="AV80" s="1"/>
      <c r="AW80" s="1">
        <v>1</v>
      </c>
      <c r="AX80" s="10">
        <v>1.4</v>
      </c>
      <c r="AY80" s="11">
        <v>1</v>
      </c>
      <c r="AZ80" s="2"/>
      <c r="BA80" s="2"/>
      <c r="BB80" s="2"/>
      <c r="BC80" s="1"/>
      <c r="BD80" s="111"/>
      <c r="BE80" s="2"/>
      <c r="BF80" s="3"/>
      <c r="BG80" s="2"/>
      <c r="BH80" s="2"/>
      <c r="BI80" s="1"/>
      <c r="BJ80" s="1"/>
      <c r="BK80" s="1"/>
    </row>
    <row r="81" spans="1:63" ht="12" customHeight="1">
      <c r="A81" s="1"/>
      <c r="B81" s="107">
        <v>18</v>
      </c>
      <c r="C81" s="31">
        <v>10</v>
      </c>
      <c r="D81" s="111" t="s">
        <v>21</v>
      </c>
      <c r="E81" s="2" t="s">
        <v>164</v>
      </c>
      <c r="F81" s="25" t="s">
        <v>149</v>
      </c>
      <c r="G81" s="2"/>
      <c r="H81" s="33"/>
      <c r="I81" s="99">
        <f t="shared" si="0"/>
        <v>314.53134048780487</v>
      </c>
      <c r="J81" s="101">
        <f t="shared" si="1"/>
        <v>21.9</v>
      </c>
      <c r="K81" s="101">
        <f t="shared" si="2"/>
        <v>10</v>
      </c>
      <c r="L81" s="74">
        <f t="shared" si="71"/>
        <v>8</v>
      </c>
      <c r="M81" s="99">
        <f t="shared" si="42"/>
        <v>9435.9402146341454</v>
      </c>
      <c r="N81" s="108">
        <f t="shared" si="130"/>
        <v>7224.391726829268</v>
      </c>
      <c r="O81" s="108"/>
      <c r="P81" s="108"/>
      <c r="Q81" s="108"/>
      <c r="R81" s="109">
        <f t="shared" si="131"/>
        <v>2211.5484878048778</v>
      </c>
      <c r="S81" s="99">
        <f t="shared" si="115"/>
        <v>7003.2368780487805</v>
      </c>
      <c r="T81" s="108">
        <f t="shared" si="132"/>
        <v>5160.2798048780487</v>
      </c>
      <c r="U81" s="108"/>
      <c r="V81" s="108"/>
      <c r="W81" s="108"/>
      <c r="X81" s="109">
        <f t="shared" si="133"/>
        <v>1842.9570731707315</v>
      </c>
      <c r="Y81" s="99">
        <f t="shared" si="8"/>
        <v>14006.473756097561</v>
      </c>
      <c r="Z81" s="108">
        <f t="shared" si="134"/>
        <v>10320.559609756097</v>
      </c>
      <c r="AA81" s="108"/>
      <c r="AB81" s="108"/>
      <c r="AC81" s="108"/>
      <c r="AD81" s="109">
        <f t="shared" si="135"/>
        <v>3685.914146341463</v>
      </c>
      <c r="AE81" s="99">
        <f t="shared" si="136"/>
        <v>30</v>
      </c>
      <c r="AF81" s="101"/>
      <c r="AG81" s="101">
        <f t="shared" si="137"/>
        <v>20</v>
      </c>
      <c r="AH81" s="101">
        <f t="shared" si="138"/>
        <v>657</v>
      </c>
      <c r="AI81" s="101">
        <f t="shared" si="139"/>
        <v>200</v>
      </c>
      <c r="AJ81" s="108">
        <f t="shared" si="140"/>
        <v>1.6666666666666667</v>
      </c>
      <c r="AK81" s="101">
        <f t="shared" si="70"/>
        <v>3071.5951219512194</v>
      </c>
      <c r="AL81" s="101">
        <f t="shared" si="141"/>
        <v>3071.5951219512194</v>
      </c>
      <c r="AM81" s="101"/>
      <c r="AN81" s="101"/>
      <c r="AO81" s="1">
        <v>36</v>
      </c>
      <c r="AP81" s="2"/>
      <c r="AQ81" s="74">
        <f t="shared" si="142"/>
        <v>657</v>
      </c>
      <c r="AR81" s="10">
        <v>6</v>
      </c>
      <c r="AS81" s="1">
        <v>0</v>
      </c>
      <c r="AT81" s="11"/>
      <c r="AU81" s="10">
        <v>0.3</v>
      </c>
      <c r="AV81" s="1"/>
      <c r="AW81" s="1">
        <v>1</v>
      </c>
      <c r="AX81" s="10">
        <v>1.4</v>
      </c>
      <c r="AY81" s="11">
        <v>1</v>
      </c>
      <c r="AZ81" s="2"/>
      <c r="BA81" s="2"/>
      <c r="BB81" s="2"/>
      <c r="BC81" s="1"/>
      <c r="BD81" s="113"/>
      <c r="BE81" s="2"/>
      <c r="BF81" s="2"/>
      <c r="BG81" s="2"/>
      <c r="BH81" s="2"/>
      <c r="BI81" s="1"/>
      <c r="BJ81" s="1"/>
      <c r="BK81" s="1"/>
    </row>
    <row r="82" spans="1:63" ht="12" customHeight="1">
      <c r="A82" s="1"/>
      <c r="B82" s="107">
        <v>19</v>
      </c>
      <c r="C82" s="31">
        <v>10</v>
      </c>
      <c r="D82" s="111" t="s">
        <v>21</v>
      </c>
      <c r="E82" s="2" t="s">
        <v>157</v>
      </c>
      <c r="F82" s="25"/>
      <c r="G82" s="2" t="s">
        <v>177</v>
      </c>
      <c r="H82" s="33"/>
      <c r="I82" s="99">
        <f t="shared" si="0"/>
        <v>294.87313170731704</v>
      </c>
      <c r="J82" s="101">
        <f t="shared" si="1"/>
        <v>21.9</v>
      </c>
      <c r="K82" s="101">
        <f t="shared" si="2"/>
        <v>14</v>
      </c>
      <c r="L82" s="74">
        <f t="shared" si="71"/>
        <v>10</v>
      </c>
      <c r="M82" s="99">
        <f t="shared" si="42"/>
        <v>8846.1939512195113</v>
      </c>
      <c r="N82" s="108">
        <f t="shared" si="130"/>
        <v>8846.1939512195113</v>
      </c>
      <c r="O82" s="108"/>
      <c r="P82" s="108"/>
      <c r="Q82" s="108"/>
      <c r="R82" s="109">
        <f t="shared" si="131"/>
        <v>0</v>
      </c>
      <c r="S82" s="99">
        <f t="shared" si="115"/>
        <v>7371.828292682927</v>
      </c>
      <c r="T82" s="108">
        <f t="shared" si="132"/>
        <v>7371.828292682927</v>
      </c>
      <c r="U82" s="108"/>
      <c r="V82" s="108"/>
      <c r="W82" s="108"/>
      <c r="X82" s="109">
        <f t="shared" si="133"/>
        <v>0</v>
      </c>
      <c r="Y82" s="99">
        <f t="shared" si="8"/>
        <v>14743.656585365856</v>
      </c>
      <c r="Z82" s="108">
        <f t="shared" si="134"/>
        <v>14743.656585365856</v>
      </c>
      <c r="AA82" s="108"/>
      <c r="AB82" s="108"/>
      <c r="AC82" s="108"/>
      <c r="AD82" s="109">
        <f t="shared" si="135"/>
        <v>0</v>
      </c>
      <c r="AE82" s="99">
        <f t="shared" si="136"/>
        <v>30</v>
      </c>
      <c r="AF82" s="101"/>
      <c r="AG82" s="101">
        <f t="shared" si="137"/>
        <v>20</v>
      </c>
      <c r="AH82" s="101">
        <f t="shared" si="138"/>
        <v>657</v>
      </c>
      <c r="AI82" s="101">
        <f t="shared" si="139"/>
        <v>200</v>
      </c>
      <c r="AJ82" s="108">
        <f t="shared" si="140"/>
        <v>1.6666666666666667</v>
      </c>
      <c r="AK82" s="101">
        <f t="shared" si="70"/>
        <v>3071.5951219512194</v>
      </c>
      <c r="AL82" s="101">
        <f t="shared" si="141"/>
        <v>3071.5951219512194</v>
      </c>
      <c r="AM82" s="101"/>
      <c r="AN82" s="101"/>
      <c r="AO82" s="1">
        <v>36</v>
      </c>
      <c r="AP82" s="2"/>
      <c r="AQ82" s="74">
        <f t="shared" si="142"/>
        <v>657</v>
      </c>
      <c r="AR82" s="10">
        <v>6</v>
      </c>
      <c r="AS82" s="1">
        <v>0</v>
      </c>
      <c r="AT82" s="11"/>
      <c r="AU82" s="10">
        <v>0</v>
      </c>
      <c r="AV82" s="1"/>
      <c r="AW82" s="1">
        <v>1.5</v>
      </c>
      <c r="AX82" s="10">
        <v>1</v>
      </c>
      <c r="AY82" s="11">
        <v>1.6</v>
      </c>
      <c r="AZ82" s="2"/>
      <c r="BA82" s="2"/>
      <c r="BB82" s="2"/>
      <c r="BC82" s="1"/>
      <c r="BD82" s="113"/>
      <c r="BE82" s="2"/>
      <c r="BF82" s="1"/>
      <c r="BG82" s="2"/>
      <c r="BH82" s="2"/>
      <c r="BI82" s="1"/>
      <c r="BJ82" s="1"/>
      <c r="BK82" s="1"/>
    </row>
    <row r="83" spans="1:63" ht="12" customHeight="1">
      <c r="A83" s="1"/>
      <c r="B83" s="107">
        <v>19</v>
      </c>
      <c r="C83" s="31">
        <v>10</v>
      </c>
      <c r="D83" s="111" t="s">
        <v>21</v>
      </c>
      <c r="E83" s="2" t="s">
        <v>157</v>
      </c>
      <c r="F83" s="25"/>
      <c r="G83" s="2" t="s">
        <v>178</v>
      </c>
      <c r="H83" s="33"/>
      <c r="I83" s="99">
        <f t="shared" si="0"/>
        <v>196.58208780487806</v>
      </c>
      <c r="J83" s="101">
        <f t="shared" si="1"/>
        <v>21.9</v>
      </c>
      <c r="K83" s="101">
        <f t="shared" si="2"/>
        <v>37</v>
      </c>
      <c r="L83" s="74">
        <f t="shared" si="71"/>
        <v>19</v>
      </c>
      <c r="M83" s="99">
        <f t="shared" si="42"/>
        <v>5897.4626341463418</v>
      </c>
      <c r="N83" s="108">
        <f t="shared" si="130"/>
        <v>5897.4626341463418</v>
      </c>
      <c r="O83" s="108"/>
      <c r="P83" s="108"/>
      <c r="Q83" s="108"/>
      <c r="R83" s="109">
        <f t="shared" si="131"/>
        <v>0</v>
      </c>
      <c r="S83" s="99">
        <f t="shared" si="115"/>
        <v>4914.5521951219516</v>
      </c>
      <c r="T83" s="108">
        <f t="shared" si="132"/>
        <v>4914.5521951219516</v>
      </c>
      <c r="U83" s="108"/>
      <c r="V83" s="108"/>
      <c r="W83" s="108"/>
      <c r="X83" s="109">
        <f t="shared" si="133"/>
        <v>0</v>
      </c>
      <c r="Y83" s="99">
        <f t="shared" si="8"/>
        <v>9829.1043902439033</v>
      </c>
      <c r="Z83" s="108">
        <f t="shared" si="134"/>
        <v>9829.1043902439033</v>
      </c>
      <c r="AA83" s="108"/>
      <c r="AB83" s="108"/>
      <c r="AC83" s="108"/>
      <c r="AD83" s="109">
        <f t="shared" si="135"/>
        <v>0</v>
      </c>
      <c r="AE83" s="99">
        <f t="shared" si="136"/>
        <v>30</v>
      </c>
      <c r="AF83" s="101"/>
      <c r="AG83" s="101">
        <f t="shared" si="137"/>
        <v>20</v>
      </c>
      <c r="AH83" s="101">
        <f t="shared" si="138"/>
        <v>657</v>
      </c>
      <c r="AI83" s="101">
        <f t="shared" si="139"/>
        <v>200</v>
      </c>
      <c r="AJ83" s="108">
        <f t="shared" si="140"/>
        <v>1.6666666666666667</v>
      </c>
      <c r="AK83" s="101">
        <f t="shared" si="70"/>
        <v>3071.5951219512194</v>
      </c>
      <c r="AL83" s="101">
        <f t="shared" si="141"/>
        <v>3071.5951219512194</v>
      </c>
      <c r="AM83" s="101"/>
      <c r="AN83" s="101"/>
      <c r="AO83" s="1">
        <v>36</v>
      </c>
      <c r="AP83" s="2"/>
      <c r="AQ83" s="74">
        <f t="shared" si="142"/>
        <v>657</v>
      </c>
      <c r="AR83" s="10">
        <v>6</v>
      </c>
      <c r="AS83" s="1">
        <v>0</v>
      </c>
      <c r="AT83" s="11"/>
      <c r="AU83" s="10">
        <v>0</v>
      </c>
      <c r="AV83" s="1"/>
      <c r="AW83" s="1">
        <v>1</v>
      </c>
      <c r="AX83" s="10">
        <v>1</v>
      </c>
      <c r="AY83" s="11">
        <v>1.6</v>
      </c>
      <c r="AZ83" s="2"/>
      <c r="BA83" s="2"/>
      <c r="BB83" s="2"/>
      <c r="BC83" s="1"/>
      <c r="BD83" s="113"/>
      <c r="BE83" s="2"/>
      <c r="BF83" s="1"/>
      <c r="BG83" s="2"/>
      <c r="BH83" s="2"/>
      <c r="BI83" s="1"/>
      <c r="BJ83" s="1"/>
      <c r="BK83" s="1"/>
    </row>
    <row r="84" spans="1:63" ht="12" customHeight="1">
      <c r="A84" s="1"/>
      <c r="B84" s="107">
        <v>19</v>
      </c>
      <c r="C84" s="31">
        <v>10</v>
      </c>
      <c r="D84" s="111" t="s">
        <v>21</v>
      </c>
      <c r="E84" s="2" t="s">
        <v>157</v>
      </c>
      <c r="F84" s="25" t="s">
        <v>149</v>
      </c>
      <c r="G84" s="2" t="s">
        <v>177</v>
      </c>
      <c r="H84" s="33"/>
      <c r="I84" s="99">
        <f t="shared" si="0"/>
        <v>412.82238439024388</v>
      </c>
      <c r="J84" s="101">
        <f t="shared" si="1"/>
        <v>21.9</v>
      </c>
      <c r="K84" s="101">
        <f t="shared" si="2"/>
        <v>3</v>
      </c>
      <c r="L84" s="74">
        <f t="shared" si="71"/>
        <v>3</v>
      </c>
      <c r="M84" s="99">
        <f t="shared" si="42"/>
        <v>12384.671531707316</v>
      </c>
      <c r="N84" s="108">
        <f t="shared" si="130"/>
        <v>12384.671531707316</v>
      </c>
      <c r="O84" s="108"/>
      <c r="P84" s="108"/>
      <c r="Q84" s="108"/>
      <c r="R84" s="109">
        <f t="shared" si="131"/>
        <v>0</v>
      </c>
      <c r="S84" s="99">
        <f t="shared" si="115"/>
        <v>8846.1939512195113</v>
      </c>
      <c r="T84" s="108">
        <f t="shared" si="132"/>
        <v>8846.1939512195113</v>
      </c>
      <c r="U84" s="108"/>
      <c r="V84" s="108"/>
      <c r="W84" s="108"/>
      <c r="X84" s="109">
        <f t="shared" si="133"/>
        <v>0</v>
      </c>
      <c r="Y84" s="99">
        <f t="shared" si="8"/>
        <v>17692.387902439023</v>
      </c>
      <c r="Z84" s="108">
        <f t="shared" si="134"/>
        <v>17692.387902439023</v>
      </c>
      <c r="AA84" s="108"/>
      <c r="AB84" s="108"/>
      <c r="AC84" s="108"/>
      <c r="AD84" s="109">
        <f t="shared" si="135"/>
        <v>0</v>
      </c>
      <c r="AE84" s="99">
        <f t="shared" si="136"/>
        <v>30</v>
      </c>
      <c r="AF84" s="101"/>
      <c r="AG84" s="101">
        <f t="shared" si="137"/>
        <v>20</v>
      </c>
      <c r="AH84" s="101">
        <f t="shared" si="138"/>
        <v>657</v>
      </c>
      <c r="AI84" s="101">
        <f t="shared" si="139"/>
        <v>200</v>
      </c>
      <c r="AJ84" s="108">
        <f t="shared" si="140"/>
        <v>1.6666666666666667</v>
      </c>
      <c r="AK84" s="101">
        <f t="shared" si="70"/>
        <v>3071.5951219512194</v>
      </c>
      <c r="AL84" s="101">
        <f t="shared" si="141"/>
        <v>3071.5951219512194</v>
      </c>
      <c r="AM84" s="101"/>
      <c r="AN84" s="101"/>
      <c r="AO84" s="1">
        <v>36</v>
      </c>
      <c r="AP84" s="2"/>
      <c r="AQ84" s="74">
        <f t="shared" si="142"/>
        <v>657</v>
      </c>
      <c r="AR84" s="10">
        <v>6</v>
      </c>
      <c r="AS84" s="1">
        <v>0</v>
      </c>
      <c r="AT84" s="11"/>
      <c r="AU84" s="10">
        <v>0</v>
      </c>
      <c r="AV84" s="1"/>
      <c r="AW84" s="1">
        <v>1.5</v>
      </c>
      <c r="AX84" s="10">
        <v>1</v>
      </c>
      <c r="AY84" s="11">
        <v>1.6</v>
      </c>
      <c r="AZ84" s="2"/>
      <c r="BA84" s="2"/>
      <c r="BB84" s="2"/>
      <c r="BC84" s="1"/>
      <c r="BD84" s="113"/>
      <c r="BE84" s="2"/>
      <c r="BF84" s="2"/>
      <c r="BG84" s="2"/>
      <c r="BH84" s="2"/>
      <c r="BI84" s="1"/>
      <c r="BJ84" s="1"/>
      <c r="BK84" s="1"/>
    </row>
    <row r="85" spans="1:63" ht="12" customHeight="1">
      <c r="A85" s="1"/>
      <c r="B85" s="107">
        <v>19</v>
      </c>
      <c r="C85" s="31">
        <v>10</v>
      </c>
      <c r="D85" s="111" t="s">
        <v>21</v>
      </c>
      <c r="E85" s="2" t="s">
        <v>157</v>
      </c>
      <c r="F85" s="25" t="s">
        <v>149</v>
      </c>
      <c r="G85" s="2" t="s">
        <v>178</v>
      </c>
      <c r="H85" s="33"/>
      <c r="I85" s="99">
        <f t="shared" si="0"/>
        <v>275.21492292682922</v>
      </c>
      <c r="J85" s="101">
        <f t="shared" si="1"/>
        <v>21.9</v>
      </c>
      <c r="K85" s="101">
        <f t="shared" si="2"/>
        <v>19</v>
      </c>
      <c r="L85" s="74">
        <f t="shared" si="71"/>
        <v>12</v>
      </c>
      <c r="M85" s="99">
        <f t="shared" si="42"/>
        <v>8256.4476878048772</v>
      </c>
      <c r="N85" s="108">
        <f t="shared" si="130"/>
        <v>8256.4476878048772</v>
      </c>
      <c r="O85" s="108"/>
      <c r="P85" s="108"/>
      <c r="Q85" s="108"/>
      <c r="R85" s="109">
        <f t="shared" si="131"/>
        <v>0</v>
      </c>
      <c r="S85" s="99">
        <f t="shared" si="115"/>
        <v>5897.4626341463418</v>
      </c>
      <c r="T85" s="108">
        <f t="shared" si="132"/>
        <v>5897.4626341463418</v>
      </c>
      <c r="U85" s="108"/>
      <c r="V85" s="108"/>
      <c r="W85" s="108"/>
      <c r="X85" s="109">
        <f t="shared" si="133"/>
        <v>0</v>
      </c>
      <c r="Y85" s="99">
        <f t="shared" si="8"/>
        <v>11794.925268292684</v>
      </c>
      <c r="Z85" s="108">
        <f t="shared" si="134"/>
        <v>11794.925268292684</v>
      </c>
      <c r="AA85" s="108"/>
      <c r="AB85" s="108"/>
      <c r="AC85" s="108"/>
      <c r="AD85" s="109">
        <f t="shared" si="135"/>
        <v>0</v>
      </c>
      <c r="AE85" s="99">
        <f t="shared" si="136"/>
        <v>30</v>
      </c>
      <c r="AF85" s="101"/>
      <c r="AG85" s="101">
        <f t="shared" si="137"/>
        <v>20</v>
      </c>
      <c r="AH85" s="101">
        <f t="shared" si="138"/>
        <v>657</v>
      </c>
      <c r="AI85" s="101">
        <f t="shared" si="139"/>
        <v>200</v>
      </c>
      <c r="AJ85" s="108">
        <f t="shared" si="140"/>
        <v>1.6666666666666667</v>
      </c>
      <c r="AK85" s="101">
        <f t="shared" si="70"/>
        <v>3071.5951219512194</v>
      </c>
      <c r="AL85" s="101">
        <f t="shared" si="141"/>
        <v>3071.5951219512194</v>
      </c>
      <c r="AM85" s="101"/>
      <c r="AN85" s="101"/>
      <c r="AO85" s="1">
        <v>36</v>
      </c>
      <c r="AP85" s="2"/>
      <c r="AQ85" s="74">
        <f t="shared" si="142"/>
        <v>657</v>
      </c>
      <c r="AR85" s="10">
        <v>6</v>
      </c>
      <c r="AS85" s="1">
        <v>0</v>
      </c>
      <c r="AT85" s="11"/>
      <c r="AU85" s="10">
        <v>0</v>
      </c>
      <c r="AV85" s="1"/>
      <c r="AW85" s="1">
        <v>1</v>
      </c>
      <c r="AX85" s="10">
        <v>1</v>
      </c>
      <c r="AY85" s="11">
        <v>1.6</v>
      </c>
      <c r="AZ85" s="2"/>
      <c r="BA85" s="2"/>
      <c r="BB85" s="2"/>
      <c r="BC85" s="1"/>
      <c r="BD85" s="113"/>
      <c r="BE85" s="2"/>
      <c r="BF85" s="2"/>
      <c r="BG85" s="2"/>
      <c r="BH85" s="2"/>
      <c r="BI85" s="1"/>
      <c r="BJ85" s="1"/>
      <c r="BK85" s="1"/>
    </row>
    <row r="86" spans="1:63" ht="12" customHeight="1">
      <c r="A86" s="1"/>
      <c r="B86" s="107">
        <v>20</v>
      </c>
      <c r="C86" s="31">
        <v>10</v>
      </c>
      <c r="D86" s="113" t="s">
        <v>12</v>
      </c>
      <c r="E86" s="2" t="s">
        <v>92</v>
      </c>
      <c r="F86" s="25"/>
      <c r="G86" s="2"/>
      <c r="H86" s="50"/>
      <c r="I86" s="99">
        <f t="shared" si="0"/>
        <v>171.29756097560974</v>
      </c>
      <c r="J86" s="101">
        <f t="shared" si="1"/>
        <v>21.708333333333332</v>
      </c>
      <c r="K86" s="101">
        <f t="shared" si="2"/>
        <v>43</v>
      </c>
      <c r="L86" s="74">
        <f t="shared" ref="L86:L96" si="143">RANK(I86,$I$86:$I$96)</f>
        <v>8</v>
      </c>
      <c r="M86" s="99">
        <f t="shared" si="42"/>
        <v>4111.141463414634</v>
      </c>
      <c r="N86" s="108">
        <f t="shared" ref="N86:N91" si="144">T86*(1+(AG86/100)*(AI86/100-1))</f>
        <v>2569.4634146341464</v>
      </c>
      <c r="O86" s="108">
        <f t="shared" ref="O86:O91" si="145">U86*(1+($D$25/100)*(AI86/100-1))</f>
        <v>0</v>
      </c>
      <c r="P86" s="108"/>
      <c r="Q86" s="108"/>
      <c r="R86" s="109">
        <f t="shared" ref="R86:R91" si="146">X86*(1+($D$25/100)*(AI86/100-1))</f>
        <v>1541.6780487804879</v>
      </c>
      <c r="S86" s="99">
        <f t="shared" si="115"/>
        <v>3425.9512195121952</v>
      </c>
      <c r="T86" s="108">
        <f t="shared" ref="T86:T88" si="147">AL86*AU86*AW86</f>
        <v>2141.2195121951222</v>
      </c>
      <c r="U86" s="108">
        <f t="shared" ref="U86:U88" si="148">AL86*AU86*AW86*AX86</f>
        <v>0</v>
      </c>
      <c r="V86" s="108"/>
      <c r="W86" s="108"/>
      <c r="X86" s="109">
        <f t="shared" ref="X86:X88" si="149">AL86*AY86</f>
        <v>1284.7317073170732</v>
      </c>
      <c r="Y86" s="99">
        <f t="shared" si="8"/>
        <v>6851.9024390243903</v>
      </c>
      <c r="Z86" s="108">
        <f t="shared" si="134"/>
        <v>4282.4390243902444</v>
      </c>
      <c r="AA86" s="108">
        <f t="shared" ref="AA86:AA92" si="150">U86*$D$26/100</f>
        <v>0</v>
      </c>
      <c r="AB86" s="108"/>
      <c r="AC86" s="108"/>
      <c r="AD86" s="109">
        <f t="shared" si="135"/>
        <v>2569.4634146341464</v>
      </c>
      <c r="AE86" s="99">
        <f t="shared" ref="AE86:AE96" si="151">AO86</f>
        <v>24</v>
      </c>
      <c r="AF86" s="101"/>
      <c r="AG86" s="101">
        <f t="shared" ref="AG86:AG88" si="152">IF($D$25+AV86&gt;100,100,$D$25+AV86)</f>
        <v>20</v>
      </c>
      <c r="AH86" s="101">
        <f t="shared" si="138"/>
        <v>521</v>
      </c>
      <c r="AI86" s="101">
        <f t="shared" si="139"/>
        <v>200</v>
      </c>
      <c r="AJ86" s="108">
        <f t="shared" ref="AJ86:AJ88" si="153">10/7</f>
        <v>1.4285714285714286</v>
      </c>
      <c r="AK86" s="101">
        <f t="shared" si="70"/>
        <v>2141.2195121951222</v>
      </c>
      <c r="AL86" s="101">
        <f t="shared" ref="AL86:AL88" si="154">(VLOOKUP(C86,$B$4:$AG$7,16,FALSE)+VLOOKUP(C86,$B$8:$AG$11,16,FALSE)*$D$22)*$D$27/100</f>
        <v>2141.2195121951222</v>
      </c>
      <c r="AM86" s="101"/>
      <c r="AN86" s="101"/>
      <c r="AO86" s="1">
        <v>24</v>
      </c>
      <c r="AP86" s="2"/>
      <c r="AQ86" s="74">
        <f t="shared" ref="AQ86:AQ88" si="155">VLOOKUP(C86,$B$13:$AA$16,16,FALSE)</f>
        <v>521</v>
      </c>
      <c r="AR86" s="10"/>
      <c r="AS86" s="1"/>
      <c r="AT86" s="11"/>
      <c r="AU86" s="10">
        <v>1</v>
      </c>
      <c r="AV86" s="1">
        <v>0</v>
      </c>
      <c r="AW86" s="1">
        <v>1</v>
      </c>
      <c r="AX86" s="10">
        <v>0</v>
      </c>
      <c r="AY86" s="11">
        <v>0.6</v>
      </c>
      <c r="AZ86" s="2"/>
      <c r="BA86" s="2"/>
      <c r="BB86" s="2"/>
      <c r="BC86" s="1"/>
      <c r="BD86" s="1"/>
      <c r="BE86" s="1"/>
      <c r="BF86" s="1"/>
      <c r="BG86" s="1"/>
      <c r="BH86" s="1"/>
      <c r="BI86" s="1"/>
      <c r="BJ86" s="1"/>
      <c r="BK86" s="1"/>
    </row>
    <row r="87" spans="1:63" ht="12" customHeight="1">
      <c r="A87" s="2"/>
      <c r="B87" s="107">
        <v>21</v>
      </c>
      <c r="C87" s="31">
        <v>10</v>
      </c>
      <c r="D87" s="113" t="s">
        <v>12</v>
      </c>
      <c r="E87" s="2" t="s">
        <v>138</v>
      </c>
      <c r="F87" s="31"/>
      <c r="G87" s="2" t="s">
        <v>180</v>
      </c>
      <c r="H87" s="33"/>
      <c r="I87" s="99">
        <f t="shared" si="0"/>
        <v>208.7689024390244</v>
      </c>
      <c r="J87" s="101">
        <f t="shared" si="1"/>
        <v>21.708333333333332</v>
      </c>
      <c r="K87" s="101">
        <f t="shared" si="2"/>
        <v>33</v>
      </c>
      <c r="L87" s="74">
        <f t="shared" si="143"/>
        <v>5</v>
      </c>
      <c r="M87" s="99">
        <f t="shared" si="42"/>
        <v>5010.4536585365859</v>
      </c>
      <c r="N87" s="108">
        <f t="shared" si="144"/>
        <v>3340.3024390243904</v>
      </c>
      <c r="O87" s="108">
        <f t="shared" si="145"/>
        <v>1670.1512195121952</v>
      </c>
      <c r="P87" s="108"/>
      <c r="Q87" s="108"/>
      <c r="R87" s="109">
        <f t="shared" si="146"/>
        <v>0</v>
      </c>
      <c r="S87" s="99">
        <f t="shared" si="115"/>
        <v>4175.3780487804888</v>
      </c>
      <c r="T87" s="108">
        <f t="shared" si="147"/>
        <v>2783.5853658536589</v>
      </c>
      <c r="U87" s="108">
        <f t="shared" si="148"/>
        <v>1391.7926829268295</v>
      </c>
      <c r="V87" s="108"/>
      <c r="W87" s="108"/>
      <c r="X87" s="109">
        <f t="shared" si="149"/>
        <v>0</v>
      </c>
      <c r="Y87" s="99">
        <f t="shared" si="8"/>
        <v>8350.7560975609777</v>
      </c>
      <c r="Z87" s="108">
        <f t="shared" si="134"/>
        <v>5567.1707317073178</v>
      </c>
      <c r="AA87" s="108">
        <f t="shared" si="150"/>
        <v>2783.5853658536589</v>
      </c>
      <c r="AB87" s="108"/>
      <c r="AC87" s="108"/>
      <c r="AD87" s="109">
        <f t="shared" si="135"/>
        <v>0</v>
      </c>
      <c r="AE87" s="99">
        <f t="shared" si="151"/>
        <v>24</v>
      </c>
      <c r="AF87" s="101"/>
      <c r="AG87" s="101">
        <f t="shared" si="152"/>
        <v>20</v>
      </c>
      <c r="AH87" s="101">
        <f t="shared" si="138"/>
        <v>521</v>
      </c>
      <c r="AI87" s="101">
        <f t="shared" si="139"/>
        <v>200</v>
      </c>
      <c r="AJ87" s="108">
        <f t="shared" si="153"/>
        <v>1.4285714285714286</v>
      </c>
      <c r="AK87" s="101">
        <f t="shared" si="70"/>
        <v>2141.2195121951222</v>
      </c>
      <c r="AL87" s="101">
        <f t="shared" si="154"/>
        <v>2141.2195121951222</v>
      </c>
      <c r="AM87" s="101"/>
      <c r="AN87" s="101"/>
      <c r="AO87" s="1">
        <v>24</v>
      </c>
      <c r="AP87" s="2"/>
      <c r="AQ87" s="74">
        <f t="shared" si="155"/>
        <v>521</v>
      </c>
      <c r="AR87" s="10"/>
      <c r="AS87" s="1"/>
      <c r="AT87" s="11"/>
      <c r="AU87" s="10">
        <v>1.3</v>
      </c>
      <c r="AV87" s="1">
        <v>0</v>
      </c>
      <c r="AW87" s="1">
        <v>1</v>
      </c>
      <c r="AX87" s="10">
        <v>0.5</v>
      </c>
      <c r="AY87" s="11">
        <v>0</v>
      </c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1"/>
    </row>
    <row r="88" spans="1:63" ht="12" customHeight="1">
      <c r="A88" s="2"/>
      <c r="B88" s="107">
        <v>21</v>
      </c>
      <c r="C88" s="31">
        <v>10</v>
      </c>
      <c r="D88" s="113" t="s">
        <v>12</v>
      </c>
      <c r="E88" s="2" t="s">
        <v>138</v>
      </c>
      <c r="F88" s="31"/>
      <c r="G88" s="2" t="s">
        <v>181</v>
      </c>
      <c r="H88" s="33"/>
      <c r="I88" s="99">
        <f t="shared" si="0"/>
        <v>160.59146341463415</v>
      </c>
      <c r="J88" s="101">
        <f t="shared" si="1"/>
        <v>21.708333333333332</v>
      </c>
      <c r="K88" s="101">
        <f t="shared" si="2"/>
        <v>45</v>
      </c>
      <c r="L88" s="74">
        <f t="shared" si="143"/>
        <v>9</v>
      </c>
      <c r="M88" s="99">
        <f t="shared" si="42"/>
        <v>3854.1951219512193</v>
      </c>
      <c r="N88" s="108">
        <f t="shared" si="144"/>
        <v>2569.4634146341464</v>
      </c>
      <c r="O88" s="108">
        <f t="shared" si="145"/>
        <v>1284.7317073170732</v>
      </c>
      <c r="P88" s="108"/>
      <c r="Q88" s="108"/>
      <c r="R88" s="109">
        <f t="shared" si="146"/>
        <v>0</v>
      </c>
      <c r="S88" s="99">
        <f t="shared" si="115"/>
        <v>3211.8292682926831</v>
      </c>
      <c r="T88" s="108">
        <f t="shared" si="147"/>
        <v>2141.2195121951222</v>
      </c>
      <c r="U88" s="108">
        <f t="shared" si="148"/>
        <v>1070.6097560975611</v>
      </c>
      <c r="V88" s="108"/>
      <c r="W88" s="108"/>
      <c r="X88" s="109">
        <f t="shared" si="149"/>
        <v>0</v>
      </c>
      <c r="Y88" s="99">
        <f t="shared" si="8"/>
        <v>6423.6585365853662</v>
      </c>
      <c r="Z88" s="108">
        <f t="shared" si="134"/>
        <v>4282.4390243902444</v>
      </c>
      <c r="AA88" s="108">
        <f t="shared" si="150"/>
        <v>2141.2195121951222</v>
      </c>
      <c r="AB88" s="108"/>
      <c r="AC88" s="108"/>
      <c r="AD88" s="109">
        <f t="shared" si="135"/>
        <v>0</v>
      </c>
      <c r="AE88" s="99">
        <f t="shared" si="151"/>
        <v>24</v>
      </c>
      <c r="AF88" s="101"/>
      <c r="AG88" s="101">
        <f t="shared" si="152"/>
        <v>20</v>
      </c>
      <c r="AH88" s="101">
        <f t="shared" si="138"/>
        <v>521</v>
      </c>
      <c r="AI88" s="101">
        <f t="shared" si="139"/>
        <v>200</v>
      </c>
      <c r="AJ88" s="108">
        <f t="shared" si="153"/>
        <v>1.4285714285714286</v>
      </c>
      <c r="AK88" s="101">
        <f t="shared" si="70"/>
        <v>2141.2195121951222</v>
      </c>
      <c r="AL88" s="101">
        <f t="shared" si="154"/>
        <v>2141.2195121951222</v>
      </c>
      <c r="AM88" s="101"/>
      <c r="AN88" s="101"/>
      <c r="AO88" s="1">
        <v>24</v>
      </c>
      <c r="AP88" s="2"/>
      <c r="AQ88" s="74">
        <f t="shared" si="155"/>
        <v>521</v>
      </c>
      <c r="AR88" s="10"/>
      <c r="AS88" s="1"/>
      <c r="AT88" s="11"/>
      <c r="AU88" s="10">
        <v>1</v>
      </c>
      <c r="AV88" s="1">
        <v>0</v>
      </c>
      <c r="AW88" s="1">
        <v>1</v>
      </c>
      <c r="AX88" s="10">
        <v>0.5</v>
      </c>
      <c r="AY88" s="11">
        <v>0</v>
      </c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1"/>
    </row>
    <row r="89" spans="1:63" ht="12" customHeight="1">
      <c r="A89" s="1"/>
      <c r="B89" s="107">
        <v>22</v>
      </c>
      <c r="C89" s="31">
        <v>10</v>
      </c>
      <c r="D89" s="113" t="s">
        <v>9</v>
      </c>
      <c r="E89" s="2" t="s">
        <v>169</v>
      </c>
      <c r="F89" s="25"/>
      <c r="G89" s="2"/>
      <c r="H89" s="33"/>
      <c r="I89" s="99">
        <f t="shared" si="0"/>
        <v>177.22048780487805</v>
      </c>
      <c r="J89" s="101">
        <f t="shared" si="1"/>
        <v>18.25</v>
      </c>
      <c r="K89" s="101">
        <f t="shared" si="2"/>
        <v>41</v>
      </c>
      <c r="L89" s="74">
        <f t="shared" si="143"/>
        <v>6</v>
      </c>
      <c r="M89" s="99">
        <f t="shared" si="42"/>
        <v>6379.9375609756098</v>
      </c>
      <c r="N89" s="108">
        <f t="shared" si="144"/>
        <v>3837.1785365853661</v>
      </c>
      <c r="O89" s="108">
        <f t="shared" si="145"/>
        <v>1907.0692682926829</v>
      </c>
      <c r="P89" s="108"/>
      <c r="Q89" s="108"/>
      <c r="R89" s="109">
        <f t="shared" si="146"/>
        <v>635.68975609756092</v>
      </c>
      <c r="S89" s="99">
        <f t="shared" si="115"/>
        <v>5316.6146341463418</v>
      </c>
      <c r="T89" s="108">
        <f t="shared" ref="T89:T91" si="156">AL89*AU89*AY89</f>
        <v>3197.6487804878052</v>
      </c>
      <c r="U89" s="108">
        <f t="shared" ref="U89:U91" si="157">AM89*AX89</f>
        <v>1589.2243902439025</v>
      </c>
      <c r="V89" s="108"/>
      <c r="W89" s="108"/>
      <c r="X89" s="109">
        <f t="shared" ref="X89:X91" si="158">AM89*AS89</f>
        <v>529.74146341463415</v>
      </c>
      <c r="Y89" s="99">
        <f t="shared" si="8"/>
        <v>10633.229268292684</v>
      </c>
      <c r="Z89" s="108">
        <f t="shared" si="134"/>
        <v>6395.2975609756095</v>
      </c>
      <c r="AA89" s="108">
        <f t="shared" si="150"/>
        <v>3178.4487804878049</v>
      </c>
      <c r="AB89" s="108"/>
      <c r="AC89" s="108"/>
      <c r="AD89" s="109">
        <f t="shared" si="135"/>
        <v>1059.4829268292683</v>
      </c>
      <c r="AE89" s="99">
        <f t="shared" si="151"/>
        <v>36</v>
      </c>
      <c r="AF89" s="101"/>
      <c r="AG89" s="101">
        <f t="shared" ref="AG89:AG91" si="159">IF($D$25+AW89&gt;100,100,$D$25+AW89)</f>
        <v>20</v>
      </c>
      <c r="AH89" s="101">
        <f t="shared" si="138"/>
        <v>657</v>
      </c>
      <c r="AI89" s="101">
        <f t="shared" si="139"/>
        <v>200</v>
      </c>
      <c r="AJ89" s="108">
        <f t="shared" ref="AJ89:AJ91" si="160">10/(6+AT89)</f>
        <v>1.6666666666666667</v>
      </c>
      <c r="AK89" s="101">
        <f t="shared" si="70"/>
        <v>2661.5073170731712</v>
      </c>
      <c r="AL89" s="101">
        <f t="shared" ref="AL89:AL91" si="161">(VLOOKUP(C89,$B$4:$AG$7,11,FALSE)+VLOOKUP(C89,$B$8:$AG$11,11,FALSE)*$D$22)*$D$27/100</f>
        <v>2131.7658536585368</v>
      </c>
      <c r="AM89" s="101">
        <f t="shared" ref="AM89:AM91" si="162">(3*(VLOOKUP(C89,$B$4:$AG$7,12,FALSE)+VLOOKUP(C89,$B$8:$AG$11,12,FALSE)*$D$22))*$D$27/100</f>
        <v>529.74146341463415</v>
      </c>
      <c r="AN89" s="101"/>
      <c r="AO89" s="1">
        <v>36</v>
      </c>
      <c r="AP89" s="2"/>
      <c r="AQ89" s="74">
        <f t="shared" ref="AQ89:AQ91" si="163">VLOOKUP(C89,$B$13:$AA$16,11,FALSE)</f>
        <v>657</v>
      </c>
      <c r="AR89" s="10"/>
      <c r="AS89" s="1">
        <v>1</v>
      </c>
      <c r="AT89" s="11">
        <v>0</v>
      </c>
      <c r="AU89" s="10">
        <v>1.5</v>
      </c>
      <c r="AV89" s="1"/>
      <c r="AW89" s="1">
        <v>0</v>
      </c>
      <c r="AX89" s="10">
        <v>3</v>
      </c>
      <c r="AY89" s="11">
        <v>1</v>
      </c>
      <c r="AZ89" s="2"/>
      <c r="BA89" s="2"/>
      <c r="BB89" s="2"/>
      <c r="BC89" s="1"/>
      <c r="BD89" s="113"/>
      <c r="BE89" s="2"/>
      <c r="BF89" s="2"/>
      <c r="BG89" s="2"/>
      <c r="BH89" s="1"/>
      <c r="BI89" s="1"/>
      <c r="BJ89" s="1"/>
      <c r="BK89" s="1"/>
    </row>
    <row r="90" spans="1:63" ht="12" customHeight="1">
      <c r="A90" s="2"/>
      <c r="B90" s="107">
        <v>23</v>
      </c>
      <c r="C90" s="31">
        <v>10</v>
      </c>
      <c r="D90" s="113" t="s">
        <v>9</v>
      </c>
      <c r="E90" s="2" t="s">
        <v>171</v>
      </c>
      <c r="F90" s="31"/>
      <c r="G90" s="2" t="s">
        <v>158</v>
      </c>
      <c r="H90" s="33"/>
      <c r="I90" s="99">
        <f t="shared" si="0"/>
        <v>177.22048780487805</v>
      </c>
      <c r="J90" s="101">
        <f t="shared" si="1"/>
        <v>18.25</v>
      </c>
      <c r="K90" s="101">
        <f t="shared" si="2"/>
        <v>41</v>
      </c>
      <c r="L90" s="74">
        <f t="shared" si="143"/>
        <v>6</v>
      </c>
      <c r="M90" s="99">
        <f t="shared" si="42"/>
        <v>6379.9375609756098</v>
      </c>
      <c r="N90" s="108">
        <f t="shared" si="144"/>
        <v>3837.1785365853661</v>
      </c>
      <c r="O90" s="108">
        <f t="shared" si="145"/>
        <v>1907.0692682926829</v>
      </c>
      <c r="P90" s="108"/>
      <c r="Q90" s="108"/>
      <c r="R90" s="109">
        <f t="shared" si="146"/>
        <v>635.68975609756092</v>
      </c>
      <c r="S90" s="99">
        <f t="shared" si="115"/>
        <v>4250.7317073170734</v>
      </c>
      <c r="T90" s="108">
        <f t="shared" si="156"/>
        <v>2131.7658536585368</v>
      </c>
      <c r="U90" s="108">
        <f t="shared" si="157"/>
        <v>1589.2243902439025</v>
      </c>
      <c r="V90" s="108"/>
      <c r="W90" s="108"/>
      <c r="X90" s="109">
        <f t="shared" si="158"/>
        <v>529.74146341463415</v>
      </c>
      <c r="Y90" s="99">
        <f t="shared" si="8"/>
        <v>8501.4634146341468</v>
      </c>
      <c r="Z90" s="108">
        <f t="shared" si="134"/>
        <v>4263.5317073170736</v>
      </c>
      <c r="AA90" s="108">
        <f t="shared" si="150"/>
        <v>3178.4487804878049</v>
      </c>
      <c r="AB90" s="108"/>
      <c r="AC90" s="108"/>
      <c r="AD90" s="109">
        <f t="shared" si="135"/>
        <v>1059.4829268292683</v>
      </c>
      <c r="AE90" s="99">
        <f t="shared" si="151"/>
        <v>36</v>
      </c>
      <c r="AF90" s="101"/>
      <c r="AG90" s="101">
        <f t="shared" si="159"/>
        <v>80</v>
      </c>
      <c r="AH90" s="101">
        <f t="shared" si="138"/>
        <v>657</v>
      </c>
      <c r="AI90" s="101">
        <f t="shared" si="139"/>
        <v>200</v>
      </c>
      <c r="AJ90" s="108">
        <f t="shared" si="160"/>
        <v>1.6666666666666667</v>
      </c>
      <c r="AK90" s="101">
        <f t="shared" si="70"/>
        <v>2661.5073170731712</v>
      </c>
      <c r="AL90" s="101">
        <f t="shared" si="161"/>
        <v>2131.7658536585368</v>
      </c>
      <c r="AM90" s="101">
        <f t="shared" si="162"/>
        <v>529.74146341463415</v>
      </c>
      <c r="AN90" s="101"/>
      <c r="AO90" s="1">
        <v>36</v>
      </c>
      <c r="AP90" s="2"/>
      <c r="AQ90" s="74">
        <f t="shared" si="163"/>
        <v>657</v>
      </c>
      <c r="AR90" s="10"/>
      <c r="AS90" s="1">
        <v>1</v>
      </c>
      <c r="AT90" s="11">
        <v>0</v>
      </c>
      <c r="AU90" s="10">
        <v>1</v>
      </c>
      <c r="AV90" s="1"/>
      <c r="AW90" s="1">
        <v>60</v>
      </c>
      <c r="AX90" s="10">
        <v>3</v>
      </c>
      <c r="AY90" s="11">
        <v>1</v>
      </c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1"/>
    </row>
    <row r="91" spans="1:63" ht="12" customHeight="1">
      <c r="A91" s="2"/>
      <c r="B91" s="107">
        <v>23</v>
      </c>
      <c r="C91" s="31">
        <v>10</v>
      </c>
      <c r="D91" s="113" t="s">
        <v>9</v>
      </c>
      <c r="E91" s="2" t="s">
        <v>171</v>
      </c>
      <c r="F91" s="31"/>
      <c r="G91" s="2" t="s">
        <v>143</v>
      </c>
      <c r="H91" s="33"/>
      <c r="I91" s="99">
        <f t="shared" si="0"/>
        <v>141.69105691056913</v>
      </c>
      <c r="J91" s="101">
        <f t="shared" si="1"/>
        <v>18.25</v>
      </c>
      <c r="K91" s="101">
        <f t="shared" si="2"/>
        <v>52</v>
      </c>
      <c r="L91" s="74">
        <f t="shared" si="143"/>
        <v>11</v>
      </c>
      <c r="M91" s="99">
        <f t="shared" si="42"/>
        <v>5100.8780487804888</v>
      </c>
      <c r="N91" s="108">
        <f t="shared" si="144"/>
        <v>2558.1190243902442</v>
      </c>
      <c r="O91" s="108">
        <f t="shared" si="145"/>
        <v>1907.0692682926829</v>
      </c>
      <c r="P91" s="108"/>
      <c r="Q91" s="108"/>
      <c r="R91" s="109">
        <f t="shared" si="146"/>
        <v>635.68975609756092</v>
      </c>
      <c r="S91" s="99">
        <f t="shared" si="115"/>
        <v>4250.7317073170734</v>
      </c>
      <c r="T91" s="108">
        <f t="shared" si="156"/>
        <v>2131.7658536585368</v>
      </c>
      <c r="U91" s="108">
        <f t="shared" si="157"/>
        <v>1589.2243902439025</v>
      </c>
      <c r="V91" s="108"/>
      <c r="W91" s="108"/>
      <c r="X91" s="109">
        <f t="shared" si="158"/>
        <v>529.74146341463415</v>
      </c>
      <c r="Y91" s="99">
        <f t="shared" si="8"/>
        <v>8501.4634146341468</v>
      </c>
      <c r="Z91" s="108">
        <f t="shared" si="134"/>
        <v>4263.5317073170736</v>
      </c>
      <c r="AA91" s="108">
        <f t="shared" si="150"/>
        <v>3178.4487804878049</v>
      </c>
      <c r="AB91" s="108"/>
      <c r="AC91" s="108"/>
      <c r="AD91" s="109">
        <f t="shared" si="135"/>
        <v>1059.4829268292683</v>
      </c>
      <c r="AE91" s="99">
        <f t="shared" si="151"/>
        <v>36</v>
      </c>
      <c r="AF91" s="101"/>
      <c r="AG91" s="101">
        <f t="shared" si="159"/>
        <v>20</v>
      </c>
      <c r="AH91" s="101">
        <f t="shared" si="138"/>
        <v>657</v>
      </c>
      <c r="AI91" s="101">
        <f t="shared" si="139"/>
        <v>200</v>
      </c>
      <c r="AJ91" s="108">
        <f t="shared" si="160"/>
        <v>1.6666666666666667</v>
      </c>
      <c r="AK91" s="101">
        <f t="shared" si="70"/>
        <v>2661.5073170731712</v>
      </c>
      <c r="AL91" s="101">
        <f t="shared" si="161"/>
        <v>2131.7658536585368</v>
      </c>
      <c r="AM91" s="101">
        <f t="shared" si="162"/>
        <v>529.74146341463415</v>
      </c>
      <c r="AN91" s="101"/>
      <c r="AO91" s="1">
        <v>36</v>
      </c>
      <c r="AP91" s="2"/>
      <c r="AQ91" s="74">
        <f t="shared" si="163"/>
        <v>657</v>
      </c>
      <c r="AR91" s="10"/>
      <c r="AS91" s="1">
        <v>1</v>
      </c>
      <c r="AT91" s="11">
        <v>0</v>
      </c>
      <c r="AU91" s="10">
        <v>1</v>
      </c>
      <c r="AV91" s="1"/>
      <c r="AW91" s="1">
        <v>0</v>
      </c>
      <c r="AX91" s="10">
        <v>3</v>
      </c>
      <c r="AY91" s="11">
        <v>1</v>
      </c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1"/>
    </row>
    <row r="92" spans="1:63" ht="12" customHeight="1">
      <c r="A92" s="1"/>
      <c r="B92" s="107">
        <v>24</v>
      </c>
      <c r="C92" s="31">
        <v>10</v>
      </c>
      <c r="D92" s="113" t="s">
        <v>19</v>
      </c>
      <c r="E92" s="2" t="s">
        <v>145</v>
      </c>
      <c r="F92" s="25"/>
      <c r="G92" s="2"/>
      <c r="H92" s="33">
        <f>IF(AY92=1,4,6)</f>
        <v>6</v>
      </c>
      <c r="I92" s="99">
        <f t="shared" si="0"/>
        <v>255.02997967479675</v>
      </c>
      <c r="J92" s="101">
        <f t="shared" si="1"/>
        <v>21.708333333333332</v>
      </c>
      <c r="K92" s="101">
        <f t="shared" si="2"/>
        <v>24</v>
      </c>
      <c r="L92" s="74">
        <f t="shared" si="143"/>
        <v>3</v>
      </c>
      <c r="M92" s="99">
        <f t="shared" si="42"/>
        <v>6120.7195121951218</v>
      </c>
      <c r="N92" s="108">
        <f>T92*(1+($D$25/100)*($D$26/100-1))</f>
        <v>3918.1829268292681</v>
      </c>
      <c r="O92" s="108">
        <f t="shared" ref="O92:O95" si="164">U92*(1+(AG92/100)*(AI92/100-1))</f>
        <v>2202.5365853658536</v>
      </c>
      <c r="P92" s="108"/>
      <c r="Q92" s="108"/>
      <c r="R92" s="109"/>
      <c r="S92" s="99">
        <f t="shared" si="115"/>
        <v>4366.4207317073169</v>
      </c>
      <c r="T92" s="108">
        <f>AL92*AU92</f>
        <v>3265.1524390243903</v>
      </c>
      <c r="U92" s="108">
        <f>AM92*AU92</f>
        <v>1101.2682926829268</v>
      </c>
      <c r="V92" s="108"/>
      <c r="W92" s="108"/>
      <c r="X92" s="109"/>
      <c r="Y92" s="99">
        <f t="shared" si="8"/>
        <v>8732.8414634146338</v>
      </c>
      <c r="Z92" s="108">
        <f t="shared" si="134"/>
        <v>6530.3048780487807</v>
      </c>
      <c r="AA92" s="108">
        <f t="shared" si="150"/>
        <v>2202.5365853658536</v>
      </c>
      <c r="AB92" s="108"/>
      <c r="AC92" s="108"/>
      <c r="AD92" s="109"/>
      <c r="AE92" s="99">
        <f t="shared" si="151"/>
        <v>24</v>
      </c>
      <c r="AF92" s="101"/>
      <c r="AG92" s="101">
        <f>IF($D$25+AT92&gt;100,100,$D$25+AT92)</f>
        <v>100</v>
      </c>
      <c r="AH92" s="101">
        <f t="shared" si="138"/>
        <v>521</v>
      </c>
      <c r="AI92" s="101">
        <f t="shared" si="139"/>
        <v>200</v>
      </c>
      <c r="AJ92" s="108">
        <f>10/IF(AY92=1,(2.5+AX92),2)</f>
        <v>5</v>
      </c>
      <c r="AK92" s="101">
        <f t="shared" si="70"/>
        <v>3493.1365853658535</v>
      </c>
      <c r="AL92" s="101">
        <f>(H92-1)*(VLOOKUP(C92,$B$4:$AG$7,27,FALSE)+VLOOKUP(C92,$B$8:$AG$11,27,FALSE)*$D$22)*$D$27/100</f>
        <v>2612.1219512195121</v>
      </c>
      <c r="AM92" s="101">
        <f>(VLOOKUP(C92,$B$4:$AG$7,28,FALSE)+VLOOKUP(C92,$B$8:$AG$11,28,FALSE)*$D$22)*$D$27/100</f>
        <v>881.01463414634145</v>
      </c>
      <c r="AN92" s="101"/>
      <c r="AO92" s="1">
        <v>24</v>
      </c>
      <c r="AP92" s="2"/>
      <c r="AQ92" s="74">
        <f>VLOOKUP(C92,$B$13:$AG$16,27,FALSE)</f>
        <v>521</v>
      </c>
      <c r="AR92" s="10"/>
      <c r="AS92" s="1"/>
      <c r="AT92" s="11">
        <v>100</v>
      </c>
      <c r="AU92" s="10">
        <v>1.25</v>
      </c>
      <c r="AV92" s="1"/>
      <c r="AW92" s="1"/>
      <c r="AX92" s="10">
        <v>0</v>
      </c>
      <c r="AY92" s="11">
        <v>2</v>
      </c>
      <c r="AZ92" s="2"/>
      <c r="BA92" s="2"/>
      <c r="BB92" s="2"/>
      <c r="BC92" s="1"/>
      <c r="BD92" s="1"/>
      <c r="BE92" s="1"/>
      <c r="BF92" s="1"/>
      <c r="BG92" s="1"/>
      <c r="BH92" s="1"/>
      <c r="BI92" s="1"/>
      <c r="BJ92" s="1"/>
      <c r="BK92" s="1"/>
    </row>
    <row r="93" spans="1:63" ht="12" customHeight="1">
      <c r="A93" s="1"/>
      <c r="B93" s="107">
        <v>25</v>
      </c>
      <c r="C93" s="31">
        <v>10</v>
      </c>
      <c r="D93" s="113" t="s">
        <v>15</v>
      </c>
      <c r="E93" s="2" t="s">
        <v>135</v>
      </c>
      <c r="F93" s="25"/>
      <c r="G93" s="2"/>
      <c r="H93" s="33">
        <f t="shared" ref="H93:H95" si="165">IF(AX93=AT93,3,4)</f>
        <v>4</v>
      </c>
      <c r="I93" s="99">
        <f t="shared" si="0"/>
        <v>221.01194146341464</v>
      </c>
      <c r="J93" s="101">
        <f t="shared" si="1"/>
        <v>19.733333333333334</v>
      </c>
      <c r="K93" s="101">
        <f t="shared" si="2"/>
        <v>31</v>
      </c>
      <c r="L93" s="74">
        <f t="shared" si="143"/>
        <v>4</v>
      </c>
      <c r="M93" s="99">
        <f t="shared" si="42"/>
        <v>6630.3582439024394</v>
      </c>
      <c r="N93" s="108">
        <f t="shared" ref="N93:N96" si="166">T93*(1+(AG93/100)*(AI93/100-1))</f>
        <v>1091.0716097560976</v>
      </c>
      <c r="O93" s="108">
        <f t="shared" si="164"/>
        <v>1091.0716097560976</v>
      </c>
      <c r="P93" s="108">
        <f t="shared" ref="P93:P95" si="167">V93*(1+(AG93/100)*(AI93/100-1))</f>
        <v>1091.0716097560976</v>
      </c>
      <c r="Q93" s="108">
        <f t="shared" ref="Q93:Q95" si="168">W93*(1+(AG93/100)*(AI93/100-1))</f>
        <v>839.28585365853667</v>
      </c>
      <c r="R93" s="109">
        <f t="shared" ref="R93:R95" si="169">X93*(1+(AG93/100)*(AI93/100-1))</f>
        <v>2517.8575609756099</v>
      </c>
      <c r="S93" s="99">
        <f t="shared" si="115"/>
        <v>5525.2985365853665</v>
      </c>
      <c r="T93" s="108">
        <f t="shared" ref="T93:T95" si="170">AL93*AS93*AY93</f>
        <v>909.22634146341477</v>
      </c>
      <c r="U93" s="108">
        <f t="shared" ref="U93:U95" si="171">AL93*AS93*AY93</f>
        <v>909.22634146341477</v>
      </c>
      <c r="V93" s="108">
        <f t="shared" ref="V93:V95" si="172">AL93*AS93*AY93</f>
        <v>909.22634146341477</v>
      </c>
      <c r="W93" s="108">
        <f t="shared" ref="W93:W95" si="173">IF(H93=4,AL93*AS93*IF(AT93=0,AY93,1),0)</f>
        <v>699.40487804878057</v>
      </c>
      <c r="X93" s="109">
        <f t="shared" ref="X93:X95" si="174">AL93*IF(H93=3,11,IF(AT93=1,15,13))*IF(AW93=1,0,AW93)</f>
        <v>2098.2146341463417</v>
      </c>
      <c r="Y93" s="99">
        <f t="shared" si="8"/>
        <v>11050.597073170733</v>
      </c>
      <c r="Z93" s="108">
        <f t="shared" ref="Z93:Z95" si="175">T93*AI93/100</f>
        <v>1818.4526829268295</v>
      </c>
      <c r="AA93" s="108">
        <f t="shared" ref="AA93:AA95" si="176">U93*AI93/100</f>
        <v>1818.4526829268295</v>
      </c>
      <c r="AB93" s="108">
        <f t="shared" ref="AB93:AB95" si="177">V93*AI93/100</f>
        <v>1818.4526829268295</v>
      </c>
      <c r="AC93" s="108">
        <f t="shared" ref="AC93:AC95" si="178">W93*AI93/100</f>
        <v>1398.8097560975611</v>
      </c>
      <c r="AD93" s="109">
        <f t="shared" ref="AD93:AD95" si="179">X93*AI93/100</f>
        <v>4196.4292682926834</v>
      </c>
      <c r="AE93" s="99">
        <f t="shared" si="151"/>
        <v>30</v>
      </c>
      <c r="AF93" s="101"/>
      <c r="AG93" s="101">
        <f t="shared" ref="AG93:AG95" si="180">IF($D$25+AX93&gt;100,100,$D$25+AX93)</f>
        <v>20</v>
      </c>
      <c r="AH93" s="101">
        <f t="shared" si="138"/>
        <v>592</v>
      </c>
      <c r="AI93" s="101">
        <f t="shared" si="139"/>
        <v>200</v>
      </c>
      <c r="AJ93" s="108">
        <f t="shared" ref="AJ93:AJ95" si="181">10*AU93/IF(AT93=1,2.5,(IF(AY93=1,3,2.5)))</f>
        <v>4</v>
      </c>
      <c r="AK93" s="101">
        <f t="shared" si="70"/>
        <v>699.40487804878057</v>
      </c>
      <c r="AL93" s="101">
        <f t="shared" ref="AL93:AL95" si="182">((VLOOKUP(C93,$B$4:$AG$7,22,FALSE)+VLOOKUP(C93,$B$8:$AG$11,22,FALSE)*$D$22))*$D$27/100</f>
        <v>699.40487804878057</v>
      </c>
      <c r="AM93" s="101"/>
      <c r="AN93" s="101"/>
      <c r="AO93" s="1">
        <v>30</v>
      </c>
      <c r="AP93" s="2"/>
      <c r="AQ93" s="74">
        <f t="shared" ref="AQ93:AQ95" si="183">VLOOKUP(C93,$B$13:$AA$16,22,FALSE)</f>
        <v>592</v>
      </c>
      <c r="AR93" s="10"/>
      <c r="AS93" s="1">
        <v>1</v>
      </c>
      <c r="AT93" s="11">
        <v>1</v>
      </c>
      <c r="AU93" s="10">
        <v>1</v>
      </c>
      <c r="AV93" s="1"/>
      <c r="AW93" s="1">
        <v>0.2</v>
      </c>
      <c r="AX93" s="10">
        <v>0</v>
      </c>
      <c r="AY93" s="11">
        <v>1.3</v>
      </c>
      <c r="AZ93" s="2"/>
      <c r="BA93" s="2"/>
      <c r="BB93" s="2"/>
      <c r="BC93" s="1"/>
      <c r="BD93" s="1"/>
      <c r="BE93" s="1"/>
      <c r="BF93" s="1"/>
      <c r="BG93" s="1"/>
      <c r="BH93" s="1"/>
      <c r="BI93" s="1"/>
      <c r="BJ93" s="1"/>
      <c r="BK93" s="2"/>
    </row>
    <row r="94" spans="1:63" ht="12" customHeight="1">
      <c r="A94" s="2"/>
      <c r="B94" s="107">
        <v>26</v>
      </c>
      <c r="C94" s="31">
        <v>10</v>
      </c>
      <c r="D94" s="113" t="s">
        <v>15</v>
      </c>
      <c r="E94" s="2" t="s">
        <v>171</v>
      </c>
      <c r="F94" s="10"/>
      <c r="G94" s="2" t="s">
        <v>180</v>
      </c>
      <c r="H94" s="33">
        <f t="shared" si="165"/>
        <v>4</v>
      </c>
      <c r="I94" s="99">
        <f t="shared" si="0"/>
        <v>283.49211056910571</v>
      </c>
      <c r="J94" s="101">
        <f t="shared" si="1"/>
        <v>19.733333333333334</v>
      </c>
      <c r="K94" s="101">
        <f t="shared" si="2"/>
        <v>15</v>
      </c>
      <c r="L94" s="74">
        <f t="shared" si="143"/>
        <v>1</v>
      </c>
      <c r="M94" s="99">
        <f t="shared" si="42"/>
        <v>8504.7633170731715</v>
      </c>
      <c r="N94" s="108">
        <f t="shared" si="166"/>
        <v>1398.8097560975611</v>
      </c>
      <c r="O94" s="108">
        <f t="shared" si="164"/>
        <v>1398.8097560975611</v>
      </c>
      <c r="P94" s="108">
        <f t="shared" si="167"/>
        <v>1398.8097560975611</v>
      </c>
      <c r="Q94" s="108">
        <f t="shared" si="168"/>
        <v>1398.8097560975611</v>
      </c>
      <c r="R94" s="109">
        <f t="shared" si="169"/>
        <v>2909.5242926829278</v>
      </c>
      <c r="S94" s="99">
        <f t="shared" si="115"/>
        <v>5315.4770731707322</v>
      </c>
      <c r="T94" s="108">
        <f t="shared" si="170"/>
        <v>874.25609756097572</v>
      </c>
      <c r="U94" s="108">
        <f t="shared" si="171"/>
        <v>874.25609756097572</v>
      </c>
      <c r="V94" s="108">
        <f t="shared" si="172"/>
        <v>874.25609756097572</v>
      </c>
      <c r="W94" s="108">
        <f t="shared" si="173"/>
        <v>874.25609756097572</v>
      </c>
      <c r="X94" s="109">
        <f t="shared" si="174"/>
        <v>1818.4526829268298</v>
      </c>
      <c r="Y94" s="99">
        <f t="shared" si="8"/>
        <v>10630.954146341464</v>
      </c>
      <c r="Z94" s="108">
        <f t="shared" si="175"/>
        <v>1748.5121951219514</v>
      </c>
      <c r="AA94" s="108">
        <f t="shared" si="176"/>
        <v>1748.5121951219514</v>
      </c>
      <c r="AB94" s="108">
        <f t="shared" si="177"/>
        <v>1748.5121951219514</v>
      </c>
      <c r="AC94" s="108">
        <f t="shared" si="178"/>
        <v>1748.5121951219514</v>
      </c>
      <c r="AD94" s="109">
        <f t="shared" si="179"/>
        <v>3636.9053658536595</v>
      </c>
      <c r="AE94" s="99">
        <f t="shared" si="151"/>
        <v>30</v>
      </c>
      <c r="AF94" s="101"/>
      <c r="AG94" s="101">
        <f t="shared" si="180"/>
        <v>60</v>
      </c>
      <c r="AH94" s="101">
        <f t="shared" si="138"/>
        <v>592</v>
      </c>
      <c r="AI94" s="101">
        <f t="shared" si="139"/>
        <v>200</v>
      </c>
      <c r="AJ94" s="108">
        <f t="shared" si="181"/>
        <v>3.3333333333333335</v>
      </c>
      <c r="AK94" s="101">
        <f t="shared" si="70"/>
        <v>699.40487804878057</v>
      </c>
      <c r="AL94" s="101">
        <f t="shared" si="182"/>
        <v>699.40487804878057</v>
      </c>
      <c r="AM94" s="101"/>
      <c r="AN94" s="101"/>
      <c r="AO94" s="1">
        <v>30</v>
      </c>
      <c r="AP94" s="2"/>
      <c r="AQ94" s="74">
        <f t="shared" si="183"/>
        <v>592</v>
      </c>
      <c r="AR94" s="10"/>
      <c r="AS94" s="1">
        <v>1.25</v>
      </c>
      <c r="AT94" s="11">
        <v>0</v>
      </c>
      <c r="AU94" s="10">
        <v>1</v>
      </c>
      <c r="AV94" s="1"/>
      <c r="AW94" s="1">
        <v>0.2</v>
      </c>
      <c r="AX94" s="10">
        <v>40</v>
      </c>
      <c r="AY94" s="11">
        <v>1</v>
      </c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</row>
    <row r="95" spans="1:63" ht="12" customHeight="1">
      <c r="A95" s="2"/>
      <c r="B95" s="107">
        <v>26</v>
      </c>
      <c r="C95" s="31">
        <v>10</v>
      </c>
      <c r="D95" s="113" t="s">
        <v>15</v>
      </c>
      <c r="E95" s="2" t="s">
        <v>171</v>
      </c>
      <c r="F95" s="10"/>
      <c r="G95" s="2" t="s">
        <v>181</v>
      </c>
      <c r="H95" s="33">
        <f t="shared" si="165"/>
        <v>3</v>
      </c>
      <c r="I95" s="99">
        <f t="shared" si="0"/>
        <v>145.47621463414634</v>
      </c>
      <c r="J95" s="101">
        <f t="shared" si="1"/>
        <v>19.733333333333334</v>
      </c>
      <c r="K95" s="101">
        <f t="shared" si="2"/>
        <v>49</v>
      </c>
      <c r="L95" s="74">
        <f t="shared" si="143"/>
        <v>10</v>
      </c>
      <c r="M95" s="99">
        <f t="shared" si="42"/>
        <v>4364.2864390243903</v>
      </c>
      <c r="N95" s="108">
        <f t="shared" si="166"/>
        <v>839.28585365853667</v>
      </c>
      <c r="O95" s="108">
        <f t="shared" si="164"/>
        <v>839.28585365853667</v>
      </c>
      <c r="P95" s="108">
        <f t="shared" si="167"/>
        <v>839.28585365853667</v>
      </c>
      <c r="Q95" s="108">
        <f t="shared" si="168"/>
        <v>0</v>
      </c>
      <c r="R95" s="109">
        <f t="shared" si="169"/>
        <v>1846.4288780487807</v>
      </c>
      <c r="S95" s="99">
        <f t="shared" si="115"/>
        <v>3636.9053658536591</v>
      </c>
      <c r="T95" s="108">
        <f t="shared" si="170"/>
        <v>699.40487804878057</v>
      </c>
      <c r="U95" s="108">
        <f t="shared" si="171"/>
        <v>699.40487804878057</v>
      </c>
      <c r="V95" s="108">
        <f t="shared" si="172"/>
        <v>699.40487804878057</v>
      </c>
      <c r="W95" s="108">
        <f t="shared" si="173"/>
        <v>0</v>
      </c>
      <c r="X95" s="109">
        <f t="shared" si="174"/>
        <v>1538.6907317073174</v>
      </c>
      <c r="Y95" s="99">
        <f t="shared" si="8"/>
        <v>7273.8107317073182</v>
      </c>
      <c r="Z95" s="108">
        <f t="shared" si="175"/>
        <v>1398.8097560975611</v>
      </c>
      <c r="AA95" s="108">
        <f t="shared" si="176"/>
        <v>1398.8097560975611</v>
      </c>
      <c r="AB95" s="108">
        <f t="shared" si="177"/>
        <v>1398.8097560975611</v>
      </c>
      <c r="AC95" s="108">
        <f t="shared" si="178"/>
        <v>0</v>
      </c>
      <c r="AD95" s="109">
        <f t="shared" si="179"/>
        <v>3077.3814634146347</v>
      </c>
      <c r="AE95" s="99">
        <f t="shared" si="151"/>
        <v>30</v>
      </c>
      <c r="AF95" s="101"/>
      <c r="AG95" s="101">
        <f t="shared" si="180"/>
        <v>20</v>
      </c>
      <c r="AH95" s="101">
        <f t="shared" si="138"/>
        <v>592</v>
      </c>
      <c r="AI95" s="101">
        <f t="shared" si="139"/>
        <v>200</v>
      </c>
      <c r="AJ95" s="108">
        <f t="shared" si="181"/>
        <v>3.3333333333333335</v>
      </c>
      <c r="AK95" s="101">
        <f t="shared" si="70"/>
        <v>699.40487804878057</v>
      </c>
      <c r="AL95" s="101">
        <f t="shared" si="182"/>
        <v>699.40487804878057</v>
      </c>
      <c r="AM95" s="101"/>
      <c r="AN95" s="101"/>
      <c r="AO95" s="1">
        <v>30</v>
      </c>
      <c r="AP95" s="2"/>
      <c r="AQ95" s="74">
        <f t="shared" si="183"/>
        <v>592</v>
      </c>
      <c r="AR95" s="10"/>
      <c r="AS95" s="1">
        <v>1</v>
      </c>
      <c r="AT95" s="11">
        <v>0</v>
      </c>
      <c r="AU95" s="10">
        <v>1</v>
      </c>
      <c r="AV95" s="1"/>
      <c r="AW95" s="1">
        <v>0.2</v>
      </c>
      <c r="AX95" s="10">
        <v>0</v>
      </c>
      <c r="AY95" s="11">
        <v>1</v>
      </c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1"/>
    </row>
    <row r="96" spans="1:63" ht="12" customHeight="1">
      <c r="A96" s="1"/>
      <c r="B96" s="116">
        <v>27</v>
      </c>
      <c r="C96" s="81">
        <v>10</v>
      </c>
      <c r="D96" s="117" t="s">
        <v>22</v>
      </c>
      <c r="E96" s="82" t="s">
        <v>139</v>
      </c>
      <c r="F96" s="67"/>
      <c r="G96" s="82"/>
      <c r="H96" s="83"/>
      <c r="I96" s="118">
        <f t="shared" si="0"/>
        <v>279.71434146341466</v>
      </c>
      <c r="J96" s="119">
        <f t="shared" si="1"/>
        <v>19.733333333333334</v>
      </c>
      <c r="K96" s="119">
        <f t="shared" si="2"/>
        <v>16</v>
      </c>
      <c r="L96" s="120">
        <f t="shared" si="143"/>
        <v>2</v>
      </c>
      <c r="M96" s="118">
        <f t="shared" si="42"/>
        <v>8391.4302439024395</v>
      </c>
      <c r="N96" s="121">
        <f t="shared" si="166"/>
        <v>8391.4302439024395</v>
      </c>
      <c r="O96" s="121"/>
      <c r="P96" s="121"/>
      <c r="Q96" s="121"/>
      <c r="R96" s="122">
        <f>X96*(1+($D$25/100)*(AI96/100-1))</f>
        <v>0</v>
      </c>
      <c r="S96" s="118">
        <f t="shared" si="115"/>
        <v>4195.7151219512198</v>
      </c>
      <c r="T96" s="121">
        <f>AL96*AU96</f>
        <v>4195.7151219512198</v>
      </c>
      <c r="U96" s="121"/>
      <c r="V96" s="121"/>
      <c r="W96" s="121"/>
      <c r="X96" s="122">
        <f>AL96*AW96</f>
        <v>0</v>
      </c>
      <c r="Y96" s="118">
        <f t="shared" si="8"/>
        <v>8391.4302439024395</v>
      </c>
      <c r="Z96" s="121">
        <f>T96*$D$26/100</f>
        <v>8391.4302439024395</v>
      </c>
      <c r="AA96" s="121"/>
      <c r="AB96" s="121"/>
      <c r="AC96" s="121"/>
      <c r="AD96" s="122"/>
      <c r="AE96" s="118">
        <f t="shared" si="151"/>
        <v>30</v>
      </c>
      <c r="AF96" s="119"/>
      <c r="AG96" s="119">
        <f>IF($D$25+AY96&gt;100,100,$D$25+AY96)</f>
        <v>100</v>
      </c>
      <c r="AH96" s="119">
        <f>AQ96*AR96</f>
        <v>592</v>
      </c>
      <c r="AI96" s="119">
        <f t="shared" si="139"/>
        <v>200</v>
      </c>
      <c r="AJ96" s="119">
        <f>10/5</f>
        <v>2</v>
      </c>
      <c r="AK96" s="119">
        <f t="shared" si="70"/>
        <v>3227.4731707317073</v>
      </c>
      <c r="AL96" s="119">
        <f>(VLOOKUP(C96,$B$4:$AG$7,32,FALSE)+VLOOKUP(C96,$B$8:$AG$11,32,FALSE)*$D$22)*$D$27/100</f>
        <v>3227.4731707317073</v>
      </c>
      <c r="AM96" s="119"/>
      <c r="AN96" s="119"/>
      <c r="AO96" s="17">
        <v>30</v>
      </c>
      <c r="AP96" s="82"/>
      <c r="AQ96" s="120">
        <f>VLOOKUP(C96,$B$13:$AG$16,32,FALSE)</f>
        <v>592</v>
      </c>
      <c r="AR96" s="16">
        <v>1</v>
      </c>
      <c r="AS96" s="17"/>
      <c r="AT96" s="21"/>
      <c r="AU96" s="16">
        <v>1.3</v>
      </c>
      <c r="AV96" s="17"/>
      <c r="AW96" s="17">
        <v>0</v>
      </c>
      <c r="AX96" s="16"/>
      <c r="AY96" s="21">
        <v>100</v>
      </c>
      <c r="AZ96" s="2"/>
      <c r="BA96" s="2"/>
      <c r="BB96" s="2"/>
      <c r="BC96" s="1"/>
      <c r="BD96" s="1"/>
      <c r="BE96" s="1"/>
      <c r="BF96" s="1"/>
      <c r="BG96" s="1"/>
      <c r="BH96" s="1"/>
      <c r="BI96" s="1"/>
      <c r="BJ96" s="1"/>
      <c r="BK96" s="1"/>
    </row>
    <row r="97" spans="1:63" ht="12" customHeight="1">
      <c r="A97" s="1"/>
      <c r="B97" s="1"/>
      <c r="C97" s="1"/>
      <c r="D97" s="1"/>
      <c r="E97" s="1"/>
      <c r="F97" s="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0"/>
      <c r="AY97" s="1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ht="12" customHeight="1">
      <c r="A98" s="1"/>
      <c r="B98" s="20"/>
      <c r="C98" s="22"/>
      <c r="D98" s="22"/>
      <c r="E98" s="6"/>
      <c r="F98" s="190" t="s">
        <v>93</v>
      </c>
      <c r="G98" s="191"/>
      <c r="H98" s="192"/>
      <c r="I98" s="190" t="s">
        <v>96</v>
      </c>
      <c r="J98" s="191"/>
      <c r="K98" s="191"/>
      <c r="L98" s="191"/>
      <c r="M98" s="191"/>
      <c r="N98" s="191"/>
      <c r="O98" s="191"/>
      <c r="P98" s="191"/>
      <c r="Q98" s="191"/>
      <c r="R98" s="192"/>
      <c r="S98" s="187" t="s">
        <v>97</v>
      </c>
      <c r="T98" s="188"/>
      <c r="U98" s="188"/>
      <c r="V98" s="188"/>
      <c r="W98" s="188"/>
      <c r="X98" s="189"/>
      <c r="Y98" s="187" t="s">
        <v>100</v>
      </c>
      <c r="Z98" s="188"/>
      <c r="AA98" s="188"/>
      <c r="AB98" s="188"/>
      <c r="AC98" s="188"/>
      <c r="AD98" s="189"/>
      <c r="AE98" s="1"/>
      <c r="AF98" s="1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87" t="s">
        <v>54</v>
      </c>
      <c r="AS98" s="88"/>
      <c r="AT98" s="88"/>
      <c r="AU98" s="87" t="s">
        <v>55</v>
      </c>
      <c r="AV98" s="88"/>
      <c r="AW98" s="88"/>
      <c r="AX98" s="38" t="s">
        <v>56</v>
      </c>
      <c r="AY98" s="4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ht="12" customHeight="1">
      <c r="A99" s="1"/>
      <c r="B99" s="89" t="s">
        <v>47</v>
      </c>
      <c r="C99" s="54" t="s">
        <v>48</v>
      </c>
      <c r="D99" s="8" t="s">
        <v>49</v>
      </c>
      <c r="E99" s="8" t="s">
        <v>50</v>
      </c>
      <c r="F99" s="8" t="s">
        <v>104</v>
      </c>
      <c r="G99" s="8" t="s">
        <v>105</v>
      </c>
      <c r="H99" s="8" t="s">
        <v>51</v>
      </c>
      <c r="I99" s="91" t="s">
        <v>106</v>
      </c>
      <c r="J99" s="92" t="s">
        <v>107</v>
      </c>
      <c r="K99" s="92" t="s">
        <v>109</v>
      </c>
      <c r="L99" s="94" t="s">
        <v>110</v>
      </c>
      <c r="M99" s="6" t="s">
        <v>112</v>
      </c>
      <c r="N99" s="6" t="s">
        <v>113</v>
      </c>
      <c r="O99" s="6" t="s">
        <v>114</v>
      </c>
      <c r="P99" s="6" t="s">
        <v>115</v>
      </c>
      <c r="Q99" s="6" t="s">
        <v>116</v>
      </c>
      <c r="R99" s="9" t="s">
        <v>118</v>
      </c>
      <c r="S99" s="5" t="s">
        <v>52</v>
      </c>
      <c r="T99" s="6" t="s">
        <v>31</v>
      </c>
      <c r="U99" s="6" t="s">
        <v>32</v>
      </c>
      <c r="V99" s="6" t="s">
        <v>37</v>
      </c>
      <c r="W99" s="6" t="s">
        <v>38</v>
      </c>
      <c r="X99" s="9" t="s">
        <v>39</v>
      </c>
      <c r="Y99" s="5" t="s">
        <v>57</v>
      </c>
      <c r="Z99" s="6" t="s">
        <v>31</v>
      </c>
      <c r="AA99" s="6" t="s">
        <v>32</v>
      </c>
      <c r="AB99" s="6" t="s">
        <v>37</v>
      </c>
      <c r="AC99" s="6" t="s">
        <v>38</v>
      </c>
      <c r="AD99" s="9" t="s">
        <v>39</v>
      </c>
      <c r="AE99" s="95" t="s">
        <v>119</v>
      </c>
      <c r="AF99" s="96" t="s">
        <v>120</v>
      </c>
      <c r="AG99" s="96" t="s">
        <v>121</v>
      </c>
      <c r="AH99" s="96" t="s">
        <v>122</v>
      </c>
      <c r="AI99" s="96" t="s">
        <v>123</v>
      </c>
      <c r="AJ99" s="96" t="s">
        <v>124</v>
      </c>
      <c r="AK99" s="8" t="s">
        <v>125</v>
      </c>
      <c r="AL99" s="8" t="s">
        <v>126</v>
      </c>
      <c r="AM99" s="8" t="s">
        <v>127</v>
      </c>
      <c r="AN99" s="8" t="s">
        <v>128</v>
      </c>
      <c r="AO99" s="8" t="s">
        <v>129</v>
      </c>
      <c r="AP99" s="8" t="s">
        <v>130</v>
      </c>
      <c r="AQ99" s="8" t="s">
        <v>131</v>
      </c>
      <c r="AR99" s="5">
        <v>1</v>
      </c>
      <c r="AS99" s="6">
        <v>2</v>
      </c>
      <c r="AT99" s="9">
        <v>3</v>
      </c>
      <c r="AU99" s="5">
        <v>1</v>
      </c>
      <c r="AV99" s="6">
        <v>2</v>
      </c>
      <c r="AW99" s="6">
        <v>3</v>
      </c>
      <c r="AX99" s="5">
        <v>1</v>
      </c>
      <c r="AY99" s="9">
        <v>2</v>
      </c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ht="12" customHeight="1">
      <c r="A100" s="1"/>
      <c r="B100" s="97">
        <v>14</v>
      </c>
      <c r="C100" s="20">
        <v>10</v>
      </c>
      <c r="D100" s="123" t="s">
        <v>18</v>
      </c>
      <c r="E100" s="22" t="s">
        <v>164</v>
      </c>
      <c r="F100" s="54" t="s">
        <v>149</v>
      </c>
      <c r="G100" s="22"/>
      <c r="H100" s="24" t="s">
        <v>81</v>
      </c>
      <c r="I100" s="99">
        <f t="shared" ref="I100:I152" si="184">M100/AE100</f>
        <v>458.13378731707314</v>
      </c>
      <c r="J100" s="101">
        <f t="shared" ref="J100:J152" si="185">AH100/AE100</f>
        <v>26.05</v>
      </c>
      <c r="K100" s="124">
        <f t="shared" ref="K100:K152" si="186">RANK(I100,$I$44:$I$96)</f>
        <v>1</v>
      </c>
      <c r="L100" s="74"/>
      <c r="M100" s="100">
        <f t="shared" ref="M100:M151" si="187">SUM(N100:R100)</f>
        <v>9162.6757463414633</v>
      </c>
      <c r="N100" s="103">
        <f t="shared" ref="N100:N104" si="188">T100*(1+((AG100+IF(F100="백어택",20,0))/100)*(AI100/100-1))</f>
        <v>9162.6757463414633</v>
      </c>
      <c r="O100" s="103">
        <f>U100*(1+(($D$25+IF(F100="백어택",20,0))/100)*(AI100/100-1))</f>
        <v>0</v>
      </c>
      <c r="P100" s="103"/>
      <c r="Q100" s="103"/>
      <c r="R100" s="104"/>
      <c r="S100" s="100">
        <f t="shared" ref="S100:S132" si="189">SUM(T100:X100)</f>
        <v>5090.3754146341462</v>
      </c>
      <c r="T100" s="103">
        <f>AL100*IF(H100="근접",AT100,IF(AV100=1,AT100,1))*AX100*IF(F100="백어택",1.2,1)</f>
        <v>5090.3754146341462</v>
      </c>
      <c r="U100" s="103">
        <f>IF(AX100=1,AM100*IF(H100="근접",AT100,IF(AV100=1,AT100,1)),0)*AY100*IF(AX100=1,1,0)*IF(F100="백어택",1.2,1)</f>
        <v>0</v>
      </c>
      <c r="V100" s="103"/>
      <c r="W100" s="103"/>
      <c r="X100" s="104"/>
      <c r="Y100" s="100">
        <f t="shared" ref="Y100:Y152" si="190">SUM(Z100:AD100)</f>
        <v>10180.750829268292</v>
      </c>
      <c r="Z100" s="103">
        <f t="shared" ref="Z100:AA100" si="191">T100*$D$26/100</f>
        <v>10180.750829268292</v>
      </c>
      <c r="AA100" s="103">
        <f t="shared" si="191"/>
        <v>0</v>
      </c>
      <c r="AB100" s="103"/>
      <c r="AC100" s="103"/>
      <c r="AD100" s="104"/>
      <c r="AE100" s="100">
        <f>(AO100-AR100)*IF(AW100="보스대상",1,POWER(0.85,AW100))</f>
        <v>20</v>
      </c>
      <c r="AF100" s="102"/>
      <c r="AG100" s="102">
        <f>IF($D$25&gt;100,100,$D$25)+AU100</f>
        <v>60</v>
      </c>
      <c r="AH100" s="102">
        <f>AQ100</f>
        <v>521</v>
      </c>
      <c r="AI100" s="102">
        <f>$D$26</f>
        <v>200</v>
      </c>
      <c r="AJ100" s="125">
        <f>10*AS100/IF(AX100=1,IF(AY100=1,4.5,4),4)</f>
        <v>2.5</v>
      </c>
      <c r="AK100" s="102">
        <f t="shared" ref="AK100:AK127" si="192">SUM(AL100:AN100)</f>
        <v>2538.0878048780487</v>
      </c>
      <c r="AL100" s="102">
        <f>IF(AV100=1,$D$29*(VLOOKUP(C100,$B$4:$AG$7,25,FALSE)+VLOOKUP(C100,$B$8:$AG$11,25,FALSE)*$D$22),(IF(H100="근접",$D$29*(VLOOKUP(C100,$B$4:$AG$7,25,FALSE)+VLOOKUP(C100,$B$8:$AG$11,25,FALSE)*$D$22),$D$28*(VLOOKUP(C100,$B$4:$AG$7,25,FALSE)+VLOOKUP(C100,$B$8:$AG$11,25,FALSE)*$D$22))))*$D$27/100</f>
        <v>1514.9926829268295</v>
      </c>
      <c r="AM100" s="102">
        <f>(IF(AV100=1,$D$29*(VLOOKUP(C100,$B$4:$AG$7,26,FALSE)+VLOOKUP(C100,$B$8:$AG$11,26,FALSE)*$D$22),IF(H100="근접",$D$29*(VLOOKUP(C100,$B$4:$AG$7,26,FALSE)+VLOOKUP(C100,$B$8:$AG$11,26,FALSE)*$D$22),$D$28*(VLOOKUP(C100,$B$4:$AG$7,26,FALSE)+VLOOKUP(C100,$B$8:$AG$11,26,FALSE)*$D$22))))*$D$27/100</f>
        <v>1023.0951219512194</v>
      </c>
      <c r="AN100" s="102"/>
      <c r="AO100" s="6">
        <v>24</v>
      </c>
      <c r="AP100" s="22"/>
      <c r="AQ100" s="105">
        <f>VLOOKUP(C100,$B$13:$AA$16,25,FALSE)</f>
        <v>521</v>
      </c>
      <c r="AR100" s="5">
        <v>4</v>
      </c>
      <c r="AS100" s="6">
        <v>1</v>
      </c>
      <c r="AT100" s="9">
        <v>1</v>
      </c>
      <c r="AU100" s="5">
        <v>40</v>
      </c>
      <c r="AV100" s="6">
        <v>0</v>
      </c>
      <c r="AW100" s="6" t="s">
        <v>86</v>
      </c>
      <c r="AX100" s="5">
        <v>2.8</v>
      </c>
      <c r="AY100" s="9">
        <v>1</v>
      </c>
      <c r="AZ100" s="2"/>
      <c r="BA100" s="2"/>
      <c r="BB100" s="2"/>
      <c r="BC100" s="1"/>
      <c r="BD100" s="111"/>
      <c r="BE100" s="2"/>
      <c r="BF100" s="3"/>
      <c r="BG100" s="2"/>
      <c r="BH100" s="2"/>
      <c r="BI100" s="1"/>
      <c r="BJ100" s="1"/>
      <c r="BK100" s="1"/>
    </row>
    <row r="101" spans="1:63" ht="12" customHeight="1">
      <c r="A101" s="1"/>
      <c r="B101" s="107">
        <v>13</v>
      </c>
      <c r="C101" s="31">
        <v>10</v>
      </c>
      <c r="D101" s="111" t="s">
        <v>14</v>
      </c>
      <c r="E101" s="2" t="s">
        <v>164</v>
      </c>
      <c r="F101" s="25" t="s">
        <v>149</v>
      </c>
      <c r="G101" s="2"/>
      <c r="H101" s="33" t="s">
        <v>81</v>
      </c>
      <c r="I101" s="99">
        <f t="shared" si="184"/>
        <v>424.76750829268286</v>
      </c>
      <c r="J101" s="101">
        <f t="shared" si="185"/>
        <v>18.25</v>
      </c>
      <c r="K101" s="124">
        <f t="shared" si="186"/>
        <v>2</v>
      </c>
      <c r="L101" s="74"/>
      <c r="M101" s="99">
        <f t="shared" si="187"/>
        <v>15291.630298536584</v>
      </c>
      <c r="N101" s="101">
        <f t="shared" si="188"/>
        <v>2652.636951219512</v>
      </c>
      <c r="O101" s="101">
        <f>U101*(1+((AG101+IF(F101="백어택",20,0))/100)*(AI101/100-1))</f>
        <v>2652.636951219512</v>
      </c>
      <c r="P101" s="101">
        <f>V101*(1+((AG101+IF(F101="백어택",20,0))/100)*(AI101*IF(AX101=1,AW101,1)/100-1))</f>
        <v>3585.2088292682924</v>
      </c>
      <c r="Q101" s="101">
        <f>W101*(1+((AG101+IF(F101="백어택",20,0))/100)*(AI101*AW101/100-1))</f>
        <v>6401.1475668292678</v>
      </c>
      <c r="R101" s="109"/>
      <c r="S101" s="99">
        <f t="shared" si="189"/>
        <v>7742.5976195121948</v>
      </c>
      <c r="T101" s="101">
        <f>AL101*AY101*IF(F101="백어택",1.2,1)</f>
        <v>1343.1073170731706</v>
      </c>
      <c r="U101" s="101">
        <f>AM101*AY101*IF(F101="백어택",1.2,1)</f>
        <v>1343.1073170731706</v>
      </c>
      <c r="V101" s="101">
        <f>AN101*AY101*IF(F101="백어택",1.2,1)</f>
        <v>1815.2956097560973</v>
      </c>
      <c r="W101" s="101">
        <f>(T101+U101+V101)*IF(AX101=1,0,0.6)*IF(F101="백어택",1.2,1)</f>
        <v>3241.0873756097558</v>
      </c>
      <c r="X101" s="74"/>
      <c r="Y101" s="99">
        <f t="shared" si="190"/>
        <v>19356.494048780485</v>
      </c>
      <c r="Z101" s="101">
        <f>T101*AI101/100</f>
        <v>3357.7682926829266</v>
      </c>
      <c r="AA101" s="101">
        <f>U101*AI101/100</f>
        <v>3357.7682926829266</v>
      </c>
      <c r="AB101" s="101">
        <f>V101*AI101*IF(AX101=1,AW101,1)/100</f>
        <v>4538.2390243902428</v>
      </c>
      <c r="AC101" s="101">
        <f>W101*AI101*AW101/100</f>
        <v>8102.7184390243901</v>
      </c>
      <c r="AD101" s="74"/>
      <c r="AE101" s="99">
        <f>AO101</f>
        <v>36</v>
      </c>
      <c r="AF101" s="101"/>
      <c r="AG101" s="101">
        <f>IF($D$25+AU101&gt;100,100,$D$25+AU101)</f>
        <v>45</v>
      </c>
      <c r="AH101" s="101">
        <f>AQ101*AS101</f>
        <v>657</v>
      </c>
      <c r="AI101" s="101">
        <f>$D$26+IF(H101="근접",AR101,0)+IF(AY101=1,0,50)</f>
        <v>250</v>
      </c>
      <c r="AJ101" s="108">
        <f>10/3</f>
        <v>3.3333333333333335</v>
      </c>
      <c r="AK101" s="101">
        <f t="shared" si="192"/>
        <v>3751.2585365853656</v>
      </c>
      <c r="AL101" s="101">
        <f>(IF(H101="근접",$D$29*(VLOOKUP(C101,$B$4:$AG$7,19,FALSE)+VLOOKUP(C101,$B$8:$AG$11,19,FALSE)*$D$22),$D$28*(VLOOKUP(C101,$B$4:$AG$7,19,FALSE)+VLOOKUP(C101,$B$8:$AG$11,19,FALSE)*$D$22)))*$D$27/100</f>
        <v>1119.2560975609756</v>
      </c>
      <c r="AM101" s="101">
        <f>(IF(H101="근접",$D$29*(VLOOKUP(C101,$B$4:$AG$7,20,FALSE)+VLOOKUP(C101,$B$8:$AG$11,20,FALSE)*$D$22),$D$28*(VLOOKUP(C101,$B$4:$AG$7,20,FALSE)+VLOOKUP(C101,$B$8:$AG$11,20,FALSE)*$D$22)))*$D$27/100</f>
        <v>1119.2560975609756</v>
      </c>
      <c r="AN101" s="101">
        <f>(IF(H101="근접",$D$29*(VLOOKUP(C101,$B$4:$AG$7,21,FALSE)+VLOOKUP(C101,$B$8:$AG$11,21,FALSE)*$D$22),$D$28*(VLOOKUP(C101,$B$4:$AG$7,21,FALSE)+VLOOKUP(C101,$B$8:$AG$11,21,FALSE)*$D$22)))*$D$27/100</f>
        <v>1512.7463414634144</v>
      </c>
      <c r="AO101" s="1">
        <v>36</v>
      </c>
      <c r="AP101" s="2"/>
      <c r="AQ101" s="74">
        <f>VLOOKUP(C101,$B$13:$AA$16,19,FALSE)</f>
        <v>657</v>
      </c>
      <c r="AR101" s="10">
        <v>50</v>
      </c>
      <c r="AS101" s="1">
        <v>1</v>
      </c>
      <c r="AT101" s="11"/>
      <c r="AU101" s="10">
        <v>25</v>
      </c>
      <c r="AV101" s="1"/>
      <c r="AW101" s="1">
        <v>1</v>
      </c>
      <c r="AX101" s="10">
        <v>0.6</v>
      </c>
      <c r="AY101" s="11">
        <v>1</v>
      </c>
      <c r="AZ101" s="2"/>
      <c r="BA101" s="2"/>
      <c r="BB101" s="2"/>
      <c r="BC101" s="1"/>
      <c r="BD101" s="111"/>
      <c r="BE101" s="2"/>
      <c r="BF101" s="3"/>
      <c r="BG101" s="2"/>
      <c r="BH101" s="2"/>
      <c r="BI101" s="1"/>
      <c r="BJ101" s="1"/>
      <c r="BK101" s="1"/>
    </row>
    <row r="102" spans="1:63" ht="12" customHeight="1">
      <c r="A102" s="1"/>
      <c r="B102" s="107">
        <v>19</v>
      </c>
      <c r="C102" s="31">
        <v>10</v>
      </c>
      <c r="D102" s="111" t="s">
        <v>21</v>
      </c>
      <c r="E102" s="2" t="s">
        <v>157</v>
      </c>
      <c r="F102" s="25" t="s">
        <v>149</v>
      </c>
      <c r="G102" s="2" t="s">
        <v>177</v>
      </c>
      <c r="H102" s="33"/>
      <c r="I102" s="99">
        <f t="shared" si="184"/>
        <v>412.82238439024388</v>
      </c>
      <c r="J102" s="101">
        <f t="shared" si="185"/>
        <v>21.9</v>
      </c>
      <c r="K102" s="124">
        <f t="shared" si="186"/>
        <v>3</v>
      </c>
      <c r="L102" s="74"/>
      <c r="M102" s="99">
        <f t="shared" si="187"/>
        <v>12384.671531707316</v>
      </c>
      <c r="N102" s="108">
        <f t="shared" si="188"/>
        <v>12384.671531707316</v>
      </c>
      <c r="O102" s="108"/>
      <c r="P102" s="108"/>
      <c r="Q102" s="108"/>
      <c r="R102" s="109">
        <f>X102*(1+(AG102/100)*(AI102/100-1))</f>
        <v>0</v>
      </c>
      <c r="S102" s="99">
        <f t="shared" si="189"/>
        <v>8846.1939512195113</v>
      </c>
      <c r="T102" s="108">
        <f>AL102*AW102*AX102*AY102*IF(F102="백어택",1.2,1)</f>
        <v>8846.1939512195113</v>
      </c>
      <c r="U102" s="108"/>
      <c r="V102" s="108"/>
      <c r="W102" s="108"/>
      <c r="X102" s="109">
        <f>AL102*AS102+IF(AX102=1,AL102*AU102,AL102*AU102*2)</f>
        <v>0</v>
      </c>
      <c r="Y102" s="99">
        <f t="shared" si="190"/>
        <v>17692.387902439023</v>
      </c>
      <c r="Z102" s="108">
        <f t="shared" ref="Z102:Z104" si="193">T102*$D$26/100</f>
        <v>17692.387902439023</v>
      </c>
      <c r="AA102" s="108"/>
      <c r="AB102" s="108"/>
      <c r="AC102" s="108"/>
      <c r="AD102" s="109">
        <f>X102*$D$26/100</f>
        <v>0</v>
      </c>
      <c r="AE102" s="99">
        <f>AO102-AR102</f>
        <v>30</v>
      </c>
      <c r="AF102" s="101"/>
      <c r="AG102" s="101">
        <f>IF($D$25&gt;100,100,$D$25)</f>
        <v>20</v>
      </c>
      <c r="AH102" s="101">
        <f t="shared" ref="AH102:AH104" si="194">AQ102</f>
        <v>657</v>
      </c>
      <c r="AI102" s="101">
        <f t="shared" ref="AI102:AI104" si="195">$D$26</f>
        <v>200</v>
      </c>
      <c r="AJ102" s="108">
        <f>10/6</f>
        <v>1.6666666666666667</v>
      </c>
      <c r="AK102" s="101">
        <f t="shared" si="192"/>
        <v>3071.5951219512194</v>
      </c>
      <c r="AL102" s="101">
        <f>(VLOOKUP(C102,$B$4:$AG$7,31,FALSE)+VLOOKUP(C102,$B$8:$AG$11,31,FALSE)*$D$22)*$D$27/100</f>
        <v>3071.5951219512194</v>
      </c>
      <c r="AM102" s="101"/>
      <c r="AN102" s="101"/>
      <c r="AO102" s="1">
        <v>36</v>
      </c>
      <c r="AP102" s="2"/>
      <c r="AQ102" s="74">
        <f>VLOOKUP(C102,$B$13:$AG$16,31,FALSE)</f>
        <v>657</v>
      </c>
      <c r="AR102" s="10">
        <v>6</v>
      </c>
      <c r="AS102" s="1">
        <v>0</v>
      </c>
      <c r="AT102" s="11"/>
      <c r="AU102" s="10">
        <v>0</v>
      </c>
      <c r="AV102" s="1"/>
      <c r="AW102" s="1">
        <v>1.5</v>
      </c>
      <c r="AX102" s="10">
        <v>1</v>
      </c>
      <c r="AY102" s="11">
        <v>1.6</v>
      </c>
      <c r="AZ102" s="2"/>
      <c r="BA102" s="2"/>
      <c r="BB102" s="2"/>
      <c r="BC102" s="1"/>
      <c r="BD102" s="113"/>
      <c r="BE102" s="2"/>
      <c r="BF102" s="2"/>
      <c r="BG102" s="2"/>
      <c r="BH102" s="2"/>
      <c r="BI102" s="2"/>
      <c r="BJ102" s="2"/>
      <c r="BK102" s="2"/>
    </row>
    <row r="103" spans="1:63" ht="12" customHeight="1">
      <c r="A103" s="1"/>
      <c r="B103" s="107">
        <v>15</v>
      </c>
      <c r="C103" s="31">
        <v>10</v>
      </c>
      <c r="D103" s="111" t="s">
        <v>18</v>
      </c>
      <c r="E103" s="2" t="s">
        <v>154</v>
      </c>
      <c r="F103" s="25" t="s">
        <v>149</v>
      </c>
      <c r="G103" s="2"/>
      <c r="H103" s="33" t="s">
        <v>81</v>
      </c>
      <c r="I103" s="99">
        <f t="shared" si="184"/>
        <v>385.07935609756095</v>
      </c>
      <c r="J103" s="101">
        <f t="shared" si="185"/>
        <v>26.05</v>
      </c>
      <c r="K103" s="124">
        <f t="shared" si="186"/>
        <v>4</v>
      </c>
      <c r="L103" s="74"/>
      <c r="M103" s="99">
        <f t="shared" si="187"/>
        <v>7701.5871219512192</v>
      </c>
      <c r="N103" s="108">
        <f t="shared" si="188"/>
        <v>2545.1877073170735</v>
      </c>
      <c r="O103" s="108">
        <f t="shared" ref="O103:O104" si="196">U103*(1+(($D$25+IF(F103="백어택",20,0))/100)*(AI103/100-1))</f>
        <v>5156.3994146341456</v>
      </c>
      <c r="P103" s="108"/>
      <c r="Q103" s="108"/>
      <c r="R103" s="109"/>
      <c r="S103" s="99">
        <f t="shared" si="189"/>
        <v>5501.1336585365852</v>
      </c>
      <c r="T103" s="108">
        <f t="shared" ref="T103:T104" si="197">AL103*IF(H103="근접",AT103,IF(AV103=1,AT103,1))*AX103*IF(F103="백어택",1.2,1)</f>
        <v>1817.9912195121954</v>
      </c>
      <c r="U103" s="108">
        <f t="shared" ref="U103:U104" si="198">IF(AX103=1,AM103*IF(H103="근접",AT103,IF(AV103=1,AT103,1)),0)*AY103*IF(AX103=1,1,0)*IF(F103="백어택",1.2,1)</f>
        <v>3683.1424390243897</v>
      </c>
      <c r="V103" s="108"/>
      <c r="W103" s="108"/>
      <c r="X103" s="109"/>
      <c r="Y103" s="99">
        <f t="shared" si="190"/>
        <v>11002.26731707317</v>
      </c>
      <c r="Z103" s="108">
        <f t="shared" si="193"/>
        <v>3635.9824390243907</v>
      </c>
      <c r="AA103" s="108">
        <f t="shared" ref="AA103:AA104" si="199">U103*$D$26/100</f>
        <v>7366.2848780487793</v>
      </c>
      <c r="AB103" s="108"/>
      <c r="AC103" s="108"/>
      <c r="AD103" s="109"/>
      <c r="AE103" s="99">
        <f t="shared" ref="AE103:AE104" si="200">(AO103-AR103)*IF(AW103="보스대상",1,POWER(0.85,AW103))</f>
        <v>20</v>
      </c>
      <c r="AF103" s="101"/>
      <c r="AG103" s="101">
        <f t="shared" ref="AG103:AG104" si="201">IF($D$25&gt;100,100,$D$25)+AU103</f>
        <v>20</v>
      </c>
      <c r="AH103" s="101">
        <f t="shared" si="194"/>
        <v>521</v>
      </c>
      <c r="AI103" s="101">
        <f t="shared" si="195"/>
        <v>200</v>
      </c>
      <c r="AJ103" s="112">
        <f t="shared" ref="AJ103:AJ104" si="202">10*AS103/IF(AX103=1,IF(AY103=1,4.5,4),4)</f>
        <v>2.5</v>
      </c>
      <c r="AK103" s="101">
        <f t="shared" si="192"/>
        <v>2538.0878048780487</v>
      </c>
      <c r="AL103" s="101">
        <f t="shared" ref="AL103:AL104" si="203">IF(AV103=1,$D$29*(VLOOKUP(C103,$B$4:$AG$7,25,FALSE)+VLOOKUP(C103,$B$8:$AG$11,25,FALSE)*$D$22),(IF(H103="근접",$D$29*(VLOOKUP(C103,$B$4:$AG$7,25,FALSE)+VLOOKUP(C103,$B$8:$AG$11,25,FALSE)*$D$22),$D$28*(VLOOKUP(C103,$B$4:$AG$7,25,FALSE)+VLOOKUP(C103,$B$8:$AG$11,25,FALSE)*$D$22))))*$D$27/100</f>
        <v>1514.9926829268295</v>
      </c>
      <c r="AM103" s="101">
        <f t="shared" ref="AM103:AM104" si="204">(IF(AV103=1,$D$29*(VLOOKUP(C103,$B$4:$AG$7,26,FALSE)+VLOOKUP(C103,$B$8:$AG$11,26,FALSE)*$D$22),IF(H103="근접",$D$29*(VLOOKUP(C103,$B$4:$AG$7,26,FALSE)+VLOOKUP(C103,$B$8:$AG$11,26,FALSE)*$D$22),$D$28*(VLOOKUP(C103,$B$4:$AG$7,26,FALSE)+VLOOKUP(C103,$B$8:$AG$11,26,FALSE)*$D$22))))*$D$27/100</f>
        <v>1023.0951219512194</v>
      </c>
      <c r="AN103" s="101"/>
      <c r="AO103" s="1">
        <v>24</v>
      </c>
      <c r="AP103" s="2"/>
      <c r="AQ103" s="74">
        <f t="shared" ref="AQ103:AQ104" si="205">VLOOKUP(C103,$B$13:$AA$16,25,FALSE)</f>
        <v>521</v>
      </c>
      <c r="AR103" s="10">
        <v>4</v>
      </c>
      <c r="AS103" s="1">
        <v>1</v>
      </c>
      <c r="AT103" s="11">
        <v>1</v>
      </c>
      <c r="AU103" s="10">
        <v>0</v>
      </c>
      <c r="AV103" s="1">
        <v>1</v>
      </c>
      <c r="AW103" s="1" t="s">
        <v>86</v>
      </c>
      <c r="AX103" s="10">
        <v>1</v>
      </c>
      <c r="AY103" s="11">
        <v>3</v>
      </c>
      <c r="AZ103" s="2"/>
      <c r="BA103" s="2"/>
      <c r="BB103" s="2"/>
      <c r="BC103" s="1"/>
      <c r="BD103" s="111"/>
      <c r="BE103" s="2"/>
      <c r="BF103" s="3"/>
      <c r="BG103" s="2"/>
      <c r="BH103" s="2"/>
      <c r="BI103" s="1"/>
      <c r="BJ103" s="1"/>
      <c r="BK103" s="1"/>
    </row>
    <row r="104" spans="1:63" ht="12" customHeight="1">
      <c r="A104" s="1"/>
      <c r="B104" s="107">
        <v>15</v>
      </c>
      <c r="C104" s="31">
        <v>10</v>
      </c>
      <c r="D104" s="111" t="s">
        <v>18</v>
      </c>
      <c r="E104" s="2" t="s">
        <v>154</v>
      </c>
      <c r="F104" s="25" t="s">
        <v>149</v>
      </c>
      <c r="G104" s="2"/>
      <c r="H104" s="33" t="s">
        <v>80</v>
      </c>
      <c r="I104" s="99">
        <f t="shared" si="184"/>
        <v>385.07935609756095</v>
      </c>
      <c r="J104" s="101">
        <f t="shared" si="185"/>
        <v>26.05</v>
      </c>
      <c r="K104" s="124">
        <f t="shared" si="186"/>
        <v>4</v>
      </c>
      <c r="L104" s="74"/>
      <c r="M104" s="99">
        <f t="shared" si="187"/>
        <v>7701.5871219512192</v>
      </c>
      <c r="N104" s="108">
        <f t="shared" si="188"/>
        <v>2545.1877073170735</v>
      </c>
      <c r="O104" s="108">
        <f t="shared" si="196"/>
        <v>5156.3994146341456</v>
      </c>
      <c r="P104" s="108"/>
      <c r="Q104" s="108"/>
      <c r="R104" s="109"/>
      <c r="S104" s="99">
        <f t="shared" si="189"/>
        <v>5501.1336585365852</v>
      </c>
      <c r="T104" s="108">
        <f t="shared" si="197"/>
        <v>1817.9912195121954</v>
      </c>
      <c r="U104" s="108">
        <f t="shared" si="198"/>
        <v>3683.1424390243897</v>
      </c>
      <c r="V104" s="108"/>
      <c r="W104" s="108"/>
      <c r="X104" s="109"/>
      <c r="Y104" s="99">
        <f t="shared" si="190"/>
        <v>11002.26731707317</v>
      </c>
      <c r="Z104" s="108">
        <f t="shared" si="193"/>
        <v>3635.9824390243907</v>
      </c>
      <c r="AA104" s="108">
        <f t="shared" si="199"/>
        <v>7366.2848780487793</v>
      </c>
      <c r="AB104" s="108"/>
      <c r="AC104" s="108"/>
      <c r="AD104" s="109"/>
      <c r="AE104" s="99">
        <f t="shared" si="200"/>
        <v>20</v>
      </c>
      <c r="AF104" s="101"/>
      <c r="AG104" s="101">
        <f t="shared" si="201"/>
        <v>20</v>
      </c>
      <c r="AH104" s="101">
        <f t="shared" si="194"/>
        <v>521</v>
      </c>
      <c r="AI104" s="101">
        <f t="shared" si="195"/>
        <v>200</v>
      </c>
      <c r="AJ104" s="112">
        <f t="shared" si="202"/>
        <v>2.5</v>
      </c>
      <c r="AK104" s="101">
        <f t="shared" si="192"/>
        <v>2538.0878048780487</v>
      </c>
      <c r="AL104" s="101">
        <f t="shared" si="203"/>
        <v>1514.9926829268295</v>
      </c>
      <c r="AM104" s="101">
        <f t="shared" si="204"/>
        <v>1023.0951219512194</v>
      </c>
      <c r="AN104" s="101"/>
      <c r="AO104" s="1">
        <v>24</v>
      </c>
      <c r="AP104" s="2"/>
      <c r="AQ104" s="74">
        <f t="shared" si="205"/>
        <v>521</v>
      </c>
      <c r="AR104" s="10">
        <v>4</v>
      </c>
      <c r="AS104" s="1">
        <v>1</v>
      </c>
      <c r="AT104" s="11">
        <v>1</v>
      </c>
      <c r="AU104" s="10">
        <v>0</v>
      </c>
      <c r="AV104" s="1">
        <v>1</v>
      </c>
      <c r="AW104" s="1" t="s">
        <v>86</v>
      </c>
      <c r="AX104" s="10">
        <v>1</v>
      </c>
      <c r="AY104" s="11">
        <v>3</v>
      </c>
      <c r="AZ104" s="2"/>
      <c r="BA104" s="2"/>
      <c r="BB104" s="2"/>
      <c r="BC104" s="1"/>
      <c r="BD104" s="111"/>
      <c r="BE104" s="2"/>
      <c r="BF104" s="3"/>
      <c r="BG104" s="2"/>
      <c r="BH104" s="2"/>
      <c r="BI104" s="1"/>
      <c r="BJ104" s="1"/>
      <c r="BK104" s="2"/>
    </row>
    <row r="105" spans="1:63" ht="12" customHeight="1">
      <c r="A105" s="1"/>
      <c r="B105" s="107">
        <v>17</v>
      </c>
      <c r="C105" s="31">
        <v>10</v>
      </c>
      <c r="D105" s="111" t="s">
        <v>8</v>
      </c>
      <c r="E105" s="2" t="s">
        <v>164</v>
      </c>
      <c r="F105" s="25" t="s">
        <v>149</v>
      </c>
      <c r="G105" s="2"/>
      <c r="H105" s="33" t="s">
        <v>81</v>
      </c>
      <c r="I105" s="99">
        <f t="shared" si="184"/>
        <v>349.02280975609756</v>
      </c>
      <c r="J105" s="101">
        <f t="shared" si="185"/>
        <v>30.391666666666666</v>
      </c>
      <c r="K105" s="124">
        <f t="shared" si="186"/>
        <v>6</v>
      </c>
      <c r="L105" s="74"/>
      <c r="M105" s="99">
        <f t="shared" si="187"/>
        <v>8376.5474341463414</v>
      </c>
      <c r="N105" s="108">
        <f>T105*(1+((AG105+IF(F105="백어택",20,0))/100)*(IF(AY105=1,$D$26,$D$26+50)/100-1))</f>
        <v>2358.1510243902439</v>
      </c>
      <c r="O105" s="108">
        <f>U105*(1+((AG105+IF(F105="백어택",20,0))/100)*(AI105/100-1))</f>
        <v>3009.1982048780483</v>
      </c>
      <c r="P105" s="108">
        <f>V105*(1+((AG105+IF(F105="백어택",20,0))/100)*(AI105/100-1))</f>
        <v>3009.1982048780483</v>
      </c>
      <c r="Q105" s="108"/>
      <c r="R105" s="109"/>
      <c r="S105" s="99">
        <f t="shared" si="189"/>
        <v>5076.6954146341459</v>
      </c>
      <c r="T105" s="108">
        <f>AL105*IF(H105="근접",AR105,1)*AY105*IF(F105="백어택",1.2,1)</f>
        <v>1429.1824390243903</v>
      </c>
      <c r="U105" s="108">
        <f>AM105*IF(H105="근접",AR105,1)*AY105*IF(F105="백어택",1.2,1)</f>
        <v>1823.7564878048779</v>
      </c>
      <c r="V105" s="108">
        <f>IF(AX105=1,0,AM105*IF(H105="근접",AR105,1)*AY105)*IF(F105="백어택",1.2,1)</f>
        <v>1823.7564878048779</v>
      </c>
      <c r="W105" s="108"/>
      <c r="X105" s="109"/>
      <c r="Y105" s="99">
        <f t="shared" si="190"/>
        <v>10153.390829268292</v>
      </c>
      <c r="Z105" s="108">
        <f>T105*IF(AY105=1,$D$26,$D$26+50)/100</f>
        <v>2858.3648780487802</v>
      </c>
      <c r="AA105" s="108">
        <f>U105*AI105/100</f>
        <v>3647.5129756097558</v>
      </c>
      <c r="AB105" s="108">
        <f>V105*AI105/100</f>
        <v>3647.5129756097558</v>
      </c>
      <c r="AC105" s="108"/>
      <c r="AD105" s="109"/>
      <c r="AE105" s="99">
        <f>AO105</f>
        <v>24</v>
      </c>
      <c r="AF105" s="101"/>
      <c r="AG105" s="101">
        <f>IF($D$25+AU105&gt;100,100,$D$25+AU105)</f>
        <v>45</v>
      </c>
      <c r="AH105" s="101">
        <f>IF(AX105=1,AQ105,AQ105*1.4)</f>
        <v>729.4</v>
      </c>
      <c r="AI105" s="101">
        <f>IF(AY105=1,$D$26,$D$26+50)*AW105</f>
        <v>200</v>
      </c>
      <c r="AJ105" s="108">
        <f>10/6/AX105</f>
        <v>1.1111111111111112</v>
      </c>
      <c r="AK105" s="101">
        <f t="shared" si="192"/>
        <v>2258.9853658536585</v>
      </c>
      <c r="AL105" s="101">
        <f>(IF(H105="근접",$D$29*(VLOOKUP(C105,$B$4:$AG$7,9,FALSE)+VLOOKUP(C105,$B$8:$AG$11,9,FALSE)*$D$22),$D$28*(VLOOKUP(C105,$B$4:$AG$7,9,FALSE)+VLOOKUP(C105,$B$8:$AG$11,9,FALSE)*$D$22)))*$D$27/100</f>
        <v>992.48780487804879</v>
      </c>
      <c r="AM105" s="101">
        <f>(IF(H105="근접",$D$29*(VLOOKUP(C105,$B$4:$AG$7,10,FALSE)+VLOOKUP(C105,$B$8:$AG$11,10,FALSE)*$D$22),$D$28*(VLOOKUP(C105,$B$4:$AG$7,10,FALSE)+VLOOKUP(C105,$B$8:$AG$11,10,FALSE)*$D$22)))*$D$27/100</f>
        <v>1266.4975609756098</v>
      </c>
      <c r="AN105" s="101"/>
      <c r="AO105" s="1">
        <v>24</v>
      </c>
      <c r="AP105" s="2"/>
      <c r="AQ105" s="74">
        <f>VLOOKUP(C105,$B$13:$AA$16,9,FALSE)</f>
        <v>521</v>
      </c>
      <c r="AR105" s="10">
        <v>1.2</v>
      </c>
      <c r="AS105" s="1"/>
      <c r="AT105" s="11"/>
      <c r="AU105" s="10">
        <v>25</v>
      </c>
      <c r="AV105" s="1"/>
      <c r="AW105" s="1">
        <v>1</v>
      </c>
      <c r="AX105" s="10">
        <v>1.5</v>
      </c>
      <c r="AY105" s="11">
        <v>1</v>
      </c>
      <c r="AZ105" s="2"/>
      <c r="BA105" s="2"/>
      <c r="BB105" s="2"/>
      <c r="BC105" s="1"/>
      <c r="BD105" s="111"/>
      <c r="BE105" s="2"/>
      <c r="BF105" s="3"/>
      <c r="BG105" s="2"/>
      <c r="BH105" s="2"/>
      <c r="BI105" s="1"/>
      <c r="BJ105" s="1"/>
      <c r="BK105" s="2"/>
    </row>
    <row r="106" spans="1:63" ht="12" customHeight="1">
      <c r="A106" s="1"/>
      <c r="B106" s="107">
        <v>14</v>
      </c>
      <c r="C106" s="31">
        <v>10</v>
      </c>
      <c r="D106" s="111" t="s">
        <v>18</v>
      </c>
      <c r="E106" s="2" t="s">
        <v>164</v>
      </c>
      <c r="F106" s="25"/>
      <c r="G106" s="2"/>
      <c r="H106" s="33" t="s">
        <v>81</v>
      </c>
      <c r="I106" s="99">
        <f t="shared" si="184"/>
        <v>339.3583609756098</v>
      </c>
      <c r="J106" s="101">
        <f t="shared" si="185"/>
        <v>26.05</v>
      </c>
      <c r="K106" s="124">
        <f t="shared" si="186"/>
        <v>7</v>
      </c>
      <c r="L106" s="74"/>
      <c r="M106" s="99">
        <f t="shared" si="187"/>
        <v>6787.1672195121955</v>
      </c>
      <c r="N106" s="108">
        <f t="shared" ref="N106:N107" si="206">T106*(1+((AG106+IF(F106="백어택",20,0))/100)*(AI106/100-1))</f>
        <v>6787.1672195121955</v>
      </c>
      <c r="O106" s="108">
        <f>U106*(1+(($D$25+IF(F106="백어택",20,0))/100)*(AI106/100-1))</f>
        <v>0</v>
      </c>
      <c r="P106" s="108"/>
      <c r="Q106" s="108"/>
      <c r="R106" s="109"/>
      <c r="S106" s="99">
        <f t="shared" si="189"/>
        <v>4241.979512195122</v>
      </c>
      <c r="T106" s="108">
        <f>AL106*IF(H106="근접",AT106,IF(AV106=1,AT106,1))*AX106*IF(F106="백어택",1.2,1)</f>
        <v>4241.979512195122</v>
      </c>
      <c r="U106" s="108">
        <f>IF(AX106=1,AM106*IF(H106="근접",AT106,IF(AV106=1,AT106,1)),0)*AY106*IF(AX106=1,1,0)*IF(F106="백어택",1.2,1)</f>
        <v>0</v>
      </c>
      <c r="V106" s="108"/>
      <c r="W106" s="108"/>
      <c r="X106" s="109"/>
      <c r="Y106" s="99">
        <f t="shared" si="190"/>
        <v>8483.9590243902439</v>
      </c>
      <c r="Z106" s="108">
        <f t="shared" ref="Z106:AA106" si="207">T106*$D$26/100</f>
        <v>8483.9590243902439</v>
      </c>
      <c r="AA106" s="108">
        <f t="shared" si="207"/>
        <v>0</v>
      </c>
      <c r="AB106" s="108"/>
      <c r="AC106" s="108"/>
      <c r="AD106" s="109"/>
      <c r="AE106" s="99">
        <f>(AO106-AR106)*IF(AW106="보스대상",1,POWER(0.85,AW106))</f>
        <v>20</v>
      </c>
      <c r="AF106" s="101"/>
      <c r="AG106" s="101">
        <f>IF($D$25&gt;100,100,$D$25)+AU106</f>
        <v>60</v>
      </c>
      <c r="AH106" s="101">
        <f t="shared" ref="AH106:AH111" si="208">AQ106</f>
        <v>521</v>
      </c>
      <c r="AI106" s="101">
        <f>$D$26</f>
        <v>200</v>
      </c>
      <c r="AJ106" s="112">
        <f>10*AS106/IF(AX106=1,IF(AY106=1,4.5,4),4)</f>
        <v>2.5</v>
      </c>
      <c r="AK106" s="101">
        <f t="shared" si="192"/>
        <v>2538.0878048780487</v>
      </c>
      <c r="AL106" s="101">
        <f>IF(AV106=1,$D$29*(VLOOKUP(C106,$B$4:$AG$7,25,FALSE)+VLOOKUP(C106,$B$8:$AG$11,25,FALSE)*$D$22),(IF(H106="근접",$D$29*(VLOOKUP(C106,$B$4:$AG$7,25,FALSE)+VLOOKUP(C106,$B$8:$AG$11,25,FALSE)*$D$22),$D$28*(VLOOKUP(C106,$B$4:$AG$7,25,FALSE)+VLOOKUP(C106,$B$8:$AG$11,25,FALSE)*$D$22))))*$D$27/100</f>
        <v>1514.9926829268295</v>
      </c>
      <c r="AM106" s="101">
        <f>(IF(AV106=1,$D$29*(VLOOKUP(C106,$B$4:$AG$7,26,FALSE)+VLOOKUP(C106,$B$8:$AG$11,26,FALSE)*$D$22),IF(H106="근접",$D$29*(VLOOKUP(C106,$B$4:$AG$7,26,FALSE)+VLOOKUP(C106,$B$8:$AG$11,26,FALSE)*$D$22),$D$28*(VLOOKUP(C106,$B$4:$AG$7,26,FALSE)+VLOOKUP(C106,$B$8:$AG$11,26,FALSE)*$D$22))))*$D$27/100</f>
        <v>1023.0951219512194</v>
      </c>
      <c r="AN106" s="101"/>
      <c r="AO106" s="1">
        <v>24</v>
      </c>
      <c r="AP106" s="2"/>
      <c r="AQ106" s="74">
        <f>VLOOKUP(C106,$B$13:$AA$16,25,FALSE)</f>
        <v>521</v>
      </c>
      <c r="AR106" s="10">
        <v>4</v>
      </c>
      <c r="AS106" s="1">
        <v>1</v>
      </c>
      <c r="AT106" s="11">
        <v>1</v>
      </c>
      <c r="AU106" s="10">
        <v>40</v>
      </c>
      <c r="AV106" s="1">
        <v>0</v>
      </c>
      <c r="AW106" s="1" t="s">
        <v>86</v>
      </c>
      <c r="AX106" s="10">
        <v>2.8</v>
      </c>
      <c r="AY106" s="11">
        <v>1</v>
      </c>
      <c r="AZ106" s="2"/>
      <c r="BA106" s="2"/>
      <c r="BB106" s="2"/>
      <c r="BC106" s="1"/>
      <c r="BD106" s="111"/>
      <c r="BE106" s="2"/>
      <c r="BF106" s="3"/>
      <c r="BG106" s="2"/>
      <c r="BH106" s="2"/>
      <c r="BI106" s="1"/>
      <c r="BJ106" s="1"/>
      <c r="BK106" s="1"/>
    </row>
    <row r="107" spans="1:63" ht="12" customHeight="1">
      <c r="A107" s="1"/>
      <c r="B107" s="107">
        <v>9</v>
      </c>
      <c r="C107" s="31">
        <v>10</v>
      </c>
      <c r="D107" s="106" t="s">
        <v>10</v>
      </c>
      <c r="E107" s="2" t="s">
        <v>138</v>
      </c>
      <c r="F107" s="25" t="s">
        <v>149</v>
      </c>
      <c r="G107" s="2" t="s">
        <v>137</v>
      </c>
      <c r="H107" s="33"/>
      <c r="I107" s="99">
        <f t="shared" si="184"/>
        <v>328.75884146341457</v>
      </c>
      <c r="J107" s="101">
        <f t="shared" si="185"/>
        <v>25.75</v>
      </c>
      <c r="K107" s="124">
        <f t="shared" si="186"/>
        <v>8</v>
      </c>
      <c r="L107" s="74"/>
      <c r="M107" s="99">
        <f t="shared" si="187"/>
        <v>5260.1414634146331</v>
      </c>
      <c r="N107" s="108">
        <f t="shared" si="206"/>
        <v>5260.1414634146331</v>
      </c>
      <c r="O107" s="108"/>
      <c r="P107" s="108"/>
      <c r="Q107" s="108"/>
      <c r="R107" s="109"/>
      <c r="S107" s="99">
        <f t="shared" si="189"/>
        <v>3757.2439024390237</v>
      </c>
      <c r="T107" s="108">
        <f>AL107*AS107*AU107*AX107*IF(AY107=0,1,0.5)*IF(F107="백어택",1.2,1)</f>
        <v>3757.2439024390237</v>
      </c>
      <c r="U107" s="108"/>
      <c r="V107" s="108"/>
      <c r="W107" s="108"/>
      <c r="X107" s="109"/>
      <c r="Y107" s="99">
        <f t="shared" si="190"/>
        <v>7514.4878048780483</v>
      </c>
      <c r="Z107" s="108">
        <f>T107*AI107/100</f>
        <v>7514.4878048780483</v>
      </c>
      <c r="AA107" s="108"/>
      <c r="AB107" s="108"/>
      <c r="AC107" s="108"/>
      <c r="AD107" s="109"/>
      <c r="AE107" s="99">
        <f>AO107</f>
        <v>16</v>
      </c>
      <c r="AF107" s="101"/>
      <c r="AG107" s="101">
        <f>IF($D$25+AV107&gt;100,100,$D$25+AV107)</f>
        <v>20</v>
      </c>
      <c r="AH107" s="101">
        <f t="shared" si="208"/>
        <v>412</v>
      </c>
      <c r="AI107" s="101">
        <f>$D$26+AY107</f>
        <v>200</v>
      </c>
      <c r="AJ107" s="108">
        <f>10*AR107/(7-IF(AX107=1,0,3))</f>
        <v>1.4285714285714286</v>
      </c>
      <c r="AK107" s="101">
        <f t="shared" si="192"/>
        <v>2504.8292682926826</v>
      </c>
      <c r="AL107" s="101">
        <f>(VLOOKUP(C107,$B$4:$AG$7,13,FALSE)+VLOOKUP(C107,$B$8:$AG$11,13,FALSE)*$D$22)*$D$27/100</f>
        <v>2504.8292682926826</v>
      </c>
      <c r="AM107" s="101"/>
      <c r="AN107" s="101"/>
      <c r="AO107" s="1">
        <v>16</v>
      </c>
      <c r="AP107" s="2"/>
      <c r="AQ107" s="74">
        <f>VLOOKUP(C107,$B$13:$AA$16,13,FALSE)</f>
        <v>412</v>
      </c>
      <c r="AR107" s="10">
        <v>1</v>
      </c>
      <c r="AS107" s="1">
        <v>1</v>
      </c>
      <c r="AT107" s="11"/>
      <c r="AU107" s="10">
        <v>1.25</v>
      </c>
      <c r="AV107" s="1">
        <v>0</v>
      </c>
      <c r="AW107" s="1"/>
      <c r="AX107" s="10">
        <v>1</v>
      </c>
      <c r="AY107" s="11">
        <v>0</v>
      </c>
      <c r="AZ107" s="2"/>
      <c r="BA107" s="2"/>
      <c r="BB107" s="2"/>
      <c r="BC107" s="1"/>
      <c r="BD107" s="106"/>
      <c r="BE107" s="2"/>
      <c r="BF107" s="2"/>
      <c r="BG107" s="2"/>
      <c r="BH107" s="2"/>
      <c r="BI107" s="1"/>
      <c r="BJ107" s="1"/>
      <c r="BK107" s="1"/>
    </row>
    <row r="108" spans="1:63" ht="12" customHeight="1">
      <c r="A108" s="1"/>
      <c r="B108" s="107">
        <v>4</v>
      </c>
      <c r="C108" s="31">
        <v>10</v>
      </c>
      <c r="D108" s="106" t="s">
        <v>3</v>
      </c>
      <c r="E108" s="2" t="s">
        <v>139</v>
      </c>
      <c r="F108" s="25"/>
      <c r="G108" s="2"/>
      <c r="H108" s="33"/>
      <c r="I108" s="99">
        <f t="shared" si="184"/>
        <v>320.8624390243902</v>
      </c>
      <c r="J108" s="101">
        <f t="shared" si="185"/>
        <v>39.166666666666664</v>
      </c>
      <c r="K108" s="124">
        <f t="shared" si="186"/>
        <v>9</v>
      </c>
      <c r="L108" s="74"/>
      <c r="M108" s="99">
        <f t="shared" si="187"/>
        <v>1925.1746341463413</v>
      </c>
      <c r="N108" s="108">
        <f>T108*(1+(AG108/100)*(AI108/100-1))</f>
        <v>962.58731707317065</v>
      </c>
      <c r="O108" s="108"/>
      <c r="P108" s="108"/>
      <c r="Q108" s="108"/>
      <c r="R108" s="109">
        <f t="shared" ref="R108:R109" si="209">X108*(1+(AG108/100)*(AI108/100-1))</f>
        <v>962.58731707317065</v>
      </c>
      <c r="S108" s="99">
        <f t="shared" si="189"/>
        <v>1604.3121951219512</v>
      </c>
      <c r="T108" s="108">
        <f>AL108*AU108*AV108*AW108*AX108</f>
        <v>802.15609756097558</v>
      </c>
      <c r="U108" s="108"/>
      <c r="V108" s="108"/>
      <c r="W108" s="108"/>
      <c r="X108" s="109">
        <f>AL108*AU108*AV108*IF(AW108=1,1,0.25)*AX108*AY108</f>
        <v>802.15609756097558</v>
      </c>
      <c r="Y108" s="99">
        <f t="shared" si="190"/>
        <v>3208.6243902439023</v>
      </c>
      <c r="Z108" s="108">
        <f t="shared" ref="Z108:Z113" si="210">T108*$D$26/100</f>
        <v>1604.3121951219512</v>
      </c>
      <c r="AA108" s="108"/>
      <c r="AB108" s="108"/>
      <c r="AC108" s="108"/>
      <c r="AD108" s="109">
        <f t="shared" ref="AD108:AD109" si="211">X108*$D$26/100</f>
        <v>1604.3121951219512</v>
      </c>
      <c r="AE108" s="99">
        <f>IF(AV108=1,AO108,AO108+6)</f>
        <v>6</v>
      </c>
      <c r="AF108" s="101"/>
      <c r="AG108" s="101">
        <f t="shared" ref="AG108:AG110" si="212">IF($D$25&gt;100,100,$D$25)</f>
        <v>20</v>
      </c>
      <c r="AH108" s="101">
        <f t="shared" si="208"/>
        <v>235</v>
      </c>
      <c r="AI108" s="101">
        <f t="shared" ref="AI108:AI115" si="213">$D$26</f>
        <v>200</v>
      </c>
      <c r="AJ108" s="108">
        <f>10/13</f>
        <v>0.76923076923076927</v>
      </c>
      <c r="AK108" s="101">
        <f t="shared" si="192"/>
        <v>534.77073170731705</v>
      </c>
      <c r="AL108" s="101">
        <f>(VLOOKUP(C108,$B$4:$AG$7,3,FALSE)+VLOOKUP(C108,$B$8:$AG$11,3,FALSE)*$D$22)*$D$27/100</f>
        <v>534.77073170731705</v>
      </c>
      <c r="AM108" s="101"/>
      <c r="AN108" s="101"/>
      <c r="AO108" s="1">
        <v>6</v>
      </c>
      <c r="AP108" s="2"/>
      <c r="AQ108" s="74">
        <f>VLOOKUP(C108,$B$13:$AA$16,3,FALSE)</f>
        <v>235</v>
      </c>
      <c r="AR108" s="10"/>
      <c r="AS108" s="1"/>
      <c r="AT108" s="11"/>
      <c r="AU108" s="10">
        <v>1.5</v>
      </c>
      <c r="AV108" s="1">
        <v>1</v>
      </c>
      <c r="AW108" s="1">
        <v>1</v>
      </c>
      <c r="AX108" s="10">
        <v>1</v>
      </c>
      <c r="AY108" s="11">
        <v>1</v>
      </c>
      <c r="AZ108" s="2"/>
      <c r="BA108" s="2"/>
      <c r="BB108" s="2"/>
      <c r="BC108" s="1"/>
      <c r="BD108" s="106"/>
      <c r="BE108" s="2"/>
      <c r="BF108" s="2"/>
      <c r="BG108" s="2"/>
      <c r="BH108" s="2"/>
      <c r="BI108" s="1"/>
      <c r="BJ108" s="1"/>
      <c r="BK108" s="1"/>
    </row>
    <row r="109" spans="1:63" ht="12" customHeight="1">
      <c r="A109" s="1"/>
      <c r="B109" s="107">
        <v>18</v>
      </c>
      <c r="C109" s="31">
        <v>10</v>
      </c>
      <c r="D109" s="111" t="s">
        <v>21</v>
      </c>
      <c r="E109" s="2" t="s">
        <v>164</v>
      </c>
      <c r="F109" s="25" t="s">
        <v>149</v>
      </c>
      <c r="G109" s="2"/>
      <c r="H109" s="33"/>
      <c r="I109" s="99">
        <f t="shared" si="184"/>
        <v>314.53134048780487</v>
      </c>
      <c r="J109" s="101">
        <f t="shared" si="185"/>
        <v>21.9</v>
      </c>
      <c r="K109" s="124">
        <f t="shared" si="186"/>
        <v>10</v>
      </c>
      <c r="L109" s="74"/>
      <c r="M109" s="99">
        <f t="shared" si="187"/>
        <v>9435.9402146341454</v>
      </c>
      <c r="N109" s="108">
        <f>T109*(1+((AG109+IF(F109="백어택",20,0))/100)*(AI109/100-1))</f>
        <v>7224.391726829268</v>
      </c>
      <c r="O109" s="108"/>
      <c r="P109" s="108"/>
      <c r="Q109" s="108"/>
      <c r="R109" s="109">
        <f t="shared" si="209"/>
        <v>2211.5484878048778</v>
      </c>
      <c r="S109" s="99">
        <f t="shared" si="189"/>
        <v>7003.2368780487805</v>
      </c>
      <c r="T109" s="108">
        <f>AL109*AW109*AX109*AY109*IF(F109="백어택",1.2,1)</f>
        <v>5160.2798048780487</v>
      </c>
      <c r="U109" s="108"/>
      <c r="V109" s="108"/>
      <c r="W109" s="108"/>
      <c r="X109" s="109">
        <f>AL109*AS109+IF(AX109=1,AL109*AU109,AL109*AU109*2)</f>
        <v>1842.9570731707315</v>
      </c>
      <c r="Y109" s="99">
        <f t="shared" si="190"/>
        <v>14006.473756097561</v>
      </c>
      <c r="Z109" s="108">
        <f t="shared" si="210"/>
        <v>10320.559609756097</v>
      </c>
      <c r="AA109" s="108"/>
      <c r="AB109" s="108"/>
      <c r="AC109" s="108"/>
      <c r="AD109" s="109">
        <f t="shared" si="211"/>
        <v>3685.914146341463</v>
      </c>
      <c r="AE109" s="99">
        <f>AO109-AR109</f>
        <v>30</v>
      </c>
      <c r="AF109" s="101"/>
      <c r="AG109" s="101">
        <f t="shared" si="212"/>
        <v>20</v>
      </c>
      <c r="AH109" s="101">
        <f t="shared" si="208"/>
        <v>657</v>
      </c>
      <c r="AI109" s="101">
        <f t="shared" si="213"/>
        <v>200</v>
      </c>
      <c r="AJ109" s="108">
        <f>10/6</f>
        <v>1.6666666666666667</v>
      </c>
      <c r="AK109" s="101">
        <f t="shared" si="192"/>
        <v>3071.5951219512194</v>
      </c>
      <c r="AL109" s="101">
        <f>(VLOOKUP(C109,$B$4:$AG$7,31,FALSE)+VLOOKUP(C109,$B$8:$AG$11,31,FALSE)*$D$22)*$D$27/100</f>
        <v>3071.5951219512194</v>
      </c>
      <c r="AM109" s="101"/>
      <c r="AN109" s="101"/>
      <c r="AO109" s="1">
        <v>36</v>
      </c>
      <c r="AP109" s="2"/>
      <c r="AQ109" s="74">
        <f>VLOOKUP(C109,$B$13:$AG$16,31,FALSE)</f>
        <v>657</v>
      </c>
      <c r="AR109" s="10">
        <v>6</v>
      </c>
      <c r="AS109" s="1">
        <v>0</v>
      </c>
      <c r="AT109" s="11"/>
      <c r="AU109" s="10">
        <v>0.3</v>
      </c>
      <c r="AV109" s="1"/>
      <c r="AW109" s="1">
        <v>1</v>
      </c>
      <c r="AX109" s="10">
        <v>1.4</v>
      </c>
      <c r="AY109" s="11">
        <v>1</v>
      </c>
      <c r="AZ109" s="2"/>
      <c r="BA109" s="2"/>
      <c r="BB109" s="2"/>
      <c r="BC109" s="1"/>
      <c r="BD109" s="113"/>
      <c r="BE109" s="2"/>
      <c r="BF109" s="2"/>
      <c r="BG109" s="2"/>
      <c r="BH109" s="2"/>
      <c r="BI109" s="1"/>
      <c r="BJ109" s="1"/>
      <c r="BK109" s="1"/>
    </row>
    <row r="110" spans="1:63" ht="12" customHeight="1">
      <c r="A110" s="1"/>
      <c r="B110" s="107">
        <v>12</v>
      </c>
      <c r="C110" s="31">
        <v>10</v>
      </c>
      <c r="D110" s="106" t="s">
        <v>5</v>
      </c>
      <c r="E110" s="2" t="s">
        <v>139</v>
      </c>
      <c r="F110" s="25"/>
      <c r="G110" s="2"/>
      <c r="H110" s="33">
        <v>9</v>
      </c>
      <c r="I110" s="99">
        <f t="shared" si="184"/>
        <v>311.81048780487799</v>
      </c>
      <c r="J110" s="101">
        <f t="shared" si="185"/>
        <v>34.625</v>
      </c>
      <c r="K110" s="124">
        <f t="shared" si="186"/>
        <v>11</v>
      </c>
      <c r="L110" s="74"/>
      <c r="M110" s="99">
        <f t="shared" si="187"/>
        <v>2494.483902439024</v>
      </c>
      <c r="N110" s="108">
        <f>T110*(1+(AG110/100)*(AI110/100-1))</f>
        <v>2494.483902439024</v>
      </c>
      <c r="O110" s="108"/>
      <c r="P110" s="108"/>
      <c r="Q110" s="108"/>
      <c r="R110" s="109"/>
      <c r="S110" s="99">
        <f t="shared" si="189"/>
        <v>2078.7365853658534</v>
      </c>
      <c r="T110" s="108">
        <f>AL110*AU110*AW110*AX110*AY110</f>
        <v>2078.7365853658534</v>
      </c>
      <c r="U110" s="108"/>
      <c r="V110" s="108"/>
      <c r="W110" s="108"/>
      <c r="X110" s="109"/>
      <c r="Y110" s="99">
        <f t="shared" si="190"/>
        <v>4157.4731707317069</v>
      </c>
      <c r="Z110" s="108">
        <f t="shared" si="210"/>
        <v>4157.4731707317069</v>
      </c>
      <c r="AA110" s="108"/>
      <c r="AB110" s="108"/>
      <c r="AC110" s="108"/>
      <c r="AD110" s="109"/>
      <c r="AE110" s="99">
        <f>AO110</f>
        <v>8</v>
      </c>
      <c r="AF110" s="101"/>
      <c r="AG110" s="101">
        <f t="shared" si="212"/>
        <v>20</v>
      </c>
      <c r="AH110" s="101">
        <f t="shared" si="208"/>
        <v>277</v>
      </c>
      <c r="AI110" s="101">
        <f t="shared" si="213"/>
        <v>200</v>
      </c>
      <c r="AJ110" s="108">
        <f>1*AS110</f>
        <v>1</v>
      </c>
      <c r="AK110" s="101">
        <f t="shared" si="192"/>
        <v>692.91219512195119</v>
      </c>
      <c r="AL110" s="101">
        <f>(H110*(VLOOKUP(C110,$B$4:$AG$7,6,FALSE)+VLOOKUP(C110,$B$8:$AG$11,6,FALSE)*$D$22))*$D$27/100</f>
        <v>692.91219512195119</v>
      </c>
      <c r="AM110" s="101"/>
      <c r="AN110" s="101"/>
      <c r="AO110" s="1">
        <v>8</v>
      </c>
      <c r="AP110" s="2"/>
      <c r="AQ110" s="74">
        <f>VLOOKUP(C110,$B$13:$AA$16,6,FALSE)</f>
        <v>277</v>
      </c>
      <c r="AR110" s="10"/>
      <c r="AS110" s="1">
        <v>1</v>
      </c>
      <c r="AT110" s="11"/>
      <c r="AU110" s="10">
        <v>1.25</v>
      </c>
      <c r="AV110" s="1"/>
      <c r="AW110" s="1">
        <v>1</v>
      </c>
      <c r="AX110" s="10">
        <v>1</v>
      </c>
      <c r="AY110" s="11">
        <v>2.4</v>
      </c>
      <c r="AZ110" s="2"/>
      <c r="BA110" s="2"/>
      <c r="BB110" s="2"/>
      <c r="BC110" s="1"/>
      <c r="BD110" s="106"/>
      <c r="BE110" s="2"/>
      <c r="BF110" s="2"/>
      <c r="BG110" s="2"/>
      <c r="BH110" s="2"/>
      <c r="BI110" s="1"/>
      <c r="BJ110" s="1"/>
      <c r="BK110" s="1"/>
    </row>
    <row r="111" spans="1:63" ht="12" customHeight="1">
      <c r="A111" s="1"/>
      <c r="B111" s="107">
        <v>14</v>
      </c>
      <c r="C111" s="31">
        <v>10</v>
      </c>
      <c r="D111" s="111" t="s">
        <v>18</v>
      </c>
      <c r="E111" s="2" t="s">
        <v>164</v>
      </c>
      <c r="F111" s="25" t="s">
        <v>149</v>
      </c>
      <c r="G111" s="2"/>
      <c r="H111" s="33" t="s">
        <v>80</v>
      </c>
      <c r="I111" s="99">
        <f t="shared" si="184"/>
        <v>305.42252487804876</v>
      </c>
      <c r="J111" s="101">
        <f t="shared" si="185"/>
        <v>26.05</v>
      </c>
      <c r="K111" s="124">
        <f t="shared" si="186"/>
        <v>12</v>
      </c>
      <c r="L111" s="74"/>
      <c r="M111" s="99">
        <f t="shared" si="187"/>
        <v>6108.4504975609752</v>
      </c>
      <c r="N111" s="108">
        <f t="shared" ref="N111:N113" si="214">T111*(1+((AG111+IF(F111="백어택",20,0))/100)*(AI111/100-1))</f>
        <v>6108.4504975609752</v>
      </c>
      <c r="O111" s="108">
        <f>U111*(1+(($D$25+IF(F111="백어택",20,0))/100)*(AI111/100-1))</f>
        <v>0</v>
      </c>
      <c r="P111" s="108"/>
      <c r="Q111" s="108"/>
      <c r="R111" s="109"/>
      <c r="S111" s="99">
        <f t="shared" si="189"/>
        <v>3393.5836097560973</v>
      </c>
      <c r="T111" s="108">
        <f>AL111*IF(H111="근접",AT111,IF(AV111=1,AT111,1))*AX111*IF(F111="백어택",1.2,1)</f>
        <v>3393.5836097560973</v>
      </c>
      <c r="U111" s="108">
        <f>IF(AX111=1,AM111*IF(H111="근접",AT111,IF(AV111=1,AT111,1)),0)*AY111*IF(AX111=1,1,0)*IF(F111="백어택",1.2,1)</f>
        <v>0</v>
      </c>
      <c r="V111" s="108"/>
      <c r="W111" s="108"/>
      <c r="X111" s="109"/>
      <c r="Y111" s="99">
        <f t="shared" si="190"/>
        <v>6787.1672195121946</v>
      </c>
      <c r="Z111" s="108">
        <f t="shared" si="210"/>
        <v>6787.1672195121946</v>
      </c>
      <c r="AA111" s="108">
        <f t="shared" ref="AA111:AA112" si="215">U111*$D$26/100</f>
        <v>0</v>
      </c>
      <c r="AB111" s="108"/>
      <c r="AC111" s="108"/>
      <c r="AD111" s="109"/>
      <c r="AE111" s="99">
        <f>(AO111-AR111)*IF(AW111="보스대상",1,POWER(0.85,AW111))</f>
        <v>20</v>
      </c>
      <c r="AF111" s="101"/>
      <c r="AG111" s="101">
        <f>IF($D$25&gt;100,100,$D$25)+AU111</f>
        <v>60</v>
      </c>
      <c r="AH111" s="101">
        <f t="shared" si="208"/>
        <v>521</v>
      </c>
      <c r="AI111" s="101">
        <f t="shared" si="213"/>
        <v>200</v>
      </c>
      <c r="AJ111" s="112">
        <f>10*AS111/IF(AX111=1,IF(AY111=1,4.5,4),4)</f>
        <v>2.5</v>
      </c>
      <c r="AK111" s="101">
        <f t="shared" si="192"/>
        <v>1692.0585365853658</v>
      </c>
      <c r="AL111" s="101">
        <f>IF(AV111=1,$D$29*(VLOOKUP(C111,$B$4:$AG$7,25,FALSE)+VLOOKUP(C111,$B$8:$AG$11,25,FALSE)*$D$22),(IF(H111="근접",$D$29*(VLOOKUP(C111,$B$4:$AG$7,25,FALSE)+VLOOKUP(C111,$B$8:$AG$11,25,FALSE)*$D$22),$D$28*(VLOOKUP(C111,$B$4:$AG$7,25,FALSE)+VLOOKUP(C111,$B$8:$AG$11,25,FALSE)*$D$22))))*$D$27/100</f>
        <v>1009.9951219512195</v>
      </c>
      <c r="AM111" s="101">
        <f>(IF(AV111=1,$D$29*(VLOOKUP(C111,$B$4:$AG$7,26,FALSE)+VLOOKUP(C111,$B$8:$AG$11,26,FALSE)*$D$22),IF(H111="근접",$D$29*(VLOOKUP(C111,$B$4:$AG$7,26,FALSE)+VLOOKUP(C111,$B$8:$AG$11,26,FALSE)*$D$22),$D$28*(VLOOKUP(C111,$B$4:$AG$7,26,FALSE)+VLOOKUP(C111,$B$8:$AG$11,26,FALSE)*$D$22))))*$D$27/100</f>
        <v>682.06341463414628</v>
      </c>
      <c r="AN111" s="101"/>
      <c r="AO111" s="1">
        <v>24</v>
      </c>
      <c r="AP111" s="2"/>
      <c r="AQ111" s="74">
        <f>VLOOKUP(C111,$B$13:$AA$16,25,FALSE)</f>
        <v>521</v>
      </c>
      <c r="AR111" s="10">
        <v>4</v>
      </c>
      <c r="AS111" s="1">
        <v>1</v>
      </c>
      <c r="AT111" s="11">
        <v>1</v>
      </c>
      <c r="AU111" s="10">
        <v>40</v>
      </c>
      <c r="AV111" s="1">
        <v>0</v>
      </c>
      <c r="AW111" s="1" t="s">
        <v>86</v>
      </c>
      <c r="AX111" s="10">
        <v>2.8</v>
      </c>
      <c r="AY111" s="11">
        <v>1</v>
      </c>
      <c r="AZ111" s="2"/>
      <c r="BA111" s="2"/>
      <c r="BB111" s="2"/>
      <c r="BC111" s="1"/>
      <c r="BD111" s="111"/>
      <c r="BE111" s="2"/>
      <c r="BF111" s="3"/>
      <c r="BG111" s="2"/>
      <c r="BH111" s="2"/>
      <c r="BI111" s="1"/>
      <c r="BJ111" s="1"/>
      <c r="BK111" s="1"/>
    </row>
    <row r="112" spans="1:63" ht="12" customHeight="1">
      <c r="A112" s="1"/>
      <c r="B112" s="107">
        <v>10</v>
      </c>
      <c r="C112" s="31">
        <v>10</v>
      </c>
      <c r="D112" s="106" t="s">
        <v>20</v>
      </c>
      <c r="E112" s="2" t="s">
        <v>153</v>
      </c>
      <c r="F112" s="25" t="s">
        <v>149</v>
      </c>
      <c r="G112" s="2"/>
      <c r="H112" s="33"/>
      <c r="I112" s="99">
        <f t="shared" si="184"/>
        <v>295.93459512195113</v>
      </c>
      <c r="J112" s="101">
        <f t="shared" si="185"/>
        <v>29.4</v>
      </c>
      <c r="K112" s="124">
        <f t="shared" si="186"/>
        <v>13</v>
      </c>
      <c r="L112" s="74"/>
      <c r="M112" s="99">
        <f t="shared" si="187"/>
        <v>4439.018926829267</v>
      </c>
      <c r="N112" s="108">
        <f t="shared" si="214"/>
        <v>1901.2355121951214</v>
      </c>
      <c r="O112" s="108">
        <f>U112*(1+(($D$25+IF(F112="백어택",20,0))/100)*($D$26/100-1))</f>
        <v>2537.7834146341461</v>
      </c>
      <c r="P112" s="108"/>
      <c r="Q112" s="108"/>
      <c r="R112" s="109"/>
      <c r="S112" s="99">
        <f t="shared" si="189"/>
        <v>3170.7278048780486</v>
      </c>
      <c r="T112" s="108">
        <f>AL112*AV112*IF(F112="백어택",1.2,1)</f>
        <v>1358.0253658536583</v>
      </c>
      <c r="U112" s="108">
        <f>AM112*AX112*AY112*IF(F112="백어택",1.2,1)</f>
        <v>1812.7024390243903</v>
      </c>
      <c r="V112" s="108"/>
      <c r="W112" s="108"/>
      <c r="X112" s="109"/>
      <c r="Y112" s="99">
        <f t="shared" si="190"/>
        <v>6341.4556097560971</v>
      </c>
      <c r="Z112" s="108">
        <f t="shared" si="210"/>
        <v>2716.0507317073166</v>
      </c>
      <c r="AA112" s="108">
        <f t="shared" si="215"/>
        <v>3625.4048780487806</v>
      </c>
      <c r="AB112" s="108"/>
      <c r="AC112" s="108"/>
      <c r="AD112" s="109"/>
      <c r="AE112" s="99">
        <f t="shared" ref="AE112:AE113" si="216">AO112-AR112</f>
        <v>15</v>
      </c>
      <c r="AF112" s="101"/>
      <c r="AG112" s="101">
        <f>IF($D$25+AU112&gt;100,100,$D$25+AU112)</f>
        <v>20</v>
      </c>
      <c r="AH112" s="101">
        <f>AQ112*AS112</f>
        <v>441</v>
      </c>
      <c r="AI112" s="101">
        <f t="shared" si="213"/>
        <v>200</v>
      </c>
      <c r="AJ112" s="108">
        <f>10*IF(AV112=1,1,5/4.5)/IF(AX112=1,5,3.5)</f>
        <v>3.1746031746031744</v>
      </c>
      <c r="AK112" s="101">
        <f t="shared" si="192"/>
        <v>1509.7512195121951</v>
      </c>
      <c r="AL112" s="101">
        <f>(VLOOKUP(C112,$B$4:$AG$7,29,FALSE)+VLOOKUP(C112,$B$8:$AG$11,29,FALSE)*$D$22)*$D$27/100</f>
        <v>754.45853658536578</v>
      </c>
      <c r="AM112" s="101">
        <f>(VLOOKUP(C112,$B$4:$AG$7,30,FALSE)+VLOOKUP(C112,$B$8:$AG$11,30,FALSE)*$D$22)*$D$27/100</f>
        <v>755.29268292682934</v>
      </c>
      <c r="AN112" s="101"/>
      <c r="AO112" s="1">
        <v>18</v>
      </c>
      <c r="AP112" s="2"/>
      <c r="AQ112" s="74">
        <f>VLOOKUP(C112,$B$13:$AG$16,29,FALSE)</f>
        <v>441</v>
      </c>
      <c r="AR112" s="10">
        <v>3</v>
      </c>
      <c r="AS112" s="1">
        <v>1</v>
      </c>
      <c r="AT112" s="11"/>
      <c r="AU112" s="10">
        <v>0</v>
      </c>
      <c r="AV112" s="1">
        <v>1.5</v>
      </c>
      <c r="AW112" s="1"/>
      <c r="AX112" s="10">
        <v>2</v>
      </c>
      <c r="AY112" s="11">
        <v>1</v>
      </c>
      <c r="AZ112" s="2"/>
      <c r="BA112" s="2"/>
      <c r="BB112" s="2"/>
      <c r="BC112" s="1"/>
      <c r="BD112" s="106"/>
      <c r="BE112" s="2"/>
      <c r="BF112" s="2"/>
      <c r="BG112" s="2"/>
      <c r="BH112" s="2"/>
      <c r="BI112" s="1"/>
      <c r="BJ112" s="1"/>
      <c r="BK112" s="1"/>
    </row>
    <row r="113" spans="1:63" ht="12" customHeight="1">
      <c r="A113" s="1"/>
      <c r="B113" s="107">
        <v>19</v>
      </c>
      <c r="C113" s="31">
        <v>10</v>
      </c>
      <c r="D113" s="111" t="s">
        <v>21</v>
      </c>
      <c r="E113" s="2" t="s">
        <v>157</v>
      </c>
      <c r="F113" s="25"/>
      <c r="G113" s="2" t="s">
        <v>177</v>
      </c>
      <c r="H113" s="33"/>
      <c r="I113" s="99">
        <f t="shared" si="184"/>
        <v>294.87313170731704</v>
      </c>
      <c r="J113" s="101">
        <f t="shared" si="185"/>
        <v>21.9</v>
      </c>
      <c r="K113" s="124">
        <f t="shared" si="186"/>
        <v>14</v>
      </c>
      <c r="L113" s="74"/>
      <c r="M113" s="99">
        <f t="shared" si="187"/>
        <v>8846.1939512195113</v>
      </c>
      <c r="N113" s="108">
        <f t="shared" si="214"/>
        <v>8846.1939512195113</v>
      </c>
      <c r="O113" s="108"/>
      <c r="P113" s="108"/>
      <c r="Q113" s="108"/>
      <c r="R113" s="109">
        <f t="shared" ref="R113:R114" si="217">X113*(1+(AG113/100)*(AI113/100-1))</f>
        <v>0</v>
      </c>
      <c r="S113" s="99">
        <f t="shared" si="189"/>
        <v>7371.828292682927</v>
      </c>
      <c r="T113" s="108">
        <f>AL113*AW113*AX113*AY113*IF(F113="백어택",1.2,1)</f>
        <v>7371.828292682927</v>
      </c>
      <c r="U113" s="108"/>
      <c r="V113" s="108"/>
      <c r="W113" s="108"/>
      <c r="X113" s="109">
        <f>AL113*AS113+IF(AX113=1,AL113*AU113,AL113*AU113*2)</f>
        <v>0</v>
      </c>
      <c r="Y113" s="99">
        <f t="shared" si="190"/>
        <v>14743.656585365856</v>
      </c>
      <c r="Z113" s="108">
        <f t="shared" si="210"/>
        <v>14743.656585365856</v>
      </c>
      <c r="AA113" s="108"/>
      <c r="AB113" s="108"/>
      <c r="AC113" s="108"/>
      <c r="AD113" s="109">
        <f>X113*$D$26/100</f>
        <v>0</v>
      </c>
      <c r="AE113" s="99">
        <f t="shared" si="216"/>
        <v>30</v>
      </c>
      <c r="AF113" s="101"/>
      <c r="AG113" s="101">
        <f>IF($D$25&gt;100,100,$D$25)</f>
        <v>20</v>
      </c>
      <c r="AH113" s="101">
        <f t="shared" ref="AH113:AH114" si="218">AQ113</f>
        <v>657</v>
      </c>
      <c r="AI113" s="101">
        <f t="shared" si="213"/>
        <v>200</v>
      </c>
      <c r="AJ113" s="108">
        <f>10/6</f>
        <v>1.6666666666666667</v>
      </c>
      <c r="AK113" s="101">
        <f t="shared" si="192"/>
        <v>3071.5951219512194</v>
      </c>
      <c r="AL113" s="101">
        <f>(VLOOKUP(C113,$B$4:$AG$7,31,FALSE)+VLOOKUP(C113,$B$8:$AG$11,31,FALSE)*$D$22)*$D$27/100</f>
        <v>3071.5951219512194</v>
      </c>
      <c r="AM113" s="101"/>
      <c r="AN113" s="101"/>
      <c r="AO113" s="1">
        <v>36</v>
      </c>
      <c r="AP113" s="2"/>
      <c r="AQ113" s="74">
        <f>VLOOKUP(C113,$B$13:$AG$16,31,FALSE)</f>
        <v>657</v>
      </c>
      <c r="AR113" s="10">
        <v>6</v>
      </c>
      <c r="AS113" s="1">
        <v>0</v>
      </c>
      <c r="AT113" s="11"/>
      <c r="AU113" s="10">
        <v>0</v>
      </c>
      <c r="AV113" s="1"/>
      <c r="AW113" s="1">
        <v>1.5</v>
      </c>
      <c r="AX113" s="10">
        <v>1</v>
      </c>
      <c r="AY113" s="11">
        <v>1.6</v>
      </c>
      <c r="AZ113" s="2"/>
      <c r="BA113" s="2"/>
      <c r="BB113" s="2"/>
      <c r="BC113" s="1"/>
      <c r="BD113" s="113"/>
      <c r="BE113" s="2"/>
      <c r="BF113" s="1"/>
      <c r="BG113" s="2"/>
      <c r="BH113" s="2"/>
      <c r="BI113" s="1"/>
      <c r="BJ113" s="1"/>
      <c r="BK113" s="1"/>
    </row>
    <row r="114" spans="1:63" ht="12" customHeight="1">
      <c r="A114" s="2"/>
      <c r="B114" s="107">
        <v>26</v>
      </c>
      <c r="C114" s="31">
        <v>10</v>
      </c>
      <c r="D114" s="113" t="s">
        <v>15</v>
      </c>
      <c r="E114" s="2" t="s">
        <v>171</v>
      </c>
      <c r="F114" s="10"/>
      <c r="G114" s="2" t="s">
        <v>180</v>
      </c>
      <c r="H114" s="33">
        <f>IF(AX114=AT114,3,4)</f>
        <v>4</v>
      </c>
      <c r="I114" s="99">
        <f t="shared" si="184"/>
        <v>283.49211056910571</v>
      </c>
      <c r="J114" s="101">
        <f t="shared" si="185"/>
        <v>19.733333333333334</v>
      </c>
      <c r="K114" s="124">
        <f t="shared" si="186"/>
        <v>15</v>
      </c>
      <c r="L114" s="74"/>
      <c r="M114" s="99">
        <f t="shared" si="187"/>
        <v>8504.7633170731715</v>
      </c>
      <c r="N114" s="108">
        <f t="shared" ref="N114:N115" si="219">T114*(1+(AG114/100)*(AI114/100-1))</f>
        <v>1398.8097560975611</v>
      </c>
      <c r="O114" s="108">
        <f>U114*(1+(AG114/100)*(AI114/100-1))</f>
        <v>1398.8097560975611</v>
      </c>
      <c r="P114" s="108">
        <f>V114*(1+(AG114/100)*(AI114/100-1))</f>
        <v>1398.8097560975611</v>
      </c>
      <c r="Q114" s="108">
        <f>W114*(1+(AG114/100)*(AI114/100-1))</f>
        <v>1398.8097560975611</v>
      </c>
      <c r="R114" s="109">
        <f t="shared" si="217"/>
        <v>2909.5242926829278</v>
      </c>
      <c r="S114" s="99">
        <f t="shared" si="189"/>
        <v>5315.4770731707322</v>
      </c>
      <c r="T114" s="108">
        <f>AL114*AS114*AY114</f>
        <v>874.25609756097572</v>
      </c>
      <c r="U114" s="108">
        <f>AL114*AS114*AY114</f>
        <v>874.25609756097572</v>
      </c>
      <c r="V114" s="108">
        <f>AL114*AS114*AY114</f>
        <v>874.25609756097572</v>
      </c>
      <c r="W114" s="108">
        <f>IF(H114=4,AL114*AS114*IF(AT114=0,AY114,1),0)</f>
        <v>874.25609756097572</v>
      </c>
      <c r="X114" s="109">
        <f>AL114*IF(H114=3,11,IF(AT114=1,15,13))*IF(AW114=1,0,AW114)</f>
        <v>1818.4526829268298</v>
      </c>
      <c r="Y114" s="99">
        <f t="shared" si="190"/>
        <v>10630.954146341464</v>
      </c>
      <c r="Z114" s="108">
        <f>T114*AI114/100</f>
        <v>1748.5121951219514</v>
      </c>
      <c r="AA114" s="108">
        <f>U114*AI114/100</f>
        <v>1748.5121951219514</v>
      </c>
      <c r="AB114" s="108">
        <f>V114*AI114/100</f>
        <v>1748.5121951219514</v>
      </c>
      <c r="AC114" s="108">
        <f>W114*AI114/100</f>
        <v>1748.5121951219514</v>
      </c>
      <c r="AD114" s="109">
        <f>X114*AI114/100</f>
        <v>3636.9053658536595</v>
      </c>
      <c r="AE114" s="99">
        <f t="shared" ref="AE114:AE117" si="220">AO114</f>
        <v>30</v>
      </c>
      <c r="AF114" s="101"/>
      <c r="AG114" s="101">
        <f>IF($D$25+AX114&gt;100,100,$D$25+AX114)</f>
        <v>60</v>
      </c>
      <c r="AH114" s="101">
        <f t="shared" si="218"/>
        <v>592</v>
      </c>
      <c r="AI114" s="101">
        <f t="shared" si="213"/>
        <v>200</v>
      </c>
      <c r="AJ114" s="108">
        <f>10*AU114/IF(AT114=1,2.5,(IF(AY114=1,3,2.5)))</f>
        <v>3.3333333333333335</v>
      </c>
      <c r="AK114" s="101">
        <f t="shared" si="192"/>
        <v>699.40487804878057</v>
      </c>
      <c r="AL114" s="101">
        <f>((VLOOKUP(C114,$B$4:$AG$7,22,FALSE)+VLOOKUP(C114,$B$8:$AG$11,22,FALSE)*$D$22))*$D$27/100</f>
        <v>699.40487804878057</v>
      </c>
      <c r="AM114" s="101"/>
      <c r="AN114" s="101"/>
      <c r="AO114" s="1">
        <v>30</v>
      </c>
      <c r="AP114" s="2"/>
      <c r="AQ114" s="74">
        <f>VLOOKUP(C114,$B$13:$AA$16,22,FALSE)</f>
        <v>592</v>
      </c>
      <c r="AR114" s="10"/>
      <c r="AS114" s="1">
        <v>1.25</v>
      </c>
      <c r="AT114" s="11">
        <v>0</v>
      </c>
      <c r="AU114" s="10">
        <v>1</v>
      </c>
      <c r="AV114" s="1"/>
      <c r="AW114" s="1">
        <v>0.2</v>
      </c>
      <c r="AX114" s="10">
        <v>40</v>
      </c>
      <c r="AY114" s="11">
        <v>1</v>
      </c>
      <c r="AZ114" s="2"/>
      <c r="BA114" s="2"/>
      <c r="BB114" s="2"/>
      <c r="BC114" s="2"/>
      <c r="BD114" s="2"/>
      <c r="BE114" s="2"/>
      <c r="BF114" s="2"/>
      <c r="BG114" s="2"/>
      <c r="BH114" s="2"/>
      <c r="BI114" s="1"/>
      <c r="BJ114" s="1"/>
      <c r="BK114" s="1"/>
    </row>
    <row r="115" spans="1:63" ht="12" customHeight="1">
      <c r="A115" s="1"/>
      <c r="B115" s="107">
        <v>27</v>
      </c>
      <c r="C115" s="31">
        <v>10</v>
      </c>
      <c r="D115" s="113" t="s">
        <v>22</v>
      </c>
      <c r="E115" s="2" t="s">
        <v>139</v>
      </c>
      <c r="F115" s="25"/>
      <c r="G115" s="2"/>
      <c r="H115" s="33"/>
      <c r="I115" s="99">
        <f t="shared" si="184"/>
        <v>279.71434146341466</v>
      </c>
      <c r="J115" s="101">
        <f t="shared" si="185"/>
        <v>19.733333333333334</v>
      </c>
      <c r="K115" s="124">
        <f t="shared" si="186"/>
        <v>16</v>
      </c>
      <c r="L115" s="74"/>
      <c r="M115" s="99">
        <f t="shared" si="187"/>
        <v>8391.4302439024395</v>
      </c>
      <c r="N115" s="108">
        <f t="shared" si="219"/>
        <v>8391.4302439024395</v>
      </c>
      <c r="O115" s="108"/>
      <c r="P115" s="108"/>
      <c r="Q115" s="108"/>
      <c r="R115" s="109">
        <f>X115*(1+($D$25/100)*(AI115/100-1))</f>
        <v>0</v>
      </c>
      <c r="S115" s="99">
        <f t="shared" si="189"/>
        <v>4195.7151219512198</v>
      </c>
      <c r="T115" s="108">
        <f>AL115*AU115</f>
        <v>4195.7151219512198</v>
      </c>
      <c r="U115" s="108"/>
      <c r="V115" s="108"/>
      <c r="W115" s="108"/>
      <c r="X115" s="109">
        <f>AL115*AW115</f>
        <v>0</v>
      </c>
      <c r="Y115" s="99">
        <f t="shared" si="190"/>
        <v>8391.4302439024395</v>
      </c>
      <c r="Z115" s="108">
        <f>T115*$D$26/100</f>
        <v>8391.4302439024395</v>
      </c>
      <c r="AA115" s="108"/>
      <c r="AB115" s="108"/>
      <c r="AC115" s="108"/>
      <c r="AD115" s="109"/>
      <c r="AE115" s="99">
        <f t="shared" si="220"/>
        <v>30</v>
      </c>
      <c r="AF115" s="101"/>
      <c r="AG115" s="101">
        <f>IF($D$25+AY115&gt;100,100,$D$25+AY115)</f>
        <v>100</v>
      </c>
      <c r="AH115" s="101">
        <f>AQ115*AR115</f>
        <v>592</v>
      </c>
      <c r="AI115" s="101">
        <f t="shared" si="213"/>
        <v>200</v>
      </c>
      <c r="AJ115" s="101">
        <f>10/5</f>
        <v>2</v>
      </c>
      <c r="AK115" s="101">
        <f t="shared" si="192"/>
        <v>3227.4731707317073</v>
      </c>
      <c r="AL115" s="101">
        <f>(VLOOKUP(C115,$B$4:$AG$7,32,FALSE)+VLOOKUP(C115,$B$8:$AG$11,32,FALSE)*$D$22)*$D$27/100</f>
        <v>3227.4731707317073</v>
      </c>
      <c r="AM115" s="101"/>
      <c r="AN115" s="101"/>
      <c r="AO115" s="1">
        <v>30</v>
      </c>
      <c r="AP115" s="2"/>
      <c r="AQ115" s="74">
        <f>VLOOKUP(C115,$B$13:$AG$16,32,FALSE)</f>
        <v>592</v>
      </c>
      <c r="AR115" s="10">
        <v>1</v>
      </c>
      <c r="AS115" s="1"/>
      <c r="AT115" s="11"/>
      <c r="AU115" s="10">
        <v>1.3</v>
      </c>
      <c r="AV115" s="1"/>
      <c r="AW115" s="1">
        <v>0</v>
      </c>
      <c r="AX115" s="10"/>
      <c r="AY115" s="11">
        <v>100</v>
      </c>
      <c r="AZ115" s="2"/>
      <c r="BA115" s="2"/>
      <c r="BB115" s="2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ht="12" customHeight="1">
      <c r="A116" s="1"/>
      <c r="B116" s="107">
        <v>13</v>
      </c>
      <c r="C116" s="31">
        <v>10</v>
      </c>
      <c r="D116" s="111" t="s">
        <v>14</v>
      </c>
      <c r="E116" s="2" t="s">
        <v>164</v>
      </c>
      <c r="F116" s="25"/>
      <c r="G116" s="2"/>
      <c r="H116" s="33" t="s">
        <v>81</v>
      </c>
      <c r="I116" s="99">
        <f t="shared" si="184"/>
        <v>279.26035772357721</v>
      </c>
      <c r="J116" s="101">
        <f t="shared" si="185"/>
        <v>18.25</v>
      </c>
      <c r="K116" s="124">
        <f t="shared" si="186"/>
        <v>17</v>
      </c>
      <c r="L116" s="74"/>
      <c r="M116" s="99">
        <f t="shared" si="187"/>
        <v>10053.37287804878</v>
      </c>
      <c r="N116" s="101">
        <f>T116*(1+((AG116+IF(F116="백어택",20,0))/100)*(AI116/100-1))</f>
        <v>1874.7539634146342</v>
      </c>
      <c r="O116" s="101">
        <f>U116*(1+((AG116+IF(F116="백어택",20,0))/100)*(AI116/100-1))</f>
        <v>1874.7539634146342</v>
      </c>
      <c r="P116" s="101">
        <f>V116*(1+((AG116+IF(F116="백어택",20,0))/100)*(AI116*IF(AX116=1,AW116,1)/100-1))</f>
        <v>2533.8501219512191</v>
      </c>
      <c r="Q116" s="101">
        <f>W116*(1+((AG116+IF(F116="백어택",20,0))/100)*(AI116*AW116/100-1))</f>
        <v>3770.0148292682925</v>
      </c>
      <c r="R116" s="109"/>
      <c r="S116" s="99">
        <f t="shared" si="189"/>
        <v>6002.0136585365854</v>
      </c>
      <c r="T116" s="101">
        <f>AL116*AY116*IF(F116="백어택",1.2,1)</f>
        <v>1119.2560975609756</v>
      </c>
      <c r="U116" s="101">
        <f>AM116*AY116*IF(F116="백어택",1.2,1)</f>
        <v>1119.2560975609756</v>
      </c>
      <c r="V116" s="101">
        <f>AN116*AY116*IF(F116="백어택",1.2,1)</f>
        <v>1512.7463414634144</v>
      </c>
      <c r="W116" s="101">
        <f>(T116+U116+V116)*IF(AX116=1,0,0.6)*IF(F116="백어택",1.2,1)</f>
        <v>2250.7551219512193</v>
      </c>
      <c r="X116" s="74"/>
      <c r="Y116" s="99">
        <f t="shared" si="190"/>
        <v>15005.034146341462</v>
      </c>
      <c r="Z116" s="101">
        <f>T116*AI116/100</f>
        <v>2798.1402439024391</v>
      </c>
      <c r="AA116" s="101">
        <f>U116*AI116/100</f>
        <v>2798.1402439024391</v>
      </c>
      <c r="AB116" s="101">
        <f>V116*AI116*IF(AX116=1,AW116,1)/100</f>
        <v>3781.8658536585363</v>
      </c>
      <c r="AC116" s="101">
        <f>W116*AI116*AW116/100</f>
        <v>5626.887804878048</v>
      </c>
      <c r="AD116" s="74"/>
      <c r="AE116" s="99">
        <f t="shared" si="220"/>
        <v>36</v>
      </c>
      <c r="AF116" s="101"/>
      <c r="AG116" s="101">
        <f>IF($D$25+AU116&gt;100,100,$D$25+AU116)</f>
        <v>45</v>
      </c>
      <c r="AH116" s="101">
        <f>AQ116*AS116</f>
        <v>657</v>
      </c>
      <c r="AI116" s="101">
        <f>$D$26+IF(H116="근접",AR116,0)+IF(AY116=1,0,50)</f>
        <v>250</v>
      </c>
      <c r="AJ116" s="108">
        <f>10/3</f>
        <v>3.3333333333333335</v>
      </c>
      <c r="AK116" s="101">
        <f t="shared" si="192"/>
        <v>3751.2585365853656</v>
      </c>
      <c r="AL116" s="101">
        <f>(IF(H116="근접",$D$29*(VLOOKUP(C116,$B$4:$AG$7,19,FALSE)+VLOOKUP(C116,$B$8:$AG$11,19,FALSE)*$D$22),$D$28*(VLOOKUP(C116,$B$4:$AG$7,19,FALSE)+VLOOKUP(C116,$B$8:$AG$11,19,FALSE)*$D$22)))*$D$27/100</f>
        <v>1119.2560975609756</v>
      </c>
      <c r="AM116" s="101">
        <f>(IF(H116="근접",$D$29*(VLOOKUP(C116,$B$4:$AG$7,20,FALSE)+VLOOKUP(C116,$B$8:$AG$11,20,FALSE)*$D$22),$D$28*(VLOOKUP(C116,$B$4:$AG$7,20,FALSE)+VLOOKUP(C116,$B$8:$AG$11,20,FALSE)*$D$22)))*$D$27/100</f>
        <v>1119.2560975609756</v>
      </c>
      <c r="AN116" s="101">
        <f>(IF(H116="근접",$D$29*(VLOOKUP(C116,$B$4:$AG$7,21,FALSE)+VLOOKUP(C116,$B$8:$AG$11,21,FALSE)*$D$22),$D$28*(VLOOKUP(C116,$B$4:$AG$7,21,FALSE)+VLOOKUP(C116,$B$8:$AG$11,21,FALSE)*$D$22)))*$D$27/100</f>
        <v>1512.7463414634144</v>
      </c>
      <c r="AO116" s="1">
        <v>36</v>
      </c>
      <c r="AP116" s="2"/>
      <c r="AQ116" s="74">
        <f>VLOOKUP(C116,$B$13:$AA$16,19,FALSE)</f>
        <v>657</v>
      </c>
      <c r="AR116" s="10">
        <v>50</v>
      </c>
      <c r="AS116" s="1">
        <v>1</v>
      </c>
      <c r="AT116" s="11"/>
      <c r="AU116" s="10">
        <v>25</v>
      </c>
      <c r="AV116" s="1"/>
      <c r="AW116" s="1">
        <v>1</v>
      </c>
      <c r="AX116" s="10">
        <v>0.6</v>
      </c>
      <c r="AY116" s="11">
        <v>1</v>
      </c>
      <c r="AZ116" s="2"/>
      <c r="BA116" s="2"/>
      <c r="BB116" s="2"/>
      <c r="BC116" s="1"/>
      <c r="BD116" s="111"/>
      <c r="BE116" s="2"/>
      <c r="BF116" s="3"/>
      <c r="BG116" s="2"/>
      <c r="BH116" s="2"/>
      <c r="BI116" s="1"/>
      <c r="BJ116" s="1"/>
      <c r="BK116" s="1"/>
    </row>
    <row r="117" spans="1:63" ht="12" customHeight="1">
      <c r="A117" s="1"/>
      <c r="B117" s="107">
        <v>3</v>
      </c>
      <c r="C117" s="31">
        <v>10</v>
      </c>
      <c r="D117" s="106" t="s">
        <v>13</v>
      </c>
      <c r="E117" s="2" t="s">
        <v>145</v>
      </c>
      <c r="F117" s="25"/>
      <c r="G117" s="2"/>
      <c r="H117" s="33"/>
      <c r="I117" s="99">
        <f t="shared" si="184"/>
        <v>275.95493902439028</v>
      </c>
      <c r="J117" s="101">
        <f t="shared" si="185"/>
        <v>21.708333333333332</v>
      </c>
      <c r="K117" s="124">
        <f t="shared" si="186"/>
        <v>18</v>
      </c>
      <c r="L117" s="74"/>
      <c r="M117" s="99">
        <f t="shared" si="187"/>
        <v>6622.9185365853673</v>
      </c>
      <c r="N117" s="108">
        <f>T117*(1+(AG117/100)*(AI117/100-1))</f>
        <v>4245.1750975609766</v>
      </c>
      <c r="O117" s="108">
        <f>U117*(1+($D$25/100)*($D$26/100-1))</f>
        <v>1463.2267317073172</v>
      </c>
      <c r="P117" s="108"/>
      <c r="Q117" s="108"/>
      <c r="R117" s="109">
        <f>X117*(1+($D$25/100)*($D$26/100-1))</f>
        <v>914.51670731707327</v>
      </c>
      <c r="S117" s="99">
        <f t="shared" si="189"/>
        <v>4215.7555487804884</v>
      </c>
      <c r="T117" s="108">
        <f>AL117*AY117</f>
        <v>2234.3026829268297</v>
      </c>
      <c r="U117" s="108">
        <f>AM117*AU117*AW117</f>
        <v>1219.3556097560977</v>
      </c>
      <c r="V117" s="108"/>
      <c r="W117" s="108"/>
      <c r="X117" s="109">
        <f>IF(AU117=1,0,U117*0.625)</f>
        <v>762.09725609756106</v>
      </c>
      <c r="Y117" s="99">
        <f t="shared" si="190"/>
        <v>8431.5110975609769</v>
      </c>
      <c r="Z117" s="108">
        <f t="shared" ref="Z117:AA117" si="221">T117*$D$26/100</f>
        <v>4468.6053658536594</v>
      </c>
      <c r="AA117" s="108">
        <f t="shared" si="221"/>
        <v>2438.7112195121954</v>
      </c>
      <c r="AB117" s="108"/>
      <c r="AC117" s="108"/>
      <c r="AD117" s="109">
        <f t="shared" ref="AD117:AD118" si="222">X117*$D$26/100</f>
        <v>1524.1945121951221</v>
      </c>
      <c r="AE117" s="99">
        <f t="shared" si="220"/>
        <v>24</v>
      </c>
      <c r="AF117" s="101"/>
      <c r="AG117" s="101">
        <f>IF($D$25+AT117&gt;100,100,$D$25+AT117)</f>
        <v>60</v>
      </c>
      <c r="AH117" s="101">
        <f t="shared" ref="AH117:AH121" si="223">AQ117</f>
        <v>521</v>
      </c>
      <c r="AI117" s="101">
        <f>IF(AY117=1,$D$26,$D$26+50)</f>
        <v>250</v>
      </c>
      <c r="AJ117" s="101">
        <f>10/IF(AY117=1,2.5,2)</f>
        <v>5</v>
      </c>
      <c r="AK117" s="101">
        <f t="shared" si="192"/>
        <v>2617.8926829268294</v>
      </c>
      <c r="AL117" s="101">
        <f>(VLOOKUP(C117,$B$4:$AG$7,17,FALSE)+VLOOKUP(C117,$B$8:$AG$11,17,FALSE)*$D$22)*$D$27/100</f>
        <v>1679.9268292682927</v>
      </c>
      <c r="AM117" s="101">
        <f>(VLOOKUP(C117,$B$4:$AG$7,18,FALSE)+VLOOKUP(C117,$B$8:$AG$11,18,FALSE)*$D$22)*$D$27/100</f>
        <v>937.96585365853662</v>
      </c>
      <c r="AN117" s="101"/>
      <c r="AO117" s="1">
        <v>24</v>
      </c>
      <c r="AP117" s="2"/>
      <c r="AQ117" s="74">
        <f>VLOOKUP(C117,$B$13:$AA$16,17,FALSE)</f>
        <v>521</v>
      </c>
      <c r="AR117" s="10"/>
      <c r="AS117" s="1"/>
      <c r="AT117" s="11">
        <v>40</v>
      </c>
      <c r="AU117" s="10">
        <v>1.3</v>
      </c>
      <c r="AV117" s="1"/>
      <c r="AW117" s="1">
        <v>1</v>
      </c>
      <c r="AX117" s="10"/>
      <c r="AY117" s="11">
        <v>1.33</v>
      </c>
      <c r="AZ117" s="2"/>
      <c r="BA117" s="2"/>
      <c r="BB117" s="2"/>
      <c r="BC117" s="1"/>
      <c r="BD117" s="106"/>
      <c r="BE117" s="2"/>
      <c r="BF117" s="2"/>
      <c r="BG117" s="2"/>
      <c r="BH117" s="2"/>
      <c r="BI117" s="1"/>
      <c r="BJ117" s="1"/>
      <c r="BK117" s="1"/>
    </row>
    <row r="118" spans="1:63" ht="12" customHeight="1">
      <c r="A118" s="1"/>
      <c r="B118" s="107">
        <v>19</v>
      </c>
      <c r="C118" s="31">
        <v>10</v>
      </c>
      <c r="D118" s="111" t="s">
        <v>21</v>
      </c>
      <c r="E118" s="2" t="s">
        <v>157</v>
      </c>
      <c r="F118" s="25" t="s">
        <v>149</v>
      </c>
      <c r="G118" s="2" t="s">
        <v>178</v>
      </c>
      <c r="H118" s="33"/>
      <c r="I118" s="99">
        <f t="shared" si="184"/>
        <v>275.21492292682922</v>
      </c>
      <c r="J118" s="101">
        <f t="shared" si="185"/>
        <v>21.9</v>
      </c>
      <c r="K118" s="124">
        <f t="shared" si="186"/>
        <v>19</v>
      </c>
      <c r="L118" s="74"/>
      <c r="M118" s="99">
        <f t="shared" si="187"/>
        <v>8256.4476878048772</v>
      </c>
      <c r="N118" s="108">
        <f t="shared" ref="N118:N120" si="224">T118*(1+((AG118+IF(F118="백어택",20,0))/100)*(AI118/100-1))</f>
        <v>8256.4476878048772</v>
      </c>
      <c r="O118" s="108"/>
      <c r="P118" s="108"/>
      <c r="Q118" s="108"/>
      <c r="R118" s="109">
        <f>X118*(1+(AG118/100)*(AI118/100-1))</f>
        <v>0</v>
      </c>
      <c r="S118" s="99">
        <f t="shared" si="189"/>
        <v>5897.4626341463418</v>
      </c>
      <c r="T118" s="108">
        <f>AL118*AW118*AX118*AY118*IF(F118="백어택",1.2,1)</f>
        <v>5897.4626341463418</v>
      </c>
      <c r="U118" s="108"/>
      <c r="V118" s="108"/>
      <c r="W118" s="108"/>
      <c r="X118" s="109">
        <f>AL118*AS118+IF(AX118=1,AL118*AU118,AL118*AU118*2)</f>
        <v>0</v>
      </c>
      <c r="Y118" s="99">
        <f t="shared" si="190"/>
        <v>11794.925268292684</v>
      </c>
      <c r="Z118" s="108">
        <f t="shared" ref="Z118:Z121" si="225">T118*$D$26/100</f>
        <v>11794.925268292684</v>
      </c>
      <c r="AA118" s="108"/>
      <c r="AB118" s="108"/>
      <c r="AC118" s="108"/>
      <c r="AD118" s="109">
        <f t="shared" si="222"/>
        <v>0</v>
      </c>
      <c r="AE118" s="99">
        <f>AO118-AR118</f>
        <v>30</v>
      </c>
      <c r="AF118" s="101"/>
      <c r="AG118" s="101">
        <f>IF($D$25&gt;100,100,$D$25)</f>
        <v>20</v>
      </c>
      <c r="AH118" s="101">
        <f t="shared" si="223"/>
        <v>657</v>
      </c>
      <c r="AI118" s="101">
        <f t="shared" ref="AI118:AI121" si="226">$D$26</f>
        <v>200</v>
      </c>
      <c r="AJ118" s="108">
        <f>10/6</f>
        <v>1.6666666666666667</v>
      </c>
      <c r="AK118" s="101">
        <f t="shared" si="192"/>
        <v>3071.5951219512194</v>
      </c>
      <c r="AL118" s="101">
        <f>(VLOOKUP(C118,$B$4:$AG$7,31,FALSE)+VLOOKUP(C118,$B$8:$AG$11,31,FALSE)*$D$22)*$D$27/100</f>
        <v>3071.5951219512194</v>
      </c>
      <c r="AM118" s="101"/>
      <c r="AN118" s="101"/>
      <c r="AO118" s="1">
        <v>36</v>
      </c>
      <c r="AP118" s="2"/>
      <c r="AQ118" s="74">
        <f>VLOOKUP(C118,$B$13:$AG$16,31,FALSE)</f>
        <v>657</v>
      </c>
      <c r="AR118" s="10">
        <v>6</v>
      </c>
      <c r="AS118" s="1">
        <v>0</v>
      </c>
      <c r="AT118" s="11"/>
      <c r="AU118" s="10">
        <v>0</v>
      </c>
      <c r="AV118" s="1"/>
      <c r="AW118" s="1">
        <v>1</v>
      </c>
      <c r="AX118" s="10">
        <v>1</v>
      </c>
      <c r="AY118" s="11">
        <v>1.6</v>
      </c>
      <c r="AZ118" s="2"/>
      <c r="BA118" s="2"/>
      <c r="BB118" s="2"/>
      <c r="BC118" s="1"/>
      <c r="BD118" s="113"/>
      <c r="BE118" s="2"/>
      <c r="BF118" s="2"/>
      <c r="BG118" s="2"/>
      <c r="BH118" s="2"/>
      <c r="BI118" s="1"/>
      <c r="BJ118" s="1"/>
      <c r="BK118" s="1"/>
    </row>
    <row r="119" spans="1:63" ht="12" customHeight="1">
      <c r="A119" s="1"/>
      <c r="B119" s="107">
        <v>15</v>
      </c>
      <c r="C119" s="31">
        <v>10</v>
      </c>
      <c r="D119" s="111" t="s">
        <v>18</v>
      </c>
      <c r="E119" s="2" t="s">
        <v>154</v>
      </c>
      <c r="F119" s="25"/>
      <c r="G119" s="2"/>
      <c r="H119" s="33" t="s">
        <v>81</v>
      </c>
      <c r="I119" s="99">
        <f t="shared" si="184"/>
        <v>275.05668292682924</v>
      </c>
      <c r="J119" s="101">
        <f t="shared" si="185"/>
        <v>26.05</v>
      </c>
      <c r="K119" s="124">
        <f t="shared" si="186"/>
        <v>20</v>
      </c>
      <c r="L119" s="74"/>
      <c r="M119" s="99">
        <f t="shared" si="187"/>
        <v>5501.1336585365852</v>
      </c>
      <c r="N119" s="108">
        <f t="shared" si="224"/>
        <v>1817.9912195121954</v>
      </c>
      <c r="O119" s="108">
        <f t="shared" ref="O119:O120" si="227">U119*(1+(($D$25+IF(F119="백어택",20,0))/100)*(AI119/100-1))</f>
        <v>3683.1424390243897</v>
      </c>
      <c r="P119" s="108"/>
      <c r="Q119" s="108"/>
      <c r="R119" s="109"/>
      <c r="S119" s="99">
        <f t="shared" si="189"/>
        <v>4584.2780487804876</v>
      </c>
      <c r="T119" s="108">
        <f t="shared" ref="T119:T120" si="228">AL119*IF(H119="근접",AT119,IF(AV119=1,AT119,1))*AX119*IF(F119="백어택",1.2,1)</f>
        <v>1514.9926829268295</v>
      </c>
      <c r="U119" s="108">
        <f t="shared" ref="U119:U120" si="229">IF(AX119=1,AM119*IF(H119="근접",AT119,IF(AV119=1,AT119,1)),0)*AY119*IF(AX119=1,1,0)*IF(F119="백어택",1.2,1)</f>
        <v>3069.2853658536583</v>
      </c>
      <c r="V119" s="108"/>
      <c r="W119" s="108"/>
      <c r="X119" s="109"/>
      <c r="Y119" s="99">
        <f t="shared" si="190"/>
        <v>9168.5560975609751</v>
      </c>
      <c r="Z119" s="108">
        <f t="shared" si="225"/>
        <v>3029.985365853659</v>
      </c>
      <c r="AA119" s="108">
        <f t="shared" ref="AA119:AA121" si="230">U119*$D$26/100</f>
        <v>6138.5707317073166</v>
      </c>
      <c r="AB119" s="108"/>
      <c r="AC119" s="108"/>
      <c r="AD119" s="109"/>
      <c r="AE119" s="99">
        <f t="shared" ref="AE119:AE120" si="231">(AO119-AR119)*IF(AW119="보스대상",1,POWER(0.85,AW119))</f>
        <v>20</v>
      </c>
      <c r="AF119" s="101"/>
      <c r="AG119" s="101">
        <f t="shared" ref="AG119:AG120" si="232">IF($D$25&gt;100,100,$D$25)+AU119</f>
        <v>20</v>
      </c>
      <c r="AH119" s="101">
        <f t="shared" si="223"/>
        <v>521</v>
      </c>
      <c r="AI119" s="101">
        <f t="shared" si="226"/>
        <v>200</v>
      </c>
      <c r="AJ119" s="112">
        <f t="shared" ref="AJ119:AJ120" si="233">10*AS119/IF(AX119=1,IF(AY119=1,4.5,4),4)</f>
        <v>2.5</v>
      </c>
      <c r="AK119" s="101">
        <f t="shared" si="192"/>
        <v>2538.0878048780487</v>
      </c>
      <c r="AL119" s="101">
        <f t="shared" ref="AL119:AL120" si="234">IF(AV119=1,$D$29*(VLOOKUP(C119,$B$4:$AG$7,25,FALSE)+VLOOKUP(C119,$B$8:$AG$11,25,FALSE)*$D$22),(IF(H119="근접",$D$29*(VLOOKUP(C119,$B$4:$AG$7,25,FALSE)+VLOOKUP(C119,$B$8:$AG$11,25,FALSE)*$D$22),$D$28*(VLOOKUP(C119,$B$4:$AG$7,25,FALSE)+VLOOKUP(C119,$B$8:$AG$11,25,FALSE)*$D$22))))*$D$27/100</f>
        <v>1514.9926829268295</v>
      </c>
      <c r="AM119" s="101">
        <f t="shared" ref="AM119:AM120" si="235">(IF(AV119=1,$D$29*(VLOOKUP(C119,$B$4:$AG$7,26,FALSE)+VLOOKUP(C119,$B$8:$AG$11,26,FALSE)*$D$22),IF(H119="근접",$D$29*(VLOOKUP(C119,$B$4:$AG$7,26,FALSE)+VLOOKUP(C119,$B$8:$AG$11,26,FALSE)*$D$22),$D$28*(VLOOKUP(C119,$B$4:$AG$7,26,FALSE)+VLOOKUP(C119,$B$8:$AG$11,26,FALSE)*$D$22))))*$D$27/100</f>
        <v>1023.0951219512194</v>
      </c>
      <c r="AN119" s="101"/>
      <c r="AO119" s="1">
        <v>24</v>
      </c>
      <c r="AP119" s="2"/>
      <c r="AQ119" s="74">
        <f t="shared" ref="AQ119:AQ120" si="236">VLOOKUP(C119,$B$13:$AA$16,25,FALSE)</f>
        <v>521</v>
      </c>
      <c r="AR119" s="10">
        <v>4</v>
      </c>
      <c r="AS119" s="1">
        <v>1</v>
      </c>
      <c r="AT119" s="11">
        <v>1</v>
      </c>
      <c r="AU119" s="10">
        <v>0</v>
      </c>
      <c r="AV119" s="1">
        <v>1</v>
      </c>
      <c r="AW119" s="1" t="s">
        <v>86</v>
      </c>
      <c r="AX119" s="10">
        <v>1</v>
      </c>
      <c r="AY119" s="11">
        <v>3</v>
      </c>
      <c r="AZ119" s="2"/>
      <c r="BA119" s="2"/>
      <c r="BB119" s="2"/>
      <c r="BC119" s="1"/>
      <c r="BD119" s="111"/>
      <c r="BE119" s="2"/>
      <c r="BF119" s="3"/>
      <c r="BG119" s="2"/>
      <c r="BH119" s="2"/>
      <c r="BI119" s="1"/>
      <c r="BJ119" s="1"/>
      <c r="BK119" s="1"/>
    </row>
    <row r="120" spans="1:63" ht="12" customHeight="1">
      <c r="A120" s="1"/>
      <c r="B120" s="107">
        <v>15</v>
      </c>
      <c r="C120" s="31">
        <v>10</v>
      </c>
      <c r="D120" s="111" t="s">
        <v>18</v>
      </c>
      <c r="E120" s="2" t="s">
        <v>154</v>
      </c>
      <c r="F120" s="25"/>
      <c r="G120" s="2"/>
      <c r="H120" s="33" t="s">
        <v>80</v>
      </c>
      <c r="I120" s="99">
        <f t="shared" si="184"/>
        <v>275.05668292682924</v>
      </c>
      <c r="J120" s="101">
        <f t="shared" si="185"/>
        <v>26.05</v>
      </c>
      <c r="K120" s="124">
        <f t="shared" si="186"/>
        <v>20</v>
      </c>
      <c r="L120" s="74"/>
      <c r="M120" s="99">
        <f t="shared" si="187"/>
        <v>5501.1336585365852</v>
      </c>
      <c r="N120" s="108">
        <f t="shared" si="224"/>
        <v>1817.9912195121954</v>
      </c>
      <c r="O120" s="108">
        <f t="shared" si="227"/>
        <v>3683.1424390243897</v>
      </c>
      <c r="P120" s="108"/>
      <c r="Q120" s="108"/>
      <c r="R120" s="109"/>
      <c r="S120" s="99">
        <f t="shared" si="189"/>
        <v>4584.2780487804876</v>
      </c>
      <c r="T120" s="108">
        <f t="shared" si="228"/>
        <v>1514.9926829268295</v>
      </c>
      <c r="U120" s="108">
        <f t="shared" si="229"/>
        <v>3069.2853658536583</v>
      </c>
      <c r="V120" s="108"/>
      <c r="W120" s="108"/>
      <c r="X120" s="109"/>
      <c r="Y120" s="99">
        <f t="shared" si="190"/>
        <v>9168.5560975609751</v>
      </c>
      <c r="Z120" s="108">
        <f t="shared" si="225"/>
        <v>3029.985365853659</v>
      </c>
      <c r="AA120" s="108">
        <f t="shared" si="230"/>
        <v>6138.5707317073166</v>
      </c>
      <c r="AB120" s="108"/>
      <c r="AC120" s="108"/>
      <c r="AD120" s="109"/>
      <c r="AE120" s="99">
        <f t="shared" si="231"/>
        <v>20</v>
      </c>
      <c r="AF120" s="101"/>
      <c r="AG120" s="101">
        <f t="shared" si="232"/>
        <v>20</v>
      </c>
      <c r="AH120" s="101">
        <f t="shared" si="223"/>
        <v>521</v>
      </c>
      <c r="AI120" s="101">
        <f t="shared" si="226"/>
        <v>200</v>
      </c>
      <c r="AJ120" s="112">
        <f t="shared" si="233"/>
        <v>2.5</v>
      </c>
      <c r="AK120" s="101">
        <f t="shared" si="192"/>
        <v>2538.0878048780487</v>
      </c>
      <c r="AL120" s="101">
        <f t="shared" si="234"/>
        <v>1514.9926829268295</v>
      </c>
      <c r="AM120" s="101">
        <f t="shared" si="235"/>
        <v>1023.0951219512194</v>
      </c>
      <c r="AN120" s="101"/>
      <c r="AO120" s="1">
        <v>24</v>
      </c>
      <c r="AP120" s="2"/>
      <c r="AQ120" s="74">
        <f t="shared" si="236"/>
        <v>521</v>
      </c>
      <c r="AR120" s="10">
        <v>4</v>
      </c>
      <c r="AS120" s="1">
        <v>1</v>
      </c>
      <c r="AT120" s="11">
        <v>1</v>
      </c>
      <c r="AU120" s="10">
        <v>0</v>
      </c>
      <c r="AV120" s="1">
        <v>1</v>
      </c>
      <c r="AW120" s="1" t="s">
        <v>86</v>
      </c>
      <c r="AX120" s="10">
        <v>1</v>
      </c>
      <c r="AY120" s="11">
        <v>3</v>
      </c>
      <c r="AZ120" s="2"/>
      <c r="BA120" s="2"/>
      <c r="BB120" s="2"/>
      <c r="BC120" s="1"/>
      <c r="BD120" s="111"/>
      <c r="BE120" s="2"/>
      <c r="BF120" s="3"/>
      <c r="BG120" s="2"/>
      <c r="BH120" s="2"/>
      <c r="BI120" s="1"/>
      <c r="BJ120" s="1"/>
      <c r="BK120" s="1"/>
    </row>
    <row r="121" spans="1:63" ht="12" customHeight="1">
      <c r="A121" s="1"/>
      <c r="B121" s="107">
        <v>7</v>
      </c>
      <c r="C121" s="31">
        <v>10</v>
      </c>
      <c r="D121" s="106" t="s">
        <v>4</v>
      </c>
      <c r="E121" s="2" t="s">
        <v>135</v>
      </c>
      <c r="F121" s="25" t="s">
        <v>149</v>
      </c>
      <c r="G121" s="2" t="s">
        <v>143</v>
      </c>
      <c r="H121" s="33"/>
      <c r="I121" s="99">
        <f t="shared" si="184"/>
        <v>266.60663707317076</v>
      </c>
      <c r="J121" s="101">
        <f t="shared" si="185"/>
        <v>29.083333333333332</v>
      </c>
      <c r="K121" s="124">
        <f t="shared" si="186"/>
        <v>22</v>
      </c>
      <c r="L121" s="74"/>
      <c r="M121" s="99">
        <f t="shared" si="187"/>
        <v>3199.2796448780491</v>
      </c>
      <c r="N121" s="108">
        <f>T121*(1+((AG121+IF(F121="백어택",20,0))/100))*((AI121/100-1))</f>
        <v>429.97346341463413</v>
      </c>
      <c r="O121" s="108">
        <f t="shared" ref="O121:O122" si="237">U121*(1+((AG121+IF(F121="백어택",20,0))/100)*(AI121/100-1))</f>
        <v>2769.3061814634148</v>
      </c>
      <c r="P121" s="108"/>
      <c r="Q121" s="108"/>
      <c r="R121" s="109"/>
      <c r="S121" s="99">
        <f t="shared" si="189"/>
        <v>2285.1997463414637</v>
      </c>
      <c r="T121" s="108">
        <f>AT121*AL121*IF(F121="백어택",1.2,1)</f>
        <v>307.12390243902439</v>
      </c>
      <c r="U121" s="108">
        <f>AM121*AW121*AX121*AY121*IF(F121="백어택",1.2,1)</f>
        <v>1978.0758439024391</v>
      </c>
      <c r="V121" s="108"/>
      <c r="W121" s="108"/>
      <c r="X121" s="109"/>
      <c r="Y121" s="99">
        <f t="shared" si="190"/>
        <v>4570.3994926829273</v>
      </c>
      <c r="Z121" s="108">
        <f t="shared" si="225"/>
        <v>614.24780487804878</v>
      </c>
      <c r="AA121" s="108">
        <f t="shared" si="230"/>
        <v>3956.1516878048783</v>
      </c>
      <c r="AB121" s="108"/>
      <c r="AC121" s="108"/>
      <c r="AD121" s="109"/>
      <c r="AE121" s="99">
        <f t="shared" ref="AE121:AE124" si="238">AO121</f>
        <v>12</v>
      </c>
      <c r="AF121" s="101"/>
      <c r="AG121" s="101">
        <f>IF($D$25&gt;100,100,$D$25)</f>
        <v>20</v>
      </c>
      <c r="AH121" s="101">
        <f t="shared" si="223"/>
        <v>349</v>
      </c>
      <c r="AI121" s="101">
        <f t="shared" si="226"/>
        <v>200</v>
      </c>
      <c r="AJ121" s="108">
        <f>10/IF(AY121=1,5,4)</f>
        <v>2.5</v>
      </c>
      <c r="AK121" s="101">
        <f t="shared" si="192"/>
        <v>853.19024390243908</v>
      </c>
      <c r="AL121" s="101">
        <f>(VLOOKUP(C121,$B$4:$AG$7,4,FALSE)+VLOOKUP(C121,$B$8:$AG$11,4,FALSE)*$D$22)*$D$27/100</f>
        <v>170.62439024390244</v>
      </c>
      <c r="AM121" s="101">
        <f>(VLOOKUP(C121,$B$4:$AG$7,5,FALSE)+VLOOKUP(C121,$B$8:$AG$11,5,FALSE)*$D$22)*$D$27/100</f>
        <v>682.56585365853664</v>
      </c>
      <c r="AN121" s="101"/>
      <c r="AO121" s="1">
        <v>12</v>
      </c>
      <c r="AP121" s="2"/>
      <c r="AQ121" s="74">
        <f>VLOOKUP(C121,$B$13:$AA$16,4,FALSE)</f>
        <v>349</v>
      </c>
      <c r="AR121" s="10"/>
      <c r="AS121" s="1"/>
      <c r="AT121" s="11">
        <v>1.5</v>
      </c>
      <c r="AU121" s="10"/>
      <c r="AV121" s="1"/>
      <c r="AW121" s="1">
        <v>1.4</v>
      </c>
      <c r="AX121" s="10">
        <v>1</v>
      </c>
      <c r="AY121" s="11">
        <v>1.7250000000000001</v>
      </c>
      <c r="AZ121" s="2"/>
      <c r="BA121" s="2"/>
      <c r="BB121" s="2"/>
      <c r="BC121" s="1"/>
      <c r="BD121" s="106"/>
      <c r="BE121" s="2"/>
      <c r="BF121" s="2"/>
      <c r="BG121" s="2"/>
      <c r="BH121" s="2"/>
      <c r="BI121" s="1"/>
      <c r="BJ121" s="1"/>
      <c r="BK121" s="1"/>
    </row>
    <row r="122" spans="1:63" ht="12" customHeight="1">
      <c r="A122" s="1"/>
      <c r="B122" s="107">
        <v>17</v>
      </c>
      <c r="C122" s="31">
        <v>10</v>
      </c>
      <c r="D122" s="111" t="s">
        <v>8</v>
      </c>
      <c r="E122" s="2" t="s">
        <v>164</v>
      </c>
      <c r="F122" s="25"/>
      <c r="G122" s="2"/>
      <c r="H122" s="33" t="s">
        <v>81</v>
      </c>
      <c r="I122" s="99">
        <f t="shared" si="184"/>
        <v>255.59751219512194</v>
      </c>
      <c r="J122" s="101">
        <f t="shared" si="185"/>
        <v>30.391666666666666</v>
      </c>
      <c r="K122" s="124">
        <f t="shared" si="186"/>
        <v>23</v>
      </c>
      <c r="L122" s="74"/>
      <c r="M122" s="99">
        <f t="shared" si="187"/>
        <v>6134.3402926829267</v>
      </c>
      <c r="N122" s="108">
        <f>T122*(1+((AG122+IF(F122="백어택",20,0))/100)*(IF(AY122=1,$D$26,$D$26+50)/100-1))</f>
        <v>1726.9287804878049</v>
      </c>
      <c r="O122" s="108">
        <f t="shared" si="237"/>
        <v>2203.7057560975609</v>
      </c>
      <c r="P122" s="108">
        <f>V122*(1+((AG122+IF(F122="백어택",20,0))/100)*(AI122/100-1))</f>
        <v>2203.7057560975609</v>
      </c>
      <c r="Q122" s="108"/>
      <c r="R122" s="109"/>
      <c r="S122" s="99">
        <f t="shared" si="189"/>
        <v>4230.5795121951223</v>
      </c>
      <c r="T122" s="108">
        <f>AL122*IF(H122="근접",AR122,1)*AY122*IF(F122="백어택",1.2,1)</f>
        <v>1190.9853658536585</v>
      </c>
      <c r="U122" s="108">
        <f>AM122*IF(H122="근접",AR122,1)*AY122*IF(F122="백어택",1.2,1)</f>
        <v>1519.7970731707317</v>
      </c>
      <c r="V122" s="108">
        <f>IF(AX122=1,0,AM122*IF(H122="근접",AR122,1)*AY122)*IF(F122="백어택",1.2,1)</f>
        <v>1519.7970731707317</v>
      </c>
      <c r="W122" s="108"/>
      <c r="X122" s="109"/>
      <c r="Y122" s="99">
        <f t="shared" si="190"/>
        <v>8461.1590243902447</v>
      </c>
      <c r="Z122" s="108">
        <f>T122*IF(AY122=1,$D$26,$D$26+50)/100</f>
        <v>2381.9707317073171</v>
      </c>
      <c r="AA122" s="108">
        <f>U122*AI122/100</f>
        <v>3039.5941463414633</v>
      </c>
      <c r="AB122" s="108">
        <f>V122*AI122/100</f>
        <v>3039.5941463414633</v>
      </c>
      <c r="AC122" s="108"/>
      <c r="AD122" s="109"/>
      <c r="AE122" s="99">
        <f t="shared" si="238"/>
        <v>24</v>
      </c>
      <c r="AF122" s="101"/>
      <c r="AG122" s="101">
        <f>IF($D$25+AU122&gt;100,100,$D$25+AU122)</f>
        <v>45</v>
      </c>
      <c r="AH122" s="101">
        <f>IF(AX122=1,AQ122,AQ122*1.4)</f>
        <v>729.4</v>
      </c>
      <c r="AI122" s="101">
        <f>IF(AY122=1,$D$26,$D$26+50)*AW122</f>
        <v>200</v>
      </c>
      <c r="AJ122" s="108">
        <f>10/6/AX122</f>
        <v>1.1111111111111112</v>
      </c>
      <c r="AK122" s="101">
        <f t="shared" si="192"/>
        <v>2258.9853658536585</v>
      </c>
      <c r="AL122" s="101">
        <f>(IF(H122="근접",$D$29*(VLOOKUP(C122,$B$4:$AG$7,9,FALSE)+VLOOKUP(C122,$B$8:$AG$11,9,FALSE)*$D$22),$D$28*(VLOOKUP(C122,$B$4:$AG$7,9,FALSE)+VLOOKUP(C122,$B$8:$AG$11,9,FALSE)*$D$22)))*$D$27/100</f>
        <v>992.48780487804879</v>
      </c>
      <c r="AM122" s="101">
        <f>(IF(H122="근접",$D$29*(VLOOKUP(C122,$B$4:$AG$7,10,FALSE)+VLOOKUP(C122,$B$8:$AG$11,10,FALSE)*$D$22),$D$28*(VLOOKUP(C122,$B$4:$AG$7,10,FALSE)+VLOOKUP(C122,$B$8:$AG$11,10,FALSE)*$D$22)))*$D$27/100</f>
        <v>1266.4975609756098</v>
      </c>
      <c r="AN122" s="101"/>
      <c r="AO122" s="1">
        <v>24</v>
      </c>
      <c r="AP122" s="2"/>
      <c r="AQ122" s="74">
        <f>VLOOKUP(C122,$B$13:$AA$16,9,FALSE)</f>
        <v>521</v>
      </c>
      <c r="AR122" s="10">
        <v>1.2</v>
      </c>
      <c r="AS122" s="1"/>
      <c r="AT122" s="11"/>
      <c r="AU122" s="10">
        <v>25</v>
      </c>
      <c r="AV122" s="1"/>
      <c r="AW122" s="1">
        <v>1</v>
      </c>
      <c r="AX122" s="10">
        <v>1.5</v>
      </c>
      <c r="AY122" s="11">
        <v>1</v>
      </c>
      <c r="AZ122" s="2"/>
      <c r="BA122" s="2"/>
      <c r="BB122" s="2"/>
      <c r="BC122" s="1"/>
      <c r="BD122" s="111"/>
      <c r="BE122" s="2"/>
      <c r="BF122" s="3"/>
      <c r="BG122" s="2"/>
      <c r="BH122" s="2"/>
      <c r="BI122" s="1"/>
      <c r="BJ122" s="1"/>
      <c r="BK122" s="1"/>
    </row>
    <row r="123" spans="1:63" ht="12" customHeight="1">
      <c r="A123" s="1"/>
      <c r="B123" s="107">
        <v>24</v>
      </c>
      <c r="C123" s="31">
        <v>10</v>
      </c>
      <c r="D123" s="113" t="s">
        <v>19</v>
      </c>
      <c r="E123" s="2" t="s">
        <v>145</v>
      </c>
      <c r="F123" s="25"/>
      <c r="G123" s="2"/>
      <c r="H123" s="33">
        <f>IF(AY123=1,4,6)</f>
        <v>6</v>
      </c>
      <c r="I123" s="99">
        <f t="shared" si="184"/>
        <v>255.02997967479675</v>
      </c>
      <c r="J123" s="101">
        <f t="shared" si="185"/>
        <v>21.708333333333332</v>
      </c>
      <c r="K123" s="124">
        <f t="shared" si="186"/>
        <v>24</v>
      </c>
      <c r="L123" s="74"/>
      <c r="M123" s="99">
        <f t="shared" si="187"/>
        <v>6120.7195121951218</v>
      </c>
      <c r="N123" s="108">
        <f>T123*(1+($D$25/100)*($D$26/100-1))</f>
        <v>3918.1829268292681</v>
      </c>
      <c r="O123" s="108">
        <f>U123*(1+(AG123/100)*(AI123/100-1))</f>
        <v>2202.5365853658536</v>
      </c>
      <c r="P123" s="108"/>
      <c r="Q123" s="108"/>
      <c r="R123" s="109"/>
      <c r="S123" s="99">
        <f t="shared" si="189"/>
        <v>4366.4207317073169</v>
      </c>
      <c r="T123" s="108">
        <f>AL123*AU123</f>
        <v>3265.1524390243903</v>
      </c>
      <c r="U123" s="108">
        <f>AM123*AU123</f>
        <v>1101.2682926829268</v>
      </c>
      <c r="V123" s="108"/>
      <c r="W123" s="108"/>
      <c r="X123" s="109"/>
      <c r="Y123" s="99">
        <f t="shared" si="190"/>
        <v>8732.8414634146338</v>
      </c>
      <c r="Z123" s="108">
        <f t="shared" ref="Z123:AA123" si="239">T123*$D$26/100</f>
        <v>6530.3048780487807</v>
      </c>
      <c r="AA123" s="108">
        <f t="shared" si="239"/>
        <v>2202.5365853658536</v>
      </c>
      <c r="AB123" s="108"/>
      <c r="AC123" s="108"/>
      <c r="AD123" s="109"/>
      <c r="AE123" s="99">
        <f t="shared" si="238"/>
        <v>24</v>
      </c>
      <c r="AF123" s="101"/>
      <c r="AG123" s="101">
        <f>IF($D$25+AT123&gt;100,100,$D$25+AT123)</f>
        <v>100</v>
      </c>
      <c r="AH123" s="101">
        <f>AQ123</f>
        <v>521</v>
      </c>
      <c r="AI123" s="101">
        <f t="shared" ref="AI123:AI125" si="240">$D$26</f>
        <v>200</v>
      </c>
      <c r="AJ123" s="108">
        <f>10/IF(AY123=1,(2.5+AX123),2)</f>
        <v>5</v>
      </c>
      <c r="AK123" s="101">
        <f t="shared" si="192"/>
        <v>3493.1365853658535</v>
      </c>
      <c r="AL123" s="101">
        <f>(H123-1)*(VLOOKUP(C123,$B$4:$AG$7,27,FALSE)+VLOOKUP(C123,$B$8:$AG$11,27,FALSE)*$D$22)*$D$27/100</f>
        <v>2612.1219512195121</v>
      </c>
      <c r="AM123" s="101">
        <f>(VLOOKUP(C123,$B$4:$AG$7,28,FALSE)+VLOOKUP(C123,$B$8:$AG$11,28,FALSE)*$D$22)*$D$27/100</f>
        <v>881.01463414634145</v>
      </c>
      <c r="AN123" s="101"/>
      <c r="AO123" s="1">
        <v>24</v>
      </c>
      <c r="AP123" s="2"/>
      <c r="AQ123" s="74">
        <f>VLOOKUP(C123,$B$13:$AG$16,27,FALSE)</f>
        <v>521</v>
      </c>
      <c r="AR123" s="10"/>
      <c r="AS123" s="1"/>
      <c r="AT123" s="11">
        <v>100</v>
      </c>
      <c r="AU123" s="10">
        <v>1.25</v>
      </c>
      <c r="AV123" s="1"/>
      <c r="AW123" s="1"/>
      <c r="AX123" s="10">
        <v>0</v>
      </c>
      <c r="AY123" s="11">
        <v>2</v>
      </c>
      <c r="AZ123" s="2"/>
      <c r="BA123" s="2"/>
      <c r="BB123" s="2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3" ht="12" customHeight="1">
      <c r="A124" s="1"/>
      <c r="B124" s="107">
        <v>5</v>
      </c>
      <c r="C124" s="31">
        <v>10</v>
      </c>
      <c r="D124" s="106" t="s">
        <v>6</v>
      </c>
      <c r="E124" s="2" t="s">
        <v>147</v>
      </c>
      <c r="F124" s="25"/>
      <c r="G124" s="2" t="s">
        <v>86</v>
      </c>
      <c r="H124" s="33"/>
      <c r="I124" s="99">
        <f t="shared" si="184"/>
        <v>250.91704132682929</v>
      </c>
      <c r="J124" s="101">
        <f t="shared" si="185"/>
        <v>23.45</v>
      </c>
      <c r="K124" s="124">
        <f t="shared" si="186"/>
        <v>25</v>
      </c>
      <c r="L124" s="74"/>
      <c r="M124" s="99">
        <f t="shared" si="187"/>
        <v>5018.3408265365861</v>
      </c>
      <c r="N124" s="108">
        <f>T124*(1+(AG124/100)*(AI124/100-1))</f>
        <v>5018.3408265365861</v>
      </c>
      <c r="O124" s="108"/>
      <c r="P124" s="108"/>
      <c r="Q124" s="108"/>
      <c r="R124" s="109"/>
      <c r="S124" s="99">
        <f t="shared" si="189"/>
        <v>4181.9506887804882</v>
      </c>
      <c r="T124" s="108">
        <f>AL124*AW124*AT124*AX124*AY124</f>
        <v>4181.9506887804882</v>
      </c>
      <c r="U124" s="108"/>
      <c r="V124" s="108"/>
      <c r="W124" s="108"/>
      <c r="X124" s="109"/>
      <c r="Y124" s="99">
        <f t="shared" si="190"/>
        <v>8363.9013775609765</v>
      </c>
      <c r="Z124" s="108">
        <f t="shared" ref="Z124:Z125" si="241">T124*$D$26/100</f>
        <v>8363.9013775609765</v>
      </c>
      <c r="AA124" s="108"/>
      <c r="AB124" s="108"/>
      <c r="AC124" s="108"/>
      <c r="AD124" s="109"/>
      <c r="AE124" s="99">
        <f t="shared" si="238"/>
        <v>20</v>
      </c>
      <c r="AF124" s="101"/>
      <c r="AG124" s="101">
        <f>IF($D$25+AV124&gt;100,100,$D$25+AV124)</f>
        <v>20</v>
      </c>
      <c r="AH124" s="101">
        <f>AQ124*AR124</f>
        <v>469</v>
      </c>
      <c r="AI124" s="101">
        <f t="shared" si="240"/>
        <v>200</v>
      </c>
      <c r="AJ124" s="108">
        <f>10/IF(AX124=1,IF(AY124=1,5,6),4)</f>
        <v>2.5</v>
      </c>
      <c r="AK124" s="101">
        <f t="shared" si="192"/>
        <v>1756.5317073170734</v>
      </c>
      <c r="AL124" s="101">
        <f>(VLOOKUP(C124,$B$4:$AG$7,7,FALSE)+VLOOKUP(C124,$B$8:$AG$11,7,FALSE)*$D$22)*$D$27/100</f>
        <v>1756.5317073170734</v>
      </c>
      <c r="AM124" s="101"/>
      <c r="AN124" s="101"/>
      <c r="AO124" s="1">
        <v>20</v>
      </c>
      <c r="AP124" s="2"/>
      <c r="AQ124" s="74">
        <f>VLOOKUP(C124,$B$13:$AA$16,7,FALSE)</f>
        <v>469</v>
      </c>
      <c r="AR124" s="10">
        <v>1</v>
      </c>
      <c r="AS124" s="1"/>
      <c r="AT124" s="11">
        <v>1.2</v>
      </c>
      <c r="AU124" s="10"/>
      <c r="AV124" s="1">
        <v>0</v>
      </c>
      <c r="AW124" s="1">
        <v>1.24</v>
      </c>
      <c r="AX124" s="10">
        <v>1.6</v>
      </c>
      <c r="AY124" s="11">
        <v>1</v>
      </c>
      <c r="AZ124" s="2"/>
      <c r="BA124" s="2"/>
      <c r="BB124" s="2"/>
      <c r="BC124" s="1"/>
      <c r="BD124" s="106"/>
      <c r="BE124" s="2"/>
      <c r="BF124" s="2"/>
      <c r="BG124" s="2"/>
      <c r="BH124" s="2"/>
      <c r="BI124" s="1"/>
      <c r="BJ124" s="1"/>
      <c r="BK124" s="1"/>
    </row>
    <row r="125" spans="1:63" ht="12" customHeight="1">
      <c r="A125" s="1"/>
      <c r="B125" s="107">
        <v>18</v>
      </c>
      <c r="C125" s="31">
        <v>10</v>
      </c>
      <c r="D125" s="111" t="s">
        <v>21</v>
      </c>
      <c r="E125" s="2" t="s">
        <v>164</v>
      </c>
      <c r="F125" s="25"/>
      <c r="G125" s="2"/>
      <c r="H125" s="33"/>
      <c r="I125" s="99">
        <f t="shared" si="184"/>
        <v>245.72760975609756</v>
      </c>
      <c r="J125" s="101">
        <f t="shared" si="185"/>
        <v>21.9</v>
      </c>
      <c r="K125" s="124">
        <f t="shared" si="186"/>
        <v>26</v>
      </c>
      <c r="L125" s="74"/>
      <c r="M125" s="99">
        <f t="shared" si="187"/>
        <v>7371.828292682927</v>
      </c>
      <c r="N125" s="108">
        <f t="shared" ref="N125:N127" si="242">T125*(1+((AG125+IF(F125="백어택",20,0))/100)*(AI125/100-1))</f>
        <v>5160.2798048780487</v>
      </c>
      <c r="O125" s="108"/>
      <c r="P125" s="108"/>
      <c r="Q125" s="108"/>
      <c r="R125" s="109">
        <f>X125*(1+(AG125/100)*(AI125/100-1))</f>
        <v>2211.5484878048778</v>
      </c>
      <c r="S125" s="99">
        <f t="shared" si="189"/>
        <v>6143.1902439024389</v>
      </c>
      <c r="T125" s="108">
        <f>AL125*AW125*AX125*AY125*IF(F125="백어택",1.2,1)</f>
        <v>4300.2331707317071</v>
      </c>
      <c r="U125" s="108"/>
      <c r="V125" s="108"/>
      <c r="W125" s="108"/>
      <c r="X125" s="109">
        <f>AL125*AS125+IF(AX125=1,AL125*AU125,AL125*AU125*2)</f>
        <v>1842.9570731707315</v>
      </c>
      <c r="Y125" s="99">
        <f t="shared" si="190"/>
        <v>12286.380487804878</v>
      </c>
      <c r="Z125" s="108">
        <f t="shared" si="241"/>
        <v>8600.4663414634142</v>
      </c>
      <c r="AA125" s="108"/>
      <c r="AB125" s="108"/>
      <c r="AC125" s="108"/>
      <c r="AD125" s="109">
        <f>X125*$D$26/100</f>
        <v>3685.914146341463</v>
      </c>
      <c r="AE125" s="99">
        <f>AO125-AR125</f>
        <v>30</v>
      </c>
      <c r="AF125" s="101"/>
      <c r="AG125" s="101">
        <f>IF($D$25&gt;100,100,$D$25)</f>
        <v>20</v>
      </c>
      <c r="AH125" s="101">
        <f>AQ125</f>
        <v>657</v>
      </c>
      <c r="AI125" s="101">
        <f t="shared" si="240"/>
        <v>200</v>
      </c>
      <c r="AJ125" s="108">
        <f>10/6</f>
        <v>1.6666666666666667</v>
      </c>
      <c r="AK125" s="101">
        <f t="shared" si="192"/>
        <v>3071.5951219512194</v>
      </c>
      <c r="AL125" s="101">
        <f>(VLOOKUP(C125,$B$4:$AG$7,31,FALSE)+VLOOKUP(C125,$B$8:$AG$11,31,FALSE)*$D$22)*$D$27/100</f>
        <v>3071.5951219512194</v>
      </c>
      <c r="AM125" s="101"/>
      <c r="AN125" s="101"/>
      <c r="AO125" s="1">
        <v>36</v>
      </c>
      <c r="AP125" s="2"/>
      <c r="AQ125" s="74">
        <f>VLOOKUP(C125,$B$13:$AG$16,31,FALSE)</f>
        <v>657</v>
      </c>
      <c r="AR125" s="10">
        <v>6</v>
      </c>
      <c r="AS125" s="1">
        <v>0</v>
      </c>
      <c r="AT125" s="11"/>
      <c r="AU125" s="10">
        <v>0.3</v>
      </c>
      <c r="AV125" s="1"/>
      <c r="AW125" s="1">
        <v>1</v>
      </c>
      <c r="AX125" s="10">
        <v>1.4</v>
      </c>
      <c r="AY125" s="11">
        <v>1</v>
      </c>
      <c r="AZ125" s="2"/>
      <c r="BA125" s="2"/>
      <c r="BB125" s="2"/>
      <c r="BC125" s="1"/>
      <c r="BD125" s="111"/>
      <c r="BE125" s="2"/>
      <c r="BF125" s="3"/>
      <c r="BG125" s="2"/>
      <c r="BH125" s="2"/>
      <c r="BI125" s="1"/>
      <c r="BJ125" s="1"/>
      <c r="BK125" s="1"/>
    </row>
    <row r="126" spans="1:63" ht="12" customHeight="1">
      <c r="A126" s="1"/>
      <c r="B126" s="107">
        <v>13</v>
      </c>
      <c r="C126" s="31">
        <v>10</v>
      </c>
      <c r="D126" s="111" t="s">
        <v>14</v>
      </c>
      <c r="E126" s="2" t="s">
        <v>164</v>
      </c>
      <c r="F126" s="25" t="s">
        <v>149</v>
      </c>
      <c r="G126" s="2"/>
      <c r="H126" s="33" t="s">
        <v>80</v>
      </c>
      <c r="I126" s="99">
        <f t="shared" si="184"/>
        <v>236.57937170731708</v>
      </c>
      <c r="J126" s="101">
        <f t="shared" si="185"/>
        <v>18.25</v>
      </c>
      <c r="K126" s="124">
        <f t="shared" si="186"/>
        <v>27</v>
      </c>
      <c r="L126" s="74"/>
      <c r="M126" s="99">
        <f t="shared" si="187"/>
        <v>8516.8573814634146</v>
      </c>
      <c r="N126" s="101">
        <f t="shared" si="242"/>
        <v>1477.4180487804879</v>
      </c>
      <c r="O126" s="101">
        <f>U126*(1+((AG126+IF(F126="백어택",20,0))/100)*(AI126/100-1))</f>
        <v>1477.4180487804879</v>
      </c>
      <c r="P126" s="101">
        <f>V126*(1+((AG126+IF(F126="백어택",20,0))/100)*(AI126*IF(AX126=1,AW126,1)/100-1))</f>
        <v>1996.825170731707</v>
      </c>
      <c r="Q126" s="101">
        <f>W126*(1+((AG126+IF(F126="백어택",20,0))/100)*(AI126*AW126/100-1))</f>
        <v>3565.1961131707312</v>
      </c>
      <c r="R126" s="109"/>
      <c r="S126" s="99">
        <f t="shared" si="189"/>
        <v>5161.7317463414638</v>
      </c>
      <c r="T126" s="101">
        <f>AL126*AY126*IF(F126="백어택",1.2,1)</f>
        <v>895.40487804878057</v>
      </c>
      <c r="U126" s="101">
        <f>AM126*AY126*IF(F126="백어택",1.2,1)</f>
        <v>895.40487804878057</v>
      </c>
      <c r="V126" s="101">
        <f>AN126*AY126*IF(F126="백어택",1.2,1)</f>
        <v>1210.1970731707315</v>
      </c>
      <c r="W126" s="101">
        <f>(T126+U126+V126)*IF(AX126=1,0,0.6)*IF(F126="백어택",1.2,1)</f>
        <v>2160.7249170731707</v>
      </c>
      <c r="X126" s="74"/>
      <c r="Y126" s="99">
        <f t="shared" si="190"/>
        <v>10323.463492682928</v>
      </c>
      <c r="Z126" s="101">
        <f t="shared" ref="Z126:Z128" si="243">T126*AI126/100</f>
        <v>1790.8097560975611</v>
      </c>
      <c r="AA126" s="101">
        <f>U126*AI126/100</f>
        <v>1790.8097560975611</v>
      </c>
      <c r="AB126" s="101">
        <f>V126*AI126*IF(AX126=1,AW126,1)/100</f>
        <v>2420.3941463414631</v>
      </c>
      <c r="AC126" s="101">
        <f>W126*AI126*AW126/100</f>
        <v>4321.4498341463413</v>
      </c>
      <c r="AD126" s="74"/>
      <c r="AE126" s="99">
        <f t="shared" ref="AE126:AE128" si="244">AO126</f>
        <v>36</v>
      </c>
      <c r="AF126" s="101"/>
      <c r="AG126" s="101">
        <f>IF($D$25+AU126&gt;100,100,$D$25+AU126)</f>
        <v>45</v>
      </c>
      <c r="AH126" s="101">
        <f>AQ126*AS126</f>
        <v>657</v>
      </c>
      <c r="AI126" s="101">
        <f>$D$26+IF(H126="근접",AR126,0)+IF(AY126=1,0,50)</f>
        <v>200</v>
      </c>
      <c r="AJ126" s="108">
        <f>10/3</f>
        <v>3.3333333333333335</v>
      </c>
      <c r="AK126" s="101">
        <f t="shared" si="192"/>
        <v>2500.839024390244</v>
      </c>
      <c r="AL126" s="101">
        <f>(IF(H126="근접",$D$29*(VLOOKUP(C126,$B$4:$AG$7,19,FALSE)+VLOOKUP(C126,$B$8:$AG$11,19,FALSE)*$D$22),$D$28*(VLOOKUP(C126,$B$4:$AG$7,19,FALSE)+VLOOKUP(C126,$B$8:$AG$11,19,FALSE)*$D$22)))*$D$27/100</f>
        <v>746.17073170731715</v>
      </c>
      <c r="AM126" s="101">
        <f>(IF(H126="근접",$D$29*(VLOOKUP(C126,$B$4:$AG$7,20,FALSE)+VLOOKUP(C126,$B$8:$AG$11,20,FALSE)*$D$22),$D$28*(VLOOKUP(C126,$B$4:$AG$7,20,FALSE)+VLOOKUP(C126,$B$8:$AG$11,20,FALSE)*$D$22)))*$D$27/100</f>
        <v>746.17073170731715</v>
      </c>
      <c r="AN126" s="101">
        <f>(IF(H126="근접",$D$29*(VLOOKUP(C126,$B$4:$AG$7,21,FALSE)+VLOOKUP(C126,$B$8:$AG$11,21,FALSE)*$D$22),$D$28*(VLOOKUP(C126,$B$4:$AG$7,21,FALSE)+VLOOKUP(C126,$B$8:$AG$11,21,FALSE)*$D$22)))*$D$27/100</f>
        <v>1008.4975609756096</v>
      </c>
      <c r="AO126" s="1">
        <v>36</v>
      </c>
      <c r="AP126" s="2"/>
      <c r="AQ126" s="74">
        <f>VLOOKUP(C126,$B$13:$AA$16,19,FALSE)</f>
        <v>657</v>
      </c>
      <c r="AR126" s="10">
        <v>50</v>
      </c>
      <c r="AS126" s="1">
        <v>1</v>
      </c>
      <c r="AT126" s="11"/>
      <c r="AU126" s="10">
        <v>25</v>
      </c>
      <c r="AV126" s="1"/>
      <c r="AW126" s="1">
        <v>1</v>
      </c>
      <c r="AX126" s="10">
        <v>0.6</v>
      </c>
      <c r="AY126" s="11">
        <v>1</v>
      </c>
      <c r="AZ126" s="2"/>
      <c r="BA126" s="2"/>
      <c r="BB126" s="2"/>
      <c r="BC126" s="1"/>
      <c r="BD126" s="111"/>
      <c r="BE126" s="2"/>
      <c r="BF126" s="3"/>
      <c r="BG126" s="2"/>
      <c r="BH126" s="2"/>
      <c r="BI126" s="1"/>
      <c r="BJ126" s="1"/>
      <c r="BK126" s="1"/>
    </row>
    <row r="127" spans="1:63" ht="12" customHeight="1">
      <c r="A127" s="1"/>
      <c r="B127" s="107">
        <v>9</v>
      </c>
      <c r="C127" s="31">
        <v>10</v>
      </c>
      <c r="D127" s="106" t="s">
        <v>10</v>
      </c>
      <c r="E127" s="2" t="s">
        <v>138</v>
      </c>
      <c r="F127" s="25"/>
      <c r="G127" s="2" t="s">
        <v>137</v>
      </c>
      <c r="H127" s="33"/>
      <c r="I127" s="99">
        <f t="shared" si="184"/>
        <v>234.82774390243898</v>
      </c>
      <c r="J127" s="101">
        <f t="shared" si="185"/>
        <v>25.75</v>
      </c>
      <c r="K127" s="124">
        <f t="shared" si="186"/>
        <v>28</v>
      </c>
      <c r="L127" s="74"/>
      <c r="M127" s="99">
        <f t="shared" si="187"/>
        <v>3757.2439024390237</v>
      </c>
      <c r="N127" s="108">
        <f t="shared" si="242"/>
        <v>3757.2439024390237</v>
      </c>
      <c r="O127" s="108"/>
      <c r="P127" s="108"/>
      <c r="Q127" s="108"/>
      <c r="R127" s="109"/>
      <c r="S127" s="99">
        <f t="shared" si="189"/>
        <v>3131.0365853658532</v>
      </c>
      <c r="T127" s="108">
        <f>AL127*AS127*AU127*AX127*IF(AY127=0,1,0.5)*IF(F127="백어택",1.2,1)</f>
        <v>3131.0365853658532</v>
      </c>
      <c r="U127" s="108"/>
      <c r="V127" s="108"/>
      <c r="W127" s="108"/>
      <c r="X127" s="109"/>
      <c r="Y127" s="99">
        <f t="shared" si="190"/>
        <v>6262.0731707317063</v>
      </c>
      <c r="Z127" s="108">
        <f t="shared" si="243"/>
        <v>6262.0731707317063</v>
      </c>
      <c r="AA127" s="108"/>
      <c r="AB127" s="108"/>
      <c r="AC127" s="108"/>
      <c r="AD127" s="109"/>
      <c r="AE127" s="99">
        <f t="shared" si="244"/>
        <v>16</v>
      </c>
      <c r="AF127" s="101"/>
      <c r="AG127" s="101">
        <f>IF($D$25+AV127&gt;100,100,$D$25+AV127)</f>
        <v>20</v>
      </c>
      <c r="AH127" s="101">
        <f t="shared" ref="AH127:AH130" si="245">AQ127</f>
        <v>412</v>
      </c>
      <c r="AI127" s="101">
        <f>$D$26+AY127</f>
        <v>200</v>
      </c>
      <c r="AJ127" s="108">
        <f>10*AR127/(7-IF(AX127=1,0,3))</f>
        <v>1.4285714285714286</v>
      </c>
      <c r="AK127" s="101">
        <f t="shared" si="192"/>
        <v>2504.8292682926826</v>
      </c>
      <c r="AL127" s="101">
        <f>(VLOOKUP(C127,$B$4:$AG$7,13,FALSE)+VLOOKUP(C127,$B$8:$AG$11,13,FALSE)*$D$22)*$D$27/100</f>
        <v>2504.8292682926826</v>
      </c>
      <c r="AM127" s="101"/>
      <c r="AN127" s="101"/>
      <c r="AO127" s="1">
        <v>16</v>
      </c>
      <c r="AP127" s="2"/>
      <c r="AQ127" s="74">
        <f>VLOOKUP(C127,$B$13:$AA$16,13,FALSE)</f>
        <v>412</v>
      </c>
      <c r="AR127" s="10">
        <v>1</v>
      </c>
      <c r="AS127" s="1">
        <v>1</v>
      </c>
      <c r="AT127" s="11"/>
      <c r="AU127" s="10">
        <v>1.25</v>
      </c>
      <c r="AV127" s="1">
        <v>0</v>
      </c>
      <c r="AW127" s="1"/>
      <c r="AX127" s="10">
        <v>1</v>
      </c>
      <c r="AY127" s="11">
        <v>0</v>
      </c>
      <c r="AZ127" s="2"/>
      <c r="BA127" s="2"/>
      <c r="BB127" s="2"/>
      <c r="BC127" s="1"/>
      <c r="BD127" s="106"/>
      <c r="BE127" s="2"/>
      <c r="BF127" s="2"/>
      <c r="BG127" s="2"/>
      <c r="BH127" s="2"/>
      <c r="BI127" s="1"/>
      <c r="BJ127" s="1"/>
      <c r="BK127" s="1"/>
    </row>
    <row r="128" spans="1:63" ht="12" customHeight="1">
      <c r="A128" s="1"/>
      <c r="B128" s="107">
        <v>11</v>
      </c>
      <c r="C128" s="31">
        <v>10</v>
      </c>
      <c r="D128" s="106" t="s">
        <v>17</v>
      </c>
      <c r="E128" s="2" t="s">
        <v>147</v>
      </c>
      <c r="F128" s="25"/>
      <c r="G128" s="2"/>
      <c r="H128" s="33">
        <f>IF(AT128=1,3,IF(AY128=1,3,2))</f>
        <v>3</v>
      </c>
      <c r="I128" s="99">
        <f t="shared" si="184"/>
        <v>228.31353658536582</v>
      </c>
      <c r="J128" s="101">
        <f t="shared" si="185"/>
        <v>34.625</v>
      </c>
      <c r="K128" s="124">
        <f t="shared" si="186"/>
        <v>29</v>
      </c>
      <c r="L128" s="74"/>
      <c r="M128" s="99">
        <f t="shared" si="187"/>
        <v>1826.5082926829266</v>
      </c>
      <c r="N128" s="108">
        <f>T128*(1+(AG128/100)*(AI128/100-1))</f>
        <v>434.88292682926829</v>
      </c>
      <c r="O128" s="108">
        <f>U128*(1+(AG128/100)*(AI128/100-1))</f>
        <v>608.83609756097553</v>
      </c>
      <c r="P128" s="108">
        <f>V128*(1+(AG128/100)*(AI128/100-1))</f>
        <v>782.78926829268289</v>
      </c>
      <c r="Q128" s="108"/>
      <c r="R128" s="109"/>
      <c r="S128" s="99">
        <f t="shared" si="189"/>
        <v>1217.6721951219511</v>
      </c>
      <c r="T128" s="108">
        <f>AL128*AV128</f>
        <v>289.92195121951221</v>
      </c>
      <c r="U128" s="108">
        <f>AL128*AW128</f>
        <v>405.89073170731706</v>
      </c>
      <c r="V128" s="108">
        <f>IF(H128=3,AL128,0)*(1+AW128-1+AW128-1)</f>
        <v>521.85951219512197</v>
      </c>
      <c r="W128" s="108"/>
      <c r="X128" s="109"/>
      <c r="Y128" s="99">
        <f t="shared" si="190"/>
        <v>4261.8526829268294</v>
      </c>
      <c r="Z128" s="108">
        <f t="shared" si="243"/>
        <v>1014.7268292682928</v>
      </c>
      <c r="AA128" s="108">
        <f>U128*AI128/100</f>
        <v>1420.6175609756099</v>
      </c>
      <c r="AB128" s="108">
        <f>V128*AI128/100</f>
        <v>1826.508292682927</v>
      </c>
      <c r="AC128" s="108"/>
      <c r="AD128" s="109"/>
      <c r="AE128" s="99">
        <f t="shared" si="244"/>
        <v>8</v>
      </c>
      <c r="AF128" s="101"/>
      <c r="AG128" s="101">
        <f>IF($D$25&gt;100,100,$D$25)</f>
        <v>20</v>
      </c>
      <c r="AH128" s="101">
        <f t="shared" si="245"/>
        <v>277</v>
      </c>
      <c r="AI128" s="101">
        <f>$D$26+AX128</f>
        <v>350</v>
      </c>
      <c r="AJ128" s="108">
        <f>10*AR128/IF(AT128=0,IF(AY128=0,8,5),5)</f>
        <v>2</v>
      </c>
      <c r="AK128" s="101">
        <f>H128*SUM(AL128:AN128)</f>
        <v>869.76585365853657</v>
      </c>
      <c r="AL128" s="101">
        <f>((VLOOKUP(C128,$B$4:$AG$7,24,FALSE)+VLOOKUP(C128,$B$8:$AG$11,24,FALSE)*$D$22))*$D$27/100</f>
        <v>289.92195121951221</v>
      </c>
      <c r="AM128" s="101"/>
      <c r="AN128" s="101"/>
      <c r="AO128" s="1">
        <v>8</v>
      </c>
      <c r="AP128" s="2"/>
      <c r="AQ128" s="74">
        <f>VLOOKUP(C128,$B$13:$AA$16,24,FALSE)</f>
        <v>277</v>
      </c>
      <c r="AR128" s="10">
        <v>1</v>
      </c>
      <c r="AS128" s="1"/>
      <c r="AT128" s="11">
        <v>1</v>
      </c>
      <c r="AU128" s="10"/>
      <c r="AV128" s="1">
        <v>1</v>
      </c>
      <c r="AW128" s="1">
        <v>1.4</v>
      </c>
      <c r="AX128" s="10">
        <v>150</v>
      </c>
      <c r="AY128" s="11">
        <v>0</v>
      </c>
      <c r="AZ128" s="2"/>
      <c r="BA128" s="2"/>
      <c r="BB128" s="2"/>
      <c r="BC128" s="1"/>
      <c r="BD128" s="106"/>
      <c r="BE128" s="2"/>
      <c r="BF128" s="2"/>
      <c r="BG128" s="2"/>
      <c r="BH128" s="2"/>
      <c r="BI128" s="1"/>
      <c r="BJ128" s="1"/>
      <c r="BK128" s="2"/>
    </row>
    <row r="129" spans="1:63" ht="12" customHeight="1">
      <c r="A129" s="1"/>
      <c r="B129" s="107">
        <v>14</v>
      </c>
      <c r="C129" s="31">
        <v>10</v>
      </c>
      <c r="D129" s="111" t="s">
        <v>18</v>
      </c>
      <c r="E129" s="2" t="s">
        <v>164</v>
      </c>
      <c r="F129" s="25"/>
      <c r="G129" s="2"/>
      <c r="H129" s="33" t="s">
        <v>80</v>
      </c>
      <c r="I129" s="99">
        <f t="shared" si="184"/>
        <v>226.2389073170732</v>
      </c>
      <c r="J129" s="101">
        <f t="shared" si="185"/>
        <v>26.05</v>
      </c>
      <c r="K129" s="124">
        <f t="shared" si="186"/>
        <v>30</v>
      </c>
      <c r="L129" s="74"/>
      <c r="M129" s="99">
        <f t="shared" si="187"/>
        <v>4524.778146341464</v>
      </c>
      <c r="N129" s="108">
        <f>T129*(1+((AG129+IF(F129="백어택",20,0))/100)*(AI129/100-1))</f>
        <v>4524.778146341464</v>
      </c>
      <c r="O129" s="108">
        <f>U129*(1+(($D$25+IF(F129="백어택",20,0))/100)*(AI129/100-1))</f>
        <v>0</v>
      </c>
      <c r="P129" s="108"/>
      <c r="Q129" s="108"/>
      <c r="R129" s="109"/>
      <c r="S129" s="99">
        <f t="shared" si="189"/>
        <v>2827.9863414634146</v>
      </c>
      <c r="T129" s="108">
        <f>AL129*IF(H129="근접",AT129,IF(AV129=1,AT129,1))*AX129*IF(F129="백어택",1.2,1)</f>
        <v>2827.9863414634146</v>
      </c>
      <c r="U129" s="108">
        <f>IF(AX129=1,AM129*IF(H129="근접",AT129,IF(AV129=1,AT129,1)),0)*AY129*IF(AX129=1,1,0)*IF(F129="백어택",1.2,1)</f>
        <v>0</v>
      </c>
      <c r="V129" s="108"/>
      <c r="W129" s="108"/>
      <c r="X129" s="109"/>
      <c r="Y129" s="99">
        <f t="shared" si="190"/>
        <v>5655.9726829268293</v>
      </c>
      <c r="Z129" s="108">
        <f t="shared" ref="Z129:AA129" si="246">T129*$D$26/100</f>
        <v>5655.9726829268293</v>
      </c>
      <c r="AA129" s="108">
        <f t="shared" si="246"/>
        <v>0</v>
      </c>
      <c r="AB129" s="108"/>
      <c r="AC129" s="108"/>
      <c r="AD129" s="109"/>
      <c r="AE129" s="99">
        <f>(AO129-AR129)*IF(AW129="보스대상",1,POWER(0.85,AW129))</f>
        <v>20</v>
      </c>
      <c r="AF129" s="101"/>
      <c r="AG129" s="101">
        <f>IF($D$25&gt;100,100,$D$25)+AU129</f>
        <v>60</v>
      </c>
      <c r="AH129" s="101">
        <f t="shared" si="245"/>
        <v>521</v>
      </c>
      <c r="AI129" s="101">
        <f t="shared" ref="AI129:AI136" si="247">$D$26</f>
        <v>200</v>
      </c>
      <c r="AJ129" s="112">
        <f>10*AS129/IF(AX129=1,IF(AY129=1,4.5,4),4)</f>
        <v>2.5</v>
      </c>
      <c r="AK129" s="101">
        <f t="shared" ref="AK129:AK152" si="248">SUM(AL129:AN129)</f>
        <v>1692.0585365853658</v>
      </c>
      <c r="AL129" s="101">
        <f>IF(AV129=1,$D$29*(VLOOKUP(C129,$B$4:$AG$7,25,FALSE)+VLOOKUP(C129,$B$8:$AG$11,25,FALSE)*$D$22),(IF(H129="근접",$D$29*(VLOOKUP(C129,$B$4:$AG$7,25,FALSE)+VLOOKUP(C129,$B$8:$AG$11,25,FALSE)*$D$22),$D$28*(VLOOKUP(C129,$B$4:$AG$7,25,FALSE)+VLOOKUP(C129,$B$8:$AG$11,25,FALSE)*$D$22))))*$D$27/100</f>
        <v>1009.9951219512195</v>
      </c>
      <c r="AM129" s="101">
        <f>(IF(AV129=1,$D$29*(VLOOKUP(C129,$B$4:$AG$7,26,FALSE)+VLOOKUP(C129,$B$8:$AG$11,26,FALSE)*$D$22),IF(H129="근접",$D$29*(VLOOKUP(C129,$B$4:$AG$7,26,FALSE)+VLOOKUP(C129,$B$8:$AG$11,26,FALSE)*$D$22),$D$28*(VLOOKUP(C129,$B$4:$AG$7,26,FALSE)+VLOOKUP(C129,$B$8:$AG$11,26,FALSE)*$D$22))))*$D$27/100</f>
        <v>682.06341463414628</v>
      </c>
      <c r="AN129" s="101"/>
      <c r="AO129" s="1">
        <v>24</v>
      </c>
      <c r="AP129" s="2"/>
      <c r="AQ129" s="74">
        <f>VLOOKUP(C129,$B$13:$AA$16,25,FALSE)</f>
        <v>521</v>
      </c>
      <c r="AR129" s="10">
        <v>4</v>
      </c>
      <c r="AS129" s="1">
        <v>1</v>
      </c>
      <c r="AT129" s="11">
        <v>1</v>
      </c>
      <c r="AU129" s="10">
        <v>40</v>
      </c>
      <c r="AV129" s="1">
        <v>0</v>
      </c>
      <c r="AW129" s="1" t="s">
        <v>86</v>
      </c>
      <c r="AX129" s="10">
        <v>2.8</v>
      </c>
      <c r="AY129" s="11">
        <v>1</v>
      </c>
      <c r="AZ129" s="2"/>
      <c r="BA129" s="2"/>
      <c r="BB129" s="2"/>
      <c r="BC129" s="1"/>
      <c r="BD129" s="111"/>
      <c r="BE129" s="2"/>
      <c r="BF129" s="3"/>
      <c r="BG129" s="2"/>
      <c r="BH129" s="2"/>
      <c r="BI129" s="1"/>
      <c r="BJ129" s="1"/>
      <c r="BK129" s="2"/>
    </row>
    <row r="130" spans="1:63" ht="12" customHeight="1">
      <c r="A130" s="1"/>
      <c r="B130" s="107">
        <v>25</v>
      </c>
      <c r="C130" s="31">
        <v>10</v>
      </c>
      <c r="D130" s="113" t="s">
        <v>15</v>
      </c>
      <c r="E130" s="2" t="s">
        <v>135</v>
      </c>
      <c r="F130" s="25"/>
      <c r="G130" s="2"/>
      <c r="H130" s="33">
        <f>IF(AX130=AT130,3,4)</f>
        <v>4</v>
      </c>
      <c r="I130" s="99">
        <f t="shared" si="184"/>
        <v>221.01194146341464</v>
      </c>
      <c r="J130" s="101">
        <f t="shared" si="185"/>
        <v>19.733333333333334</v>
      </c>
      <c r="K130" s="124">
        <f t="shared" si="186"/>
        <v>31</v>
      </c>
      <c r="L130" s="74"/>
      <c r="M130" s="99">
        <f t="shared" si="187"/>
        <v>6630.3582439024394</v>
      </c>
      <c r="N130" s="108">
        <f>T130*(1+(AG130/100)*(AI130/100-1))</f>
        <v>1091.0716097560976</v>
      </c>
      <c r="O130" s="108">
        <f>U130*(1+(AG130/100)*(AI130/100-1))</f>
        <v>1091.0716097560976</v>
      </c>
      <c r="P130" s="108">
        <f>V130*(1+(AG130/100)*(AI130/100-1))</f>
        <v>1091.0716097560976</v>
      </c>
      <c r="Q130" s="108">
        <f>W130*(1+(AG130/100)*(AI130/100-1))</f>
        <v>839.28585365853667</v>
      </c>
      <c r="R130" s="109">
        <f>X130*(1+(AG130/100)*(AI130/100-1))</f>
        <v>2517.8575609756099</v>
      </c>
      <c r="S130" s="99">
        <f t="shared" si="189"/>
        <v>5525.2985365853665</v>
      </c>
      <c r="T130" s="108">
        <f>AL130*AS130*AY130</f>
        <v>909.22634146341477</v>
      </c>
      <c r="U130" s="108">
        <f>AL130*AS130*AY130</f>
        <v>909.22634146341477</v>
      </c>
      <c r="V130" s="108">
        <f>AL130*AS130*AY130</f>
        <v>909.22634146341477</v>
      </c>
      <c r="W130" s="108">
        <f>IF(H130=4,AL130*AS130*IF(AT130=0,AY130,1),0)</f>
        <v>699.40487804878057</v>
      </c>
      <c r="X130" s="109">
        <f>AL130*IF(H130=3,11,IF(AT130=1,15,13))*IF(AW130=1,0,AW130)</f>
        <v>2098.2146341463417</v>
      </c>
      <c r="Y130" s="99">
        <f t="shared" si="190"/>
        <v>11050.597073170733</v>
      </c>
      <c r="Z130" s="108">
        <f>T130*AI130/100</f>
        <v>1818.4526829268295</v>
      </c>
      <c r="AA130" s="108">
        <f>U130*AI130/100</f>
        <v>1818.4526829268295</v>
      </c>
      <c r="AB130" s="108">
        <f>V130*AI130/100</f>
        <v>1818.4526829268295</v>
      </c>
      <c r="AC130" s="108">
        <f>W130*AI130/100</f>
        <v>1398.8097560975611</v>
      </c>
      <c r="AD130" s="109">
        <f>X130*AI130/100</f>
        <v>4196.4292682926834</v>
      </c>
      <c r="AE130" s="99">
        <f>AO130</f>
        <v>30</v>
      </c>
      <c r="AF130" s="101"/>
      <c r="AG130" s="101">
        <f>IF($D$25+AX130&gt;100,100,$D$25+AX130)</f>
        <v>20</v>
      </c>
      <c r="AH130" s="101">
        <f t="shared" si="245"/>
        <v>592</v>
      </c>
      <c r="AI130" s="101">
        <f t="shared" si="247"/>
        <v>200</v>
      </c>
      <c r="AJ130" s="108">
        <f>10*AU130/IF(AT130=1,2.5,(IF(AY130=1,3,2.5)))</f>
        <v>4</v>
      </c>
      <c r="AK130" s="101">
        <f t="shared" si="248"/>
        <v>699.40487804878057</v>
      </c>
      <c r="AL130" s="101">
        <f>((VLOOKUP(C130,$B$4:$AG$7,22,FALSE)+VLOOKUP(C130,$B$8:$AG$11,22,FALSE)*$D$22))*$D$27/100</f>
        <v>699.40487804878057</v>
      </c>
      <c r="AM130" s="101"/>
      <c r="AN130" s="101"/>
      <c r="AO130" s="1">
        <v>30</v>
      </c>
      <c r="AP130" s="2"/>
      <c r="AQ130" s="74">
        <f>VLOOKUP(C130,$B$13:$AA$16,22,FALSE)</f>
        <v>592</v>
      </c>
      <c r="AR130" s="10"/>
      <c r="AS130" s="1">
        <v>1</v>
      </c>
      <c r="AT130" s="11">
        <v>1</v>
      </c>
      <c r="AU130" s="10">
        <v>1</v>
      </c>
      <c r="AV130" s="1"/>
      <c r="AW130" s="1">
        <v>0.2</v>
      </c>
      <c r="AX130" s="10">
        <v>0</v>
      </c>
      <c r="AY130" s="11">
        <v>1.3</v>
      </c>
      <c r="AZ130" s="2"/>
      <c r="BA130" s="2"/>
      <c r="BB130" s="2"/>
      <c r="BC130" s="1"/>
      <c r="BD130" s="1"/>
      <c r="BE130" s="1"/>
      <c r="BF130" s="1"/>
      <c r="BG130" s="1"/>
      <c r="BH130" s="1"/>
      <c r="BI130" s="1"/>
      <c r="BJ130" s="1"/>
      <c r="BK130" s="1"/>
    </row>
    <row r="131" spans="1:63" ht="12" customHeight="1">
      <c r="A131" s="1"/>
      <c r="B131" s="107">
        <v>10</v>
      </c>
      <c r="C131" s="31">
        <v>10</v>
      </c>
      <c r="D131" s="106" t="s">
        <v>20</v>
      </c>
      <c r="E131" s="2" t="s">
        <v>153</v>
      </c>
      <c r="F131" s="25"/>
      <c r="G131" s="2"/>
      <c r="H131" s="33"/>
      <c r="I131" s="99">
        <f t="shared" si="184"/>
        <v>211.38185365853658</v>
      </c>
      <c r="J131" s="101">
        <f t="shared" si="185"/>
        <v>29.4</v>
      </c>
      <c r="K131" s="124">
        <f t="shared" si="186"/>
        <v>32</v>
      </c>
      <c r="L131" s="74"/>
      <c r="M131" s="99">
        <f t="shared" si="187"/>
        <v>3170.7278048780486</v>
      </c>
      <c r="N131" s="108">
        <f>T131*(1+((AG131+IF(F131="백어택",20,0))/100)*(AI131/100-1))</f>
        <v>1358.0253658536583</v>
      </c>
      <c r="O131" s="108">
        <f>U131*(1+(($D$25+IF(F131="백어택",20,0))/100)*($D$26/100-1))</f>
        <v>1812.7024390243903</v>
      </c>
      <c r="P131" s="108"/>
      <c r="Q131" s="108"/>
      <c r="R131" s="109"/>
      <c r="S131" s="99">
        <f t="shared" si="189"/>
        <v>2642.2731707317071</v>
      </c>
      <c r="T131" s="108">
        <f>AL131*AV131*IF(F131="백어택",1.2,1)</f>
        <v>1131.6878048780486</v>
      </c>
      <c r="U131" s="108">
        <f>AM131*AX131*AY131*IF(F131="백어택",1.2,1)</f>
        <v>1510.5853658536587</v>
      </c>
      <c r="V131" s="108"/>
      <c r="W131" s="108"/>
      <c r="X131" s="109"/>
      <c r="Y131" s="99">
        <f t="shared" si="190"/>
        <v>5284.5463414634141</v>
      </c>
      <c r="Z131" s="108">
        <f t="shared" ref="Z131:AA131" si="249">T131*$D$26/100</f>
        <v>2263.3756097560972</v>
      </c>
      <c r="AA131" s="108">
        <f t="shared" si="249"/>
        <v>3021.1707317073174</v>
      </c>
      <c r="AB131" s="108"/>
      <c r="AC131" s="108"/>
      <c r="AD131" s="109"/>
      <c r="AE131" s="99">
        <f>AO131-AR131</f>
        <v>15</v>
      </c>
      <c r="AF131" s="101"/>
      <c r="AG131" s="101">
        <f>IF($D$25+AU131&gt;100,100,$D$25+AU131)</f>
        <v>20</v>
      </c>
      <c r="AH131" s="101">
        <f>AQ131*AS131</f>
        <v>441</v>
      </c>
      <c r="AI131" s="101">
        <f t="shared" si="247"/>
        <v>200</v>
      </c>
      <c r="AJ131" s="108">
        <f>10*IF(AV131=1,1,5/4.5)/IF(AX131=1,5,3.5)</f>
        <v>3.1746031746031744</v>
      </c>
      <c r="AK131" s="101">
        <f t="shared" si="248"/>
        <v>1509.7512195121951</v>
      </c>
      <c r="AL131" s="101">
        <f>(VLOOKUP(C131,$B$4:$AG$7,29,FALSE)+VLOOKUP(C131,$B$8:$AG$11,29,FALSE)*$D$22)*$D$27/100</f>
        <v>754.45853658536578</v>
      </c>
      <c r="AM131" s="101">
        <f>(VLOOKUP(C131,$B$4:$AG$7,30,FALSE)+VLOOKUP(C131,$B$8:$AG$11,30,FALSE)*$D$22)*$D$27/100</f>
        <v>755.29268292682934</v>
      </c>
      <c r="AN131" s="101"/>
      <c r="AO131" s="1">
        <v>18</v>
      </c>
      <c r="AP131" s="2"/>
      <c r="AQ131" s="74">
        <f>VLOOKUP(C131,$B$13:$AG$16,29,FALSE)</f>
        <v>441</v>
      </c>
      <c r="AR131" s="10">
        <v>3</v>
      </c>
      <c r="AS131" s="1">
        <v>1</v>
      </c>
      <c r="AT131" s="11"/>
      <c r="AU131" s="10">
        <v>0</v>
      </c>
      <c r="AV131" s="1">
        <v>1.5</v>
      </c>
      <c r="AW131" s="1"/>
      <c r="AX131" s="10">
        <v>2</v>
      </c>
      <c r="AY131" s="11">
        <v>1</v>
      </c>
      <c r="AZ131" s="2"/>
      <c r="BA131" s="2"/>
      <c r="BB131" s="2"/>
      <c r="BC131" s="1"/>
      <c r="BD131" s="111"/>
      <c r="BE131" s="2"/>
      <c r="BF131" s="3"/>
      <c r="BG131" s="2"/>
      <c r="BH131" s="2"/>
      <c r="BI131" s="1"/>
      <c r="BJ131" s="1"/>
      <c r="BK131" s="1"/>
    </row>
    <row r="132" spans="1:63" ht="12" customHeight="1">
      <c r="A132" s="2"/>
      <c r="B132" s="107">
        <v>21</v>
      </c>
      <c r="C132" s="31">
        <v>10</v>
      </c>
      <c r="D132" s="113" t="s">
        <v>12</v>
      </c>
      <c r="E132" s="2" t="s">
        <v>138</v>
      </c>
      <c r="F132" s="31"/>
      <c r="G132" s="2" t="s">
        <v>180</v>
      </c>
      <c r="H132" s="33"/>
      <c r="I132" s="99">
        <f t="shared" si="184"/>
        <v>208.7689024390244</v>
      </c>
      <c r="J132" s="101">
        <f t="shared" si="185"/>
        <v>21.708333333333332</v>
      </c>
      <c r="K132" s="124">
        <f t="shared" si="186"/>
        <v>33</v>
      </c>
      <c r="L132" s="74"/>
      <c r="M132" s="99">
        <f t="shared" si="187"/>
        <v>5010.4536585365859</v>
      </c>
      <c r="N132" s="108">
        <f>T132*(1+(AG132/100)*(AI132/100-1))</f>
        <v>3340.3024390243904</v>
      </c>
      <c r="O132" s="108">
        <f>U132*(1+($D$25/100)*(AI132/100-1))</f>
        <v>1670.1512195121952</v>
      </c>
      <c r="P132" s="108"/>
      <c r="Q132" s="108"/>
      <c r="R132" s="109">
        <f>X132*(1+($D$25/100)*(AI132/100-1))</f>
        <v>0</v>
      </c>
      <c r="S132" s="99">
        <f t="shared" si="189"/>
        <v>4175.3780487804888</v>
      </c>
      <c r="T132" s="108">
        <f>AL132*AU132*AW132</f>
        <v>2783.5853658536589</v>
      </c>
      <c r="U132" s="108">
        <f>AL132*AU132*AW132*AX132</f>
        <v>1391.7926829268295</v>
      </c>
      <c r="V132" s="108"/>
      <c r="W132" s="108"/>
      <c r="X132" s="109">
        <f>AL132*AY132</f>
        <v>0</v>
      </c>
      <c r="Y132" s="99">
        <f t="shared" si="190"/>
        <v>8350.7560975609777</v>
      </c>
      <c r="Z132" s="108">
        <f t="shared" ref="Z132:AA132" si="250">T132*$D$26/100</f>
        <v>5567.1707317073178</v>
      </c>
      <c r="AA132" s="108">
        <f t="shared" si="250"/>
        <v>2783.5853658536589</v>
      </c>
      <c r="AB132" s="108"/>
      <c r="AC132" s="108"/>
      <c r="AD132" s="109">
        <f>X132*$D$26/100</f>
        <v>0</v>
      </c>
      <c r="AE132" s="99">
        <f t="shared" ref="AE132:AE133" si="251">AO132</f>
        <v>24</v>
      </c>
      <c r="AF132" s="101"/>
      <c r="AG132" s="101">
        <f>IF($D$25+AV132&gt;100,100,$D$25+AV132)</f>
        <v>20</v>
      </c>
      <c r="AH132" s="101">
        <f>AQ132</f>
        <v>521</v>
      </c>
      <c r="AI132" s="101">
        <f t="shared" si="247"/>
        <v>200</v>
      </c>
      <c r="AJ132" s="108">
        <f>10/7</f>
        <v>1.4285714285714286</v>
      </c>
      <c r="AK132" s="101">
        <f t="shared" si="248"/>
        <v>2141.2195121951222</v>
      </c>
      <c r="AL132" s="101">
        <f>(VLOOKUP(C132,$B$4:$AG$7,16,FALSE)+VLOOKUP(C132,$B$8:$AG$11,16,FALSE)*$D$22)*$D$27/100</f>
        <v>2141.2195121951222</v>
      </c>
      <c r="AM132" s="101"/>
      <c r="AN132" s="101"/>
      <c r="AO132" s="1">
        <v>24</v>
      </c>
      <c r="AP132" s="2"/>
      <c r="AQ132" s="74">
        <f>VLOOKUP(C132,$B$13:$AA$16,16,FALSE)</f>
        <v>521</v>
      </c>
      <c r="AR132" s="10"/>
      <c r="AS132" s="1"/>
      <c r="AT132" s="11"/>
      <c r="AU132" s="10">
        <v>1.3</v>
      </c>
      <c r="AV132" s="1">
        <v>0</v>
      </c>
      <c r="AW132" s="1">
        <v>1</v>
      </c>
      <c r="AX132" s="10">
        <v>0.5</v>
      </c>
      <c r="AY132" s="11">
        <v>0</v>
      </c>
      <c r="AZ132" s="2"/>
      <c r="BA132" s="2"/>
      <c r="BB132" s="2"/>
      <c r="BC132" s="2"/>
      <c r="BD132" s="2"/>
      <c r="BE132" s="2"/>
      <c r="BF132" s="2"/>
      <c r="BG132" s="2"/>
      <c r="BH132" s="2"/>
      <c r="BI132" s="1"/>
      <c r="BJ132" s="1"/>
      <c r="BK132" s="1"/>
    </row>
    <row r="133" spans="1:63" ht="12" customHeight="1">
      <c r="A133" s="1"/>
      <c r="B133" s="107">
        <v>6</v>
      </c>
      <c r="C133" s="31">
        <v>10</v>
      </c>
      <c r="D133" s="106" t="s">
        <v>16</v>
      </c>
      <c r="E133" s="2" t="s">
        <v>145</v>
      </c>
      <c r="F133" s="25" t="s">
        <v>149</v>
      </c>
      <c r="G133" s="2"/>
      <c r="H133" s="33">
        <f>AX133*2</f>
        <v>2</v>
      </c>
      <c r="I133" s="99">
        <f t="shared" si="184"/>
        <v>204.70933170731703</v>
      </c>
      <c r="J133" s="101">
        <f t="shared" si="185"/>
        <v>39.166666666666664</v>
      </c>
      <c r="K133" s="124">
        <f t="shared" si="186"/>
        <v>34</v>
      </c>
      <c r="L133" s="74"/>
      <c r="M133" s="99">
        <f t="shared" si="187"/>
        <v>1228.2559902439023</v>
      </c>
      <c r="N133" s="108">
        <f>T133*(1+((AG133+IF(F133="백어택",20,0))/100)*(AI133/100-1))</f>
        <v>1228.2559902439023</v>
      </c>
      <c r="O133" s="108"/>
      <c r="P133" s="108"/>
      <c r="Q133" s="108"/>
      <c r="R133" s="109"/>
      <c r="S133" s="99">
        <f>SUM(T133:X133)*H133</f>
        <v>1584.8464390243901</v>
      </c>
      <c r="T133" s="108">
        <f>AL133*AU133*AY133*IF(F133="백어택",1.2,1)</f>
        <v>792.42321951219503</v>
      </c>
      <c r="U133" s="108"/>
      <c r="V133" s="108"/>
      <c r="W133" s="108"/>
      <c r="X133" s="109"/>
      <c r="Y133" s="99">
        <f t="shared" si="190"/>
        <v>1584.8464390243901</v>
      </c>
      <c r="Z133" s="108">
        <f t="shared" ref="Z133:Z136" si="252">T133*$D$26/100</f>
        <v>1584.8464390243901</v>
      </c>
      <c r="AA133" s="108"/>
      <c r="AB133" s="108"/>
      <c r="AC133" s="108"/>
      <c r="AD133" s="109"/>
      <c r="AE133" s="99">
        <f t="shared" si="251"/>
        <v>6</v>
      </c>
      <c r="AF133" s="101"/>
      <c r="AG133" s="101">
        <f t="shared" ref="AG133:AG134" si="253">IF($D$25+AT133&gt;100,100,$D$25+AT133)</f>
        <v>35</v>
      </c>
      <c r="AH133" s="101">
        <f>AQ133*AR133</f>
        <v>235</v>
      </c>
      <c r="AI133" s="101">
        <f t="shared" si="247"/>
        <v>200</v>
      </c>
      <c r="AJ133" s="108">
        <f>10*AS133/IF(AX133=1,5,3.5)</f>
        <v>2</v>
      </c>
      <c r="AK133" s="101">
        <f t="shared" si="248"/>
        <v>314.45365853658535</v>
      </c>
      <c r="AL133" s="101">
        <f>((VLOOKUP(C133,$B$4:$AG$7,23,FALSE)+VLOOKUP(C133,$B$8:$AG$11,23,FALSE)*$D$22))*$D$27/100</f>
        <v>314.45365853658535</v>
      </c>
      <c r="AM133" s="101"/>
      <c r="AN133" s="101"/>
      <c r="AO133" s="1">
        <v>6</v>
      </c>
      <c r="AP133" s="2"/>
      <c r="AQ133" s="74">
        <f>VLOOKUP(C133,$B$13:$AA$16,23,FALSE)</f>
        <v>235</v>
      </c>
      <c r="AR133" s="10">
        <v>1</v>
      </c>
      <c r="AS133" s="1">
        <v>1</v>
      </c>
      <c r="AT133" s="11">
        <v>15</v>
      </c>
      <c r="AU133" s="10">
        <v>1.4</v>
      </c>
      <c r="AV133" s="1"/>
      <c r="AW133" s="1"/>
      <c r="AX133" s="10">
        <v>1</v>
      </c>
      <c r="AY133" s="11">
        <v>1.5</v>
      </c>
      <c r="AZ133" s="2"/>
      <c r="BA133" s="2"/>
      <c r="BB133" s="2"/>
      <c r="BC133" s="1"/>
      <c r="BD133" s="106"/>
      <c r="BE133" s="2"/>
      <c r="BF133" s="2"/>
      <c r="BG133" s="2"/>
      <c r="BH133" s="2"/>
      <c r="BI133" s="1"/>
      <c r="BJ133" s="1"/>
      <c r="BK133" s="1"/>
    </row>
    <row r="134" spans="1:63" ht="12" customHeight="1">
      <c r="A134" s="1"/>
      <c r="B134" s="107">
        <v>1</v>
      </c>
      <c r="C134" s="31">
        <v>10</v>
      </c>
      <c r="D134" s="106" t="s">
        <v>2</v>
      </c>
      <c r="E134" s="2" t="s">
        <v>108</v>
      </c>
      <c r="F134" s="25"/>
      <c r="G134" s="2" t="s">
        <v>133</v>
      </c>
      <c r="H134" s="33"/>
      <c r="I134" s="99">
        <f t="shared" si="184"/>
        <v>202.95110801393727</v>
      </c>
      <c r="J134" s="101">
        <f t="shared" si="185"/>
        <v>39.571428571428569</v>
      </c>
      <c r="K134" s="124">
        <f t="shared" si="186"/>
        <v>35</v>
      </c>
      <c r="L134" s="74"/>
      <c r="M134" s="99">
        <f t="shared" si="187"/>
        <v>1420.6577560975609</v>
      </c>
      <c r="N134" s="108">
        <f>T134*(1+(AG134/100)*(AI134/100-1))</f>
        <v>1420.6577560975609</v>
      </c>
      <c r="O134" s="108"/>
      <c r="P134" s="108"/>
      <c r="Q134" s="108"/>
      <c r="R134" s="109"/>
      <c r="S134" s="99">
        <f t="shared" ref="S134:S144" si="254">SUM(T134:X134)</f>
        <v>1183.881463414634</v>
      </c>
      <c r="T134" s="108">
        <f>AL134*AV134*AW134*AY134</f>
        <v>1183.881463414634</v>
      </c>
      <c r="U134" s="108"/>
      <c r="V134" s="108"/>
      <c r="W134" s="108"/>
      <c r="X134" s="109"/>
      <c r="Y134" s="99">
        <f t="shared" si="190"/>
        <v>2367.7629268292681</v>
      </c>
      <c r="Z134" s="108">
        <f t="shared" si="252"/>
        <v>2367.7629268292681</v>
      </c>
      <c r="AA134" s="108"/>
      <c r="AB134" s="108"/>
      <c r="AC134" s="108"/>
      <c r="AD134" s="109"/>
      <c r="AE134" s="99">
        <f>AO134-AS134</f>
        <v>7</v>
      </c>
      <c r="AF134" s="101"/>
      <c r="AG134" s="101">
        <f t="shared" si="253"/>
        <v>20</v>
      </c>
      <c r="AH134" s="101">
        <f t="shared" ref="AH134:AH136" si="255">AQ134</f>
        <v>277</v>
      </c>
      <c r="AI134" s="101">
        <f t="shared" si="247"/>
        <v>200</v>
      </c>
      <c r="AJ134" s="108">
        <f>10*AY134/12</f>
        <v>0.83333333333333337</v>
      </c>
      <c r="AK134" s="101">
        <f t="shared" si="248"/>
        <v>910.67804878048776</v>
      </c>
      <c r="AL134" s="101">
        <f>(VLOOKUP(C134,$B$4:$AA$7,2,FALSE)+VLOOKUP(C134,$B$8:$AA$11,2,FALSE)*$D$22)*$D$27/100</f>
        <v>910.67804878048776</v>
      </c>
      <c r="AM134" s="101"/>
      <c r="AN134" s="101"/>
      <c r="AO134" s="1">
        <v>8</v>
      </c>
      <c r="AP134" s="2"/>
      <c r="AQ134" s="74">
        <f>VLOOKUP(C134,$B$13:$AA$16,2,FALSE)</f>
        <v>277</v>
      </c>
      <c r="AR134" s="10"/>
      <c r="AS134" s="1">
        <v>1</v>
      </c>
      <c r="AT134" s="11">
        <v>0</v>
      </c>
      <c r="AU134" s="10"/>
      <c r="AV134" s="1">
        <v>1</v>
      </c>
      <c r="AW134" s="1">
        <v>1.3</v>
      </c>
      <c r="AX134" s="10"/>
      <c r="AY134" s="11">
        <v>1</v>
      </c>
      <c r="AZ134" s="2"/>
      <c r="BA134" s="2"/>
      <c r="BB134" s="2"/>
      <c r="BC134" s="1"/>
      <c r="BD134" s="106"/>
      <c r="BE134" s="2"/>
      <c r="BF134" s="2"/>
      <c r="BG134" s="2"/>
      <c r="BH134" s="2"/>
      <c r="BI134" s="1"/>
      <c r="BJ134" s="1"/>
      <c r="BK134" s="1"/>
    </row>
    <row r="135" spans="1:63" ht="12" customHeight="1">
      <c r="A135" s="1"/>
      <c r="B135" s="107">
        <v>7</v>
      </c>
      <c r="C135" s="31">
        <v>10</v>
      </c>
      <c r="D135" s="106" t="s">
        <v>4</v>
      </c>
      <c r="E135" s="2" t="s">
        <v>135</v>
      </c>
      <c r="F135" s="25" t="s">
        <v>149</v>
      </c>
      <c r="G135" s="2" t="s">
        <v>158</v>
      </c>
      <c r="H135" s="33"/>
      <c r="I135" s="99">
        <f t="shared" si="184"/>
        <v>200.67077560975608</v>
      </c>
      <c r="J135" s="101">
        <f t="shared" si="185"/>
        <v>29.083333333333332</v>
      </c>
      <c r="K135" s="124">
        <f t="shared" si="186"/>
        <v>36</v>
      </c>
      <c r="L135" s="74"/>
      <c r="M135" s="99">
        <f t="shared" si="187"/>
        <v>2408.0493073170728</v>
      </c>
      <c r="N135" s="108">
        <f>T135*(1+((AG135+IF(F135="백어택",20,0))/100))*((AI135/100-1))</f>
        <v>429.97346341463413</v>
      </c>
      <c r="O135" s="108">
        <f>U135*(1+((AG135+IF(F135="백어택",20,0))/100)*(AI135/100-1))</f>
        <v>1978.0758439024389</v>
      </c>
      <c r="P135" s="108"/>
      <c r="Q135" s="108"/>
      <c r="R135" s="109"/>
      <c r="S135" s="99">
        <f t="shared" si="254"/>
        <v>1720.035219512195</v>
      </c>
      <c r="T135" s="108">
        <f>AT135*AL135*IF(F135="백어택",1.2,1)</f>
        <v>307.12390243902439</v>
      </c>
      <c r="U135" s="108">
        <f>AM135*AW135*AX135*AY135*IF(F135="백어택",1.2,1)</f>
        <v>1412.9113170731707</v>
      </c>
      <c r="V135" s="108"/>
      <c r="W135" s="108"/>
      <c r="X135" s="109"/>
      <c r="Y135" s="99">
        <f t="shared" si="190"/>
        <v>3440.07043902439</v>
      </c>
      <c r="Z135" s="108">
        <f t="shared" si="252"/>
        <v>614.24780487804878</v>
      </c>
      <c r="AA135" s="108">
        <f>U135*$D$26/100</f>
        <v>2825.8226341463414</v>
      </c>
      <c r="AB135" s="108"/>
      <c r="AC135" s="108"/>
      <c r="AD135" s="109"/>
      <c r="AE135" s="99">
        <f>AO135</f>
        <v>12</v>
      </c>
      <c r="AF135" s="101"/>
      <c r="AG135" s="101">
        <f t="shared" ref="AG135:AG136" si="256">IF($D$25&gt;100,100,$D$25)</f>
        <v>20</v>
      </c>
      <c r="AH135" s="101">
        <f t="shared" si="255"/>
        <v>349</v>
      </c>
      <c r="AI135" s="101">
        <f t="shared" si="247"/>
        <v>200</v>
      </c>
      <c r="AJ135" s="108">
        <f>10/IF(AY135=1,5,4)</f>
        <v>2.5</v>
      </c>
      <c r="AK135" s="101">
        <f t="shared" si="248"/>
        <v>853.19024390243908</v>
      </c>
      <c r="AL135" s="101">
        <f>(VLOOKUP(C135,$B$4:$AG$7,4,FALSE)+VLOOKUP(C135,$B$8:$AG$11,4,FALSE)*$D$22)*$D$27/100</f>
        <v>170.62439024390244</v>
      </c>
      <c r="AM135" s="101">
        <f>(VLOOKUP(C135,$B$4:$AG$7,5,FALSE)+VLOOKUP(C135,$B$8:$AG$11,5,FALSE)*$D$22)*$D$27/100</f>
        <v>682.56585365853664</v>
      </c>
      <c r="AN135" s="101"/>
      <c r="AO135" s="1">
        <v>12</v>
      </c>
      <c r="AP135" s="2"/>
      <c r="AQ135" s="74">
        <f>VLOOKUP(C135,$B$13:$AA$16,4,FALSE)</f>
        <v>349</v>
      </c>
      <c r="AR135" s="10"/>
      <c r="AS135" s="1"/>
      <c r="AT135" s="11">
        <v>1.5</v>
      </c>
      <c r="AU135" s="10"/>
      <c r="AV135" s="1"/>
      <c r="AW135" s="1">
        <v>1</v>
      </c>
      <c r="AX135" s="10">
        <v>1</v>
      </c>
      <c r="AY135" s="11">
        <v>1.7250000000000001</v>
      </c>
      <c r="AZ135" s="2"/>
      <c r="BA135" s="2"/>
      <c r="BB135" s="2"/>
      <c r="BC135" s="1"/>
      <c r="BD135" s="106"/>
      <c r="BE135" s="2"/>
      <c r="BF135" s="2"/>
      <c r="BG135" s="2"/>
      <c r="BH135" s="2"/>
      <c r="BI135" s="1"/>
      <c r="BJ135" s="1"/>
      <c r="BK135" s="1"/>
    </row>
    <row r="136" spans="1:63" ht="12" customHeight="1">
      <c r="A136" s="1"/>
      <c r="B136" s="107">
        <v>19</v>
      </c>
      <c r="C136" s="31">
        <v>10</v>
      </c>
      <c r="D136" s="111" t="s">
        <v>21</v>
      </c>
      <c r="E136" s="2" t="s">
        <v>157</v>
      </c>
      <c r="F136" s="25"/>
      <c r="G136" s="2" t="s">
        <v>178</v>
      </c>
      <c r="H136" s="33"/>
      <c r="I136" s="99">
        <f t="shared" si="184"/>
        <v>196.58208780487806</v>
      </c>
      <c r="J136" s="101">
        <f t="shared" si="185"/>
        <v>21.9</v>
      </c>
      <c r="K136" s="124">
        <f t="shared" si="186"/>
        <v>37</v>
      </c>
      <c r="L136" s="74"/>
      <c r="M136" s="99">
        <f t="shared" si="187"/>
        <v>5897.4626341463418</v>
      </c>
      <c r="N136" s="108">
        <f>T136*(1+((AG136+IF(F136="백어택",20,0))/100)*(AI136/100-1))</f>
        <v>5897.4626341463418</v>
      </c>
      <c r="O136" s="108"/>
      <c r="P136" s="108"/>
      <c r="Q136" s="108"/>
      <c r="R136" s="109">
        <f>X136*(1+(AG136/100)*(AI136/100-1))</f>
        <v>0</v>
      </c>
      <c r="S136" s="99">
        <f t="shared" si="254"/>
        <v>4914.5521951219516</v>
      </c>
      <c r="T136" s="108">
        <f>AL136*AW136*AX136*AY136*IF(F136="백어택",1.2,1)</f>
        <v>4914.5521951219516</v>
      </c>
      <c r="U136" s="108"/>
      <c r="V136" s="108"/>
      <c r="W136" s="108"/>
      <c r="X136" s="109">
        <f>AL136*AS136+IF(AX136=1,AL136*AU136,AL136*AU136*2)</f>
        <v>0</v>
      </c>
      <c r="Y136" s="99">
        <f t="shared" si="190"/>
        <v>9829.1043902439033</v>
      </c>
      <c r="Z136" s="108">
        <f t="shared" si="252"/>
        <v>9829.1043902439033</v>
      </c>
      <c r="AA136" s="108"/>
      <c r="AB136" s="108"/>
      <c r="AC136" s="108"/>
      <c r="AD136" s="109">
        <f>X136*$D$26/100</f>
        <v>0</v>
      </c>
      <c r="AE136" s="99">
        <f>AO136-AR136</f>
        <v>30</v>
      </c>
      <c r="AF136" s="101"/>
      <c r="AG136" s="101">
        <f t="shared" si="256"/>
        <v>20</v>
      </c>
      <c r="AH136" s="101">
        <f t="shared" si="255"/>
        <v>657</v>
      </c>
      <c r="AI136" s="101">
        <f t="shared" si="247"/>
        <v>200</v>
      </c>
      <c r="AJ136" s="108">
        <f>10/6</f>
        <v>1.6666666666666667</v>
      </c>
      <c r="AK136" s="101">
        <f t="shared" si="248"/>
        <v>3071.5951219512194</v>
      </c>
      <c r="AL136" s="101">
        <f>(VLOOKUP(C136,$B$4:$AG$7,31,FALSE)+VLOOKUP(C136,$B$8:$AG$11,31,FALSE)*$D$22)*$D$27/100</f>
        <v>3071.5951219512194</v>
      </c>
      <c r="AM136" s="101"/>
      <c r="AN136" s="101"/>
      <c r="AO136" s="1">
        <v>36</v>
      </c>
      <c r="AP136" s="2"/>
      <c r="AQ136" s="74">
        <f>VLOOKUP(C136,$B$13:$AG$16,31,FALSE)</f>
        <v>657</v>
      </c>
      <c r="AR136" s="10">
        <v>6</v>
      </c>
      <c r="AS136" s="1">
        <v>0</v>
      </c>
      <c r="AT136" s="11"/>
      <c r="AU136" s="10">
        <v>0</v>
      </c>
      <c r="AV136" s="1"/>
      <c r="AW136" s="1">
        <v>1</v>
      </c>
      <c r="AX136" s="10">
        <v>1</v>
      </c>
      <c r="AY136" s="11">
        <v>1.6</v>
      </c>
      <c r="AZ136" s="2"/>
      <c r="BA136" s="2"/>
      <c r="BB136" s="2"/>
      <c r="BC136" s="1"/>
      <c r="BD136" s="113"/>
      <c r="BE136" s="2"/>
      <c r="BF136" s="1"/>
      <c r="BG136" s="2"/>
      <c r="BH136" s="2"/>
      <c r="BI136" s="1"/>
      <c r="BJ136" s="1"/>
      <c r="BK136" s="1"/>
    </row>
    <row r="137" spans="1:63" ht="12" customHeight="1">
      <c r="A137" s="1"/>
      <c r="B137" s="107">
        <v>17</v>
      </c>
      <c r="C137" s="31">
        <v>10</v>
      </c>
      <c r="D137" s="111" t="s">
        <v>8</v>
      </c>
      <c r="E137" s="2" t="s">
        <v>164</v>
      </c>
      <c r="F137" s="25" t="s">
        <v>149</v>
      </c>
      <c r="G137" s="2"/>
      <c r="H137" s="33" t="s">
        <v>80</v>
      </c>
      <c r="I137" s="99">
        <f t="shared" si="184"/>
        <v>193.90156097560975</v>
      </c>
      <c r="J137" s="101">
        <f t="shared" si="185"/>
        <v>30.391666666666666</v>
      </c>
      <c r="K137" s="124">
        <f t="shared" si="186"/>
        <v>38</v>
      </c>
      <c r="L137" s="74"/>
      <c r="M137" s="99">
        <f t="shared" si="187"/>
        <v>4653.6374634146341</v>
      </c>
      <c r="N137" s="108">
        <f>T137*(1+((AG137+IF(F137="백어택",20,0))/100)*(IF(AY137=1,$D$26,$D$26+50)/100-1))</f>
        <v>1310.0839024390241</v>
      </c>
      <c r="O137" s="108">
        <f t="shared" ref="O137:O138" si="257">U137*(1+((AG137+IF(F137="백어택",20,0))/100)*(AI137/100-1))</f>
        <v>1671.7767804878051</v>
      </c>
      <c r="P137" s="108">
        <f>V137*(1+((AG137+IF(F137="백어택",20,0))/100)*(AI137/100-1))</f>
        <v>1671.7767804878051</v>
      </c>
      <c r="Q137" s="108"/>
      <c r="R137" s="109"/>
      <c r="S137" s="99">
        <f t="shared" si="254"/>
        <v>2820.3863414634147</v>
      </c>
      <c r="T137" s="108">
        <f>AL137*IF(H137="근접",AR137,1)*AY137*IF(F137="백어택",1.2,1)</f>
        <v>793.99024390243892</v>
      </c>
      <c r="U137" s="108">
        <f>AM137*IF(H137="근접",AR137,1)*AY137*IF(F137="백어택",1.2,1)</f>
        <v>1013.198048780488</v>
      </c>
      <c r="V137" s="108">
        <f>IF(AX137=1,0,AM137*IF(H137="근접",AR137,1)*AY137)*IF(F137="백어택",1.2,1)</f>
        <v>1013.198048780488</v>
      </c>
      <c r="W137" s="108"/>
      <c r="X137" s="109"/>
      <c r="Y137" s="99">
        <f t="shared" si="190"/>
        <v>5640.7726829268304</v>
      </c>
      <c r="Z137" s="108">
        <f>T137*IF(AY137=1,$D$26,$D$26+50)/100</f>
        <v>1587.9804878048778</v>
      </c>
      <c r="AA137" s="108">
        <f>U137*AI137/100</f>
        <v>2026.3960975609762</v>
      </c>
      <c r="AB137" s="108">
        <f>V137*AI137/100</f>
        <v>2026.3960975609762</v>
      </c>
      <c r="AC137" s="108"/>
      <c r="AD137" s="109"/>
      <c r="AE137" s="99">
        <f t="shared" ref="AE137:AE138" si="258">AO137</f>
        <v>24</v>
      </c>
      <c r="AF137" s="101"/>
      <c r="AG137" s="101">
        <f>IF($D$25+AU137&gt;100,100,$D$25+AU137)</f>
        <v>45</v>
      </c>
      <c r="AH137" s="101">
        <f>IF(AX137=1,AQ137,AQ137*1.4)</f>
        <v>729.4</v>
      </c>
      <c r="AI137" s="101">
        <f>IF(AY137=1,$D$26,$D$26+50)*AW137</f>
        <v>200</v>
      </c>
      <c r="AJ137" s="108">
        <f>10/6/AX137</f>
        <v>1.1111111111111112</v>
      </c>
      <c r="AK137" s="101">
        <f t="shared" si="248"/>
        <v>1505.990243902439</v>
      </c>
      <c r="AL137" s="101">
        <f>(IF(H137="근접",$D$29*(VLOOKUP(C137,$B$4:$AG$7,9,FALSE)+VLOOKUP(C137,$B$8:$AG$11,9,FALSE)*$D$22),$D$28*(VLOOKUP(C137,$B$4:$AG$7,9,FALSE)+VLOOKUP(C137,$B$8:$AG$11,9,FALSE)*$D$22)))*$D$27/100</f>
        <v>661.65853658536582</v>
      </c>
      <c r="AM137" s="101">
        <f>(IF(H137="근접",$D$29*(VLOOKUP(C137,$B$4:$AG$7,10,FALSE)+VLOOKUP(C137,$B$8:$AG$11,10,FALSE)*$D$22),$D$28*(VLOOKUP(C137,$B$4:$AG$7,10,FALSE)+VLOOKUP(C137,$B$8:$AG$11,10,FALSE)*$D$22)))*$D$27/100</f>
        <v>844.33170731707332</v>
      </c>
      <c r="AN137" s="101"/>
      <c r="AO137" s="1">
        <v>24</v>
      </c>
      <c r="AP137" s="2"/>
      <c r="AQ137" s="74">
        <f>VLOOKUP(C137,$B$13:$AA$16,9,FALSE)</f>
        <v>521</v>
      </c>
      <c r="AR137" s="10">
        <v>1.2</v>
      </c>
      <c r="AS137" s="1"/>
      <c r="AT137" s="11"/>
      <c r="AU137" s="10">
        <v>25</v>
      </c>
      <c r="AV137" s="1"/>
      <c r="AW137" s="1">
        <v>1</v>
      </c>
      <c r="AX137" s="10">
        <v>1.5</v>
      </c>
      <c r="AY137" s="11">
        <v>1</v>
      </c>
      <c r="AZ137" s="2"/>
      <c r="BA137" s="2"/>
      <c r="BB137" s="2"/>
      <c r="BC137" s="1"/>
      <c r="BD137" s="111"/>
      <c r="BE137" s="2"/>
      <c r="BF137" s="3"/>
      <c r="BG137" s="2"/>
      <c r="BH137" s="2"/>
      <c r="BI137" s="1"/>
      <c r="BJ137" s="1"/>
      <c r="BK137" s="1"/>
    </row>
    <row r="138" spans="1:63" ht="12" customHeight="1">
      <c r="A138" s="1"/>
      <c r="B138" s="107">
        <v>7</v>
      </c>
      <c r="C138" s="31">
        <v>10</v>
      </c>
      <c r="D138" s="106" t="s">
        <v>4</v>
      </c>
      <c r="E138" s="2" t="s">
        <v>135</v>
      </c>
      <c r="F138" s="25"/>
      <c r="G138" s="2" t="s">
        <v>143</v>
      </c>
      <c r="H138" s="33"/>
      <c r="I138" s="99">
        <f t="shared" si="184"/>
        <v>190.43331219512197</v>
      </c>
      <c r="J138" s="101">
        <f t="shared" si="185"/>
        <v>29.083333333333332</v>
      </c>
      <c r="K138" s="124">
        <f t="shared" si="186"/>
        <v>39</v>
      </c>
      <c r="L138" s="74"/>
      <c r="M138" s="99">
        <f t="shared" si="187"/>
        <v>2285.1997463414637</v>
      </c>
      <c r="N138" s="108">
        <f>T138*(1+((AG138+IF(F138="백어택",20,0))/100))*((AI138/100-1))</f>
        <v>307.12390243902439</v>
      </c>
      <c r="O138" s="108">
        <f t="shared" si="257"/>
        <v>1978.0758439024391</v>
      </c>
      <c r="P138" s="108"/>
      <c r="Q138" s="108"/>
      <c r="R138" s="109"/>
      <c r="S138" s="99">
        <f t="shared" si="254"/>
        <v>1904.3331219512197</v>
      </c>
      <c r="T138" s="108">
        <f>AT138*AL138*IF(F138="백어택",1.2,1)</f>
        <v>255.93658536585366</v>
      </c>
      <c r="U138" s="108">
        <f>AM138*AW138*AX138*AY138*IF(F138="백어택",1.2,1)</f>
        <v>1648.396536585366</v>
      </c>
      <c r="V138" s="108"/>
      <c r="W138" s="108"/>
      <c r="X138" s="109"/>
      <c r="Y138" s="99">
        <f t="shared" si="190"/>
        <v>3808.6662439024399</v>
      </c>
      <c r="Z138" s="108">
        <f t="shared" ref="Z138:AA138" si="259">T138*$D$26/100</f>
        <v>511.87317073170726</v>
      </c>
      <c r="AA138" s="108">
        <f t="shared" si="259"/>
        <v>3296.7930731707324</v>
      </c>
      <c r="AB138" s="108"/>
      <c r="AC138" s="108"/>
      <c r="AD138" s="109"/>
      <c r="AE138" s="99">
        <f t="shared" si="258"/>
        <v>12</v>
      </c>
      <c r="AF138" s="101"/>
      <c r="AG138" s="101">
        <f>IF($D$25&gt;100,100,$D$25)</f>
        <v>20</v>
      </c>
      <c r="AH138" s="101">
        <f t="shared" ref="AH138:AH142" si="260">AQ138</f>
        <v>349</v>
      </c>
      <c r="AI138" s="101">
        <f t="shared" ref="AI138:AI142" si="261">$D$26</f>
        <v>200</v>
      </c>
      <c r="AJ138" s="108">
        <f>10/IF(AY138=1,5,4)</f>
        <v>2.5</v>
      </c>
      <c r="AK138" s="101">
        <f t="shared" si="248"/>
        <v>853.19024390243908</v>
      </c>
      <c r="AL138" s="101">
        <f>(VLOOKUP(C138,$B$4:$AG$7,4,FALSE)+VLOOKUP(C138,$B$8:$AG$11,4,FALSE)*$D$22)*$D$27/100</f>
        <v>170.62439024390244</v>
      </c>
      <c r="AM138" s="101">
        <f>(VLOOKUP(C138,$B$4:$AG$7,5,FALSE)+VLOOKUP(C138,$B$8:$AG$11,5,FALSE)*$D$22)*$D$27/100</f>
        <v>682.56585365853664</v>
      </c>
      <c r="AN138" s="101"/>
      <c r="AO138" s="1">
        <v>12</v>
      </c>
      <c r="AP138" s="2"/>
      <c r="AQ138" s="74">
        <f>VLOOKUP(C138,$B$13:$AA$16,4,FALSE)</f>
        <v>349</v>
      </c>
      <c r="AR138" s="10"/>
      <c r="AS138" s="1"/>
      <c r="AT138" s="11">
        <v>1.5</v>
      </c>
      <c r="AU138" s="10"/>
      <c r="AV138" s="1"/>
      <c r="AW138" s="1">
        <v>1.4</v>
      </c>
      <c r="AX138" s="10">
        <v>1</v>
      </c>
      <c r="AY138" s="11">
        <v>1.7250000000000001</v>
      </c>
      <c r="AZ138" s="2"/>
      <c r="BA138" s="2"/>
      <c r="BB138" s="2"/>
      <c r="BC138" s="1"/>
      <c r="BD138" s="106"/>
      <c r="BE138" s="2"/>
      <c r="BF138" s="2"/>
      <c r="BG138" s="2"/>
      <c r="BH138" s="2"/>
      <c r="BI138" s="1"/>
      <c r="BJ138" s="1"/>
      <c r="BK138" s="1"/>
    </row>
    <row r="139" spans="1:63" ht="12" customHeight="1">
      <c r="A139" s="2"/>
      <c r="B139" s="107">
        <v>2</v>
      </c>
      <c r="C139" s="31">
        <v>10</v>
      </c>
      <c r="D139" s="106" t="s">
        <v>2</v>
      </c>
      <c r="E139" s="2" t="s">
        <v>101</v>
      </c>
      <c r="F139" s="31"/>
      <c r="G139" s="2"/>
      <c r="H139" s="33"/>
      <c r="I139" s="99">
        <f t="shared" si="184"/>
        <v>184.2171595818815</v>
      </c>
      <c r="J139" s="101">
        <f t="shared" si="185"/>
        <v>39.571428571428569</v>
      </c>
      <c r="K139" s="124">
        <f t="shared" si="186"/>
        <v>40</v>
      </c>
      <c r="L139" s="74"/>
      <c r="M139" s="99">
        <f t="shared" si="187"/>
        <v>1289.5201170731705</v>
      </c>
      <c r="N139" s="108">
        <f t="shared" ref="N139:N142" si="262">T139*(1+(AG139/100)*(AI139/100-1))</f>
        <v>1289.5201170731705</v>
      </c>
      <c r="O139" s="108"/>
      <c r="P139" s="108"/>
      <c r="Q139" s="108"/>
      <c r="R139" s="109"/>
      <c r="S139" s="99">
        <f t="shared" si="254"/>
        <v>1074.6000975609754</v>
      </c>
      <c r="T139" s="108">
        <f>AL139*AV139*AW139*AY139</f>
        <v>1074.6000975609754</v>
      </c>
      <c r="U139" s="108"/>
      <c r="V139" s="108"/>
      <c r="W139" s="108"/>
      <c r="X139" s="109"/>
      <c r="Y139" s="99">
        <f t="shared" si="190"/>
        <v>2149.2001951219509</v>
      </c>
      <c r="Z139" s="108">
        <f t="shared" ref="Z139:Z142" si="263">T139*$D$26/100</f>
        <v>2149.2001951219509</v>
      </c>
      <c r="AA139" s="108"/>
      <c r="AB139" s="108"/>
      <c r="AC139" s="108"/>
      <c r="AD139" s="109"/>
      <c r="AE139" s="99">
        <f>AO139-AS139</f>
        <v>7</v>
      </c>
      <c r="AF139" s="101"/>
      <c r="AG139" s="101">
        <f>IF($D$25+AT139&gt;100,100,$D$25+AT139)</f>
        <v>20</v>
      </c>
      <c r="AH139" s="101">
        <f t="shared" si="260"/>
        <v>277</v>
      </c>
      <c r="AI139" s="101">
        <f t="shared" si="261"/>
        <v>200</v>
      </c>
      <c r="AJ139" s="108">
        <f>10*AY139/12</f>
        <v>0.83333333333333337</v>
      </c>
      <c r="AK139" s="101">
        <f t="shared" si="248"/>
        <v>910.67804878048776</v>
      </c>
      <c r="AL139" s="101">
        <f>(VLOOKUP(C139,$B$4:$AA$7,2,FALSE)+VLOOKUP(C139,$B$8:$AA$11,2,FALSE)*$D$22)*$D$27/100</f>
        <v>910.67804878048776</v>
      </c>
      <c r="AM139" s="101"/>
      <c r="AN139" s="101"/>
      <c r="AO139" s="1">
        <v>8</v>
      </c>
      <c r="AP139" s="2"/>
      <c r="AQ139" s="74">
        <f>VLOOKUP(C139,$B$13:$AA$16,2,FALSE)</f>
        <v>277</v>
      </c>
      <c r="AR139" s="10"/>
      <c r="AS139" s="1">
        <v>1</v>
      </c>
      <c r="AT139" s="11">
        <v>0</v>
      </c>
      <c r="AU139" s="10"/>
      <c r="AV139" s="1">
        <v>1.18</v>
      </c>
      <c r="AW139" s="1">
        <v>1</v>
      </c>
      <c r="AX139" s="10"/>
      <c r="AY139" s="11">
        <v>1</v>
      </c>
      <c r="AZ139" s="2"/>
      <c r="BA139" s="2"/>
      <c r="BB139" s="2"/>
      <c r="BC139" s="2"/>
      <c r="BD139" s="2"/>
      <c r="BE139" s="2"/>
      <c r="BF139" s="2"/>
      <c r="BG139" s="2"/>
      <c r="BH139" s="2"/>
      <c r="BI139" s="1"/>
      <c r="BJ139" s="1"/>
      <c r="BK139" s="1"/>
    </row>
    <row r="140" spans="1:63" ht="12" customHeight="1">
      <c r="A140" s="1"/>
      <c r="B140" s="107">
        <v>22</v>
      </c>
      <c r="C140" s="31">
        <v>10</v>
      </c>
      <c r="D140" s="113" t="s">
        <v>9</v>
      </c>
      <c r="E140" s="2" t="s">
        <v>169</v>
      </c>
      <c r="F140" s="25"/>
      <c r="G140" s="2"/>
      <c r="H140" s="33"/>
      <c r="I140" s="99">
        <f t="shared" si="184"/>
        <v>177.22048780487805</v>
      </c>
      <c r="J140" s="101">
        <f t="shared" si="185"/>
        <v>18.25</v>
      </c>
      <c r="K140" s="124">
        <f t="shared" si="186"/>
        <v>41</v>
      </c>
      <c r="L140" s="74"/>
      <c r="M140" s="99">
        <f t="shared" si="187"/>
        <v>6379.9375609756098</v>
      </c>
      <c r="N140" s="108">
        <f t="shared" si="262"/>
        <v>3837.1785365853661</v>
      </c>
      <c r="O140" s="108">
        <f t="shared" ref="O140:O142" si="264">U140*(1+($D$25/100)*(AI140/100-1))</f>
        <v>1907.0692682926829</v>
      </c>
      <c r="P140" s="108"/>
      <c r="Q140" s="108"/>
      <c r="R140" s="109">
        <f t="shared" ref="R140:R142" si="265">X140*(1+($D$25/100)*(AI140/100-1))</f>
        <v>635.68975609756092</v>
      </c>
      <c r="S140" s="99">
        <f t="shared" si="254"/>
        <v>5316.6146341463418</v>
      </c>
      <c r="T140" s="108">
        <f t="shared" ref="T140:T141" si="266">AL140*AU140*AY140</f>
        <v>3197.6487804878052</v>
      </c>
      <c r="U140" s="108">
        <f t="shared" ref="U140:U141" si="267">AM140*AX140</f>
        <v>1589.2243902439025</v>
      </c>
      <c r="V140" s="108"/>
      <c r="W140" s="108"/>
      <c r="X140" s="109">
        <f t="shared" ref="X140:X141" si="268">AM140*AS140</f>
        <v>529.74146341463415</v>
      </c>
      <c r="Y140" s="99">
        <f t="shared" si="190"/>
        <v>10633.229268292684</v>
      </c>
      <c r="Z140" s="108">
        <f t="shared" si="263"/>
        <v>6395.2975609756095</v>
      </c>
      <c r="AA140" s="108">
        <f t="shared" ref="AA140:AA142" si="269">U140*$D$26/100</f>
        <v>3178.4487804878049</v>
      </c>
      <c r="AB140" s="108"/>
      <c r="AC140" s="108"/>
      <c r="AD140" s="109">
        <f t="shared" ref="AD140:AD142" si="270">X140*$D$26/100</f>
        <v>1059.4829268292683</v>
      </c>
      <c r="AE140" s="99">
        <f t="shared" ref="AE140:AE144" si="271">AO140</f>
        <v>36</v>
      </c>
      <c r="AF140" s="101"/>
      <c r="AG140" s="101">
        <f t="shared" ref="AG140:AG141" si="272">IF($D$25+AW140&gt;100,100,$D$25+AW140)</f>
        <v>20</v>
      </c>
      <c r="AH140" s="101">
        <f t="shared" si="260"/>
        <v>657</v>
      </c>
      <c r="AI140" s="101">
        <f t="shared" si="261"/>
        <v>200</v>
      </c>
      <c r="AJ140" s="108">
        <f t="shared" ref="AJ140:AJ141" si="273">10/(6+AT140)</f>
        <v>1.6666666666666667</v>
      </c>
      <c r="AK140" s="101">
        <f t="shared" si="248"/>
        <v>2661.5073170731712</v>
      </c>
      <c r="AL140" s="101">
        <f t="shared" ref="AL140:AL141" si="274">(VLOOKUP(C140,$B$4:$AG$7,11,FALSE)+VLOOKUP(C140,$B$8:$AG$11,11,FALSE)*$D$22)*$D$27/100</f>
        <v>2131.7658536585368</v>
      </c>
      <c r="AM140" s="101">
        <f t="shared" ref="AM140:AM141" si="275">(3*(VLOOKUP(C140,$B$4:$AG$7,12,FALSE)+VLOOKUP(C140,$B$8:$AG$11,12,FALSE)*$D$22))*$D$27/100</f>
        <v>529.74146341463415</v>
      </c>
      <c r="AN140" s="101"/>
      <c r="AO140" s="1">
        <v>36</v>
      </c>
      <c r="AP140" s="2"/>
      <c r="AQ140" s="74">
        <f t="shared" ref="AQ140:AQ141" si="276">VLOOKUP(C140,$B$13:$AA$16,11,FALSE)</f>
        <v>657</v>
      </c>
      <c r="AR140" s="10"/>
      <c r="AS140" s="1">
        <v>1</v>
      </c>
      <c r="AT140" s="11">
        <v>0</v>
      </c>
      <c r="AU140" s="10">
        <v>1.5</v>
      </c>
      <c r="AV140" s="1"/>
      <c r="AW140" s="1">
        <v>0</v>
      </c>
      <c r="AX140" s="10">
        <v>3</v>
      </c>
      <c r="AY140" s="11">
        <v>1</v>
      </c>
      <c r="AZ140" s="2"/>
      <c r="BA140" s="2"/>
      <c r="BB140" s="2"/>
      <c r="BC140" s="1"/>
      <c r="BD140" s="113"/>
      <c r="BE140" s="2"/>
      <c r="BF140" s="2"/>
      <c r="BG140" s="2"/>
      <c r="BH140" s="1"/>
      <c r="BI140" s="1"/>
      <c r="BJ140" s="1"/>
      <c r="BK140" s="1"/>
    </row>
    <row r="141" spans="1:63" ht="12" customHeight="1">
      <c r="A141" s="2"/>
      <c r="B141" s="107">
        <v>23</v>
      </c>
      <c r="C141" s="31">
        <v>10</v>
      </c>
      <c r="D141" s="113" t="s">
        <v>9</v>
      </c>
      <c r="E141" s="2" t="s">
        <v>171</v>
      </c>
      <c r="F141" s="31"/>
      <c r="G141" s="2" t="s">
        <v>158</v>
      </c>
      <c r="H141" s="33"/>
      <c r="I141" s="99">
        <f t="shared" si="184"/>
        <v>177.22048780487805</v>
      </c>
      <c r="J141" s="101">
        <f t="shared" si="185"/>
        <v>18.25</v>
      </c>
      <c r="K141" s="124">
        <f t="shared" si="186"/>
        <v>41</v>
      </c>
      <c r="L141" s="74"/>
      <c r="M141" s="99">
        <f t="shared" si="187"/>
        <v>6379.9375609756098</v>
      </c>
      <c r="N141" s="108">
        <f t="shared" si="262"/>
        <v>3837.1785365853661</v>
      </c>
      <c r="O141" s="108">
        <f t="shared" si="264"/>
        <v>1907.0692682926829</v>
      </c>
      <c r="P141" s="108"/>
      <c r="Q141" s="108"/>
      <c r="R141" s="109">
        <f t="shared" si="265"/>
        <v>635.68975609756092</v>
      </c>
      <c r="S141" s="99">
        <f t="shared" si="254"/>
        <v>4250.7317073170734</v>
      </c>
      <c r="T141" s="108">
        <f t="shared" si="266"/>
        <v>2131.7658536585368</v>
      </c>
      <c r="U141" s="108">
        <f t="shared" si="267"/>
        <v>1589.2243902439025</v>
      </c>
      <c r="V141" s="108"/>
      <c r="W141" s="108"/>
      <c r="X141" s="109">
        <f t="shared" si="268"/>
        <v>529.74146341463415</v>
      </c>
      <c r="Y141" s="99">
        <f t="shared" si="190"/>
        <v>8501.4634146341468</v>
      </c>
      <c r="Z141" s="108">
        <f t="shared" si="263"/>
        <v>4263.5317073170736</v>
      </c>
      <c r="AA141" s="108">
        <f t="shared" si="269"/>
        <v>3178.4487804878049</v>
      </c>
      <c r="AB141" s="108"/>
      <c r="AC141" s="108"/>
      <c r="AD141" s="109">
        <f t="shared" si="270"/>
        <v>1059.4829268292683</v>
      </c>
      <c r="AE141" s="99">
        <f t="shared" si="271"/>
        <v>36</v>
      </c>
      <c r="AF141" s="101"/>
      <c r="AG141" s="101">
        <f t="shared" si="272"/>
        <v>80</v>
      </c>
      <c r="AH141" s="101">
        <f t="shared" si="260"/>
        <v>657</v>
      </c>
      <c r="AI141" s="101">
        <f t="shared" si="261"/>
        <v>200</v>
      </c>
      <c r="AJ141" s="108">
        <f t="shared" si="273"/>
        <v>1.6666666666666667</v>
      </c>
      <c r="AK141" s="101">
        <f t="shared" si="248"/>
        <v>2661.5073170731712</v>
      </c>
      <c r="AL141" s="101">
        <f t="shared" si="274"/>
        <v>2131.7658536585368</v>
      </c>
      <c r="AM141" s="101">
        <f t="shared" si="275"/>
        <v>529.74146341463415</v>
      </c>
      <c r="AN141" s="101"/>
      <c r="AO141" s="1">
        <v>36</v>
      </c>
      <c r="AP141" s="2"/>
      <c r="AQ141" s="74">
        <f t="shared" si="276"/>
        <v>657</v>
      </c>
      <c r="AR141" s="10"/>
      <c r="AS141" s="1">
        <v>1</v>
      </c>
      <c r="AT141" s="11">
        <v>0</v>
      </c>
      <c r="AU141" s="10">
        <v>1</v>
      </c>
      <c r="AV141" s="1"/>
      <c r="AW141" s="1">
        <v>60</v>
      </c>
      <c r="AX141" s="10">
        <v>3</v>
      </c>
      <c r="AY141" s="11">
        <v>1</v>
      </c>
      <c r="AZ141" s="2"/>
      <c r="BA141" s="2"/>
      <c r="BB141" s="2"/>
      <c r="BC141" s="2"/>
      <c r="BD141" s="2"/>
      <c r="BE141" s="2"/>
      <c r="BF141" s="2"/>
      <c r="BG141" s="2"/>
      <c r="BH141" s="2"/>
      <c r="BI141" s="1"/>
      <c r="BJ141" s="1"/>
      <c r="BK141" s="1"/>
    </row>
    <row r="142" spans="1:63" ht="12" customHeight="1">
      <c r="A142" s="1"/>
      <c r="B142" s="107">
        <v>20</v>
      </c>
      <c r="C142" s="31">
        <v>10</v>
      </c>
      <c r="D142" s="113" t="s">
        <v>12</v>
      </c>
      <c r="E142" s="2" t="s">
        <v>92</v>
      </c>
      <c r="F142" s="25"/>
      <c r="G142" s="2"/>
      <c r="H142" s="50"/>
      <c r="I142" s="99">
        <f t="shared" si="184"/>
        <v>171.29756097560974</v>
      </c>
      <c r="J142" s="101">
        <f t="shared" si="185"/>
        <v>21.708333333333332</v>
      </c>
      <c r="K142" s="124">
        <f t="shared" si="186"/>
        <v>43</v>
      </c>
      <c r="L142" s="74"/>
      <c r="M142" s="99">
        <f t="shared" si="187"/>
        <v>4111.141463414634</v>
      </c>
      <c r="N142" s="108">
        <f t="shared" si="262"/>
        <v>2569.4634146341464</v>
      </c>
      <c r="O142" s="108">
        <f t="shared" si="264"/>
        <v>0</v>
      </c>
      <c r="P142" s="108"/>
      <c r="Q142" s="108"/>
      <c r="R142" s="109">
        <f t="shared" si="265"/>
        <v>1541.6780487804879</v>
      </c>
      <c r="S142" s="99">
        <f t="shared" si="254"/>
        <v>3425.9512195121952</v>
      </c>
      <c r="T142" s="108">
        <f>AL142*AU142*AW142</f>
        <v>2141.2195121951222</v>
      </c>
      <c r="U142" s="108">
        <f>AL142*AU142*AW142*AX142</f>
        <v>0</v>
      </c>
      <c r="V142" s="108"/>
      <c r="W142" s="108"/>
      <c r="X142" s="109">
        <f>AL142*AY142</f>
        <v>1284.7317073170732</v>
      </c>
      <c r="Y142" s="99">
        <f t="shared" si="190"/>
        <v>6851.9024390243903</v>
      </c>
      <c r="Z142" s="108">
        <f t="shared" si="263"/>
        <v>4282.4390243902444</v>
      </c>
      <c r="AA142" s="108">
        <f t="shared" si="269"/>
        <v>0</v>
      </c>
      <c r="AB142" s="108"/>
      <c r="AC142" s="108"/>
      <c r="AD142" s="109">
        <f t="shared" si="270"/>
        <v>2569.4634146341464</v>
      </c>
      <c r="AE142" s="99">
        <f t="shared" si="271"/>
        <v>24</v>
      </c>
      <c r="AF142" s="101"/>
      <c r="AG142" s="101">
        <f>IF($D$25+AV142&gt;100,100,$D$25+AV142)</f>
        <v>20</v>
      </c>
      <c r="AH142" s="101">
        <f t="shared" si="260"/>
        <v>521</v>
      </c>
      <c r="AI142" s="101">
        <f t="shared" si="261"/>
        <v>200</v>
      </c>
      <c r="AJ142" s="108">
        <f>10/7</f>
        <v>1.4285714285714286</v>
      </c>
      <c r="AK142" s="101">
        <f t="shared" si="248"/>
        <v>2141.2195121951222</v>
      </c>
      <c r="AL142" s="101">
        <f>(VLOOKUP(C142,$B$4:$AG$7,16,FALSE)+VLOOKUP(C142,$B$8:$AG$11,16,FALSE)*$D$22)*$D$27/100</f>
        <v>2141.2195121951222</v>
      </c>
      <c r="AM142" s="101"/>
      <c r="AN142" s="101"/>
      <c r="AO142" s="1">
        <v>24</v>
      </c>
      <c r="AP142" s="2"/>
      <c r="AQ142" s="74">
        <f>VLOOKUP(C142,$B$13:$AA$16,16,FALSE)</f>
        <v>521</v>
      </c>
      <c r="AR142" s="10"/>
      <c r="AS142" s="1"/>
      <c r="AT142" s="11"/>
      <c r="AU142" s="10">
        <v>1</v>
      </c>
      <c r="AV142" s="1">
        <v>0</v>
      </c>
      <c r="AW142" s="1">
        <v>1</v>
      </c>
      <c r="AX142" s="10">
        <v>0</v>
      </c>
      <c r="AY142" s="11">
        <v>0.6</v>
      </c>
      <c r="AZ142" s="2"/>
      <c r="BA142" s="2"/>
      <c r="BB142" s="2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1:63" ht="12" customHeight="1">
      <c r="A143" s="1"/>
      <c r="B143" s="107">
        <v>13</v>
      </c>
      <c r="C143" s="31">
        <v>10</v>
      </c>
      <c r="D143" s="111" t="s">
        <v>14</v>
      </c>
      <c r="E143" s="2" t="s">
        <v>164</v>
      </c>
      <c r="F143" s="25"/>
      <c r="G143" s="2"/>
      <c r="H143" s="33" t="s">
        <v>80</v>
      </c>
      <c r="I143" s="99">
        <f t="shared" si="184"/>
        <v>161.16518157181571</v>
      </c>
      <c r="J143" s="101">
        <f t="shared" si="185"/>
        <v>18.25</v>
      </c>
      <c r="K143" s="124">
        <f t="shared" si="186"/>
        <v>44</v>
      </c>
      <c r="L143" s="74"/>
      <c r="M143" s="99">
        <f t="shared" si="187"/>
        <v>5801.9465365853657</v>
      </c>
      <c r="N143" s="101">
        <f>T143*(1+((AG143+IF(F143="백어택",20,0))/100)*(AI143/100-1))</f>
        <v>1081.9475609756098</v>
      </c>
      <c r="O143" s="101">
        <f>U143*(1+((AG143+IF(F143="백어택",20,0))/100)*(AI143/100-1))</f>
        <v>1081.9475609756098</v>
      </c>
      <c r="P143" s="101">
        <f>V143*(1+((AG143+IF(F143="백어택",20,0))/100)*(AI143*IF(AX143=1,AW143,1)/100-1))</f>
        <v>1462.3214634146339</v>
      </c>
      <c r="Q143" s="101">
        <f>W143*(1+((AG143+IF(F143="백어택",20,0))/100)*(AI143*AW143/100-1))</f>
        <v>2175.7299512195123</v>
      </c>
      <c r="R143" s="109"/>
      <c r="S143" s="99">
        <f t="shared" si="254"/>
        <v>4001.3424390243904</v>
      </c>
      <c r="T143" s="101">
        <f>AL143*AY143*IF(F143="백어택",1.2,1)</f>
        <v>746.17073170731715</v>
      </c>
      <c r="U143" s="101">
        <f>AM143*AY143*IF(F143="백어택",1.2,1)</f>
        <v>746.17073170731715</v>
      </c>
      <c r="V143" s="101">
        <f>AN143*AY143*IF(F143="백어택",1.2,1)</f>
        <v>1008.4975609756096</v>
      </c>
      <c r="W143" s="101">
        <f>(T143+U143+V143)*IF(AX143=1,0,0.6)*IF(F143="백어택",1.2,1)</f>
        <v>1500.5034146341463</v>
      </c>
      <c r="X143" s="74"/>
      <c r="Y143" s="99">
        <f t="shared" si="190"/>
        <v>8002.6848780487808</v>
      </c>
      <c r="Z143" s="101">
        <f>T143*AI143/100</f>
        <v>1492.3414634146343</v>
      </c>
      <c r="AA143" s="101">
        <f>U143*AI143/100</f>
        <v>1492.3414634146343</v>
      </c>
      <c r="AB143" s="101">
        <f>V143*AI143*IF(AX143=1,AW143,1)/100</f>
        <v>2016.9951219512193</v>
      </c>
      <c r="AC143" s="101">
        <f>W143*AI143*AW143/100</f>
        <v>3001.0068292682927</v>
      </c>
      <c r="AD143" s="74"/>
      <c r="AE143" s="99">
        <f t="shared" si="271"/>
        <v>36</v>
      </c>
      <c r="AF143" s="101"/>
      <c r="AG143" s="101">
        <f>IF($D$25+AU143&gt;100,100,$D$25+AU143)</f>
        <v>45</v>
      </c>
      <c r="AH143" s="101">
        <f>AQ143*AS143</f>
        <v>657</v>
      </c>
      <c r="AI143" s="101">
        <f>$D$26+IF(H143="근접",AR143,0)+IF(AY143=1,0,50)</f>
        <v>200</v>
      </c>
      <c r="AJ143" s="108">
        <f>10/3</f>
        <v>3.3333333333333335</v>
      </c>
      <c r="AK143" s="101">
        <f t="shared" si="248"/>
        <v>2500.839024390244</v>
      </c>
      <c r="AL143" s="101">
        <f>(IF(H143="근접",$D$29*(VLOOKUP(C143,$B$4:$AG$7,19,FALSE)+VLOOKUP(C143,$B$8:$AG$11,19,FALSE)*$D$22),$D$28*(VLOOKUP(C143,$B$4:$AG$7,19,FALSE)+VLOOKUP(C143,$B$8:$AG$11,19,FALSE)*$D$22)))*$D$27/100</f>
        <v>746.17073170731715</v>
      </c>
      <c r="AM143" s="101">
        <f>(IF(H143="근접",$D$29*(VLOOKUP(C143,$B$4:$AG$7,20,FALSE)+VLOOKUP(C143,$B$8:$AG$11,20,FALSE)*$D$22),$D$28*(VLOOKUP(C143,$B$4:$AG$7,20,FALSE)+VLOOKUP(C143,$B$8:$AG$11,20,FALSE)*$D$22)))*$D$27/100</f>
        <v>746.17073170731715</v>
      </c>
      <c r="AN143" s="101">
        <f>(IF(H143="근접",$D$29*(VLOOKUP(C143,$B$4:$AG$7,21,FALSE)+VLOOKUP(C143,$B$8:$AG$11,21,FALSE)*$D$22),$D$28*(VLOOKUP(C143,$B$4:$AG$7,21,FALSE)+VLOOKUP(C143,$B$8:$AG$11,21,FALSE)*$D$22)))*$D$27/100</f>
        <v>1008.4975609756096</v>
      </c>
      <c r="AO143" s="1">
        <v>36</v>
      </c>
      <c r="AP143" s="2"/>
      <c r="AQ143" s="74">
        <f>VLOOKUP(C143,$B$13:$AA$16,19,FALSE)</f>
        <v>657</v>
      </c>
      <c r="AR143" s="10">
        <v>50</v>
      </c>
      <c r="AS143" s="1">
        <v>1</v>
      </c>
      <c r="AT143" s="11"/>
      <c r="AU143" s="10">
        <v>25</v>
      </c>
      <c r="AV143" s="1"/>
      <c r="AW143" s="1">
        <v>1</v>
      </c>
      <c r="AX143" s="10">
        <v>0.6</v>
      </c>
      <c r="AY143" s="11">
        <v>1</v>
      </c>
      <c r="AZ143" s="2"/>
      <c r="BA143" s="2"/>
      <c r="BB143" s="2"/>
      <c r="BC143" s="1"/>
      <c r="BD143" s="111"/>
      <c r="BE143" s="2"/>
      <c r="BF143" s="3"/>
      <c r="BG143" s="2"/>
      <c r="BH143" s="2"/>
      <c r="BI143" s="2"/>
      <c r="BJ143" s="2"/>
      <c r="BK143" s="1"/>
    </row>
    <row r="144" spans="1:63" ht="12" customHeight="1">
      <c r="A144" s="2"/>
      <c r="B144" s="107">
        <v>21</v>
      </c>
      <c r="C144" s="31">
        <v>10</v>
      </c>
      <c r="D144" s="113" t="s">
        <v>12</v>
      </c>
      <c r="E144" s="2" t="s">
        <v>138</v>
      </c>
      <c r="F144" s="31"/>
      <c r="G144" s="2" t="s">
        <v>181</v>
      </c>
      <c r="H144" s="33"/>
      <c r="I144" s="99">
        <f t="shared" si="184"/>
        <v>160.59146341463415</v>
      </c>
      <c r="J144" s="101">
        <f t="shared" si="185"/>
        <v>21.708333333333332</v>
      </c>
      <c r="K144" s="124">
        <f t="shared" si="186"/>
        <v>45</v>
      </c>
      <c r="L144" s="74"/>
      <c r="M144" s="99">
        <f t="shared" si="187"/>
        <v>3854.1951219512193</v>
      </c>
      <c r="N144" s="108">
        <f t="shared" ref="N144:N146" si="277">T144*(1+(AG144/100)*(AI144/100-1))</f>
        <v>2569.4634146341464</v>
      </c>
      <c r="O144" s="108">
        <f>U144*(1+($D$25/100)*(AI144/100-1))</f>
        <v>1284.7317073170732</v>
      </c>
      <c r="P144" s="108"/>
      <c r="Q144" s="108"/>
      <c r="R144" s="109">
        <f>X144*(1+($D$25/100)*(AI144/100-1))</f>
        <v>0</v>
      </c>
      <c r="S144" s="99">
        <f t="shared" si="254"/>
        <v>3211.8292682926831</v>
      </c>
      <c r="T144" s="108">
        <f>AL144*AU144*AW144</f>
        <v>2141.2195121951222</v>
      </c>
      <c r="U144" s="108">
        <f>AL144*AU144*AW144*AX144</f>
        <v>1070.6097560975611</v>
      </c>
      <c r="V144" s="108"/>
      <c r="W144" s="108"/>
      <c r="X144" s="109">
        <f>AL144*AY144</f>
        <v>0</v>
      </c>
      <c r="Y144" s="99">
        <f t="shared" si="190"/>
        <v>6423.6585365853662</v>
      </c>
      <c r="Z144" s="108">
        <f t="shared" ref="Z144:AA144" si="278">T144*$D$26/100</f>
        <v>4282.4390243902444</v>
      </c>
      <c r="AA144" s="108">
        <f t="shared" si="278"/>
        <v>2141.2195121951222</v>
      </c>
      <c r="AB144" s="108"/>
      <c r="AC144" s="108"/>
      <c r="AD144" s="109">
        <f>X144*$D$26/100</f>
        <v>0</v>
      </c>
      <c r="AE144" s="99">
        <f t="shared" si="271"/>
        <v>24</v>
      </c>
      <c r="AF144" s="101"/>
      <c r="AG144" s="101">
        <f>IF($D$25+AV144&gt;100,100,$D$25+AV144)</f>
        <v>20</v>
      </c>
      <c r="AH144" s="101">
        <f t="shared" ref="AH144:AH146" si="279">AQ144</f>
        <v>521</v>
      </c>
      <c r="AI144" s="101">
        <f t="shared" ref="AI144:AI149" si="280">$D$26</f>
        <v>200</v>
      </c>
      <c r="AJ144" s="108">
        <f>10/7</f>
        <v>1.4285714285714286</v>
      </c>
      <c r="AK144" s="101">
        <f t="shared" si="248"/>
        <v>2141.2195121951222</v>
      </c>
      <c r="AL144" s="101">
        <f>(VLOOKUP(C144,$B$4:$AG$7,16,FALSE)+VLOOKUP(C144,$B$8:$AG$11,16,FALSE)*$D$22)*$D$27/100</f>
        <v>2141.2195121951222</v>
      </c>
      <c r="AM144" s="101"/>
      <c r="AN144" s="101"/>
      <c r="AO144" s="1">
        <v>24</v>
      </c>
      <c r="AP144" s="2"/>
      <c r="AQ144" s="74">
        <f>VLOOKUP(C144,$B$13:$AA$16,16,FALSE)</f>
        <v>521</v>
      </c>
      <c r="AR144" s="10"/>
      <c r="AS144" s="1"/>
      <c r="AT144" s="11"/>
      <c r="AU144" s="10">
        <v>1</v>
      </c>
      <c r="AV144" s="1">
        <v>0</v>
      </c>
      <c r="AW144" s="1">
        <v>1</v>
      </c>
      <c r="AX144" s="10">
        <v>0.5</v>
      </c>
      <c r="AY144" s="11">
        <v>0</v>
      </c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1"/>
    </row>
    <row r="145" spans="1:63" ht="12" customHeight="1">
      <c r="A145" s="1"/>
      <c r="B145" s="107">
        <v>16</v>
      </c>
      <c r="C145" s="31">
        <v>10</v>
      </c>
      <c r="D145" s="111" t="s">
        <v>11</v>
      </c>
      <c r="E145" s="2" t="s">
        <v>153</v>
      </c>
      <c r="F145" s="25"/>
      <c r="G145" s="2"/>
      <c r="H145" s="33">
        <f>IF(AX145=1,5,1)</f>
        <v>1</v>
      </c>
      <c r="I145" s="99">
        <f t="shared" si="184"/>
        <v>159.69635121951217</v>
      </c>
      <c r="J145" s="101">
        <f t="shared" si="185"/>
        <v>23.68</v>
      </c>
      <c r="K145" s="124">
        <f t="shared" si="186"/>
        <v>46</v>
      </c>
      <c r="L145" s="74"/>
      <c r="M145" s="99">
        <f t="shared" si="187"/>
        <v>3992.4087804878045</v>
      </c>
      <c r="N145" s="108">
        <f t="shared" si="277"/>
        <v>3630.3453658536582</v>
      </c>
      <c r="O145" s="108">
        <f>U145*(1+(AG145/100)*(AI145/100-1))</f>
        <v>362.06341463414634</v>
      </c>
      <c r="P145" s="108"/>
      <c r="Q145" s="108"/>
      <c r="R145" s="109"/>
      <c r="S145" s="99">
        <f>T145</f>
        <v>3025.2878048780485</v>
      </c>
      <c r="T145" s="108">
        <f>H145*AL145*AX145</f>
        <v>3025.2878048780485</v>
      </c>
      <c r="U145" s="108">
        <f>AM145*AV145</f>
        <v>301.71951219512198</v>
      </c>
      <c r="V145" s="108"/>
      <c r="W145" s="108"/>
      <c r="X145" s="109"/>
      <c r="Y145" s="99">
        <f t="shared" si="190"/>
        <v>6654.0146341463405</v>
      </c>
      <c r="Z145" s="108">
        <f t="shared" ref="Z145:AA145" si="281">T145*$D$26/100</f>
        <v>6050.575609756097</v>
      </c>
      <c r="AA145" s="108">
        <f t="shared" si="281"/>
        <v>603.43902439024396</v>
      </c>
      <c r="AB145" s="108"/>
      <c r="AC145" s="108"/>
      <c r="AD145" s="109"/>
      <c r="AE145" s="99">
        <f>AO145-AR145</f>
        <v>25</v>
      </c>
      <c r="AF145" s="101"/>
      <c r="AG145" s="101">
        <f>IF($D$25+AS145&gt;100,100,$D$25+AS145)</f>
        <v>20</v>
      </c>
      <c r="AH145" s="101">
        <f t="shared" si="279"/>
        <v>592</v>
      </c>
      <c r="AI145" s="101">
        <f t="shared" si="280"/>
        <v>200</v>
      </c>
      <c r="AJ145" s="108">
        <f>10/IF(AX145=1,7,6)</f>
        <v>1.6666666666666667</v>
      </c>
      <c r="AK145" s="101">
        <f t="shared" si="248"/>
        <v>705.36097560975611</v>
      </c>
      <c r="AL145" s="101">
        <f>(VLOOKUP(C145,$B$4:$AG$7,14,FALSE)+VLOOKUP(C145,$B$8:$AG$11,14,FALSE)*$D$22)*$D$27/100</f>
        <v>504.21463414634144</v>
      </c>
      <c r="AM145" s="101">
        <f>(VLOOKUP(C145,$B$4:$AG$7,15,FALSE)+VLOOKUP(C145,$B$8:$AG$11,15,FALSE)*$D$22)*$D$27/100</f>
        <v>201.14634146341464</v>
      </c>
      <c r="AN145" s="101"/>
      <c r="AO145" s="1">
        <v>30</v>
      </c>
      <c r="AP145" s="2"/>
      <c r="AQ145" s="74">
        <f>VLOOKUP(C145,$B$13:$AA$16,14,FALSE)</f>
        <v>592</v>
      </c>
      <c r="AR145" s="10">
        <v>5</v>
      </c>
      <c r="AS145" s="1">
        <v>0</v>
      </c>
      <c r="AT145" s="11"/>
      <c r="AU145" s="10"/>
      <c r="AV145" s="1">
        <v>1.5</v>
      </c>
      <c r="AW145" s="1"/>
      <c r="AX145" s="10">
        <v>6</v>
      </c>
      <c r="AY145" s="11"/>
      <c r="AZ145" s="2"/>
      <c r="BA145" s="2"/>
      <c r="BB145" s="2"/>
      <c r="BC145" s="1"/>
      <c r="BD145" s="111"/>
      <c r="BE145" s="2"/>
      <c r="BF145" s="3"/>
      <c r="BG145" s="2"/>
      <c r="BH145" s="2"/>
      <c r="BI145" s="1"/>
      <c r="BJ145" s="1"/>
      <c r="BK145" s="1"/>
    </row>
    <row r="146" spans="1:63" ht="12" customHeight="1">
      <c r="A146" s="1"/>
      <c r="B146" s="107">
        <v>1</v>
      </c>
      <c r="C146" s="31">
        <v>10</v>
      </c>
      <c r="D146" s="106" t="s">
        <v>2</v>
      </c>
      <c r="E146" s="2" t="s">
        <v>108</v>
      </c>
      <c r="F146" s="25"/>
      <c r="G146" s="2" t="s">
        <v>142</v>
      </c>
      <c r="H146" s="33"/>
      <c r="I146" s="99">
        <f t="shared" si="184"/>
        <v>156.11623693379789</v>
      </c>
      <c r="J146" s="101">
        <f t="shared" si="185"/>
        <v>39.571428571428569</v>
      </c>
      <c r="K146" s="124">
        <f t="shared" si="186"/>
        <v>47</v>
      </c>
      <c r="L146" s="74"/>
      <c r="M146" s="99">
        <f t="shared" si="187"/>
        <v>1092.8136585365853</v>
      </c>
      <c r="N146" s="108">
        <f t="shared" si="277"/>
        <v>1092.8136585365853</v>
      </c>
      <c r="O146" s="108"/>
      <c r="P146" s="108"/>
      <c r="Q146" s="108"/>
      <c r="R146" s="109"/>
      <c r="S146" s="99">
        <f>SUM(T146:X146)</f>
        <v>910.67804878048776</v>
      </c>
      <c r="T146" s="108">
        <f>AL146*AV146*AW146*AY146</f>
        <v>910.67804878048776</v>
      </c>
      <c r="U146" s="108"/>
      <c r="V146" s="108"/>
      <c r="W146" s="108"/>
      <c r="X146" s="109"/>
      <c r="Y146" s="99">
        <f t="shared" si="190"/>
        <v>1821.3560975609755</v>
      </c>
      <c r="Z146" s="108">
        <f t="shared" ref="Z146:Z147" si="282">T146*$D$26/100</f>
        <v>1821.3560975609755</v>
      </c>
      <c r="AA146" s="108"/>
      <c r="AB146" s="108"/>
      <c r="AC146" s="108"/>
      <c r="AD146" s="109"/>
      <c r="AE146" s="99">
        <f>AO146-AS146</f>
        <v>7</v>
      </c>
      <c r="AF146" s="101"/>
      <c r="AG146" s="101">
        <f t="shared" ref="AG146:AG147" si="283">IF($D$25+AT146&gt;100,100,$D$25+AT146)</f>
        <v>20</v>
      </c>
      <c r="AH146" s="101">
        <f t="shared" si="279"/>
        <v>277</v>
      </c>
      <c r="AI146" s="101">
        <f t="shared" si="280"/>
        <v>200</v>
      </c>
      <c r="AJ146" s="108">
        <f>10*AY146/12</f>
        <v>0.83333333333333337</v>
      </c>
      <c r="AK146" s="101">
        <f t="shared" si="248"/>
        <v>910.67804878048776</v>
      </c>
      <c r="AL146" s="101">
        <f>(VLOOKUP(C146,$B$4:$AA$7,2,FALSE)+VLOOKUP(C146,$B$8:$AA$11,2,FALSE)*$D$22)*$D$27/100</f>
        <v>910.67804878048776</v>
      </c>
      <c r="AM146" s="101"/>
      <c r="AN146" s="101"/>
      <c r="AO146" s="1">
        <v>8</v>
      </c>
      <c r="AP146" s="2"/>
      <c r="AQ146" s="74">
        <f>VLOOKUP(C146,$B$13:$AA$16,2,FALSE)</f>
        <v>277</v>
      </c>
      <c r="AR146" s="10"/>
      <c r="AS146" s="1">
        <v>1</v>
      </c>
      <c r="AT146" s="11">
        <v>0</v>
      </c>
      <c r="AU146" s="10"/>
      <c r="AV146" s="1">
        <v>1</v>
      </c>
      <c r="AW146" s="1">
        <v>1</v>
      </c>
      <c r="AX146" s="10"/>
      <c r="AY146" s="11">
        <v>1</v>
      </c>
      <c r="AZ146" s="2"/>
      <c r="BA146" s="2"/>
      <c r="BB146" s="2"/>
      <c r="BC146" s="1"/>
      <c r="BD146" s="106"/>
      <c r="BE146" s="2"/>
      <c r="BF146" s="2"/>
      <c r="BG146" s="2"/>
      <c r="BH146" s="2"/>
      <c r="BI146" s="2"/>
      <c r="BJ146" s="2"/>
      <c r="BK146" s="1"/>
    </row>
    <row r="147" spans="1:63" ht="12" customHeight="1">
      <c r="A147" s="1"/>
      <c r="B147" s="107">
        <v>6</v>
      </c>
      <c r="C147" s="31">
        <v>10</v>
      </c>
      <c r="D147" s="106" t="s">
        <v>16</v>
      </c>
      <c r="E147" s="2" t="s">
        <v>145</v>
      </c>
      <c r="F147" s="25"/>
      <c r="G147" s="2"/>
      <c r="H147" s="33">
        <f>AX147*2</f>
        <v>2</v>
      </c>
      <c r="I147" s="99">
        <f t="shared" si="184"/>
        <v>148.57935365853658</v>
      </c>
      <c r="J147" s="101">
        <f t="shared" si="185"/>
        <v>39.166666666666664</v>
      </c>
      <c r="K147" s="124">
        <f t="shared" si="186"/>
        <v>48</v>
      </c>
      <c r="L147" s="74"/>
      <c r="M147" s="99">
        <f t="shared" si="187"/>
        <v>891.4761219512194</v>
      </c>
      <c r="N147" s="108">
        <f>T147*(1+((AG147+IF(F147="백어택",20,0))/100)*(AI147/100-1))</f>
        <v>891.4761219512194</v>
      </c>
      <c r="O147" s="108"/>
      <c r="P147" s="108"/>
      <c r="Q147" s="108"/>
      <c r="R147" s="109"/>
      <c r="S147" s="99">
        <f>SUM(T147:X147)*H147</f>
        <v>1320.7053658536583</v>
      </c>
      <c r="T147" s="108">
        <f>AL147*AU147*AY147*IF(F147="백어택",1.2,1)</f>
        <v>660.35268292682917</v>
      </c>
      <c r="U147" s="108"/>
      <c r="V147" s="108"/>
      <c r="W147" s="108"/>
      <c r="X147" s="109"/>
      <c r="Y147" s="99">
        <f t="shared" si="190"/>
        <v>1320.7053658536583</v>
      </c>
      <c r="Z147" s="108">
        <f t="shared" si="282"/>
        <v>1320.7053658536583</v>
      </c>
      <c r="AA147" s="108"/>
      <c r="AB147" s="108"/>
      <c r="AC147" s="108"/>
      <c r="AD147" s="109"/>
      <c r="AE147" s="99">
        <f t="shared" ref="AE147:AE151" si="284">AO147</f>
        <v>6</v>
      </c>
      <c r="AF147" s="101"/>
      <c r="AG147" s="101">
        <f t="shared" si="283"/>
        <v>35</v>
      </c>
      <c r="AH147" s="101">
        <f>AQ147*AR147</f>
        <v>235</v>
      </c>
      <c r="AI147" s="101">
        <f t="shared" si="280"/>
        <v>200</v>
      </c>
      <c r="AJ147" s="108">
        <f>10*AS147/IF(AX147=1,5,3.5)</f>
        <v>2</v>
      </c>
      <c r="AK147" s="101">
        <f t="shared" si="248"/>
        <v>314.45365853658535</v>
      </c>
      <c r="AL147" s="101">
        <f>((VLOOKUP(C147,$B$4:$AG$7,23,FALSE)+VLOOKUP(C147,$B$8:$AG$11,23,FALSE)*$D$22))*$D$27/100</f>
        <v>314.45365853658535</v>
      </c>
      <c r="AM147" s="101"/>
      <c r="AN147" s="101"/>
      <c r="AO147" s="1">
        <v>6</v>
      </c>
      <c r="AP147" s="2"/>
      <c r="AQ147" s="74">
        <f>VLOOKUP(C147,$B$13:$AA$16,23,FALSE)</f>
        <v>235</v>
      </c>
      <c r="AR147" s="10">
        <v>1</v>
      </c>
      <c r="AS147" s="1">
        <v>1</v>
      </c>
      <c r="AT147" s="11">
        <v>15</v>
      </c>
      <c r="AU147" s="10">
        <v>1.4</v>
      </c>
      <c r="AV147" s="1"/>
      <c r="AW147" s="1"/>
      <c r="AX147" s="10">
        <v>1</v>
      </c>
      <c r="AY147" s="11">
        <v>1.5</v>
      </c>
      <c r="AZ147" s="2"/>
      <c r="BA147" s="2"/>
      <c r="BB147" s="2"/>
      <c r="BC147" s="1"/>
      <c r="BD147" s="106"/>
      <c r="BE147" s="2"/>
      <c r="BF147" s="2"/>
      <c r="BG147" s="2"/>
      <c r="BH147" s="2"/>
      <c r="BI147" s="2"/>
      <c r="BJ147" s="2"/>
      <c r="BK147" s="1"/>
    </row>
    <row r="148" spans="1:63" ht="12" customHeight="1">
      <c r="A148" s="2"/>
      <c r="B148" s="107">
        <v>26</v>
      </c>
      <c r="C148" s="31">
        <v>10</v>
      </c>
      <c r="D148" s="113" t="s">
        <v>15</v>
      </c>
      <c r="E148" s="2" t="s">
        <v>171</v>
      </c>
      <c r="F148" s="10"/>
      <c r="G148" s="2" t="s">
        <v>181</v>
      </c>
      <c r="H148" s="33">
        <f>IF(AX148=AT148,3,4)</f>
        <v>3</v>
      </c>
      <c r="I148" s="99">
        <f t="shared" si="184"/>
        <v>145.47621463414634</v>
      </c>
      <c r="J148" s="101">
        <f t="shared" si="185"/>
        <v>19.733333333333334</v>
      </c>
      <c r="K148" s="124">
        <f t="shared" si="186"/>
        <v>49</v>
      </c>
      <c r="L148" s="74"/>
      <c r="M148" s="99">
        <f t="shared" si="187"/>
        <v>4364.2864390243903</v>
      </c>
      <c r="N148" s="108">
        <f>T148*(1+(AG148/100)*(AI148/100-1))</f>
        <v>839.28585365853667</v>
      </c>
      <c r="O148" s="108">
        <f>U148*(1+(AG148/100)*(AI148/100-1))</f>
        <v>839.28585365853667</v>
      </c>
      <c r="P148" s="108">
        <f>V148*(1+(AG148/100)*(AI148/100-1))</f>
        <v>839.28585365853667</v>
      </c>
      <c r="Q148" s="108">
        <f>W148*(1+(AG148/100)*(AI148/100-1))</f>
        <v>0</v>
      </c>
      <c r="R148" s="109">
        <f>X148*(1+(AG148/100)*(AI148/100-1))</f>
        <v>1846.4288780487807</v>
      </c>
      <c r="S148" s="99">
        <f t="shared" ref="S148:S152" si="285">SUM(T148:X148)</f>
        <v>3636.9053658536591</v>
      </c>
      <c r="T148" s="108">
        <f>AL148*AS148*AY148</f>
        <v>699.40487804878057</v>
      </c>
      <c r="U148" s="108">
        <f>AL148*AS148*AY148</f>
        <v>699.40487804878057</v>
      </c>
      <c r="V148" s="108">
        <f>AL148*AS148*AY148</f>
        <v>699.40487804878057</v>
      </c>
      <c r="W148" s="108">
        <f>IF(H148=4,AL148*AS148*IF(AT148=0,AY148,1),0)</f>
        <v>0</v>
      </c>
      <c r="X148" s="109">
        <f>AL148*IF(H148=3,11,IF(AT148=1,15,13))*IF(AW148=1,0,AW148)</f>
        <v>1538.6907317073174</v>
      </c>
      <c r="Y148" s="99">
        <f t="shared" si="190"/>
        <v>7273.8107317073182</v>
      </c>
      <c r="Z148" s="108">
        <f>T148*AI148/100</f>
        <v>1398.8097560975611</v>
      </c>
      <c r="AA148" s="108">
        <f>U148*AI148/100</f>
        <v>1398.8097560975611</v>
      </c>
      <c r="AB148" s="108">
        <f>V148*AI148/100</f>
        <v>1398.8097560975611</v>
      </c>
      <c r="AC148" s="108">
        <f>W148*AI148/100</f>
        <v>0</v>
      </c>
      <c r="AD148" s="109">
        <f>X148*AI148/100</f>
        <v>3077.3814634146347</v>
      </c>
      <c r="AE148" s="99">
        <f t="shared" si="284"/>
        <v>30</v>
      </c>
      <c r="AF148" s="101"/>
      <c r="AG148" s="101">
        <f>IF($D$25+AX148&gt;100,100,$D$25+AX148)</f>
        <v>20</v>
      </c>
      <c r="AH148" s="101">
        <f t="shared" ref="AH148:AH149" si="286">AQ148</f>
        <v>592</v>
      </c>
      <c r="AI148" s="101">
        <f t="shared" si="280"/>
        <v>200</v>
      </c>
      <c r="AJ148" s="108">
        <f>10*AU148/IF(AT148=1,2.5,(IF(AY148=1,3,2.5)))</f>
        <v>3.3333333333333335</v>
      </c>
      <c r="AK148" s="101">
        <f t="shared" si="248"/>
        <v>699.40487804878057</v>
      </c>
      <c r="AL148" s="101">
        <f>((VLOOKUP(C148,$B$4:$AG$7,22,FALSE)+VLOOKUP(C148,$B$8:$AG$11,22,FALSE)*$D$22))*$D$27/100</f>
        <v>699.40487804878057</v>
      </c>
      <c r="AM148" s="101"/>
      <c r="AN148" s="101"/>
      <c r="AO148" s="1">
        <v>30</v>
      </c>
      <c r="AP148" s="2"/>
      <c r="AQ148" s="74">
        <f>VLOOKUP(C148,$B$13:$AA$16,22,FALSE)</f>
        <v>592</v>
      </c>
      <c r="AR148" s="10"/>
      <c r="AS148" s="1">
        <v>1</v>
      </c>
      <c r="AT148" s="11">
        <v>0</v>
      </c>
      <c r="AU148" s="10">
        <v>1</v>
      </c>
      <c r="AV148" s="1"/>
      <c r="AW148" s="1">
        <v>0.2</v>
      </c>
      <c r="AX148" s="10">
        <v>0</v>
      </c>
      <c r="AY148" s="11">
        <v>1</v>
      </c>
      <c r="AZ148" s="2"/>
      <c r="BA148" s="2"/>
      <c r="BB148" s="2"/>
      <c r="BC148" s="2"/>
      <c r="BD148" s="2"/>
      <c r="BE148" s="2"/>
      <c r="BF148" s="2"/>
      <c r="BG148" s="2"/>
      <c r="BH148" s="2"/>
      <c r="BI148" s="1"/>
      <c r="BJ148" s="1"/>
      <c r="BK148" s="1"/>
    </row>
    <row r="149" spans="1:63" ht="12" customHeight="1">
      <c r="A149" s="1"/>
      <c r="B149" s="107">
        <v>7</v>
      </c>
      <c r="C149" s="31">
        <v>10</v>
      </c>
      <c r="D149" s="106" t="s">
        <v>4</v>
      </c>
      <c r="E149" s="2" t="s">
        <v>135</v>
      </c>
      <c r="F149" s="25"/>
      <c r="G149" s="2" t="s">
        <v>158</v>
      </c>
      <c r="H149" s="33"/>
      <c r="I149" s="99">
        <f t="shared" si="184"/>
        <v>143.33626829268292</v>
      </c>
      <c r="J149" s="101">
        <f t="shared" si="185"/>
        <v>29.083333333333332</v>
      </c>
      <c r="K149" s="124">
        <f t="shared" si="186"/>
        <v>50</v>
      </c>
      <c r="L149" s="74"/>
      <c r="M149" s="99">
        <f t="shared" si="187"/>
        <v>1720.035219512195</v>
      </c>
      <c r="N149" s="108">
        <f>T149*(1+((AG149+IF(F149="백어택",20,0))/100))*((AI149/100-1))</f>
        <v>307.12390243902439</v>
      </c>
      <c r="O149" s="108">
        <f t="shared" ref="O149:O150" si="287">U149*(1+((AG149+IF(F149="백어택",20,0))/100)*(AI149/100-1))</f>
        <v>1412.9113170731707</v>
      </c>
      <c r="P149" s="108"/>
      <c r="Q149" s="108"/>
      <c r="R149" s="109"/>
      <c r="S149" s="99">
        <f t="shared" si="285"/>
        <v>1433.3626829268294</v>
      </c>
      <c r="T149" s="108">
        <f>AT149*AL149*IF(F149="백어택",1.2,1)</f>
        <v>255.93658536585366</v>
      </c>
      <c r="U149" s="108">
        <f>AM149*AW149*AX149*AY149*IF(F149="백어택",1.2,1)</f>
        <v>1177.4260975609757</v>
      </c>
      <c r="V149" s="108"/>
      <c r="W149" s="108"/>
      <c r="X149" s="109"/>
      <c r="Y149" s="99">
        <f t="shared" si="190"/>
        <v>2866.7253658536588</v>
      </c>
      <c r="Z149" s="108">
        <f t="shared" ref="Z149:AA149" si="288">T149*$D$26/100</f>
        <v>511.87317073170726</v>
      </c>
      <c r="AA149" s="108">
        <f t="shared" si="288"/>
        <v>2354.8521951219514</v>
      </c>
      <c r="AB149" s="108"/>
      <c r="AC149" s="108"/>
      <c r="AD149" s="109"/>
      <c r="AE149" s="99">
        <f t="shared" si="284"/>
        <v>12</v>
      </c>
      <c r="AF149" s="101"/>
      <c r="AG149" s="101">
        <f>IF($D$25&gt;100,100,$D$25)</f>
        <v>20</v>
      </c>
      <c r="AH149" s="101">
        <f t="shared" si="286"/>
        <v>349</v>
      </c>
      <c r="AI149" s="101">
        <f t="shared" si="280"/>
        <v>200</v>
      </c>
      <c r="AJ149" s="108">
        <f>10/IF(AY149=1,5,4)</f>
        <v>2.5</v>
      </c>
      <c r="AK149" s="101">
        <f t="shared" si="248"/>
        <v>853.19024390243908</v>
      </c>
      <c r="AL149" s="101">
        <f>(VLOOKUP(C149,$B$4:$AG$7,4,FALSE)+VLOOKUP(C149,$B$8:$AG$11,4,FALSE)*$D$22)*$D$27/100</f>
        <v>170.62439024390244</v>
      </c>
      <c r="AM149" s="101">
        <f>(VLOOKUP(C149,$B$4:$AG$7,5,FALSE)+VLOOKUP(C149,$B$8:$AG$11,5,FALSE)*$D$22)*$D$27/100</f>
        <v>682.56585365853664</v>
      </c>
      <c r="AN149" s="101"/>
      <c r="AO149" s="1">
        <v>12</v>
      </c>
      <c r="AP149" s="2"/>
      <c r="AQ149" s="74">
        <f>VLOOKUP(C149,$B$13:$AA$16,4,FALSE)</f>
        <v>349</v>
      </c>
      <c r="AR149" s="10"/>
      <c r="AS149" s="1"/>
      <c r="AT149" s="11">
        <v>1.5</v>
      </c>
      <c r="AU149" s="10"/>
      <c r="AV149" s="1"/>
      <c r="AW149" s="1">
        <v>1</v>
      </c>
      <c r="AX149" s="10">
        <v>1</v>
      </c>
      <c r="AY149" s="11">
        <v>1.7250000000000001</v>
      </c>
      <c r="AZ149" s="2"/>
      <c r="BA149" s="2"/>
      <c r="BB149" s="2"/>
      <c r="BC149" s="1"/>
      <c r="BD149" s="106"/>
      <c r="BE149" s="2"/>
      <c r="BF149" s="2"/>
      <c r="BG149" s="2"/>
      <c r="BH149" s="2"/>
      <c r="BI149" s="1"/>
      <c r="BJ149" s="1"/>
      <c r="BK149" s="2"/>
    </row>
    <row r="150" spans="1:63" ht="12" customHeight="1">
      <c r="A150" s="1"/>
      <c r="B150" s="107">
        <v>17</v>
      </c>
      <c r="C150" s="31">
        <v>10</v>
      </c>
      <c r="D150" s="111" t="s">
        <v>8</v>
      </c>
      <c r="E150" s="2" t="s">
        <v>164</v>
      </c>
      <c r="F150" s="25"/>
      <c r="G150" s="2"/>
      <c r="H150" s="33" t="s">
        <v>80</v>
      </c>
      <c r="I150" s="99">
        <f t="shared" si="184"/>
        <v>141.99861788617889</v>
      </c>
      <c r="J150" s="101">
        <f t="shared" si="185"/>
        <v>30.391666666666666</v>
      </c>
      <c r="K150" s="124">
        <f t="shared" si="186"/>
        <v>51</v>
      </c>
      <c r="L150" s="74"/>
      <c r="M150" s="99">
        <f t="shared" si="187"/>
        <v>3407.9668292682932</v>
      </c>
      <c r="N150" s="108">
        <f>T150*(1+((AG150+IF(F150="백어택",20,0))/100)*(IF(AY150=1,$D$26,$D$26+50)/100-1))</f>
        <v>959.40487804878046</v>
      </c>
      <c r="O150" s="108">
        <f t="shared" si="287"/>
        <v>1224.2809756097563</v>
      </c>
      <c r="P150" s="108">
        <f>V150*(1+((AG150+IF(F150="백어택",20,0))/100)*(AI150/100-1))</f>
        <v>1224.2809756097563</v>
      </c>
      <c r="Q150" s="108"/>
      <c r="R150" s="109"/>
      <c r="S150" s="99">
        <f t="shared" si="285"/>
        <v>2350.3219512195124</v>
      </c>
      <c r="T150" s="108">
        <f>AL150*IF(H150="근접",AR150,1)*AY150*IF(F150="백어택",1.2,1)</f>
        <v>661.65853658536582</v>
      </c>
      <c r="U150" s="108">
        <f>AM150*IF(H150="근접",AR150,1)*AY150*IF(F150="백어택",1.2,1)</f>
        <v>844.33170731707332</v>
      </c>
      <c r="V150" s="108">
        <f>IF(AX150=1,0,AM150*IF(H150="근접",AR150,1)*AY150)*IF(F150="백어택",1.2,1)</f>
        <v>844.33170731707332</v>
      </c>
      <c r="W150" s="108"/>
      <c r="X150" s="109"/>
      <c r="Y150" s="99">
        <f t="shared" si="190"/>
        <v>4700.6439024390247</v>
      </c>
      <c r="Z150" s="108">
        <f>T150*IF(AY150=1,$D$26,$D$26+50)/100</f>
        <v>1323.3170731707316</v>
      </c>
      <c r="AA150" s="108">
        <f>U150*AI150/100</f>
        <v>1688.6634146341466</v>
      </c>
      <c r="AB150" s="108">
        <f>V150*AI150/100</f>
        <v>1688.6634146341466</v>
      </c>
      <c r="AC150" s="108"/>
      <c r="AD150" s="109"/>
      <c r="AE150" s="99">
        <f t="shared" si="284"/>
        <v>24</v>
      </c>
      <c r="AF150" s="101"/>
      <c r="AG150" s="101">
        <f>IF($D$25+AU150&gt;100,100,$D$25+AU150)</f>
        <v>45</v>
      </c>
      <c r="AH150" s="101">
        <f>IF(AX150=1,AQ150,AQ150*1.4)</f>
        <v>729.4</v>
      </c>
      <c r="AI150" s="101">
        <f>IF(AY150=1,$D$26,$D$26+50)*AW150</f>
        <v>200</v>
      </c>
      <c r="AJ150" s="108">
        <f>10/6/AX150</f>
        <v>1.1111111111111112</v>
      </c>
      <c r="AK150" s="101">
        <f t="shared" si="248"/>
        <v>1505.990243902439</v>
      </c>
      <c r="AL150" s="101">
        <f>(IF(H150="근접",$D$29*(VLOOKUP(C150,$B$4:$AG$7,9,FALSE)+VLOOKUP(C150,$B$8:$AG$11,9,FALSE)*$D$22),$D$28*(VLOOKUP(C150,$B$4:$AG$7,9,FALSE)+VLOOKUP(C150,$B$8:$AG$11,9,FALSE)*$D$22)))*$D$27/100</f>
        <v>661.65853658536582</v>
      </c>
      <c r="AM150" s="101">
        <f>(IF(H150="근접",$D$29*(VLOOKUP(C150,$B$4:$AG$7,10,FALSE)+VLOOKUP(C150,$B$8:$AG$11,10,FALSE)*$D$22),$D$28*(VLOOKUP(C150,$B$4:$AG$7,10,FALSE)+VLOOKUP(C150,$B$8:$AG$11,10,FALSE)*$D$22)))*$D$27/100</f>
        <v>844.33170731707332</v>
      </c>
      <c r="AN150" s="101"/>
      <c r="AO150" s="1">
        <v>24</v>
      </c>
      <c r="AP150" s="2"/>
      <c r="AQ150" s="74">
        <f>VLOOKUP(C150,$B$13:$AA$16,9,FALSE)</f>
        <v>521</v>
      </c>
      <c r="AR150" s="10">
        <v>1.2</v>
      </c>
      <c r="AS150" s="1"/>
      <c r="AT150" s="11"/>
      <c r="AU150" s="10">
        <v>25</v>
      </c>
      <c r="AV150" s="1"/>
      <c r="AW150" s="1">
        <v>1</v>
      </c>
      <c r="AX150" s="10">
        <v>1.5</v>
      </c>
      <c r="AY150" s="11">
        <v>1</v>
      </c>
      <c r="AZ150" s="2"/>
      <c r="BA150" s="2"/>
      <c r="BB150" s="2"/>
      <c r="BC150" s="1"/>
      <c r="BD150" s="111"/>
      <c r="BE150" s="2"/>
      <c r="BF150" s="3"/>
      <c r="BG150" s="2"/>
      <c r="BH150" s="2"/>
      <c r="BI150" s="2"/>
      <c r="BJ150" s="2"/>
      <c r="BK150" s="2"/>
    </row>
    <row r="151" spans="1:63" ht="12" customHeight="1">
      <c r="A151" s="2"/>
      <c r="B151" s="107">
        <v>23</v>
      </c>
      <c r="C151" s="31">
        <v>10</v>
      </c>
      <c r="D151" s="113" t="s">
        <v>9</v>
      </c>
      <c r="E151" s="2" t="s">
        <v>171</v>
      </c>
      <c r="F151" s="31"/>
      <c r="G151" s="2" t="s">
        <v>143</v>
      </c>
      <c r="H151" s="33"/>
      <c r="I151" s="99">
        <f t="shared" si="184"/>
        <v>141.69105691056913</v>
      </c>
      <c r="J151" s="101">
        <f t="shared" si="185"/>
        <v>18.25</v>
      </c>
      <c r="K151" s="124">
        <f t="shared" si="186"/>
        <v>52</v>
      </c>
      <c r="L151" s="74"/>
      <c r="M151" s="99">
        <f t="shared" si="187"/>
        <v>5100.8780487804888</v>
      </c>
      <c r="N151" s="108">
        <f t="shared" ref="N151:N152" si="289">T151*(1+(AG151/100)*(AI151/100-1))</f>
        <v>2558.1190243902442</v>
      </c>
      <c r="O151" s="108">
        <f>U151*(1+($D$25/100)*(AI151/100-1))</f>
        <v>1907.0692682926829</v>
      </c>
      <c r="P151" s="108"/>
      <c r="Q151" s="108"/>
      <c r="R151" s="109">
        <f>X151*(1+($D$25/100)*(AI151/100-1))</f>
        <v>635.68975609756092</v>
      </c>
      <c r="S151" s="99">
        <f t="shared" si="285"/>
        <v>4250.7317073170734</v>
      </c>
      <c r="T151" s="108">
        <f>AL151*AU151*AY151</f>
        <v>2131.7658536585368</v>
      </c>
      <c r="U151" s="108">
        <f>AM151*AX151</f>
        <v>1589.2243902439025</v>
      </c>
      <c r="V151" s="108"/>
      <c r="W151" s="108"/>
      <c r="X151" s="109">
        <f>AM151*AS151</f>
        <v>529.74146341463415</v>
      </c>
      <c r="Y151" s="99">
        <f t="shared" si="190"/>
        <v>8501.4634146341468</v>
      </c>
      <c r="Z151" s="108">
        <f t="shared" ref="Z151:AA151" si="290">T151*$D$26/100</f>
        <v>4263.5317073170736</v>
      </c>
      <c r="AA151" s="108">
        <f t="shared" si="290"/>
        <v>3178.4487804878049</v>
      </c>
      <c r="AB151" s="108"/>
      <c r="AC151" s="108"/>
      <c r="AD151" s="109">
        <f t="shared" ref="AD151:AD152" si="291">X151*$D$26/100</f>
        <v>1059.4829268292683</v>
      </c>
      <c r="AE151" s="99">
        <f t="shared" si="284"/>
        <v>36</v>
      </c>
      <c r="AF151" s="101"/>
      <c r="AG151" s="101">
        <f>IF($D$25+AW151&gt;100,100,$D$25+AW151)</f>
        <v>20</v>
      </c>
      <c r="AH151" s="101">
        <f>AQ151</f>
        <v>657</v>
      </c>
      <c r="AI151" s="101">
        <f t="shared" ref="AI151:AI152" si="292">$D$26</f>
        <v>200</v>
      </c>
      <c r="AJ151" s="108">
        <f>10/(6+AT151)</f>
        <v>1.6666666666666667</v>
      </c>
      <c r="AK151" s="101">
        <f t="shared" si="248"/>
        <v>2661.5073170731712</v>
      </c>
      <c r="AL151" s="101">
        <f>(VLOOKUP(C151,$B$4:$AG$7,11,FALSE)+VLOOKUP(C151,$B$8:$AG$11,11,FALSE)*$D$22)*$D$27/100</f>
        <v>2131.7658536585368</v>
      </c>
      <c r="AM151" s="101">
        <f>(3*(VLOOKUP(C151,$B$4:$AG$7,12,FALSE)+VLOOKUP(C151,$B$8:$AG$11,12,FALSE)*$D$22))*$D$27/100</f>
        <v>529.74146341463415</v>
      </c>
      <c r="AN151" s="101"/>
      <c r="AO151" s="1">
        <v>36</v>
      </c>
      <c r="AP151" s="2"/>
      <c r="AQ151" s="74">
        <f>VLOOKUP(C151,$B$13:$AA$16,11,FALSE)</f>
        <v>657</v>
      </c>
      <c r="AR151" s="10"/>
      <c r="AS151" s="1">
        <v>1</v>
      </c>
      <c r="AT151" s="11">
        <v>0</v>
      </c>
      <c r="AU151" s="10">
        <v>1</v>
      </c>
      <c r="AV151" s="1"/>
      <c r="AW151" s="1">
        <v>0</v>
      </c>
      <c r="AX151" s="10">
        <v>3</v>
      </c>
      <c r="AY151" s="11">
        <v>1</v>
      </c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1"/>
    </row>
    <row r="152" spans="1:63" ht="12" customHeight="1">
      <c r="A152" s="1"/>
      <c r="B152" s="116">
        <v>8</v>
      </c>
      <c r="C152" s="81">
        <v>10</v>
      </c>
      <c r="D152" s="140" t="s">
        <v>7</v>
      </c>
      <c r="E152" s="82" t="s">
        <v>140</v>
      </c>
      <c r="F152" s="67"/>
      <c r="G152" s="141"/>
      <c r="H152" s="83"/>
      <c r="I152" s="118">
        <f t="shared" si="184"/>
        <v>135.87317073170732</v>
      </c>
      <c r="J152" s="119">
        <f t="shared" si="185"/>
        <v>32.888888888888886</v>
      </c>
      <c r="K152" s="142">
        <f t="shared" si="186"/>
        <v>53</v>
      </c>
      <c r="L152" s="120"/>
      <c r="M152" s="118">
        <f>N152+R152/2</f>
        <v>1222.858536585366</v>
      </c>
      <c r="N152" s="121">
        <f t="shared" si="289"/>
        <v>1222.858536585366</v>
      </c>
      <c r="O152" s="121"/>
      <c r="P152" s="121"/>
      <c r="Q152" s="121"/>
      <c r="R152" s="122">
        <f>X152*(1+(AG152/100)*(AI152/100-1))</f>
        <v>0</v>
      </c>
      <c r="S152" s="118">
        <f t="shared" si="285"/>
        <v>1019.0487804878051</v>
      </c>
      <c r="T152" s="121">
        <f>AL152*AV152*AX152</f>
        <v>1019.0487804878051</v>
      </c>
      <c r="U152" s="121"/>
      <c r="V152" s="121"/>
      <c r="W152" s="121"/>
      <c r="X152" s="122">
        <f>AS152*AL152</f>
        <v>0</v>
      </c>
      <c r="Y152" s="118">
        <f t="shared" si="190"/>
        <v>2038.0975609756101</v>
      </c>
      <c r="Z152" s="121">
        <f>T152*$D$26/100</f>
        <v>2038.0975609756101</v>
      </c>
      <c r="AA152" s="121"/>
      <c r="AB152" s="121"/>
      <c r="AC152" s="121"/>
      <c r="AD152" s="122">
        <f t="shared" si="291"/>
        <v>0</v>
      </c>
      <c r="AE152" s="118">
        <f>AO152-AY152</f>
        <v>9</v>
      </c>
      <c r="AF152" s="119"/>
      <c r="AG152" s="119">
        <f>IF($D$25&gt;100,100,$D$25)</f>
        <v>20</v>
      </c>
      <c r="AH152" s="119">
        <f>AQ152*AR152</f>
        <v>296</v>
      </c>
      <c r="AI152" s="119">
        <f t="shared" si="292"/>
        <v>200</v>
      </c>
      <c r="AJ152" s="121">
        <f>10*AX152*AU152/9</f>
        <v>2.2222222222222223</v>
      </c>
      <c r="AK152" s="119">
        <f t="shared" si="248"/>
        <v>339.68292682926835</v>
      </c>
      <c r="AL152" s="119">
        <f>(VLOOKUP(C152,$B$4:$AG$7,8,FALSE)+VLOOKUP(C152,$B$8:$AG$11,8,FALSE)*$D$22)*$D$27/100</f>
        <v>339.68292682926835</v>
      </c>
      <c r="AM152" s="119"/>
      <c r="AN152" s="119"/>
      <c r="AO152" s="17">
        <v>9</v>
      </c>
      <c r="AP152" s="82"/>
      <c r="AQ152" s="120">
        <f>VLOOKUP(C152,$B$13:$AA$16,8,FALSE)</f>
        <v>296</v>
      </c>
      <c r="AR152" s="16">
        <v>1</v>
      </c>
      <c r="AS152" s="17">
        <v>0</v>
      </c>
      <c r="AT152" s="21"/>
      <c r="AU152" s="16">
        <v>1</v>
      </c>
      <c r="AV152" s="17">
        <v>1.5</v>
      </c>
      <c r="AW152" s="17"/>
      <c r="AX152" s="16">
        <v>2</v>
      </c>
      <c r="AY152" s="21">
        <v>0</v>
      </c>
      <c r="AZ152" s="2"/>
      <c r="BA152" s="2"/>
      <c r="BB152" s="2"/>
      <c r="BC152" s="1"/>
      <c r="BD152" s="106"/>
      <c r="BE152" s="2"/>
      <c r="BF152" s="2"/>
      <c r="BG152" s="2"/>
      <c r="BH152" s="2"/>
      <c r="BI152" s="1"/>
      <c r="BJ152" s="1"/>
      <c r="BK152" s="1"/>
    </row>
    <row r="153" spans="1:63" ht="12" customHeight="1">
      <c r="A153" s="1"/>
      <c r="B153" s="1"/>
      <c r="C153" s="1"/>
      <c r="D153" s="1"/>
      <c r="E153" s="1"/>
      <c r="F153" s="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0"/>
      <c r="AY153" s="1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1:63" ht="12" customHeight="1">
      <c r="A154" s="1"/>
      <c r="B154" s="20"/>
      <c r="C154" s="22"/>
      <c r="D154" s="22"/>
      <c r="E154" s="6"/>
      <c r="F154" s="190" t="s">
        <v>93</v>
      </c>
      <c r="G154" s="191"/>
      <c r="H154" s="192"/>
      <c r="I154" s="190" t="s">
        <v>96</v>
      </c>
      <c r="J154" s="191"/>
      <c r="K154" s="191"/>
      <c r="L154" s="191"/>
      <c r="M154" s="191"/>
      <c r="N154" s="191"/>
      <c r="O154" s="191"/>
      <c r="P154" s="191"/>
      <c r="Q154" s="191"/>
      <c r="R154" s="192"/>
      <c r="S154" s="187" t="s">
        <v>97</v>
      </c>
      <c r="T154" s="188"/>
      <c r="U154" s="188"/>
      <c r="V154" s="188"/>
      <c r="W154" s="188"/>
      <c r="X154" s="189"/>
      <c r="Y154" s="187" t="s">
        <v>100</v>
      </c>
      <c r="Z154" s="188"/>
      <c r="AA154" s="188"/>
      <c r="AB154" s="188"/>
      <c r="AC154" s="188"/>
      <c r="AD154" s="189"/>
      <c r="AE154" s="1"/>
      <c r="AF154" s="1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87" t="s">
        <v>54</v>
      </c>
      <c r="AS154" s="88"/>
      <c r="AT154" s="88"/>
      <c r="AU154" s="87" t="s">
        <v>55</v>
      </c>
      <c r="AV154" s="88"/>
      <c r="AW154" s="88"/>
      <c r="AX154" s="38" t="s">
        <v>56</v>
      </c>
      <c r="AY154" s="4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1:63" ht="12" customHeight="1">
      <c r="A155" s="1"/>
      <c r="B155" s="89" t="s">
        <v>47</v>
      </c>
      <c r="C155" s="54" t="s">
        <v>48</v>
      </c>
      <c r="D155" s="8" t="s">
        <v>49</v>
      </c>
      <c r="E155" s="8" t="s">
        <v>50</v>
      </c>
      <c r="F155" s="12" t="s">
        <v>104</v>
      </c>
      <c r="G155" s="90" t="s">
        <v>105</v>
      </c>
      <c r="H155" s="42" t="s">
        <v>51</v>
      </c>
      <c r="I155" s="91" t="s">
        <v>106</v>
      </c>
      <c r="J155" s="92" t="s">
        <v>107</v>
      </c>
      <c r="K155" s="92" t="s">
        <v>109</v>
      </c>
      <c r="L155" s="94" t="s">
        <v>110</v>
      </c>
      <c r="M155" s="6" t="s">
        <v>112</v>
      </c>
      <c r="N155" s="6" t="s">
        <v>113</v>
      </c>
      <c r="O155" s="6" t="s">
        <v>114</v>
      </c>
      <c r="P155" s="6" t="s">
        <v>115</v>
      </c>
      <c r="Q155" s="6" t="s">
        <v>116</v>
      </c>
      <c r="R155" s="9" t="s">
        <v>118</v>
      </c>
      <c r="S155" s="5" t="s">
        <v>52</v>
      </c>
      <c r="T155" s="6" t="s">
        <v>31</v>
      </c>
      <c r="U155" s="6" t="s">
        <v>32</v>
      </c>
      <c r="V155" s="6" t="s">
        <v>37</v>
      </c>
      <c r="W155" s="6" t="s">
        <v>38</v>
      </c>
      <c r="X155" s="9" t="s">
        <v>39</v>
      </c>
      <c r="Y155" s="5" t="s">
        <v>57</v>
      </c>
      <c r="Z155" s="6" t="s">
        <v>31</v>
      </c>
      <c r="AA155" s="6" t="s">
        <v>32</v>
      </c>
      <c r="AB155" s="6" t="s">
        <v>37</v>
      </c>
      <c r="AC155" s="6" t="s">
        <v>38</v>
      </c>
      <c r="AD155" s="9" t="s">
        <v>39</v>
      </c>
      <c r="AE155" s="95" t="s">
        <v>119</v>
      </c>
      <c r="AF155" s="96" t="s">
        <v>120</v>
      </c>
      <c r="AG155" s="96" t="s">
        <v>121</v>
      </c>
      <c r="AH155" s="96" t="s">
        <v>122</v>
      </c>
      <c r="AI155" s="96" t="s">
        <v>123</v>
      </c>
      <c r="AJ155" s="96" t="s">
        <v>124</v>
      </c>
      <c r="AK155" s="8" t="s">
        <v>125</v>
      </c>
      <c r="AL155" s="8" t="s">
        <v>126</v>
      </c>
      <c r="AM155" s="8" t="s">
        <v>127</v>
      </c>
      <c r="AN155" s="8" t="s">
        <v>128</v>
      </c>
      <c r="AO155" s="8" t="s">
        <v>129</v>
      </c>
      <c r="AP155" s="8" t="s">
        <v>130</v>
      </c>
      <c r="AQ155" s="8" t="s">
        <v>131</v>
      </c>
      <c r="AR155" s="5">
        <v>1</v>
      </c>
      <c r="AS155" s="6">
        <v>2</v>
      </c>
      <c r="AT155" s="9">
        <v>3</v>
      </c>
      <c r="AU155" s="5">
        <v>1</v>
      </c>
      <c r="AV155" s="6">
        <v>2</v>
      </c>
      <c r="AW155" s="6">
        <v>3</v>
      </c>
      <c r="AX155" s="5">
        <v>1</v>
      </c>
      <c r="AY155" s="9">
        <v>2</v>
      </c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1:63" ht="12" customHeight="1">
      <c r="A156" s="1"/>
      <c r="B156" s="97">
        <v>9</v>
      </c>
      <c r="C156" s="20">
        <v>10</v>
      </c>
      <c r="D156" s="98" t="s">
        <v>10</v>
      </c>
      <c r="E156" s="22" t="s">
        <v>138</v>
      </c>
      <c r="F156" s="54" t="s">
        <v>149</v>
      </c>
      <c r="G156" s="143" t="s">
        <v>137</v>
      </c>
      <c r="H156" s="24"/>
      <c r="I156" s="99">
        <f t="shared" ref="I156:I208" si="293">M156/AE156</f>
        <v>328.75884146341457</v>
      </c>
      <c r="J156" s="101">
        <f t="shared" ref="J156:J208" si="294">AH156/AE156</f>
        <v>25.75</v>
      </c>
      <c r="K156" s="101">
        <f t="shared" ref="K156:K208" si="295">RANK(I156,$I$44:$I$96)</f>
        <v>8</v>
      </c>
      <c r="L156" s="144">
        <f t="shared" ref="L156:L174" si="296">RANK(I156,$I$44:$I$62)</f>
        <v>1</v>
      </c>
      <c r="M156" s="100">
        <f t="shared" ref="M156:M173" si="297">SUM(N156:R156)</f>
        <v>5260.1414634146331</v>
      </c>
      <c r="N156" s="103">
        <f>T156*(1+((AG156+IF(F156="백어택",20,0))/100)*(AI156/100-1))</f>
        <v>5260.1414634146331</v>
      </c>
      <c r="O156" s="103"/>
      <c r="P156" s="103"/>
      <c r="Q156" s="103"/>
      <c r="R156" s="104"/>
      <c r="S156" s="100">
        <f t="shared" ref="S156:S165" si="298">SUM(T156:X156)</f>
        <v>3757.2439024390237</v>
      </c>
      <c r="T156" s="103">
        <f>AL156*AS156*AU156*AX156*IF(AY156=0,1,0.5)*IF(F156="백어택",1.2,1)</f>
        <v>3757.2439024390237</v>
      </c>
      <c r="U156" s="103"/>
      <c r="V156" s="103"/>
      <c r="W156" s="103"/>
      <c r="X156" s="104"/>
      <c r="Y156" s="100">
        <f t="shared" ref="Y156:Y208" si="299">SUM(Z156:AD156)</f>
        <v>7514.4878048780483</v>
      </c>
      <c r="Z156" s="103">
        <f>T156*AI156/100</f>
        <v>7514.4878048780483</v>
      </c>
      <c r="AA156" s="103"/>
      <c r="AB156" s="103"/>
      <c r="AC156" s="103"/>
      <c r="AD156" s="104"/>
      <c r="AE156" s="100">
        <f>AO156</f>
        <v>16</v>
      </c>
      <c r="AF156" s="102"/>
      <c r="AG156" s="102">
        <f>IF($D$25+AV156&gt;100,100,$D$25+AV156)</f>
        <v>20</v>
      </c>
      <c r="AH156" s="102">
        <f t="shared" ref="AH156:AH158" si="300">AQ156</f>
        <v>412</v>
      </c>
      <c r="AI156" s="102">
        <f>$D$26+AY156</f>
        <v>200</v>
      </c>
      <c r="AJ156" s="103">
        <f>10*AR156/(7-IF(AX156=1,0,3))</f>
        <v>1.4285714285714286</v>
      </c>
      <c r="AK156" s="102">
        <f t="shared" ref="AK156:AK163" si="301">SUM(AL156:AN156)</f>
        <v>2504.8292682926826</v>
      </c>
      <c r="AL156" s="102">
        <f>(VLOOKUP(C156,$B$4:$AG$7,13,FALSE)+VLOOKUP(C156,$B$8:$AG$11,13,FALSE)*$D$22)*$D$27/100</f>
        <v>2504.8292682926826</v>
      </c>
      <c r="AM156" s="102"/>
      <c r="AN156" s="102"/>
      <c r="AO156" s="6">
        <v>16</v>
      </c>
      <c r="AP156" s="22"/>
      <c r="AQ156" s="105">
        <f>VLOOKUP(C156,$B$13:$AA$16,13,FALSE)</f>
        <v>412</v>
      </c>
      <c r="AR156" s="5">
        <v>1</v>
      </c>
      <c r="AS156" s="6">
        <v>1</v>
      </c>
      <c r="AT156" s="9"/>
      <c r="AU156" s="5">
        <v>1.25</v>
      </c>
      <c r="AV156" s="6">
        <v>0</v>
      </c>
      <c r="AW156" s="6"/>
      <c r="AX156" s="5">
        <v>1</v>
      </c>
      <c r="AY156" s="9">
        <v>0</v>
      </c>
      <c r="AZ156" s="2"/>
      <c r="BA156" s="2"/>
      <c r="BB156" s="2"/>
      <c r="BC156" s="1"/>
      <c r="BD156" s="106"/>
      <c r="BE156" s="2"/>
      <c r="BF156" s="2"/>
      <c r="BG156" s="2"/>
      <c r="BH156" s="2"/>
      <c r="BI156" s="1"/>
      <c r="BJ156" s="1"/>
      <c r="BK156" s="1"/>
    </row>
    <row r="157" spans="1:63" ht="12" customHeight="1">
      <c r="A157" s="1"/>
      <c r="B157" s="107">
        <v>4</v>
      </c>
      <c r="C157" s="31">
        <v>10</v>
      </c>
      <c r="D157" s="106" t="s">
        <v>3</v>
      </c>
      <c r="E157" s="2" t="s">
        <v>139</v>
      </c>
      <c r="F157" s="25"/>
      <c r="G157" s="2"/>
      <c r="H157" s="33"/>
      <c r="I157" s="99">
        <f t="shared" si="293"/>
        <v>320.8624390243902</v>
      </c>
      <c r="J157" s="101">
        <f t="shared" si="294"/>
        <v>39.166666666666664</v>
      </c>
      <c r="K157" s="101">
        <f t="shared" si="295"/>
        <v>9</v>
      </c>
      <c r="L157" s="144">
        <f t="shared" si="296"/>
        <v>2</v>
      </c>
      <c r="M157" s="99">
        <f t="shared" si="297"/>
        <v>1925.1746341463413</v>
      </c>
      <c r="N157" s="108">
        <f t="shared" ref="N157:N158" si="302">T157*(1+(AG157/100)*(AI157/100-1))</f>
        <v>962.58731707317065</v>
      </c>
      <c r="O157" s="108"/>
      <c r="P157" s="108"/>
      <c r="Q157" s="108"/>
      <c r="R157" s="109">
        <f>X157*(1+(AG157/100)*(AI157/100-1))</f>
        <v>962.58731707317065</v>
      </c>
      <c r="S157" s="99">
        <f t="shared" si="298"/>
        <v>1604.3121951219512</v>
      </c>
      <c r="T157" s="108">
        <f>AL157*AU157*AV157*AW157*AX157</f>
        <v>802.15609756097558</v>
      </c>
      <c r="U157" s="108"/>
      <c r="V157" s="108"/>
      <c r="W157" s="108"/>
      <c r="X157" s="109">
        <f>AL157*AU157*AV157*IF(AW157=1,1,0.25)*AX157*AY157</f>
        <v>802.15609756097558</v>
      </c>
      <c r="Y157" s="99">
        <f t="shared" si="299"/>
        <v>3208.6243902439023</v>
      </c>
      <c r="Z157" s="108">
        <f t="shared" ref="Z157:Z162" si="303">T157*$D$26/100</f>
        <v>1604.3121951219512</v>
      </c>
      <c r="AA157" s="108"/>
      <c r="AB157" s="108"/>
      <c r="AC157" s="108"/>
      <c r="AD157" s="109">
        <f>X157*$D$26/100</f>
        <v>1604.3121951219512</v>
      </c>
      <c r="AE157" s="99">
        <f>IF(AV157=1,AO157,AO157+6)</f>
        <v>6</v>
      </c>
      <c r="AF157" s="101"/>
      <c r="AG157" s="101">
        <f t="shared" ref="AG157:AG158" si="304">IF($D$25&gt;100,100,$D$25)</f>
        <v>20</v>
      </c>
      <c r="AH157" s="101">
        <f t="shared" si="300"/>
        <v>235</v>
      </c>
      <c r="AI157" s="101">
        <f t="shared" ref="AI157:AI159" si="305">$D$26</f>
        <v>200</v>
      </c>
      <c r="AJ157" s="108">
        <f>10/13</f>
        <v>0.76923076923076927</v>
      </c>
      <c r="AK157" s="101">
        <f t="shared" si="301"/>
        <v>534.77073170731705</v>
      </c>
      <c r="AL157" s="101">
        <f>(VLOOKUP(C157,$B$4:$AG$7,3,FALSE)+VLOOKUP(C157,$B$8:$AG$11,3,FALSE)*$D$22)*$D$27/100</f>
        <v>534.77073170731705</v>
      </c>
      <c r="AM157" s="101"/>
      <c r="AN157" s="101"/>
      <c r="AO157" s="1">
        <v>6</v>
      </c>
      <c r="AP157" s="2"/>
      <c r="AQ157" s="74">
        <f>VLOOKUP(C157,$B$13:$AA$16,3,FALSE)</f>
        <v>235</v>
      </c>
      <c r="AR157" s="10"/>
      <c r="AS157" s="1"/>
      <c r="AT157" s="11"/>
      <c r="AU157" s="10">
        <v>1.5</v>
      </c>
      <c r="AV157" s="1">
        <v>1</v>
      </c>
      <c r="AW157" s="1">
        <v>1</v>
      </c>
      <c r="AX157" s="10">
        <v>1</v>
      </c>
      <c r="AY157" s="11">
        <v>1</v>
      </c>
      <c r="AZ157" s="2"/>
      <c r="BA157" s="2"/>
      <c r="BB157" s="2"/>
      <c r="BC157" s="1"/>
      <c r="BD157" s="106"/>
      <c r="BE157" s="2"/>
      <c r="BF157" s="2"/>
      <c r="BG157" s="2"/>
      <c r="BH157" s="2"/>
      <c r="BI157" s="1"/>
      <c r="BJ157" s="1"/>
      <c r="BK157" s="1"/>
    </row>
    <row r="158" spans="1:63" ht="12" customHeight="1">
      <c r="A158" s="1"/>
      <c r="B158" s="107">
        <v>12</v>
      </c>
      <c r="C158" s="31">
        <v>10</v>
      </c>
      <c r="D158" s="106" t="s">
        <v>5</v>
      </c>
      <c r="E158" s="2" t="s">
        <v>139</v>
      </c>
      <c r="F158" s="25"/>
      <c r="G158" s="2"/>
      <c r="H158" s="33">
        <v>9</v>
      </c>
      <c r="I158" s="99">
        <f t="shared" si="293"/>
        <v>311.81048780487799</v>
      </c>
      <c r="J158" s="101">
        <f t="shared" si="294"/>
        <v>34.625</v>
      </c>
      <c r="K158" s="101">
        <f t="shared" si="295"/>
        <v>11</v>
      </c>
      <c r="L158" s="144">
        <f t="shared" si="296"/>
        <v>3</v>
      </c>
      <c r="M158" s="99">
        <f t="shared" si="297"/>
        <v>2494.483902439024</v>
      </c>
      <c r="N158" s="108">
        <f t="shared" si="302"/>
        <v>2494.483902439024</v>
      </c>
      <c r="O158" s="108"/>
      <c r="P158" s="108"/>
      <c r="Q158" s="108"/>
      <c r="R158" s="109"/>
      <c r="S158" s="99">
        <f t="shared" si="298"/>
        <v>2078.7365853658534</v>
      </c>
      <c r="T158" s="108">
        <f>AL158*AU158*AW158*AX158*AY158</f>
        <v>2078.7365853658534</v>
      </c>
      <c r="U158" s="108"/>
      <c r="V158" s="108"/>
      <c r="W158" s="108"/>
      <c r="X158" s="109"/>
      <c r="Y158" s="99">
        <f t="shared" si="299"/>
        <v>4157.4731707317069</v>
      </c>
      <c r="Z158" s="108">
        <f t="shared" si="303"/>
        <v>4157.4731707317069</v>
      </c>
      <c r="AA158" s="108"/>
      <c r="AB158" s="108"/>
      <c r="AC158" s="108"/>
      <c r="AD158" s="109"/>
      <c r="AE158" s="99">
        <f>AO158</f>
        <v>8</v>
      </c>
      <c r="AF158" s="101"/>
      <c r="AG158" s="101">
        <f t="shared" si="304"/>
        <v>20</v>
      </c>
      <c r="AH158" s="101">
        <f t="shared" si="300"/>
        <v>277</v>
      </c>
      <c r="AI158" s="101">
        <f t="shared" si="305"/>
        <v>200</v>
      </c>
      <c r="AJ158" s="108">
        <f>1*AS158</f>
        <v>1</v>
      </c>
      <c r="AK158" s="101">
        <f t="shared" si="301"/>
        <v>692.91219512195119</v>
      </c>
      <c r="AL158" s="101">
        <f>(H158*(VLOOKUP(C158,$B$4:$AG$7,6,FALSE)+VLOOKUP(C158,$B$8:$AG$11,6,FALSE)*$D$22))*$D$27/100</f>
        <v>692.91219512195119</v>
      </c>
      <c r="AM158" s="101"/>
      <c r="AN158" s="101"/>
      <c r="AO158" s="1">
        <v>8</v>
      </c>
      <c r="AP158" s="2"/>
      <c r="AQ158" s="74">
        <f>VLOOKUP(C158,$B$13:$AA$16,6,FALSE)</f>
        <v>277</v>
      </c>
      <c r="AR158" s="10"/>
      <c r="AS158" s="1">
        <v>1</v>
      </c>
      <c r="AT158" s="11"/>
      <c r="AU158" s="10">
        <v>1.25</v>
      </c>
      <c r="AV158" s="1"/>
      <c r="AW158" s="1">
        <v>1</v>
      </c>
      <c r="AX158" s="10">
        <v>1</v>
      </c>
      <c r="AY158" s="11">
        <v>2.4</v>
      </c>
      <c r="AZ158" s="2"/>
      <c r="BA158" s="2"/>
      <c r="BB158" s="2"/>
      <c r="BC158" s="1"/>
      <c r="BD158" s="106"/>
      <c r="BE158" s="2"/>
      <c r="BF158" s="2"/>
      <c r="BG158" s="2"/>
      <c r="BH158" s="2"/>
      <c r="BI158" s="2"/>
      <c r="BJ158" s="2"/>
      <c r="BK158" s="2"/>
    </row>
    <row r="159" spans="1:63" ht="12" customHeight="1">
      <c r="A159" s="1"/>
      <c r="B159" s="107">
        <v>10</v>
      </c>
      <c r="C159" s="31">
        <v>10</v>
      </c>
      <c r="D159" s="106" t="s">
        <v>20</v>
      </c>
      <c r="E159" s="2" t="s">
        <v>153</v>
      </c>
      <c r="F159" s="25" t="s">
        <v>149</v>
      </c>
      <c r="G159" s="2"/>
      <c r="H159" s="33"/>
      <c r="I159" s="99">
        <f t="shared" si="293"/>
        <v>295.93459512195113</v>
      </c>
      <c r="J159" s="101">
        <f t="shared" si="294"/>
        <v>29.4</v>
      </c>
      <c r="K159" s="101">
        <f t="shared" si="295"/>
        <v>13</v>
      </c>
      <c r="L159" s="144">
        <f t="shared" si="296"/>
        <v>4</v>
      </c>
      <c r="M159" s="99">
        <f t="shared" si="297"/>
        <v>4439.018926829267</v>
      </c>
      <c r="N159" s="108">
        <f>T159*(1+((AG159+IF(F159="백어택",20,0))/100)*(AI159/100-1))</f>
        <v>1901.2355121951214</v>
      </c>
      <c r="O159" s="108">
        <f>U159*(1+(($D$25+IF(F159="백어택",20,0))/100)*($D$26/100-1))</f>
        <v>2537.7834146341461</v>
      </c>
      <c r="P159" s="108"/>
      <c r="Q159" s="108"/>
      <c r="R159" s="109"/>
      <c r="S159" s="99">
        <f t="shared" si="298"/>
        <v>3170.7278048780486</v>
      </c>
      <c r="T159" s="108">
        <f>AL159*AV159*IF(F159="백어택",1.2,1)</f>
        <v>1358.0253658536583</v>
      </c>
      <c r="U159" s="108">
        <f>AM159*AX159*AY159*IF(F159="백어택",1.2,1)</f>
        <v>1812.7024390243903</v>
      </c>
      <c r="V159" s="108"/>
      <c r="W159" s="108"/>
      <c r="X159" s="109"/>
      <c r="Y159" s="99">
        <f t="shared" si="299"/>
        <v>6341.4556097560971</v>
      </c>
      <c r="Z159" s="108">
        <f t="shared" si="303"/>
        <v>2716.0507317073166</v>
      </c>
      <c r="AA159" s="108">
        <f t="shared" ref="AA159:AA161" si="306">U159*$D$26/100</f>
        <v>3625.4048780487806</v>
      </c>
      <c r="AB159" s="108"/>
      <c r="AC159" s="108"/>
      <c r="AD159" s="109"/>
      <c r="AE159" s="99">
        <f>AO159-AR159</f>
        <v>15</v>
      </c>
      <c r="AF159" s="101"/>
      <c r="AG159" s="101">
        <f>IF($D$25+AU159&gt;100,100,$D$25+AU159)</f>
        <v>20</v>
      </c>
      <c r="AH159" s="101">
        <f>AQ159*AS159</f>
        <v>441</v>
      </c>
      <c r="AI159" s="101">
        <f t="shared" si="305"/>
        <v>200</v>
      </c>
      <c r="AJ159" s="108">
        <f>10*IF(AV159=1,1,5/4.5)/IF(AX159=1,5,3.5)</f>
        <v>3.1746031746031744</v>
      </c>
      <c r="AK159" s="101">
        <f t="shared" si="301"/>
        <v>1509.7512195121951</v>
      </c>
      <c r="AL159" s="101">
        <f>(VLOOKUP(C159,$B$4:$AG$7,29,FALSE)+VLOOKUP(C159,$B$8:$AG$11,29,FALSE)*$D$22)*$D$27/100</f>
        <v>754.45853658536578</v>
      </c>
      <c r="AM159" s="101">
        <f>(VLOOKUP(C159,$B$4:$AG$7,30,FALSE)+VLOOKUP(C159,$B$8:$AG$11,30,FALSE)*$D$22)*$D$27/100</f>
        <v>755.29268292682934</v>
      </c>
      <c r="AN159" s="101"/>
      <c r="AO159" s="1">
        <v>18</v>
      </c>
      <c r="AP159" s="2"/>
      <c r="AQ159" s="74">
        <f>VLOOKUP(C159,$B$13:$AG$16,29,FALSE)</f>
        <v>441</v>
      </c>
      <c r="AR159" s="10">
        <v>3</v>
      </c>
      <c r="AS159" s="1">
        <v>1</v>
      </c>
      <c r="AT159" s="11"/>
      <c r="AU159" s="10">
        <v>0</v>
      </c>
      <c r="AV159" s="1">
        <v>1.5</v>
      </c>
      <c r="AW159" s="1"/>
      <c r="AX159" s="10">
        <v>2</v>
      </c>
      <c r="AY159" s="11">
        <v>1</v>
      </c>
      <c r="AZ159" s="2"/>
      <c r="BA159" s="2"/>
      <c r="BB159" s="2"/>
      <c r="BC159" s="1"/>
      <c r="BD159" s="106"/>
      <c r="BE159" s="2"/>
      <c r="BF159" s="2"/>
      <c r="BG159" s="2"/>
      <c r="BH159" s="2"/>
      <c r="BI159" s="1"/>
      <c r="BJ159" s="1"/>
      <c r="BK159" s="1"/>
    </row>
    <row r="160" spans="1:63" ht="12" customHeight="1">
      <c r="A160" s="1"/>
      <c r="B160" s="107">
        <v>3</v>
      </c>
      <c r="C160" s="31">
        <v>10</v>
      </c>
      <c r="D160" s="106" t="s">
        <v>13</v>
      </c>
      <c r="E160" s="2" t="s">
        <v>145</v>
      </c>
      <c r="F160" s="25"/>
      <c r="G160" s="2"/>
      <c r="H160" s="33"/>
      <c r="I160" s="99">
        <f t="shared" si="293"/>
        <v>275.95493902439028</v>
      </c>
      <c r="J160" s="101">
        <f t="shared" si="294"/>
        <v>21.708333333333332</v>
      </c>
      <c r="K160" s="101">
        <f t="shared" si="295"/>
        <v>18</v>
      </c>
      <c r="L160" s="144">
        <f t="shared" si="296"/>
        <v>5</v>
      </c>
      <c r="M160" s="99">
        <f t="shared" si="297"/>
        <v>6622.9185365853673</v>
      </c>
      <c r="N160" s="108">
        <f>T160*(1+(AG160/100)*(AI160/100-1))</f>
        <v>4245.1750975609766</v>
      </c>
      <c r="O160" s="108">
        <f>U160*(1+($D$25/100)*($D$26/100-1))</f>
        <v>1463.2267317073172</v>
      </c>
      <c r="P160" s="108"/>
      <c r="Q160" s="108"/>
      <c r="R160" s="109">
        <f>X160*(1+($D$25/100)*($D$26/100-1))</f>
        <v>914.51670731707327</v>
      </c>
      <c r="S160" s="99">
        <f t="shared" si="298"/>
        <v>4215.7555487804884</v>
      </c>
      <c r="T160" s="108">
        <f>AL160*AY160</f>
        <v>2234.3026829268297</v>
      </c>
      <c r="U160" s="108">
        <f>AM160*AU160*AW160</f>
        <v>1219.3556097560977</v>
      </c>
      <c r="V160" s="108"/>
      <c r="W160" s="108"/>
      <c r="X160" s="109">
        <f>IF(AU160=1,0,U160*0.625)</f>
        <v>762.09725609756106</v>
      </c>
      <c r="Y160" s="99">
        <f t="shared" si="299"/>
        <v>8431.5110975609769</v>
      </c>
      <c r="Z160" s="108">
        <f t="shared" si="303"/>
        <v>4468.6053658536594</v>
      </c>
      <c r="AA160" s="108">
        <f t="shared" si="306"/>
        <v>2438.7112195121954</v>
      </c>
      <c r="AB160" s="108"/>
      <c r="AC160" s="108"/>
      <c r="AD160" s="109">
        <f>X160*$D$26/100</f>
        <v>1524.1945121951221</v>
      </c>
      <c r="AE160" s="99">
        <f t="shared" ref="AE160:AE164" si="307">AO160</f>
        <v>24</v>
      </c>
      <c r="AF160" s="101"/>
      <c r="AG160" s="101">
        <f>IF($D$25+AT160&gt;100,100,$D$25+AT160)</f>
        <v>60</v>
      </c>
      <c r="AH160" s="101">
        <f t="shared" ref="AH160:AH161" si="308">AQ160</f>
        <v>521</v>
      </c>
      <c r="AI160" s="101">
        <f>IF(AY160=1,$D$26,$D$26+50)</f>
        <v>250</v>
      </c>
      <c r="AJ160" s="101">
        <f>10/IF(AY160=1,2.5,2)</f>
        <v>5</v>
      </c>
      <c r="AK160" s="101">
        <f t="shared" si="301"/>
        <v>2617.8926829268294</v>
      </c>
      <c r="AL160" s="101">
        <f>(VLOOKUP(C160,$B$4:$AG$7,17,FALSE)+VLOOKUP(C160,$B$8:$AG$11,17,FALSE)*$D$22)*$D$27/100</f>
        <v>1679.9268292682927</v>
      </c>
      <c r="AM160" s="101">
        <f>(VLOOKUP(C160,$B$4:$AG$7,18,FALSE)+VLOOKUP(C160,$B$8:$AG$11,18,FALSE)*$D$22)*$D$27/100</f>
        <v>937.96585365853662</v>
      </c>
      <c r="AN160" s="101"/>
      <c r="AO160" s="1">
        <v>24</v>
      </c>
      <c r="AP160" s="2"/>
      <c r="AQ160" s="74">
        <f>VLOOKUP(C160,$B$13:$AA$16,17,FALSE)</f>
        <v>521</v>
      </c>
      <c r="AR160" s="10"/>
      <c r="AS160" s="1"/>
      <c r="AT160" s="11">
        <v>40</v>
      </c>
      <c r="AU160" s="10">
        <v>1.3</v>
      </c>
      <c r="AV160" s="1"/>
      <c r="AW160" s="1">
        <v>1</v>
      </c>
      <c r="AX160" s="10"/>
      <c r="AY160" s="11">
        <v>1.33</v>
      </c>
      <c r="AZ160" s="2"/>
      <c r="BA160" s="2"/>
      <c r="BB160" s="2"/>
      <c r="BC160" s="1"/>
      <c r="BD160" s="106"/>
      <c r="BE160" s="2"/>
      <c r="BF160" s="2"/>
      <c r="BG160" s="2"/>
      <c r="BH160" s="2"/>
      <c r="BI160" s="1"/>
      <c r="BJ160" s="1"/>
      <c r="BK160" s="2"/>
    </row>
    <row r="161" spans="1:63" ht="12" customHeight="1">
      <c r="A161" s="1"/>
      <c r="B161" s="107">
        <v>7</v>
      </c>
      <c r="C161" s="31">
        <v>10</v>
      </c>
      <c r="D161" s="106" t="s">
        <v>4</v>
      </c>
      <c r="E161" s="2" t="s">
        <v>135</v>
      </c>
      <c r="F161" s="25" t="s">
        <v>149</v>
      </c>
      <c r="G161" s="2" t="s">
        <v>143</v>
      </c>
      <c r="H161" s="33"/>
      <c r="I161" s="99">
        <f t="shared" si="293"/>
        <v>266.60663707317076</v>
      </c>
      <c r="J161" s="101">
        <f t="shared" si="294"/>
        <v>29.083333333333332</v>
      </c>
      <c r="K161" s="101">
        <f t="shared" si="295"/>
        <v>22</v>
      </c>
      <c r="L161" s="144">
        <f t="shared" si="296"/>
        <v>6</v>
      </c>
      <c r="M161" s="99">
        <f t="shared" si="297"/>
        <v>3199.2796448780491</v>
      </c>
      <c r="N161" s="108">
        <f>T161*(1+((AG161+IF(F161="백어택",20,0))/100))*((AI161/100-1))</f>
        <v>429.97346341463413</v>
      </c>
      <c r="O161" s="108">
        <f>U161*(1+((AG161+IF(F161="백어택",20,0))/100)*(AI161/100-1))</f>
        <v>2769.3061814634148</v>
      </c>
      <c r="P161" s="108"/>
      <c r="Q161" s="108"/>
      <c r="R161" s="109"/>
      <c r="S161" s="99">
        <f t="shared" si="298"/>
        <v>2285.1997463414637</v>
      </c>
      <c r="T161" s="108">
        <f>AT161*AL161*IF(F161="백어택",1.2,1)</f>
        <v>307.12390243902439</v>
      </c>
      <c r="U161" s="108">
        <f>AM161*AW161*AX161*AY161*IF(F161="백어택",1.2,1)</f>
        <v>1978.0758439024391</v>
      </c>
      <c r="V161" s="108"/>
      <c r="W161" s="108"/>
      <c r="X161" s="109"/>
      <c r="Y161" s="99">
        <f t="shared" si="299"/>
        <v>4570.3994926829273</v>
      </c>
      <c r="Z161" s="108">
        <f t="shared" si="303"/>
        <v>614.24780487804878</v>
      </c>
      <c r="AA161" s="108">
        <f t="shared" si="306"/>
        <v>3956.1516878048783</v>
      </c>
      <c r="AB161" s="108"/>
      <c r="AC161" s="108"/>
      <c r="AD161" s="109"/>
      <c r="AE161" s="99">
        <f t="shared" si="307"/>
        <v>12</v>
      </c>
      <c r="AF161" s="101"/>
      <c r="AG161" s="101">
        <f>IF($D$25&gt;100,100,$D$25)</f>
        <v>20</v>
      </c>
      <c r="AH161" s="101">
        <f t="shared" si="308"/>
        <v>349</v>
      </c>
      <c r="AI161" s="101">
        <f t="shared" ref="AI161:AI162" si="309">$D$26</f>
        <v>200</v>
      </c>
      <c r="AJ161" s="108">
        <f>10/IF(AY161=1,5,4)</f>
        <v>2.5</v>
      </c>
      <c r="AK161" s="101">
        <f t="shared" si="301"/>
        <v>853.19024390243908</v>
      </c>
      <c r="AL161" s="101">
        <f>(VLOOKUP(C161,$B$4:$AG$7,4,FALSE)+VLOOKUP(C161,$B$8:$AG$11,4,FALSE)*$D$22)*$D$27/100</f>
        <v>170.62439024390244</v>
      </c>
      <c r="AM161" s="101">
        <f>(VLOOKUP(C161,$B$4:$AG$7,5,FALSE)+VLOOKUP(C161,$B$8:$AG$11,5,FALSE)*$D$22)*$D$27/100</f>
        <v>682.56585365853664</v>
      </c>
      <c r="AN161" s="101"/>
      <c r="AO161" s="1">
        <v>12</v>
      </c>
      <c r="AP161" s="2"/>
      <c r="AQ161" s="74">
        <f>VLOOKUP(C161,$B$13:$AA$16,4,FALSE)</f>
        <v>349</v>
      </c>
      <c r="AR161" s="10"/>
      <c r="AS161" s="1"/>
      <c r="AT161" s="11">
        <v>1.5</v>
      </c>
      <c r="AU161" s="10"/>
      <c r="AV161" s="1"/>
      <c r="AW161" s="1">
        <v>1.4</v>
      </c>
      <c r="AX161" s="10">
        <v>1</v>
      </c>
      <c r="AY161" s="11">
        <v>1.7250000000000001</v>
      </c>
      <c r="AZ161" s="2"/>
      <c r="BA161" s="2"/>
      <c r="BB161" s="2"/>
      <c r="BC161" s="1"/>
      <c r="BD161" s="106"/>
      <c r="BE161" s="2"/>
      <c r="BF161" s="2"/>
      <c r="BG161" s="2"/>
      <c r="BH161" s="2"/>
      <c r="BI161" s="1"/>
      <c r="BJ161" s="1"/>
      <c r="BK161" s="2"/>
    </row>
    <row r="162" spans="1:63" ht="12" customHeight="1">
      <c r="A162" s="1"/>
      <c r="B162" s="107">
        <v>5</v>
      </c>
      <c r="C162" s="31">
        <v>10</v>
      </c>
      <c r="D162" s="106" t="s">
        <v>6</v>
      </c>
      <c r="E162" s="2" t="s">
        <v>147</v>
      </c>
      <c r="F162" s="25"/>
      <c r="G162" s="2" t="s">
        <v>86</v>
      </c>
      <c r="H162" s="33"/>
      <c r="I162" s="99">
        <f t="shared" si="293"/>
        <v>250.91704132682929</v>
      </c>
      <c r="J162" s="101">
        <f t="shared" si="294"/>
        <v>23.45</v>
      </c>
      <c r="K162" s="101">
        <f t="shared" si="295"/>
        <v>25</v>
      </c>
      <c r="L162" s="144">
        <f t="shared" si="296"/>
        <v>7</v>
      </c>
      <c r="M162" s="99">
        <f t="shared" si="297"/>
        <v>5018.3408265365861</v>
      </c>
      <c r="N162" s="108">
        <f>T162*(1+(AG162/100)*(AI162/100-1))</f>
        <v>5018.3408265365861</v>
      </c>
      <c r="O162" s="108"/>
      <c r="P162" s="108"/>
      <c r="Q162" s="108"/>
      <c r="R162" s="109"/>
      <c r="S162" s="99">
        <f t="shared" si="298"/>
        <v>4181.9506887804882</v>
      </c>
      <c r="T162" s="108">
        <f>AL162*AW162*AT162*AX162*AY162</f>
        <v>4181.9506887804882</v>
      </c>
      <c r="U162" s="108"/>
      <c r="V162" s="108"/>
      <c r="W162" s="108"/>
      <c r="X162" s="109"/>
      <c r="Y162" s="99">
        <f t="shared" si="299"/>
        <v>8363.9013775609765</v>
      </c>
      <c r="Z162" s="108">
        <f t="shared" si="303"/>
        <v>8363.9013775609765</v>
      </c>
      <c r="AA162" s="108"/>
      <c r="AB162" s="108"/>
      <c r="AC162" s="108"/>
      <c r="AD162" s="109"/>
      <c r="AE162" s="99">
        <f t="shared" si="307"/>
        <v>20</v>
      </c>
      <c r="AF162" s="101"/>
      <c r="AG162" s="101">
        <f t="shared" ref="AG162:AG163" si="310">IF($D$25+AV162&gt;100,100,$D$25+AV162)</f>
        <v>20</v>
      </c>
      <c r="AH162" s="101">
        <f>AQ162*AR162</f>
        <v>469</v>
      </c>
      <c r="AI162" s="101">
        <f t="shared" si="309"/>
        <v>200</v>
      </c>
      <c r="AJ162" s="108">
        <f>10/IF(AX162=1,IF(AY162=1,5,6),4)</f>
        <v>2.5</v>
      </c>
      <c r="AK162" s="101">
        <f t="shared" si="301"/>
        <v>1756.5317073170734</v>
      </c>
      <c r="AL162" s="101">
        <f>(VLOOKUP(C162,$B$4:$AG$7,7,FALSE)+VLOOKUP(C162,$B$8:$AG$11,7,FALSE)*$D$22)*$D$27/100</f>
        <v>1756.5317073170734</v>
      </c>
      <c r="AM162" s="101"/>
      <c r="AN162" s="101"/>
      <c r="AO162" s="1">
        <v>20</v>
      </c>
      <c r="AP162" s="2"/>
      <c r="AQ162" s="74">
        <f>VLOOKUP(C162,$B$13:$AA$16,7,FALSE)</f>
        <v>469</v>
      </c>
      <c r="AR162" s="10">
        <v>1</v>
      </c>
      <c r="AS162" s="1"/>
      <c r="AT162" s="11">
        <v>1.2</v>
      </c>
      <c r="AU162" s="10"/>
      <c r="AV162" s="1">
        <v>0</v>
      </c>
      <c r="AW162" s="1">
        <v>1.24</v>
      </c>
      <c r="AX162" s="10">
        <v>1.6</v>
      </c>
      <c r="AY162" s="11">
        <v>1</v>
      </c>
      <c r="AZ162" s="2"/>
      <c r="BA162" s="2"/>
      <c r="BB162" s="2"/>
      <c r="BC162" s="1"/>
      <c r="BD162" s="106"/>
      <c r="BE162" s="2"/>
      <c r="BF162" s="2"/>
      <c r="BG162" s="2"/>
      <c r="BH162" s="2"/>
      <c r="BI162" s="1"/>
      <c r="BJ162" s="1"/>
      <c r="BK162" s="1"/>
    </row>
    <row r="163" spans="1:63" ht="12" customHeight="1">
      <c r="A163" s="1"/>
      <c r="B163" s="107">
        <v>9</v>
      </c>
      <c r="C163" s="31">
        <v>10</v>
      </c>
      <c r="D163" s="106" t="s">
        <v>10</v>
      </c>
      <c r="E163" s="2" t="s">
        <v>138</v>
      </c>
      <c r="F163" s="25"/>
      <c r="G163" s="2" t="s">
        <v>137</v>
      </c>
      <c r="H163" s="33"/>
      <c r="I163" s="99">
        <f t="shared" si="293"/>
        <v>234.82774390243898</v>
      </c>
      <c r="J163" s="101">
        <f t="shared" si="294"/>
        <v>25.75</v>
      </c>
      <c r="K163" s="101">
        <f t="shared" si="295"/>
        <v>28</v>
      </c>
      <c r="L163" s="144">
        <f t="shared" si="296"/>
        <v>8</v>
      </c>
      <c r="M163" s="99">
        <f t="shared" si="297"/>
        <v>3757.2439024390237</v>
      </c>
      <c r="N163" s="108">
        <f>T163*(1+((AG163+IF(F163="백어택",20,0))/100)*(AI163/100-1))</f>
        <v>3757.2439024390237</v>
      </c>
      <c r="O163" s="108"/>
      <c r="P163" s="108"/>
      <c r="Q163" s="108"/>
      <c r="R163" s="109"/>
      <c r="S163" s="99">
        <f t="shared" si="298"/>
        <v>3131.0365853658532</v>
      </c>
      <c r="T163" s="108">
        <f>AL163*AS163*AU163*AX163*IF(AY163=0,1,0.5)*IF(F163="백어택",1.2,1)</f>
        <v>3131.0365853658532</v>
      </c>
      <c r="U163" s="108"/>
      <c r="V163" s="108"/>
      <c r="W163" s="108"/>
      <c r="X163" s="109"/>
      <c r="Y163" s="99">
        <f t="shared" si="299"/>
        <v>6262.0731707317063</v>
      </c>
      <c r="Z163" s="108">
        <f t="shared" ref="Z163:Z164" si="311">T163*AI163/100</f>
        <v>6262.0731707317063</v>
      </c>
      <c r="AA163" s="108"/>
      <c r="AB163" s="108"/>
      <c r="AC163" s="108"/>
      <c r="AD163" s="109"/>
      <c r="AE163" s="99">
        <f t="shared" si="307"/>
        <v>16</v>
      </c>
      <c r="AF163" s="101"/>
      <c r="AG163" s="101">
        <f t="shared" si="310"/>
        <v>20</v>
      </c>
      <c r="AH163" s="101">
        <f t="shared" ref="AH163:AH164" si="312">AQ163</f>
        <v>412</v>
      </c>
      <c r="AI163" s="101">
        <f>$D$26+AY163</f>
        <v>200</v>
      </c>
      <c r="AJ163" s="108">
        <f>10*AR163/(7-IF(AX163=1,0,3))</f>
        <v>1.4285714285714286</v>
      </c>
      <c r="AK163" s="101">
        <f t="shared" si="301"/>
        <v>2504.8292682926826</v>
      </c>
      <c r="AL163" s="101">
        <f>(VLOOKUP(C163,$B$4:$AG$7,13,FALSE)+VLOOKUP(C163,$B$8:$AG$11,13,FALSE)*$D$22)*$D$27/100</f>
        <v>2504.8292682926826</v>
      </c>
      <c r="AM163" s="101"/>
      <c r="AN163" s="101"/>
      <c r="AO163" s="1">
        <v>16</v>
      </c>
      <c r="AP163" s="2"/>
      <c r="AQ163" s="74">
        <f>VLOOKUP(C163,$B$13:$AA$16,13,FALSE)</f>
        <v>412</v>
      </c>
      <c r="AR163" s="10">
        <v>1</v>
      </c>
      <c r="AS163" s="1">
        <v>1</v>
      </c>
      <c r="AT163" s="11"/>
      <c r="AU163" s="10">
        <v>1.25</v>
      </c>
      <c r="AV163" s="1">
        <v>0</v>
      </c>
      <c r="AW163" s="1"/>
      <c r="AX163" s="10">
        <v>1</v>
      </c>
      <c r="AY163" s="11">
        <v>0</v>
      </c>
      <c r="AZ163" s="2"/>
      <c r="BA163" s="2"/>
      <c r="BB163" s="2"/>
      <c r="BC163" s="1"/>
      <c r="BD163" s="106"/>
      <c r="BE163" s="2"/>
      <c r="BF163" s="2"/>
      <c r="BG163" s="2"/>
      <c r="BH163" s="2"/>
      <c r="BI163" s="1"/>
      <c r="BJ163" s="1"/>
      <c r="BK163" s="1"/>
    </row>
    <row r="164" spans="1:63" ht="12" customHeight="1">
      <c r="A164" s="1"/>
      <c r="B164" s="107">
        <v>11</v>
      </c>
      <c r="C164" s="31">
        <v>10</v>
      </c>
      <c r="D164" s="106" t="s">
        <v>17</v>
      </c>
      <c r="E164" s="2" t="s">
        <v>147</v>
      </c>
      <c r="F164" s="25"/>
      <c r="G164" s="2"/>
      <c r="H164" s="33">
        <f>IF(AT164=1,3,IF(AY164=1,3,2))</f>
        <v>3</v>
      </c>
      <c r="I164" s="99">
        <f t="shared" si="293"/>
        <v>228.31353658536582</v>
      </c>
      <c r="J164" s="101">
        <f t="shared" si="294"/>
        <v>34.625</v>
      </c>
      <c r="K164" s="101">
        <f t="shared" si="295"/>
        <v>29</v>
      </c>
      <c r="L164" s="144">
        <f t="shared" si="296"/>
        <v>9</v>
      </c>
      <c r="M164" s="99">
        <f t="shared" si="297"/>
        <v>1826.5082926829266</v>
      </c>
      <c r="N164" s="108">
        <f>T164*(1+(AG164/100)*(AI164/100-1))</f>
        <v>434.88292682926829</v>
      </c>
      <c r="O164" s="108">
        <f>U164*(1+(AG164/100)*(AI164/100-1))</f>
        <v>608.83609756097553</v>
      </c>
      <c r="P164" s="108">
        <f>V164*(1+(AG164/100)*(AI164/100-1))</f>
        <v>782.78926829268289</v>
      </c>
      <c r="Q164" s="108"/>
      <c r="R164" s="109"/>
      <c r="S164" s="99">
        <f t="shared" si="298"/>
        <v>1217.6721951219511</v>
      </c>
      <c r="T164" s="108">
        <f>AL164*AV164</f>
        <v>289.92195121951221</v>
      </c>
      <c r="U164" s="108">
        <f>AL164*AW164</f>
        <v>405.89073170731706</v>
      </c>
      <c r="V164" s="108">
        <f>IF(H164=3,AL164,0)*(1+AW164-1+AW164-1)</f>
        <v>521.85951219512197</v>
      </c>
      <c r="W164" s="108"/>
      <c r="X164" s="109"/>
      <c r="Y164" s="99">
        <f t="shared" si="299"/>
        <v>4261.8526829268294</v>
      </c>
      <c r="Z164" s="108">
        <f t="shared" si="311"/>
        <v>1014.7268292682928</v>
      </c>
      <c r="AA164" s="108">
        <f>U164*AI164/100</f>
        <v>1420.6175609756099</v>
      </c>
      <c r="AB164" s="108">
        <f>V164*AI164/100</f>
        <v>1826.508292682927</v>
      </c>
      <c r="AC164" s="108"/>
      <c r="AD164" s="109"/>
      <c r="AE164" s="99">
        <f t="shared" si="307"/>
        <v>8</v>
      </c>
      <c r="AF164" s="101"/>
      <c r="AG164" s="101">
        <f>IF($D$25&gt;100,100,$D$25)</f>
        <v>20</v>
      </c>
      <c r="AH164" s="101">
        <f t="shared" si="312"/>
        <v>277</v>
      </c>
      <c r="AI164" s="101">
        <f>$D$26+AX164</f>
        <v>350</v>
      </c>
      <c r="AJ164" s="108">
        <f>10*AR164/IF(AT164=0,IF(AY164=0,8,5),5)</f>
        <v>2</v>
      </c>
      <c r="AK164" s="101">
        <f>H164*SUM(AL164:AN164)</f>
        <v>869.76585365853657</v>
      </c>
      <c r="AL164" s="101">
        <f>((VLOOKUP(C164,$B$4:$AG$7,24,FALSE)+VLOOKUP(C164,$B$8:$AG$11,24,FALSE)*$D$22))*$D$27/100</f>
        <v>289.92195121951221</v>
      </c>
      <c r="AM164" s="101"/>
      <c r="AN164" s="101"/>
      <c r="AO164" s="1">
        <v>8</v>
      </c>
      <c r="AP164" s="2"/>
      <c r="AQ164" s="74">
        <f>VLOOKUP(C164,$B$13:$AA$16,24,FALSE)</f>
        <v>277</v>
      </c>
      <c r="AR164" s="10">
        <v>1</v>
      </c>
      <c r="AS164" s="1"/>
      <c r="AT164" s="11">
        <v>1</v>
      </c>
      <c r="AU164" s="10"/>
      <c r="AV164" s="1">
        <v>1</v>
      </c>
      <c r="AW164" s="1">
        <v>1.4</v>
      </c>
      <c r="AX164" s="10">
        <v>150</v>
      </c>
      <c r="AY164" s="11">
        <v>0</v>
      </c>
      <c r="AZ164" s="2"/>
      <c r="BA164" s="2"/>
      <c r="BB164" s="2"/>
      <c r="BC164" s="1"/>
      <c r="BD164" s="106"/>
      <c r="BE164" s="2"/>
      <c r="BF164" s="2"/>
      <c r="BG164" s="2"/>
      <c r="BH164" s="2"/>
      <c r="BI164" s="1"/>
      <c r="BJ164" s="1"/>
      <c r="BK164" s="1"/>
    </row>
    <row r="165" spans="1:63" ht="12" customHeight="1">
      <c r="A165" s="1"/>
      <c r="B165" s="107">
        <v>10</v>
      </c>
      <c r="C165" s="31">
        <v>10</v>
      </c>
      <c r="D165" s="106" t="s">
        <v>20</v>
      </c>
      <c r="E165" s="2" t="s">
        <v>153</v>
      </c>
      <c r="F165" s="25"/>
      <c r="G165" s="2"/>
      <c r="H165" s="33"/>
      <c r="I165" s="99">
        <f t="shared" si="293"/>
        <v>211.38185365853658</v>
      </c>
      <c r="J165" s="101">
        <f t="shared" si="294"/>
        <v>29.4</v>
      </c>
      <c r="K165" s="101">
        <f t="shared" si="295"/>
        <v>32</v>
      </c>
      <c r="L165" s="144">
        <f t="shared" si="296"/>
        <v>10</v>
      </c>
      <c r="M165" s="99">
        <f t="shared" si="297"/>
        <v>3170.7278048780486</v>
      </c>
      <c r="N165" s="108">
        <f t="shared" ref="N165:N166" si="313">T165*(1+((AG165+IF(F165="백어택",20,0))/100)*(AI165/100-1))</f>
        <v>1358.0253658536583</v>
      </c>
      <c r="O165" s="108">
        <f>U165*(1+(($D$25+IF(F165="백어택",20,0))/100)*($D$26/100-1))</f>
        <v>1812.7024390243903</v>
      </c>
      <c r="P165" s="108"/>
      <c r="Q165" s="108"/>
      <c r="R165" s="109"/>
      <c r="S165" s="99">
        <f t="shared" si="298"/>
        <v>2642.2731707317071</v>
      </c>
      <c r="T165" s="108">
        <f>AL165*AV165*IF(F165="백어택",1.2,1)</f>
        <v>1131.6878048780486</v>
      </c>
      <c r="U165" s="108">
        <f>AM165*AX165*AY165*IF(F165="백어택",1.2,1)</f>
        <v>1510.5853658536587</v>
      </c>
      <c r="V165" s="108"/>
      <c r="W165" s="108"/>
      <c r="X165" s="109"/>
      <c r="Y165" s="99">
        <f t="shared" si="299"/>
        <v>5284.5463414634141</v>
      </c>
      <c r="Z165" s="108">
        <f t="shared" ref="Z165:AA165" si="314">T165*$D$26/100</f>
        <v>2263.3756097560972</v>
      </c>
      <c r="AA165" s="108">
        <f t="shared" si="314"/>
        <v>3021.1707317073174</v>
      </c>
      <c r="AB165" s="108"/>
      <c r="AC165" s="108"/>
      <c r="AD165" s="109"/>
      <c r="AE165" s="99">
        <f>AO165-AR165</f>
        <v>15</v>
      </c>
      <c r="AF165" s="101"/>
      <c r="AG165" s="101">
        <f>IF($D$25+AU165&gt;100,100,$D$25+AU165)</f>
        <v>20</v>
      </c>
      <c r="AH165" s="101">
        <f>AQ165*AS165</f>
        <v>441</v>
      </c>
      <c r="AI165" s="101">
        <f t="shared" ref="AI165:AI175" si="315">$D$26</f>
        <v>200</v>
      </c>
      <c r="AJ165" s="108">
        <f>10*IF(AV165=1,1,5/4.5)/IF(AX165=1,5,3.5)</f>
        <v>3.1746031746031744</v>
      </c>
      <c r="AK165" s="101">
        <f t="shared" ref="AK165:AK208" si="316">SUM(AL165:AN165)</f>
        <v>1509.7512195121951</v>
      </c>
      <c r="AL165" s="101">
        <f>(VLOOKUP(C165,$B$4:$AG$7,29,FALSE)+VLOOKUP(C165,$B$8:$AG$11,29,FALSE)*$D$22)*$D$27/100</f>
        <v>754.45853658536578</v>
      </c>
      <c r="AM165" s="101">
        <f>(VLOOKUP(C165,$B$4:$AG$7,30,FALSE)+VLOOKUP(C165,$B$8:$AG$11,30,FALSE)*$D$22)*$D$27/100</f>
        <v>755.29268292682934</v>
      </c>
      <c r="AN165" s="101"/>
      <c r="AO165" s="1">
        <v>18</v>
      </c>
      <c r="AP165" s="2"/>
      <c r="AQ165" s="74">
        <f>VLOOKUP(C165,$B$13:$AG$16,29,FALSE)</f>
        <v>441</v>
      </c>
      <c r="AR165" s="10">
        <v>3</v>
      </c>
      <c r="AS165" s="1">
        <v>1</v>
      </c>
      <c r="AT165" s="11"/>
      <c r="AU165" s="10">
        <v>0</v>
      </c>
      <c r="AV165" s="1">
        <v>1.5</v>
      </c>
      <c r="AW165" s="1"/>
      <c r="AX165" s="10">
        <v>2</v>
      </c>
      <c r="AY165" s="11">
        <v>1</v>
      </c>
      <c r="AZ165" s="2"/>
      <c r="BA165" s="2"/>
      <c r="BB165" s="2"/>
      <c r="BC165" s="1"/>
      <c r="BD165" s="111"/>
      <c r="BE165" s="2"/>
      <c r="BF165" s="3"/>
      <c r="BG165" s="2"/>
      <c r="BH165" s="2"/>
      <c r="BI165" s="1"/>
      <c r="BJ165" s="1"/>
      <c r="BK165" s="1"/>
    </row>
    <row r="166" spans="1:63" ht="12" customHeight="1">
      <c r="A166" s="1"/>
      <c r="B166" s="107">
        <v>6</v>
      </c>
      <c r="C166" s="31">
        <v>10</v>
      </c>
      <c r="D166" s="106" t="s">
        <v>16</v>
      </c>
      <c r="E166" s="2" t="s">
        <v>145</v>
      </c>
      <c r="F166" s="25" t="s">
        <v>149</v>
      </c>
      <c r="G166" s="2"/>
      <c r="H166" s="33">
        <f>AX166*2</f>
        <v>2</v>
      </c>
      <c r="I166" s="99">
        <f t="shared" si="293"/>
        <v>204.70933170731703</v>
      </c>
      <c r="J166" s="101">
        <f t="shared" si="294"/>
        <v>39.166666666666664</v>
      </c>
      <c r="K166" s="101">
        <f t="shared" si="295"/>
        <v>34</v>
      </c>
      <c r="L166" s="144">
        <f t="shared" si="296"/>
        <v>11</v>
      </c>
      <c r="M166" s="99">
        <f t="shared" si="297"/>
        <v>1228.2559902439023</v>
      </c>
      <c r="N166" s="108">
        <f t="shared" si="313"/>
        <v>1228.2559902439023</v>
      </c>
      <c r="O166" s="108"/>
      <c r="P166" s="108"/>
      <c r="Q166" s="108"/>
      <c r="R166" s="109"/>
      <c r="S166" s="99">
        <f>SUM(T166:X166)*H166</f>
        <v>1584.8464390243901</v>
      </c>
      <c r="T166" s="108">
        <f>AL166*AU166*AY166*IF(F166="백어택",1.2,1)</f>
        <v>792.42321951219503</v>
      </c>
      <c r="U166" s="108"/>
      <c r="V166" s="108"/>
      <c r="W166" s="108"/>
      <c r="X166" s="109"/>
      <c r="Y166" s="99">
        <f t="shared" si="299"/>
        <v>1584.8464390243901</v>
      </c>
      <c r="Z166" s="108">
        <f t="shared" ref="Z166:Z175" si="317">T166*$D$26/100</f>
        <v>1584.8464390243901</v>
      </c>
      <c r="AA166" s="108"/>
      <c r="AB166" s="108"/>
      <c r="AC166" s="108"/>
      <c r="AD166" s="109"/>
      <c r="AE166" s="99">
        <f>AO166</f>
        <v>6</v>
      </c>
      <c r="AF166" s="101"/>
      <c r="AG166" s="101">
        <f t="shared" ref="AG166:AG167" si="318">IF($D$25+AT166&gt;100,100,$D$25+AT166)</f>
        <v>35</v>
      </c>
      <c r="AH166" s="101">
        <f>AQ166*AR166</f>
        <v>235</v>
      </c>
      <c r="AI166" s="101">
        <f t="shared" si="315"/>
        <v>200</v>
      </c>
      <c r="AJ166" s="108">
        <f>10*AS166/IF(AX166=1,5,3.5)</f>
        <v>2</v>
      </c>
      <c r="AK166" s="101">
        <f t="shared" si="316"/>
        <v>314.45365853658535</v>
      </c>
      <c r="AL166" s="101">
        <f>((VLOOKUP(C166,$B$4:$AG$7,23,FALSE)+VLOOKUP(C166,$B$8:$AG$11,23,FALSE)*$D$22))*$D$27/100</f>
        <v>314.45365853658535</v>
      </c>
      <c r="AM166" s="101"/>
      <c r="AN166" s="101"/>
      <c r="AO166" s="1">
        <v>6</v>
      </c>
      <c r="AP166" s="2"/>
      <c r="AQ166" s="74">
        <f>VLOOKUP(C166,$B$13:$AA$16,23,FALSE)</f>
        <v>235</v>
      </c>
      <c r="AR166" s="10">
        <v>1</v>
      </c>
      <c r="AS166" s="1">
        <v>1</v>
      </c>
      <c r="AT166" s="11">
        <v>15</v>
      </c>
      <c r="AU166" s="10">
        <v>1.4</v>
      </c>
      <c r="AV166" s="1"/>
      <c r="AW166" s="1"/>
      <c r="AX166" s="10">
        <v>1</v>
      </c>
      <c r="AY166" s="11">
        <v>1.5</v>
      </c>
      <c r="AZ166" s="2"/>
      <c r="BA166" s="2"/>
      <c r="BB166" s="2"/>
      <c r="BC166" s="1"/>
      <c r="BD166" s="106"/>
      <c r="BE166" s="2"/>
      <c r="BF166" s="2"/>
      <c r="BG166" s="2"/>
      <c r="BH166" s="2"/>
      <c r="BI166" s="1"/>
      <c r="BJ166" s="1"/>
      <c r="BK166" s="1"/>
    </row>
    <row r="167" spans="1:63" ht="12" customHeight="1">
      <c r="A167" s="1"/>
      <c r="B167" s="107">
        <v>1</v>
      </c>
      <c r="C167" s="31">
        <v>10</v>
      </c>
      <c r="D167" s="106" t="s">
        <v>2</v>
      </c>
      <c r="E167" s="2" t="s">
        <v>108</v>
      </c>
      <c r="F167" s="25"/>
      <c r="G167" s="2" t="s">
        <v>133</v>
      </c>
      <c r="H167" s="33"/>
      <c r="I167" s="99">
        <f t="shared" si="293"/>
        <v>202.95110801393727</v>
      </c>
      <c r="J167" s="101">
        <f t="shared" si="294"/>
        <v>39.571428571428569</v>
      </c>
      <c r="K167" s="101">
        <f t="shared" si="295"/>
        <v>35</v>
      </c>
      <c r="L167" s="144">
        <f t="shared" si="296"/>
        <v>12</v>
      </c>
      <c r="M167" s="99">
        <f t="shared" si="297"/>
        <v>1420.6577560975609</v>
      </c>
      <c r="N167" s="108">
        <f>T167*(1+(AG167/100)*(AI167/100-1))</f>
        <v>1420.6577560975609</v>
      </c>
      <c r="O167" s="108"/>
      <c r="P167" s="108"/>
      <c r="Q167" s="108"/>
      <c r="R167" s="109"/>
      <c r="S167" s="99">
        <f t="shared" ref="S167:S171" si="319">SUM(T167:X167)</f>
        <v>1183.881463414634</v>
      </c>
      <c r="T167" s="108">
        <f>AL167*AV167*AW167*AY167</f>
        <v>1183.881463414634</v>
      </c>
      <c r="U167" s="108"/>
      <c r="V167" s="108"/>
      <c r="W167" s="108"/>
      <c r="X167" s="109"/>
      <c r="Y167" s="99">
        <f t="shared" si="299"/>
        <v>2367.7629268292681</v>
      </c>
      <c r="Z167" s="108">
        <f t="shared" si="317"/>
        <v>2367.7629268292681</v>
      </c>
      <c r="AA167" s="108"/>
      <c r="AB167" s="108"/>
      <c r="AC167" s="108"/>
      <c r="AD167" s="109"/>
      <c r="AE167" s="99">
        <f>AO167-AS167</f>
        <v>7</v>
      </c>
      <c r="AF167" s="101"/>
      <c r="AG167" s="101">
        <f t="shared" si="318"/>
        <v>20</v>
      </c>
      <c r="AH167" s="101">
        <f t="shared" ref="AH167:AH171" si="320">AQ167</f>
        <v>277</v>
      </c>
      <c r="AI167" s="101">
        <f t="shared" si="315"/>
        <v>200</v>
      </c>
      <c r="AJ167" s="108">
        <f>10*AY167/12</f>
        <v>0.83333333333333337</v>
      </c>
      <c r="AK167" s="101">
        <f t="shared" si="316"/>
        <v>910.67804878048776</v>
      </c>
      <c r="AL167" s="101">
        <f>(VLOOKUP(C167,$B$4:$AA$7,2,FALSE)+VLOOKUP(C167,$B$8:$AA$11,2,FALSE)*$D$22)*$D$27/100</f>
        <v>910.67804878048776</v>
      </c>
      <c r="AM167" s="101"/>
      <c r="AN167" s="101"/>
      <c r="AO167" s="1">
        <v>8</v>
      </c>
      <c r="AP167" s="2"/>
      <c r="AQ167" s="74">
        <f>VLOOKUP(C167,$B$13:$AA$16,2,FALSE)</f>
        <v>277</v>
      </c>
      <c r="AR167" s="10"/>
      <c r="AS167" s="1">
        <v>1</v>
      </c>
      <c r="AT167" s="11">
        <v>0</v>
      </c>
      <c r="AU167" s="10"/>
      <c r="AV167" s="1">
        <v>1</v>
      </c>
      <c r="AW167" s="1">
        <v>1.3</v>
      </c>
      <c r="AX167" s="10"/>
      <c r="AY167" s="11">
        <v>1</v>
      </c>
      <c r="AZ167" s="2"/>
      <c r="BA167" s="2"/>
      <c r="BB167" s="2"/>
      <c r="BC167" s="1"/>
      <c r="BD167" s="106"/>
      <c r="BE167" s="2"/>
      <c r="BF167" s="2"/>
      <c r="BG167" s="2"/>
      <c r="BH167" s="2"/>
      <c r="BI167" s="1"/>
      <c r="BJ167" s="1"/>
      <c r="BK167" s="1"/>
    </row>
    <row r="168" spans="1:63" ht="12" customHeight="1">
      <c r="A168" s="1"/>
      <c r="B168" s="107">
        <v>7</v>
      </c>
      <c r="C168" s="31">
        <v>10</v>
      </c>
      <c r="D168" s="106" t="s">
        <v>4</v>
      </c>
      <c r="E168" s="2" t="s">
        <v>135</v>
      </c>
      <c r="F168" s="25" t="s">
        <v>149</v>
      </c>
      <c r="G168" s="2" t="s">
        <v>158</v>
      </c>
      <c r="H168" s="33"/>
      <c r="I168" s="99">
        <f t="shared" si="293"/>
        <v>200.67077560975608</v>
      </c>
      <c r="J168" s="101">
        <f t="shared" si="294"/>
        <v>29.083333333333332</v>
      </c>
      <c r="K168" s="101">
        <f t="shared" si="295"/>
        <v>36</v>
      </c>
      <c r="L168" s="144">
        <f t="shared" si="296"/>
        <v>13</v>
      </c>
      <c r="M168" s="99">
        <f t="shared" si="297"/>
        <v>2408.0493073170728</v>
      </c>
      <c r="N168" s="108">
        <f t="shared" ref="N168:N169" si="321">T168*(1+((AG168+IF(F168="백어택",20,0))/100))*((AI168/100-1))</f>
        <v>429.97346341463413</v>
      </c>
      <c r="O168" s="108">
        <f t="shared" ref="O168:O169" si="322">U168*(1+((AG168+IF(F168="백어택",20,0))/100)*(AI168/100-1))</f>
        <v>1978.0758439024389</v>
      </c>
      <c r="P168" s="108"/>
      <c r="Q168" s="108"/>
      <c r="R168" s="109"/>
      <c r="S168" s="99">
        <f t="shared" si="319"/>
        <v>1720.035219512195</v>
      </c>
      <c r="T168" s="108">
        <f t="shared" ref="T168:T169" si="323">AT168*AL168*IF(F168="백어택",1.2,1)</f>
        <v>307.12390243902439</v>
      </c>
      <c r="U168" s="108">
        <f t="shared" ref="U168:U169" si="324">AM168*AW168*AX168*AY168*IF(F168="백어택",1.2,1)</f>
        <v>1412.9113170731707</v>
      </c>
      <c r="V168" s="108"/>
      <c r="W168" s="108"/>
      <c r="X168" s="109"/>
      <c r="Y168" s="99">
        <f t="shared" si="299"/>
        <v>3440.07043902439</v>
      </c>
      <c r="Z168" s="108">
        <f t="shared" si="317"/>
        <v>614.24780487804878</v>
      </c>
      <c r="AA168" s="108">
        <f t="shared" ref="AA168:AA169" si="325">U168*$D$26/100</f>
        <v>2825.8226341463414</v>
      </c>
      <c r="AB168" s="108"/>
      <c r="AC168" s="108"/>
      <c r="AD168" s="109"/>
      <c r="AE168" s="99">
        <f t="shared" ref="AE168:AE169" si="326">AO168</f>
        <v>12</v>
      </c>
      <c r="AF168" s="101"/>
      <c r="AG168" s="101">
        <f t="shared" ref="AG168:AG169" si="327">IF($D$25&gt;100,100,$D$25)</f>
        <v>20</v>
      </c>
      <c r="AH168" s="101">
        <f t="shared" si="320"/>
        <v>349</v>
      </c>
      <c r="AI168" s="101">
        <f t="shared" si="315"/>
        <v>200</v>
      </c>
      <c r="AJ168" s="108">
        <f t="shared" ref="AJ168:AJ169" si="328">10/IF(AY168=1,5,4)</f>
        <v>2.5</v>
      </c>
      <c r="AK168" s="101">
        <f t="shared" si="316"/>
        <v>853.19024390243908</v>
      </c>
      <c r="AL168" s="101">
        <f t="shared" ref="AL168:AL169" si="329">(VLOOKUP(C168,$B$4:$AG$7,4,FALSE)+VLOOKUP(C168,$B$8:$AG$11,4,FALSE)*$D$22)*$D$27/100</f>
        <v>170.62439024390244</v>
      </c>
      <c r="AM168" s="101">
        <f t="shared" ref="AM168:AM169" si="330">(VLOOKUP(C168,$B$4:$AG$7,5,FALSE)+VLOOKUP(C168,$B$8:$AG$11,5,FALSE)*$D$22)*$D$27/100</f>
        <v>682.56585365853664</v>
      </c>
      <c r="AN168" s="101"/>
      <c r="AO168" s="1">
        <v>12</v>
      </c>
      <c r="AP168" s="2"/>
      <c r="AQ168" s="74">
        <f t="shared" ref="AQ168:AQ169" si="331">VLOOKUP(C168,$B$13:$AA$16,4,FALSE)</f>
        <v>349</v>
      </c>
      <c r="AR168" s="10"/>
      <c r="AS168" s="1"/>
      <c r="AT168" s="11">
        <v>1.5</v>
      </c>
      <c r="AU168" s="10"/>
      <c r="AV168" s="1"/>
      <c r="AW168" s="1">
        <v>1</v>
      </c>
      <c r="AX168" s="10">
        <v>1</v>
      </c>
      <c r="AY168" s="11">
        <v>1.7250000000000001</v>
      </c>
      <c r="AZ168" s="2"/>
      <c r="BA168" s="2"/>
      <c r="BB168" s="2"/>
      <c r="BC168" s="1"/>
      <c r="BD168" s="106"/>
      <c r="BE168" s="2"/>
      <c r="BF168" s="2"/>
      <c r="BG168" s="2"/>
      <c r="BH168" s="2"/>
      <c r="BI168" s="1"/>
      <c r="BJ168" s="1"/>
      <c r="BK168" s="1"/>
    </row>
    <row r="169" spans="1:63" ht="12" customHeight="1">
      <c r="A169" s="1"/>
      <c r="B169" s="107">
        <v>7</v>
      </c>
      <c r="C169" s="31">
        <v>10</v>
      </c>
      <c r="D169" s="106" t="s">
        <v>4</v>
      </c>
      <c r="E169" s="2" t="s">
        <v>135</v>
      </c>
      <c r="F169" s="25"/>
      <c r="G169" s="2" t="s">
        <v>143</v>
      </c>
      <c r="H169" s="33"/>
      <c r="I169" s="99">
        <f t="shared" si="293"/>
        <v>190.43331219512197</v>
      </c>
      <c r="J169" s="101">
        <f t="shared" si="294"/>
        <v>29.083333333333332</v>
      </c>
      <c r="K169" s="101">
        <f t="shared" si="295"/>
        <v>39</v>
      </c>
      <c r="L169" s="144">
        <f t="shared" si="296"/>
        <v>14</v>
      </c>
      <c r="M169" s="99">
        <f t="shared" si="297"/>
        <v>2285.1997463414637</v>
      </c>
      <c r="N169" s="108">
        <f t="shared" si="321"/>
        <v>307.12390243902439</v>
      </c>
      <c r="O169" s="108">
        <f t="shared" si="322"/>
        <v>1978.0758439024391</v>
      </c>
      <c r="P169" s="108"/>
      <c r="Q169" s="108"/>
      <c r="R169" s="109"/>
      <c r="S169" s="99">
        <f t="shared" si="319"/>
        <v>1904.3331219512197</v>
      </c>
      <c r="T169" s="108">
        <f t="shared" si="323"/>
        <v>255.93658536585366</v>
      </c>
      <c r="U169" s="108">
        <f t="shared" si="324"/>
        <v>1648.396536585366</v>
      </c>
      <c r="V169" s="108"/>
      <c r="W169" s="108"/>
      <c r="X169" s="109"/>
      <c r="Y169" s="99">
        <f t="shared" si="299"/>
        <v>3808.6662439024399</v>
      </c>
      <c r="Z169" s="108">
        <f t="shared" si="317"/>
        <v>511.87317073170726</v>
      </c>
      <c r="AA169" s="108">
        <f t="shared" si="325"/>
        <v>3296.7930731707324</v>
      </c>
      <c r="AB169" s="108"/>
      <c r="AC169" s="108"/>
      <c r="AD169" s="109"/>
      <c r="AE169" s="99">
        <f t="shared" si="326"/>
        <v>12</v>
      </c>
      <c r="AF169" s="101"/>
      <c r="AG169" s="101">
        <f t="shared" si="327"/>
        <v>20</v>
      </c>
      <c r="AH169" s="101">
        <f t="shared" si="320"/>
        <v>349</v>
      </c>
      <c r="AI169" s="101">
        <f t="shared" si="315"/>
        <v>200</v>
      </c>
      <c r="AJ169" s="108">
        <f t="shared" si="328"/>
        <v>2.5</v>
      </c>
      <c r="AK169" s="101">
        <f t="shared" si="316"/>
        <v>853.19024390243908</v>
      </c>
      <c r="AL169" s="101">
        <f t="shared" si="329"/>
        <v>170.62439024390244</v>
      </c>
      <c r="AM169" s="101">
        <f t="shared" si="330"/>
        <v>682.56585365853664</v>
      </c>
      <c r="AN169" s="101"/>
      <c r="AO169" s="1">
        <v>12</v>
      </c>
      <c r="AP169" s="2"/>
      <c r="AQ169" s="74">
        <f t="shared" si="331"/>
        <v>349</v>
      </c>
      <c r="AR169" s="10"/>
      <c r="AS169" s="1"/>
      <c r="AT169" s="11">
        <v>1.5</v>
      </c>
      <c r="AU169" s="10"/>
      <c r="AV169" s="1"/>
      <c r="AW169" s="1">
        <v>1.4</v>
      </c>
      <c r="AX169" s="10">
        <v>1</v>
      </c>
      <c r="AY169" s="11">
        <v>1.7250000000000001</v>
      </c>
      <c r="AZ169" s="2"/>
      <c r="BA169" s="2"/>
      <c r="BB169" s="2"/>
      <c r="BC169" s="1"/>
      <c r="BD169" s="106"/>
      <c r="BE169" s="2"/>
      <c r="BF169" s="2"/>
      <c r="BG169" s="2"/>
      <c r="BH169" s="2"/>
      <c r="BI169" s="1"/>
      <c r="BJ169" s="1"/>
      <c r="BK169" s="1"/>
    </row>
    <row r="170" spans="1:63" ht="12" customHeight="1">
      <c r="A170" s="2"/>
      <c r="B170" s="107">
        <v>2</v>
      </c>
      <c r="C170" s="31">
        <v>10</v>
      </c>
      <c r="D170" s="106" t="s">
        <v>2</v>
      </c>
      <c r="E170" s="2" t="s">
        <v>101</v>
      </c>
      <c r="F170" s="31"/>
      <c r="G170" s="2"/>
      <c r="H170" s="33"/>
      <c r="I170" s="99">
        <f t="shared" si="293"/>
        <v>184.2171595818815</v>
      </c>
      <c r="J170" s="101">
        <f t="shared" si="294"/>
        <v>39.571428571428569</v>
      </c>
      <c r="K170" s="101">
        <f t="shared" si="295"/>
        <v>40</v>
      </c>
      <c r="L170" s="144">
        <f t="shared" si="296"/>
        <v>15</v>
      </c>
      <c r="M170" s="99">
        <f t="shared" si="297"/>
        <v>1289.5201170731705</v>
      </c>
      <c r="N170" s="108">
        <f t="shared" ref="N170:N171" si="332">T170*(1+(AG170/100)*(AI170/100-1))</f>
        <v>1289.5201170731705</v>
      </c>
      <c r="O170" s="108"/>
      <c r="P170" s="108"/>
      <c r="Q170" s="108"/>
      <c r="R170" s="109"/>
      <c r="S170" s="99">
        <f t="shared" si="319"/>
        <v>1074.6000975609754</v>
      </c>
      <c r="T170" s="108">
        <f t="shared" ref="T170:T171" si="333">AL170*AV170*AW170*AY170</f>
        <v>1074.6000975609754</v>
      </c>
      <c r="U170" s="108"/>
      <c r="V170" s="108"/>
      <c r="W170" s="108"/>
      <c r="X170" s="109"/>
      <c r="Y170" s="99">
        <f t="shared" si="299"/>
        <v>2149.2001951219509</v>
      </c>
      <c r="Z170" s="108">
        <f t="shared" si="317"/>
        <v>2149.2001951219509</v>
      </c>
      <c r="AA170" s="108"/>
      <c r="AB170" s="108"/>
      <c r="AC170" s="108"/>
      <c r="AD170" s="109"/>
      <c r="AE170" s="99">
        <f t="shared" ref="AE170:AE171" si="334">AO170-AS170</f>
        <v>7</v>
      </c>
      <c r="AF170" s="101"/>
      <c r="AG170" s="101">
        <f t="shared" ref="AG170:AG172" si="335">IF($D$25+AT170&gt;100,100,$D$25+AT170)</f>
        <v>20</v>
      </c>
      <c r="AH170" s="101">
        <f t="shared" si="320"/>
        <v>277</v>
      </c>
      <c r="AI170" s="101">
        <f t="shared" si="315"/>
        <v>200</v>
      </c>
      <c r="AJ170" s="108">
        <f t="shared" ref="AJ170:AJ171" si="336">10*AY170/12</f>
        <v>0.83333333333333337</v>
      </c>
      <c r="AK170" s="101">
        <f t="shared" si="316"/>
        <v>910.67804878048776</v>
      </c>
      <c r="AL170" s="101">
        <f t="shared" ref="AL170:AL171" si="337">(VLOOKUP(C170,$B$4:$AA$7,2,FALSE)+VLOOKUP(C170,$B$8:$AA$11,2,FALSE)*$D$22)*$D$27/100</f>
        <v>910.67804878048776</v>
      </c>
      <c r="AM170" s="101"/>
      <c r="AN170" s="101"/>
      <c r="AO170" s="1">
        <v>8</v>
      </c>
      <c r="AP170" s="2"/>
      <c r="AQ170" s="74">
        <f t="shared" ref="AQ170:AQ171" si="338">VLOOKUP(C170,$B$13:$AA$16,2,FALSE)</f>
        <v>277</v>
      </c>
      <c r="AR170" s="10"/>
      <c r="AS170" s="1">
        <v>1</v>
      </c>
      <c r="AT170" s="11">
        <v>0</v>
      </c>
      <c r="AU170" s="10"/>
      <c r="AV170" s="1">
        <v>1.18</v>
      </c>
      <c r="AW170" s="1">
        <v>1</v>
      </c>
      <c r="AX170" s="10"/>
      <c r="AY170" s="11">
        <v>1</v>
      </c>
      <c r="AZ170" s="2"/>
      <c r="BA170" s="2"/>
      <c r="BB170" s="2"/>
      <c r="BC170" s="2"/>
      <c r="BD170" s="2"/>
      <c r="BE170" s="2"/>
      <c r="BF170" s="2"/>
      <c r="BG170" s="2"/>
      <c r="BH170" s="2"/>
      <c r="BI170" s="1"/>
      <c r="BJ170" s="1"/>
      <c r="BK170" s="1"/>
    </row>
    <row r="171" spans="1:63" ht="12" customHeight="1">
      <c r="A171" s="1"/>
      <c r="B171" s="107">
        <v>1</v>
      </c>
      <c r="C171" s="31">
        <v>10</v>
      </c>
      <c r="D171" s="106" t="s">
        <v>2</v>
      </c>
      <c r="E171" s="2" t="s">
        <v>108</v>
      </c>
      <c r="F171" s="25"/>
      <c r="G171" s="2" t="s">
        <v>142</v>
      </c>
      <c r="H171" s="33"/>
      <c r="I171" s="99">
        <f t="shared" si="293"/>
        <v>156.11623693379789</v>
      </c>
      <c r="J171" s="101">
        <f t="shared" si="294"/>
        <v>39.571428571428569</v>
      </c>
      <c r="K171" s="101">
        <f t="shared" si="295"/>
        <v>47</v>
      </c>
      <c r="L171" s="144">
        <f t="shared" si="296"/>
        <v>16</v>
      </c>
      <c r="M171" s="99">
        <f t="shared" si="297"/>
        <v>1092.8136585365853</v>
      </c>
      <c r="N171" s="108">
        <f t="shared" si="332"/>
        <v>1092.8136585365853</v>
      </c>
      <c r="O171" s="108"/>
      <c r="P171" s="108"/>
      <c r="Q171" s="108"/>
      <c r="R171" s="109"/>
      <c r="S171" s="99">
        <f t="shared" si="319"/>
        <v>910.67804878048776</v>
      </c>
      <c r="T171" s="108">
        <f t="shared" si="333"/>
        <v>910.67804878048776</v>
      </c>
      <c r="U171" s="108"/>
      <c r="V171" s="108"/>
      <c r="W171" s="108"/>
      <c r="X171" s="109"/>
      <c r="Y171" s="99">
        <f t="shared" si="299"/>
        <v>1821.3560975609755</v>
      </c>
      <c r="Z171" s="108">
        <f t="shared" si="317"/>
        <v>1821.3560975609755</v>
      </c>
      <c r="AA171" s="108"/>
      <c r="AB171" s="108"/>
      <c r="AC171" s="108"/>
      <c r="AD171" s="109"/>
      <c r="AE171" s="99">
        <f t="shared" si="334"/>
        <v>7</v>
      </c>
      <c r="AF171" s="101"/>
      <c r="AG171" s="101">
        <f t="shared" si="335"/>
        <v>20</v>
      </c>
      <c r="AH171" s="101">
        <f t="shared" si="320"/>
        <v>277</v>
      </c>
      <c r="AI171" s="101">
        <f t="shared" si="315"/>
        <v>200</v>
      </c>
      <c r="AJ171" s="108">
        <f t="shared" si="336"/>
        <v>0.83333333333333337</v>
      </c>
      <c r="AK171" s="101">
        <f t="shared" si="316"/>
        <v>910.67804878048776</v>
      </c>
      <c r="AL171" s="101">
        <f t="shared" si="337"/>
        <v>910.67804878048776</v>
      </c>
      <c r="AM171" s="101"/>
      <c r="AN171" s="101"/>
      <c r="AO171" s="1">
        <v>8</v>
      </c>
      <c r="AP171" s="2"/>
      <c r="AQ171" s="74">
        <f t="shared" si="338"/>
        <v>277</v>
      </c>
      <c r="AR171" s="10"/>
      <c r="AS171" s="1">
        <v>1</v>
      </c>
      <c r="AT171" s="11">
        <v>0</v>
      </c>
      <c r="AU171" s="10"/>
      <c r="AV171" s="1">
        <v>1</v>
      </c>
      <c r="AW171" s="1">
        <v>1</v>
      </c>
      <c r="AX171" s="10"/>
      <c r="AY171" s="11">
        <v>1</v>
      </c>
      <c r="AZ171" s="2"/>
      <c r="BA171" s="2"/>
      <c r="BB171" s="2"/>
      <c r="BC171" s="1"/>
      <c r="BD171" s="106"/>
      <c r="BE171" s="2"/>
      <c r="BF171" s="2"/>
      <c r="BG171" s="2"/>
      <c r="BH171" s="2"/>
      <c r="BI171" s="1"/>
      <c r="BJ171" s="1"/>
      <c r="BK171" s="1"/>
    </row>
    <row r="172" spans="1:63" ht="12" customHeight="1">
      <c r="A172" s="1"/>
      <c r="B172" s="107">
        <v>6</v>
      </c>
      <c r="C172" s="31">
        <v>10</v>
      </c>
      <c r="D172" s="106" t="s">
        <v>16</v>
      </c>
      <c r="E172" s="2" t="s">
        <v>145</v>
      </c>
      <c r="F172" s="25"/>
      <c r="G172" s="2"/>
      <c r="H172" s="33">
        <f>AX172*2</f>
        <v>2</v>
      </c>
      <c r="I172" s="99">
        <f t="shared" si="293"/>
        <v>148.57935365853658</v>
      </c>
      <c r="J172" s="101">
        <f t="shared" si="294"/>
        <v>39.166666666666664</v>
      </c>
      <c r="K172" s="101">
        <f t="shared" si="295"/>
        <v>48</v>
      </c>
      <c r="L172" s="144">
        <f t="shared" si="296"/>
        <v>17</v>
      </c>
      <c r="M172" s="99">
        <f t="shared" si="297"/>
        <v>891.4761219512194</v>
      </c>
      <c r="N172" s="108">
        <f>T172*(1+((AG172+IF(F172="백어택",20,0))/100)*(AI172/100-1))</f>
        <v>891.4761219512194</v>
      </c>
      <c r="O172" s="108"/>
      <c r="P172" s="108"/>
      <c r="Q172" s="108"/>
      <c r="R172" s="109"/>
      <c r="S172" s="99">
        <f>SUM(T172:X172)*H172</f>
        <v>1320.7053658536583</v>
      </c>
      <c r="T172" s="108">
        <f>AL172*AU172*AY172*IF(F172="백어택",1.2,1)</f>
        <v>660.35268292682917</v>
      </c>
      <c r="U172" s="108"/>
      <c r="V172" s="108"/>
      <c r="W172" s="108"/>
      <c r="X172" s="109"/>
      <c r="Y172" s="99">
        <f t="shared" si="299"/>
        <v>1320.7053658536583</v>
      </c>
      <c r="Z172" s="108">
        <f t="shared" si="317"/>
        <v>1320.7053658536583</v>
      </c>
      <c r="AA172" s="108"/>
      <c r="AB172" s="108"/>
      <c r="AC172" s="108"/>
      <c r="AD172" s="109"/>
      <c r="AE172" s="99">
        <f t="shared" ref="AE172:AE173" si="339">AO172</f>
        <v>6</v>
      </c>
      <c r="AF172" s="101"/>
      <c r="AG172" s="101">
        <f t="shared" si="335"/>
        <v>35</v>
      </c>
      <c r="AH172" s="101">
        <f>AQ172*AR172</f>
        <v>235</v>
      </c>
      <c r="AI172" s="101">
        <f t="shared" si="315"/>
        <v>200</v>
      </c>
      <c r="AJ172" s="108">
        <f>10*AS172/IF(AX172=1,5,3.5)</f>
        <v>2</v>
      </c>
      <c r="AK172" s="101">
        <f t="shared" si="316"/>
        <v>314.45365853658535</v>
      </c>
      <c r="AL172" s="101">
        <f>((VLOOKUP(C172,$B$4:$AG$7,23,FALSE)+VLOOKUP(C172,$B$8:$AG$11,23,FALSE)*$D$22))*$D$27/100</f>
        <v>314.45365853658535</v>
      </c>
      <c r="AM172" s="101"/>
      <c r="AN172" s="101"/>
      <c r="AO172" s="1">
        <v>6</v>
      </c>
      <c r="AP172" s="2"/>
      <c r="AQ172" s="74">
        <f>VLOOKUP(C172,$B$13:$AA$16,23,FALSE)</f>
        <v>235</v>
      </c>
      <c r="AR172" s="10">
        <v>1</v>
      </c>
      <c r="AS172" s="1">
        <v>1</v>
      </c>
      <c r="AT172" s="11">
        <v>15</v>
      </c>
      <c r="AU172" s="10">
        <v>1.4</v>
      </c>
      <c r="AV172" s="1"/>
      <c r="AW172" s="1"/>
      <c r="AX172" s="10">
        <v>1</v>
      </c>
      <c r="AY172" s="11">
        <v>1.5</v>
      </c>
      <c r="AZ172" s="2"/>
      <c r="BA172" s="2"/>
      <c r="BB172" s="2"/>
      <c r="BC172" s="1"/>
      <c r="BD172" s="106"/>
      <c r="BE172" s="2"/>
      <c r="BF172" s="2"/>
      <c r="BG172" s="2"/>
      <c r="BH172" s="2"/>
      <c r="BI172" s="1"/>
      <c r="BJ172" s="1"/>
      <c r="BK172" s="1"/>
    </row>
    <row r="173" spans="1:63" ht="12" customHeight="1">
      <c r="A173" s="1"/>
      <c r="B173" s="107">
        <v>7</v>
      </c>
      <c r="C173" s="31">
        <v>10</v>
      </c>
      <c r="D173" s="106" t="s">
        <v>4</v>
      </c>
      <c r="E173" s="2" t="s">
        <v>135</v>
      </c>
      <c r="F173" s="25"/>
      <c r="G173" s="2" t="s">
        <v>158</v>
      </c>
      <c r="H173" s="33"/>
      <c r="I173" s="99">
        <f t="shared" si="293"/>
        <v>143.33626829268292</v>
      </c>
      <c r="J173" s="101">
        <f t="shared" si="294"/>
        <v>29.083333333333332</v>
      </c>
      <c r="K173" s="101">
        <f t="shared" si="295"/>
        <v>50</v>
      </c>
      <c r="L173" s="144">
        <f t="shared" si="296"/>
        <v>18</v>
      </c>
      <c r="M173" s="99">
        <f t="shared" si="297"/>
        <v>1720.035219512195</v>
      </c>
      <c r="N173" s="108">
        <f>T173*(1+((AG173+IF(F173="백어택",20,0))/100))*((AI173/100-1))</f>
        <v>307.12390243902439</v>
      </c>
      <c r="O173" s="108">
        <f>U173*(1+((AG173+IF(F173="백어택",20,0))/100)*(AI173/100-1))</f>
        <v>1412.9113170731707</v>
      </c>
      <c r="P173" s="108"/>
      <c r="Q173" s="108"/>
      <c r="R173" s="109"/>
      <c r="S173" s="99">
        <f t="shared" ref="S173:S195" si="340">SUM(T173:X173)</f>
        <v>1433.3626829268294</v>
      </c>
      <c r="T173" s="108">
        <f>AT173*AL173*IF(F173="백어택",1.2,1)</f>
        <v>255.93658536585366</v>
      </c>
      <c r="U173" s="108">
        <f>AM173*AW173*AX173*AY173*IF(F173="백어택",1.2,1)</f>
        <v>1177.4260975609757</v>
      </c>
      <c r="V173" s="108"/>
      <c r="W173" s="108"/>
      <c r="X173" s="109"/>
      <c r="Y173" s="99">
        <f t="shared" si="299"/>
        <v>2866.7253658536588</v>
      </c>
      <c r="Z173" s="108">
        <f t="shared" si="317"/>
        <v>511.87317073170726</v>
      </c>
      <c r="AA173" s="108">
        <f>U173*$D$26/100</f>
        <v>2354.8521951219514</v>
      </c>
      <c r="AB173" s="108"/>
      <c r="AC173" s="108"/>
      <c r="AD173" s="109"/>
      <c r="AE173" s="99">
        <f t="shared" si="339"/>
        <v>12</v>
      </c>
      <c r="AF173" s="101"/>
      <c r="AG173" s="101">
        <f t="shared" ref="AG173:AG174" si="341">IF($D$25&gt;100,100,$D$25)</f>
        <v>20</v>
      </c>
      <c r="AH173" s="101">
        <f>AQ173</f>
        <v>349</v>
      </c>
      <c r="AI173" s="101">
        <f t="shared" si="315"/>
        <v>200</v>
      </c>
      <c r="AJ173" s="108">
        <f>10/IF(AY173=1,5,4)</f>
        <v>2.5</v>
      </c>
      <c r="AK173" s="101">
        <f t="shared" si="316"/>
        <v>853.19024390243908</v>
      </c>
      <c r="AL173" s="101">
        <f>(VLOOKUP(C173,$B$4:$AG$7,4,FALSE)+VLOOKUP(C173,$B$8:$AG$11,4,FALSE)*$D$22)*$D$27/100</f>
        <v>170.62439024390244</v>
      </c>
      <c r="AM173" s="101">
        <f>(VLOOKUP(C173,$B$4:$AG$7,5,FALSE)+VLOOKUP(C173,$B$8:$AG$11,5,FALSE)*$D$22)*$D$27/100</f>
        <v>682.56585365853664</v>
      </c>
      <c r="AN173" s="101"/>
      <c r="AO173" s="1">
        <v>12</v>
      </c>
      <c r="AP173" s="2"/>
      <c r="AQ173" s="74">
        <f>VLOOKUP(C173,$B$13:$AA$16,4,FALSE)</f>
        <v>349</v>
      </c>
      <c r="AR173" s="10"/>
      <c r="AS173" s="1"/>
      <c r="AT173" s="11">
        <v>1.5</v>
      </c>
      <c r="AU173" s="10"/>
      <c r="AV173" s="1"/>
      <c r="AW173" s="1">
        <v>1</v>
      </c>
      <c r="AX173" s="10">
        <v>1</v>
      </c>
      <c r="AY173" s="11">
        <v>1.7250000000000001</v>
      </c>
      <c r="AZ173" s="2"/>
      <c r="BA173" s="2"/>
      <c r="BB173" s="2"/>
      <c r="BC173" s="1"/>
      <c r="BD173" s="106"/>
      <c r="BE173" s="2"/>
      <c r="BF173" s="2"/>
      <c r="BG173" s="2"/>
      <c r="BH173" s="2"/>
      <c r="BI173" s="1"/>
      <c r="BJ173" s="1"/>
      <c r="BK173" s="1"/>
    </row>
    <row r="174" spans="1:63" ht="12" customHeight="1">
      <c r="A174" s="1"/>
      <c r="B174" s="107">
        <v>8</v>
      </c>
      <c r="C174" s="31">
        <v>10</v>
      </c>
      <c r="D174" s="106" t="s">
        <v>7</v>
      </c>
      <c r="E174" s="2" t="s">
        <v>140</v>
      </c>
      <c r="F174" s="25"/>
      <c r="G174" s="2"/>
      <c r="H174" s="33"/>
      <c r="I174" s="99">
        <f t="shared" si="293"/>
        <v>135.87317073170732</v>
      </c>
      <c r="J174" s="101">
        <f t="shared" si="294"/>
        <v>32.888888888888886</v>
      </c>
      <c r="K174" s="101">
        <f t="shared" si="295"/>
        <v>53</v>
      </c>
      <c r="L174" s="144">
        <f t="shared" si="296"/>
        <v>19</v>
      </c>
      <c r="M174" s="99">
        <f>N174+R174/2</f>
        <v>1222.858536585366</v>
      </c>
      <c r="N174" s="108">
        <f>T174*(1+(AG174/100)*(AI174/100-1))</f>
        <v>1222.858536585366</v>
      </c>
      <c r="O174" s="108"/>
      <c r="P174" s="108"/>
      <c r="Q174" s="108"/>
      <c r="R174" s="109">
        <f>X174*(1+(AG174/100)*(AI174/100-1))</f>
        <v>0</v>
      </c>
      <c r="S174" s="99">
        <f t="shared" si="340"/>
        <v>1019.0487804878051</v>
      </c>
      <c r="T174" s="108">
        <f>AL174*AV174*AX174</f>
        <v>1019.0487804878051</v>
      </c>
      <c r="U174" s="108"/>
      <c r="V174" s="108"/>
      <c r="W174" s="108"/>
      <c r="X174" s="109">
        <f>AS174*AL174</f>
        <v>0</v>
      </c>
      <c r="Y174" s="99">
        <f t="shared" si="299"/>
        <v>2038.0975609756101</v>
      </c>
      <c r="Z174" s="108">
        <f t="shared" si="317"/>
        <v>2038.0975609756101</v>
      </c>
      <c r="AA174" s="108"/>
      <c r="AB174" s="108"/>
      <c r="AC174" s="108"/>
      <c r="AD174" s="109">
        <f>X174*$D$26/100</f>
        <v>0</v>
      </c>
      <c r="AE174" s="99">
        <f>AO174-AY174</f>
        <v>9</v>
      </c>
      <c r="AF174" s="101"/>
      <c r="AG174" s="101">
        <f t="shared" si="341"/>
        <v>20</v>
      </c>
      <c r="AH174" s="101">
        <f>AQ174*AR174</f>
        <v>296</v>
      </c>
      <c r="AI174" s="101">
        <f t="shared" si="315"/>
        <v>200</v>
      </c>
      <c r="AJ174" s="108">
        <f>10*AX174*AU174/9</f>
        <v>2.2222222222222223</v>
      </c>
      <c r="AK174" s="101">
        <f t="shared" si="316"/>
        <v>339.68292682926835</v>
      </c>
      <c r="AL174" s="101">
        <f>(VLOOKUP(C174,$B$4:$AG$7,8,FALSE)+VLOOKUP(C174,$B$8:$AG$11,8,FALSE)*$D$22)*$D$27/100</f>
        <v>339.68292682926835</v>
      </c>
      <c r="AM174" s="101"/>
      <c r="AN174" s="101"/>
      <c r="AO174" s="1">
        <v>9</v>
      </c>
      <c r="AP174" s="2"/>
      <c r="AQ174" s="74">
        <f>VLOOKUP(C174,$B$13:$AA$16,8,FALSE)</f>
        <v>296</v>
      </c>
      <c r="AR174" s="10">
        <v>1</v>
      </c>
      <c r="AS174" s="1">
        <v>0</v>
      </c>
      <c r="AT174" s="11"/>
      <c r="AU174" s="10">
        <v>1</v>
      </c>
      <c r="AV174" s="1">
        <v>1.5</v>
      </c>
      <c r="AW174" s="1"/>
      <c r="AX174" s="10">
        <v>2</v>
      </c>
      <c r="AY174" s="11">
        <v>0</v>
      </c>
      <c r="AZ174" s="2"/>
      <c r="BA174" s="2"/>
      <c r="BB174" s="2"/>
      <c r="BC174" s="1"/>
      <c r="BD174" s="106"/>
      <c r="BE174" s="2"/>
      <c r="BF174" s="2"/>
      <c r="BG174" s="2"/>
      <c r="BH174" s="2"/>
      <c r="BI174" s="1"/>
      <c r="BJ174" s="1"/>
      <c r="BK174" s="1"/>
    </row>
    <row r="175" spans="1:63" ht="12" customHeight="1">
      <c r="A175" s="1"/>
      <c r="B175" s="107">
        <v>14</v>
      </c>
      <c r="C175" s="31">
        <v>10</v>
      </c>
      <c r="D175" s="111" t="s">
        <v>18</v>
      </c>
      <c r="E175" s="2" t="s">
        <v>164</v>
      </c>
      <c r="F175" s="25" t="s">
        <v>149</v>
      </c>
      <c r="G175" s="2"/>
      <c r="H175" s="33" t="s">
        <v>81</v>
      </c>
      <c r="I175" s="99">
        <f t="shared" si="293"/>
        <v>458.13378731707314</v>
      </c>
      <c r="J175" s="101">
        <f t="shared" si="294"/>
        <v>26.05</v>
      </c>
      <c r="K175" s="101">
        <f t="shared" si="295"/>
        <v>1</v>
      </c>
      <c r="L175" s="144">
        <f t="shared" ref="L175:L197" si="342">RANK(I175,$I$63:$I$85)</f>
        <v>1</v>
      </c>
      <c r="M175" s="99">
        <f t="shared" ref="M175:M208" si="343">SUM(N175:R175)</f>
        <v>9162.6757463414633</v>
      </c>
      <c r="N175" s="108">
        <f t="shared" ref="N175:N179" si="344">T175*(1+((AG175+IF(F175="백어택",20,0))/100)*(AI175/100-1))</f>
        <v>9162.6757463414633</v>
      </c>
      <c r="O175" s="108">
        <f>U175*(1+(($D$25+IF(F175="백어택",20,0))/100)*(AI175/100-1))</f>
        <v>0</v>
      </c>
      <c r="P175" s="108"/>
      <c r="Q175" s="108"/>
      <c r="R175" s="109"/>
      <c r="S175" s="99">
        <f t="shared" si="340"/>
        <v>5090.3754146341462</v>
      </c>
      <c r="T175" s="108">
        <f>AL175*IF(H175="근접",AT175,IF(AV175=1,AT175,1))*AX175*IF(F175="백어택",1.2,1)</f>
        <v>5090.3754146341462</v>
      </c>
      <c r="U175" s="108">
        <f>IF(AX175=1,AM175*IF(H175="근접",AT175,IF(AV175=1,AT175,1)),0)*AY175*IF(AX175=1,1,0)*IF(F175="백어택",1.2,1)</f>
        <v>0</v>
      </c>
      <c r="V175" s="108"/>
      <c r="W175" s="108"/>
      <c r="X175" s="109"/>
      <c r="Y175" s="99">
        <f t="shared" si="299"/>
        <v>10180.750829268292</v>
      </c>
      <c r="Z175" s="108">
        <f t="shared" si="317"/>
        <v>10180.750829268292</v>
      </c>
      <c r="AA175" s="108">
        <f>U175*$D$26/100</f>
        <v>0</v>
      </c>
      <c r="AB175" s="108"/>
      <c r="AC175" s="108"/>
      <c r="AD175" s="109"/>
      <c r="AE175" s="99">
        <f>(AO175-AR175)*IF(AW175="보스대상",1,POWER(0.85,AW175))</f>
        <v>20</v>
      </c>
      <c r="AF175" s="101"/>
      <c r="AG175" s="101">
        <f>IF($D$25&gt;100,100,$D$25)+AU175</f>
        <v>60</v>
      </c>
      <c r="AH175" s="101">
        <f>AQ175</f>
        <v>521</v>
      </c>
      <c r="AI175" s="101">
        <f t="shared" si="315"/>
        <v>200</v>
      </c>
      <c r="AJ175" s="112">
        <f>10*AS175/IF(AX175=1,IF(AY175=1,4.5,4),4)</f>
        <v>2.5</v>
      </c>
      <c r="AK175" s="101">
        <f t="shared" si="316"/>
        <v>2538.0878048780487</v>
      </c>
      <c r="AL175" s="101">
        <f>IF(AV175=1,$D$29*(VLOOKUP(C175,$B$4:$AG$7,25,FALSE)+VLOOKUP(C175,$B$8:$AG$11,25,FALSE)*$D$22),(IF(H175="근접",$D$29*(VLOOKUP(C175,$B$4:$AG$7,25,FALSE)+VLOOKUP(C175,$B$8:$AG$11,25,FALSE)*$D$22),$D$28*(VLOOKUP(C175,$B$4:$AG$7,25,FALSE)+VLOOKUP(C175,$B$8:$AG$11,25,FALSE)*$D$22))))*$D$27/100</f>
        <v>1514.9926829268295</v>
      </c>
      <c r="AM175" s="101">
        <f>(IF(AV175=1,$D$29*(VLOOKUP(C175,$B$4:$AG$7,26,FALSE)+VLOOKUP(C175,$B$8:$AG$11,26,FALSE)*$D$22),IF(H175="근접",$D$29*(VLOOKUP(C175,$B$4:$AG$7,26,FALSE)+VLOOKUP(C175,$B$8:$AG$11,26,FALSE)*$D$22),$D$28*(VLOOKUP(C175,$B$4:$AG$7,26,FALSE)+VLOOKUP(C175,$B$8:$AG$11,26,FALSE)*$D$22))))*$D$27/100</f>
        <v>1023.0951219512194</v>
      </c>
      <c r="AN175" s="101"/>
      <c r="AO175" s="1">
        <v>24</v>
      </c>
      <c r="AP175" s="2"/>
      <c r="AQ175" s="74">
        <f>VLOOKUP(C175,$B$13:$AA$16,25,FALSE)</f>
        <v>521</v>
      </c>
      <c r="AR175" s="10">
        <v>4</v>
      </c>
      <c r="AS175" s="1">
        <v>1</v>
      </c>
      <c r="AT175" s="11">
        <v>1</v>
      </c>
      <c r="AU175" s="10">
        <v>40</v>
      </c>
      <c r="AV175" s="1">
        <v>0</v>
      </c>
      <c r="AW175" s="1" t="s">
        <v>86</v>
      </c>
      <c r="AX175" s="10">
        <v>2.8</v>
      </c>
      <c r="AY175" s="11">
        <v>1</v>
      </c>
      <c r="AZ175" s="2"/>
      <c r="BA175" s="2"/>
      <c r="BB175" s="2"/>
      <c r="BC175" s="1"/>
      <c r="BD175" s="111"/>
      <c r="BE175" s="2"/>
      <c r="BF175" s="3"/>
      <c r="BG175" s="2"/>
      <c r="BH175" s="2"/>
      <c r="BI175" s="1"/>
      <c r="BJ175" s="1"/>
      <c r="BK175" s="1"/>
    </row>
    <row r="176" spans="1:63" ht="12" customHeight="1">
      <c r="A176" s="1"/>
      <c r="B176" s="107">
        <v>13</v>
      </c>
      <c r="C176" s="31">
        <v>10</v>
      </c>
      <c r="D176" s="111" t="s">
        <v>14</v>
      </c>
      <c r="E176" s="2" t="s">
        <v>164</v>
      </c>
      <c r="F176" s="25" t="s">
        <v>149</v>
      </c>
      <c r="G176" s="2"/>
      <c r="H176" s="33" t="s">
        <v>81</v>
      </c>
      <c r="I176" s="99">
        <f t="shared" si="293"/>
        <v>424.76750829268286</v>
      </c>
      <c r="J176" s="101">
        <f t="shared" si="294"/>
        <v>18.25</v>
      </c>
      <c r="K176" s="101">
        <f t="shared" si="295"/>
        <v>2</v>
      </c>
      <c r="L176" s="144">
        <f t="shared" si="342"/>
        <v>2</v>
      </c>
      <c r="M176" s="99">
        <f t="shared" si="343"/>
        <v>15291.630298536584</v>
      </c>
      <c r="N176" s="101">
        <f t="shared" si="344"/>
        <v>2652.636951219512</v>
      </c>
      <c r="O176" s="101">
        <f>U176*(1+((AG176+IF(F176="백어택",20,0))/100)*(AI176/100-1))</f>
        <v>2652.636951219512</v>
      </c>
      <c r="P176" s="101">
        <f>V176*(1+((AG176+IF(F176="백어택",20,0))/100)*(AI176*IF(AX176=1,AW176,1)/100-1))</f>
        <v>3585.2088292682924</v>
      </c>
      <c r="Q176" s="101">
        <f>W176*(1+((AG176+IF(F176="백어택",20,0))/100)*(AI176*AW176/100-1))</f>
        <v>6401.1475668292678</v>
      </c>
      <c r="R176" s="109"/>
      <c r="S176" s="99">
        <f t="shared" si="340"/>
        <v>7742.5976195121948</v>
      </c>
      <c r="T176" s="101">
        <f>AL176*AY176*IF(F176="백어택",1.2,1)</f>
        <v>1343.1073170731706</v>
      </c>
      <c r="U176" s="101">
        <f>AM176*AY176*IF(F176="백어택",1.2,1)</f>
        <v>1343.1073170731706</v>
      </c>
      <c r="V176" s="101">
        <f>AN176*AY176*IF(F176="백어택",1.2,1)</f>
        <v>1815.2956097560973</v>
      </c>
      <c r="W176" s="101">
        <f>(T176+U176+V176)*IF(AX176=1,0,0.6)*IF(F176="백어택",1.2,1)</f>
        <v>3241.0873756097558</v>
      </c>
      <c r="X176" s="74"/>
      <c r="Y176" s="99">
        <f t="shared" si="299"/>
        <v>19356.494048780485</v>
      </c>
      <c r="Z176" s="101">
        <f>T176*AI176/100</f>
        <v>3357.7682926829266</v>
      </c>
      <c r="AA176" s="101">
        <f>U176*AI176/100</f>
        <v>3357.7682926829266</v>
      </c>
      <c r="AB176" s="101">
        <f>V176*AI176*IF(AX176=1,AW176,1)/100</f>
        <v>4538.2390243902428</v>
      </c>
      <c r="AC176" s="101">
        <f>W176*AI176*AW176/100</f>
        <v>8102.7184390243901</v>
      </c>
      <c r="AD176" s="74"/>
      <c r="AE176" s="99">
        <f>AO176</f>
        <v>36</v>
      </c>
      <c r="AF176" s="101"/>
      <c r="AG176" s="101">
        <f>IF($D$25+AU176&gt;100,100,$D$25+AU176)</f>
        <v>45</v>
      </c>
      <c r="AH176" s="101">
        <f>AQ176*AS176</f>
        <v>657</v>
      </c>
      <c r="AI176" s="101">
        <f>$D$26+IF(H176="근접",AR176,0)+IF(AY176=1,0,50)</f>
        <v>250</v>
      </c>
      <c r="AJ176" s="108">
        <f>10/3</f>
        <v>3.3333333333333335</v>
      </c>
      <c r="AK176" s="101">
        <f t="shared" si="316"/>
        <v>3751.2585365853656</v>
      </c>
      <c r="AL176" s="101">
        <f>(IF(H176="근접",$D$29*(VLOOKUP(C176,$B$4:$AG$7,19,FALSE)+VLOOKUP(C176,$B$8:$AG$11,19,FALSE)*$D$22),$D$28*(VLOOKUP(C176,$B$4:$AG$7,19,FALSE)+VLOOKUP(C176,$B$8:$AG$11,19,FALSE)*$D$22)))*$D$27/100</f>
        <v>1119.2560975609756</v>
      </c>
      <c r="AM176" s="101">
        <f>(IF(H176="근접",$D$29*(VLOOKUP(C176,$B$4:$AG$7,20,FALSE)+VLOOKUP(C176,$B$8:$AG$11,20,FALSE)*$D$22),$D$28*(VLOOKUP(C176,$B$4:$AG$7,20,FALSE)+VLOOKUP(C176,$B$8:$AG$11,20,FALSE)*$D$22)))*$D$27/100</f>
        <v>1119.2560975609756</v>
      </c>
      <c r="AN176" s="101">
        <f>(IF(H176="근접",$D$29*(VLOOKUP(C176,$B$4:$AG$7,21,FALSE)+VLOOKUP(C176,$B$8:$AG$11,21,FALSE)*$D$22),$D$28*(VLOOKUP(C176,$B$4:$AG$7,21,FALSE)+VLOOKUP(C176,$B$8:$AG$11,21,FALSE)*$D$22)))*$D$27/100</f>
        <v>1512.7463414634144</v>
      </c>
      <c r="AO176" s="1">
        <v>36</v>
      </c>
      <c r="AP176" s="2"/>
      <c r="AQ176" s="74">
        <f>VLOOKUP(C176,$B$13:$AA$16,19,FALSE)</f>
        <v>657</v>
      </c>
      <c r="AR176" s="10">
        <v>50</v>
      </c>
      <c r="AS176" s="1">
        <v>1</v>
      </c>
      <c r="AT176" s="11"/>
      <c r="AU176" s="10">
        <v>25</v>
      </c>
      <c r="AV176" s="1"/>
      <c r="AW176" s="1">
        <v>1</v>
      </c>
      <c r="AX176" s="10">
        <v>0.6</v>
      </c>
      <c r="AY176" s="11">
        <v>1</v>
      </c>
      <c r="AZ176" s="2"/>
      <c r="BA176" s="2"/>
      <c r="BB176" s="2"/>
      <c r="BC176" s="1"/>
      <c r="BD176" s="111"/>
      <c r="BE176" s="2"/>
      <c r="BF176" s="3"/>
      <c r="BG176" s="2"/>
      <c r="BH176" s="2"/>
      <c r="BI176" s="1"/>
      <c r="BJ176" s="1"/>
      <c r="BK176" s="1"/>
    </row>
    <row r="177" spans="1:63" ht="12" customHeight="1">
      <c r="A177" s="1"/>
      <c r="B177" s="107">
        <v>19</v>
      </c>
      <c r="C177" s="31">
        <v>10</v>
      </c>
      <c r="D177" s="111" t="s">
        <v>21</v>
      </c>
      <c r="E177" s="2" t="s">
        <v>157</v>
      </c>
      <c r="F177" s="25" t="s">
        <v>149</v>
      </c>
      <c r="G177" s="2" t="s">
        <v>177</v>
      </c>
      <c r="H177" s="33"/>
      <c r="I177" s="99">
        <f t="shared" si="293"/>
        <v>412.82238439024388</v>
      </c>
      <c r="J177" s="101">
        <f t="shared" si="294"/>
        <v>21.9</v>
      </c>
      <c r="K177" s="101">
        <f t="shared" si="295"/>
        <v>3</v>
      </c>
      <c r="L177" s="144">
        <f t="shared" si="342"/>
        <v>3</v>
      </c>
      <c r="M177" s="99">
        <f t="shared" si="343"/>
        <v>12384.671531707316</v>
      </c>
      <c r="N177" s="108">
        <f t="shared" si="344"/>
        <v>12384.671531707316</v>
      </c>
      <c r="O177" s="108"/>
      <c r="P177" s="108"/>
      <c r="Q177" s="108"/>
      <c r="R177" s="109">
        <f>X177*(1+(AG177/100)*(AI177/100-1))</f>
        <v>0</v>
      </c>
      <c r="S177" s="99">
        <f t="shared" si="340"/>
        <v>8846.1939512195113</v>
      </c>
      <c r="T177" s="108">
        <f>AL177*AW177*AX177*AY177*IF(F177="백어택",1.2,1)</f>
        <v>8846.1939512195113</v>
      </c>
      <c r="U177" s="108"/>
      <c r="V177" s="108"/>
      <c r="W177" s="108"/>
      <c r="X177" s="109">
        <f>AL177*AS177+IF(AX177=1,AL177*AU177,AL177*AU177*2)</f>
        <v>0</v>
      </c>
      <c r="Y177" s="99">
        <f t="shared" si="299"/>
        <v>17692.387902439023</v>
      </c>
      <c r="Z177" s="108">
        <f t="shared" ref="Z177:Z179" si="345">T177*$D$26/100</f>
        <v>17692.387902439023</v>
      </c>
      <c r="AA177" s="108"/>
      <c r="AB177" s="108"/>
      <c r="AC177" s="108"/>
      <c r="AD177" s="109">
        <f>X177*$D$26/100</f>
        <v>0</v>
      </c>
      <c r="AE177" s="99">
        <f>AO177-AR177</f>
        <v>30</v>
      </c>
      <c r="AF177" s="101"/>
      <c r="AG177" s="101">
        <f>IF($D$25&gt;100,100,$D$25)</f>
        <v>20</v>
      </c>
      <c r="AH177" s="101">
        <f t="shared" ref="AH177:AH179" si="346">AQ177</f>
        <v>657</v>
      </c>
      <c r="AI177" s="101">
        <f t="shared" ref="AI177:AI179" si="347">$D$26</f>
        <v>200</v>
      </c>
      <c r="AJ177" s="108">
        <f>10/6</f>
        <v>1.6666666666666667</v>
      </c>
      <c r="AK177" s="101">
        <f t="shared" si="316"/>
        <v>3071.5951219512194</v>
      </c>
      <c r="AL177" s="101">
        <f>(VLOOKUP(C177,$B$4:$AG$7,31,FALSE)+VLOOKUP(C177,$B$8:$AG$11,31,FALSE)*$D$22)*$D$27/100</f>
        <v>3071.5951219512194</v>
      </c>
      <c r="AM177" s="101"/>
      <c r="AN177" s="101"/>
      <c r="AO177" s="1">
        <v>36</v>
      </c>
      <c r="AP177" s="2"/>
      <c r="AQ177" s="74">
        <f>VLOOKUP(C177,$B$13:$AG$16,31,FALSE)</f>
        <v>657</v>
      </c>
      <c r="AR177" s="10">
        <v>6</v>
      </c>
      <c r="AS177" s="1">
        <v>0</v>
      </c>
      <c r="AT177" s="11"/>
      <c r="AU177" s="10">
        <v>0</v>
      </c>
      <c r="AV177" s="1"/>
      <c r="AW177" s="1">
        <v>1.5</v>
      </c>
      <c r="AX177" s="10">
        <v>1</v>
      </c>
      <c r="AY177" s="11">
        <v>1.6</v>
      </c>
      <c r="AZ177" s="2"/>
      <c r="BA177" s="2"/>
      <c r="BB177" s="2"/>
      <c r="BC177" s="1"/>
      <c r="BD177" s="113"/>
      <c r="BE177" s="2"/>
      <c r="BF177" s="2"/>
      <c r="BG177" s="2"/>
      <c r="BH177" s="2"/>
      <c r="BI177" s="1"/>
      <c r="BJ177" s="1"/>
      <c r="BK177" s="1"/>
    </row>
    <row r="178" spans="1:63" ht="12" customHeight="1">
      <c r="A178" s="1"/>
      <c r="B178" s="107">
        <v>15</v>
      </c>
      <c r="C178" s="31">
        <v>10</v>
      </c>
      <c r="D178" s="111" t="s">
        <v>18</v>
      </c>
      <c r="E178" s="2" t="s">
        <v>154</v>
      </c>
      <c r="F178" s="25" t="s">
        <v>149</v>
      </c>
      <c r="G178" s="2"/>
      <c r="H178" s="33" t="s">
        <v>81</v>
      </c>
      <c r="I178" s="99">
        <f t="shared" si="293"/>
        <v>385.07935609756095</v>
      </c>
      <c r="J178" s="101">
        <f t="shared" si="294"/>
        <v>26.05</v>
      </c>
      <c r="K178" s="101">
        <f t="shared" si="295"/>
        <v>4</v>
      </c>
      <c r="L178" s="144">
        <f t="shared" si="342"/>
        <v>4</v>
      </c>
      <c r="M178" s="99">
        <f t="shared" si="343"/>
        <v>7701.5871219512192</v>
      </c>
      <c r="N178" s="108">
        <f t="shared" si="344"/>
        <v>2545.1877073170735</v>
      </c>
      <c r="O178" s="108">
        <f t="shared" ref="O178:O179" si="348">U178*(1+(($D$25+IF(F178="백어택",20,0))/100)*(AI178/100-1))</f>
        <v>5156.3994146341456</v>
      </c>
      <c r="P178" s="108"/>
      <c r="Q178" s="108"/>
      <c r="R178" s="109"/>
      <c r="S178" s="99">
        <f t="shared" si="340"/>
        <v>5501.1336585365852</v>
      </c>
      <c r="T178" s="108">
        <f t="shared" ref="T178:T179" si="349">AL178*IF(H178="근접",AT178,IF(AV178=1,AT178,1))*AX178*IF(F178="백어택",1.2,1)</f>
        <v>1817.9912195121954</v>
      </c>
      <c r="U178" s="108">
        <f t="shared" ref="U178:U179" si="350">IF(AX178=1,AM178*IF(H178="근접",AT178,IF(AV178=1,AT178,1)),0)*AY178*IF(AX178=1,1,0)*IF(F178="백어택",1.2,1)</f>
        <v>3683.1424390243897</v>
      </c>
      <c r="V178" s="108"/>
      <c r="W178" s="108"/>
      <c r="X178" s="109"/>
      <c r="Y178" s="99">
        <f t="shared" si="299"/>
        <v>11002.26731707317</v>
      </c>
      <c r="Z178" s="108">
        <f t="shared" si="345"/>
        <v>3635.9824390243907</v>
      </c>
      <c r="AA178" s="108">
        <f t="shared" ref="AA178:AA179" si="351">U178*$D$26/100</f>
        <v>7366.2848780487793</v>
      </c>
      <c r="AB178" s="108"/>
      <c r="AC178" s="108"/>
      <c r="AD178" s="109"/>
      <c r="AE178" s="99">
        <f t="shared" ref="AE178:AE179" si="352">(AO178-AR178)*IF(AW178="보스대상",1,POWER(0.85,AW178))</f>
        <v>20</v>
      </c>
      <c r="AF178" s="101"/>
      <c r="AG178" s="101">
        <f t="shared" ref="AG178:AG179" si="353">IF($D$25&gt;100,100,$D$25)+AU178</f>
        <v>20</v>
      </c>
      <c r="AH178" s="101">
        <f t="shared" si="346"/>
        <v>521</v>
      </c>
      <c r="AI178" s="101">
        <f t="shared" si="347"/>
        <v>200</v>
      </c>
      <c r="AJ178" s="112">
        <f t="shared" ref="AJ178:AJ179" si="354">10*AS178/IF(AX178=1,IF(AY178=1,4.5,4),4)</f>
        <v>2.5</v>
      </c>
      <c r="AK178" s="101">
        <f t="shared" si="316"/>
        <v>2538.0878048780487</v>
      </c>
      <c r="AL178" s="101">
        <f t="shared" ref="AL178:AL179" si="355">IF(AV178=1,$D$29*(VLOOKUP(C178,$B$4:$AG$7,25,FALSE)+VLOOKUP(C178,$B$8:$AG$11,25,FALSE)*$D$22),(IF(H178="근접",$D$29*(VLOOKUP(C178,$B$4:$AG$7,25,FALSE)+VLOOKUP(C178,$B$8:$AG$11,25,FALSE)*$D$22),$D$28*(VLOOKUP(C178,$B$4:$AG$7,25,FALSE)+VLOOKUP(C178,$B$8:$AG$11,25,FALSE)*$D$22))))*$D$27/100</f>
        <v>1514.9926829268295</v>
      </c>
      <c r="AM178" s="101">
        <f t="shared" ref="AM178:AM179" si="356">(IF(AV178=1,$D$29*(VLOOKUP(C178,$B$4:$AG$7,26,FALSE)+VLOOKUP(C178,$B$8:$AG$11,26,FALSE)*$D$22),IF(H178="근접",$D$29*(VLOOKUP(C178,$B$4:$AG$7,26,FALSE)+VLOOKUP(C178,$B$8:$AG$11,26,FALSE)*$D$22),$D$28*(VLOOKUP(C178,$B$4:$AG$7,26,FALSE)+VLOOKUP(C178,$B$8:$AG$11,26,FALSE)*$D$22))))*$D$27/100</f>
        <v>1023.0951219512194</v>
      </c>
      <c r="AN178" s="101"/>
      <c r="AO178" s="1">
        <v>24</v>
      </c>
      <c r="AP178" s="2"/>
      <c r="AQ178" s="74">
        <f t="shared" ref="AQ178:AQ179" si="357">VLOOKUP(C178,$B$13:$AA$16,25,FALSE)</f>
        <v>521</v>
      </c>
      <c r="AR178" s="10">
        <v>4</v>
      </c>
      <c r="AS178" s="1">
        <v>1</v>
      </c>
      <c r="AT178" s="11">
        <v>1</v>
      </c>
      <c r="AU178" s="10">
        <v>0</v>
      </c>
      <c r="AV178" s="1">
        <v>1</v>
      </c>
      <c r="AW178" s="1" t="s">
        <v>86</v>
      </c>
      <c r="AX178" s="10">
        <v>1</v>
      </c>
      <c r="AY178" s="11">
        <v>3</v>
      </c>
      <c r="AZ178" s="2"/>
      <c r="BA178" s="2"/>
      <c r="BB178" s="2"/>
      <c r="BC178" s="1"/>
      <c r="BD178" s="111"/>
      <c r="BE178" s="2"/>
      <c r="BF178" s="3"/>
      <c r="BG178" s="2"/>
      <c r="BH178" s="2"/>
      <c r="BI178" s="1"/>
      <c r="BJ178" s="1"/>
      <c r="BK178" s="1"/>
    </row>
    <row r="179" spans="1:63" ht="12" customHeight="1">
      <c r="A179" s="1"/>
      <c r="B179" s="107">
        <v>15</v>
      </c>
      <c r="C179" s="31">
        <v>10</v>
      </c>
      <c r="D179" s="111" t="s">
        <v>18</v>
      </c>
      <c r="E179" s="2" t="s">
        <v>154</v>
      </c>
      <c r="F179" s="25" t="s">
        <v>149</v>
      </c>
      <c r="G179" s="2"/>
      <c r="H179" s="33" t="s">
        <v>80</v>
      </c>
      <c r="I179" s="99">
        <f t="shared" si="293"/>
        <v>385.07935609756095</v>
      </c>
      <c r="J179" s="101">
        <f t="shared" si="294"/>
        <v>26.05</v>
      </c>
      <c r="K179" s="101">
        <f t="shared" si="295"/>
        <v>4</v>
      </c>
      <c r="L179" s="144">
        <f t="shared" si="342"/>
        <v>4</v>
      </c>
      <c r="M179" s="99">
        <f t="shared" si="343"/>
        <v>7701.5871219512192</v>
      </c>
      <c r="N179" s="108">
        <f t="shared" si="344"/>
        <v>2545.1877073170735</v>
      </c>
      <c r="O179" s="108">
        <f t="shared" si="348"/>
        <v>5156.3994146341456</v>
      </c>
      <c r="P179" s="108"/>
      <c r="Q179" s="108"/>
      <c r="R179" s="109"/>
      <c r="S179" s="99">
        <f t="shared" si="340"/>
        <v>5501.1336585365852</v>
      </c>
      <c r="T179" s="108">
        <f t="shared" si="349"/>
        <v>1817.9912195121954</v>
      </c>
      <c r="U179" s="108">
        <f t="shared" si="350"/>
        <v>3683.1424390243897</v>
      </c>
      <c r="V179" s="108"/>
      <c r="W179" s="108"/>
      <c r="X179" s="109"/>
      <c r="Y179" s="99">
        <f t="shared" si="299"/>
        <v>11002.26731707317</v>
      </c>
      <c r="Z179" s="108">
        <f t="shared" si="345"/>
        <v>3635.9824390243907</v>
      </c>
      <c r="AA179" s="108">
        <f t="shared" si="351"/>
        <v>7366.2848780487793</v>
      </c>
      <c r="AB179" s="108"/>
      <c r="AC179" s="108"/>
      <c r="AD179" s="109"/>
      <c r="AE179" s="99">
        <f t="shared" si="352"/>
        <v>20</v>
      </c>
      <c r="AF179" s="101"/>
      <c r="AG179" s="101">
        <f t="shared" si="353"/>
        <v>20</v>
      </c>
      <c r="AH179" s="101">
        <f t="shared" si="346"/>
        <v>521</v>
      </c>
      <c r="AI179" s="101">
        <f t="shared" si="347"/>
        <v>200</v>
      </c>
      <c r="AJ179" s="112">
        <f t="shared" si="354"/>
        <v>2.5</v>
      </c>
      <c r="AK179" s="101">
        <f t="shared" si="316"/>
        <v>2538.0878048780487</v>
      </c>
      <c r="AL179" s="101">
        <f t="shared" si="355"/>
        <v>1514.9926829268295</v>
      </c>
      <c r="AM179" s="101">
        <f t="shared" si="356"/>
        <v>1023.0951219512194</v>
      </c>
      <c r="AN179" s="101"/>
      <c r="AO179" s="1">
        <v>24</v>
      </c>
      <c r="AP179" s="2"/>
      <c r="AQ179" s="74">
        <f t="shared" si="357"/>
        <v>521</v>
      </c>
      <c r="AR179" s="10">
        <v>4</v>
      </c>
      <c r="AS179" s="1">
        <v>1</v>
      </c>
      <c r="AT179" s="11">
        <v>1</v>
      </c>
      <c r="AU179" s="10">
        <v>0</v>
      </c>
      <c r="AV179" s="1">
        <v>1</v>
      </c>
      <c r="AW179" s="1" t="s">
        <v>86</v>
      </c>
      <c r="AX179" s="10">
        <v>1</v>
      </c>
      <c r="AY179" s="11">
        <v>3</v>
      </c>
      <c r="AZ179" s="2"/>
      <c r="BA179" s="2"/>
      <c r="BB179" s="2"/>
      <c r="BC179" s="1"/>
      <c r="BD179" s="111"/>
      <c r="BE179" s="2"/>
      <c r="BF179" s="3"/>
      <c r="BG179" s="2"/>
      <c r="BH179" s="2"/>
      <c r="BI179" s="1"/>
      <c r="BJ179" s="1"/>
      <c r="BK179" s="1"/>
    </row>
    <row r="180" spans="1:63" ht="12" customHeight="1">
      <c r="A180" s="1"/>
      <c r="B180" s="107">
        <v>17</v>
      </c>
      <c r="C180" s="31">
        <v>10</v>
      </c>
      <c r="D180" s="111" t="s">
        <v>8</v>
      </c>
      <c r="E180" s="2" t="s">
        <v>164</v>
      </c>
      <c r="F180" s="25" t="s">
        <v>149</v>
      </c>
      <c r="G180" s="2"/>
      <c r="H180" s="33" t="s">
        <v>81</v>
      </c>
      <c r="I180" s="99">
        <f t="shared" si="293"/>
        <v>349.02280975609756</v>
      </c>
      <c r="J180" s="101">
        <f t="shared" si="294"/>
        <v>30.391666666666666</v>
      </c>
      <c r="K180" s="101">
        <f t="shared" si="295"/>
        <v>6</v>
      </c>
      <c r="L180" s="144">
        <f t="shared" si="342"/>
        <v>6</v>
      </c>
      <c r="M180" s="99">
        <f t="shared" si="343"/>
        <v>8376.5474341463414</v>
      </c>
      <c r="N180" s="108">
        <f>T180*(1+((AG180+IF(F180="백어택",20,0))/100)*(IF(AY180=1,$D$26,$D$26+50)/100-1))</f>
        <v>2358.1510243902439</v>
      </c>
      <c r="O180" s="108">
        <f>U180*(1+((AG180+IF(F180="백어택",20,0))/100)*(AI180/100-1))</f>
        <v>3009.1982048780483</v>
      </c>
      <c r="P180" s="108">
        <f>V180*(1+((AG180+IF(F180="백어택",20,0))/100)*(AI180/100-1))</f>
        <v>3009.1982048780483</v>
      </c>
      <c r="Q180" s="108"/>
      <c r="R180" s="109"/>
      <c r="S180" s="99">
        <f t="shared" si="340"/>
        <v>5076.6954146341459</v>
      </c>
      <c r="T180" s="108">
        <f>AL180*IF(H180="근접",AR180,1)*AY180*IF(F180="백어택",1.2,1)</f>
        <v>1429.1824390243903</v>
      </c>
      <c r="U180" s="108">
        <f>AM180*IF(H180="근접",AR180,1)*AY180*IF(F180="백어택",1.2,1)</f>
        <v>1823.7564878048779</v>
      </c>
      <c r="V180" s="108">
        <f>IF(AX180=1,0,AM180*IF(H180="근접",AR180,1)*AY180)*IF(F180="백어택",1.2,1)</f>
        <v>1823.7564878048779</v>
      </c>
      <c r="W180" s="108"/>
      <c r="X180" s="109"/>
      <c r="Y180" s="99">
        <f t="shared" si="299"/>
        <v>10153.390829268292</v>
      </c>
      <c r="Z180" s="108">
        <f>T180*IF(AY180=1,$D$26,$D$26+50)/100</f>
        <v>2858.3648780487802</v>
      </c>
      <c r="AA180" s="108">
        <f>U180*AI180/100</f>
        <v>3647.5129756097558</v>
      </c>
      <c r="AB180" s="108">
        <f>V180*AI180/100</f>
        <v>3647.5129756097558</v>
      </c>
      <c r="AC180" s="108"/>
      <c r="AD180" s="109"/>
      <c r="AE180" s="99">
        <f>AO180</f>
        <v>24</v>
      </c>
      <c r="AF180" s="101"/>
      <c r="AG180" s="101">
        <f>IF($D$25+AU180&gt;100,100,$D$25+AU180)</f>
        <v>45</v>
      </c>
      <c r="AH180" s="101">
        <f>IF(AX180=1,AQ180,AQ180*1.4)</f>
        <v>729.4</v>
      </c>
      <c r="AI180" s="101">
        <f>IF(AY180=1,$D$26,$D$26+50)*AW180</f>
        <v>200</v>
      </c>
      <c r="AJ180" s="108">
        <f>10/6/AX180</f>
        <v>1.1111111111111112</v>
      </c>
      <c r="AK180" s="101">
        <f t="shared" si="316"/>
        <v>2258.9853658536585</v>
      </c>
      <c r="AL180" s="101">
        <f>(IF(H180="근접",$D$29*(VLOOKUP(C180,$B$4:$AG$7,9,FALSE)+VLOOKUP(C180,$B$8:$AG$11,9,FALSE)*$D$22),$D$28*(VLOOKUP(C180,$B$4:$AG$7,9,FALSE)+VLOOKUP(C180,$B$8:$AG$11,9,FALSE)*$D$22)))*$D$27/100</f>
        <v>992.48780487804879</v>
      </c>
      <c r="AM180" s="101">
        <f>(IF(H180="근접",$D$29*(VLOOKUP(C180,$B$4:$AG$7,10,FALSE)+VLOOKUP(C180,$B$8:$AG$11,10,FALSE)*$D$22),$D$28*(VLOOKUP(C180,$B$4:$AG$7,10,FALSE)+VLOOKUP(C180,$B$8:$AG$11,10,FALSE)*$D$22)))*$D$27/100</f>
        <v>1266.4975609756098</v>
      </c>
      <c r="AN180" s="101"/>
      <c r="AO180" s="1">
        <v>24</v>
      </c>
      <c r="AP180" s="2"/>
      <c r="AQ180" s="74">
        <f>VLOOKUP(C180,$B$13:$AA$16,9,FALSE)</f>
        <v>521</v>
      </c>
      <c r="AR180" s="10">
        <v>1.2</v>
      </c>
      <c r="AS180" s="1"/>
      <c r="AT180" s="11"/>
      <c r="AU180" s="10">
        <v>25</v>
      </c>
      <c r="AV180" s="1"/>
      <c r="AW180" s="1">
        <v>1</v>
      </c>
      <c r="AX180" s="10">
        <v>1.5</v>
      </c>
      <c r="AY180" s="11">
        <v>1</v>
      </c>
      <c r="AZ180" s="2"/>
      <c r="BA180" s="2"/>
      <c r="BB180" s="2"/>
      <c r="BC180" s="1"/>
      <c r="BD180" s="111"/>
      <c r="BE180" s="2"/>
      <c r="BF180" s="3"/>
      <c r="BG180" s="2"/>
      <c r="BH180" s="2"/>
      <c r="BI180" s="1"/>
      <c r="BJ180" s="1"/>
      <c r="BK180" s="1"/>
    </row>
    <row r="181" spans="1:63" ht="12" customHeight="1">
      <c r="A181" s="1"/>
      <c r="B181" s="107">
        <v>14</v>
      </c>
      <c r="C181" s="31">
        <v>10</v>
      </c>
      <c r="D181" s="111" t="s">
        <v>18</v>
      </c>
      <c r="E181" s="2" t="s">
        <v>164</v>
      </c>
      <c r="F181" s="25"/>
      <c r="G181" s="2"/>
      <c r="H181" s="33" t="s">
        <v>81</v>
      </c>
      <c r="I181" s="99">
        <f t="shared" si="293"/>
        <v>339.3583609756098</v>
      </c>
      <c r="J181" s="101">
        <f t="shared" si="294"/>
        <v>26.05</v>
      </c>
      <c r="K181" s="101">
        <f t="shared" si="295"/>
        <v>7</v>
      </c>
      <c r="L181" s="144">
        <f t="shared" si="342"/>
        <v>7</v>
      </c>
      <c r="M181" s="99">
        <f t="shared" si="343"/>
        <v>6787.1672195121955</v>
      </c>
      <c r="N181" s="108">
        <f t="shared" ref="N181:N188" si="358">T181*(1+((AG181+IF(F181="백어택",20,0))/100)*(AI181/100-1))</f>
        <v>6787.1672195121955</v>
      </c>
      <c r="O181" s="108">
        <f>U181*(1+(($D$25+IF(F181="백어택",20,0))/100)*(AI181/100-1))</f>
        <v>0</v>
      </c>
      <c r="P181" s="108"/>
      <c r="Q181" s="108"/>
      <c r="R181" s="109"/>
      <c r="S181" s="99">
        <f t="shared" si="340"/>
        <v>4241.979512195122</v>
      </c>
      <c r="T181" s="108">
        <f>AL181*IF(H181="근접",AT181,IF(AV181=1,AT181,1))*AX181*IF(F181="백어택",1.2,1)</f>
        <v>4241.979512195122</v>
      </c>
      <c r="U181" s="108">
        <f>IF(AX181=1,AM181*IF(H181="근접",AT181,IF(AV181=1,AT181,1)),0)*AY181*IF(AX181=1,1,0)*IF(F181="백어택",1.2,1)</f>
        <v>0</v>
      </c>
      <c r="V181" s="108"/>
      <c r="W181" s="108"/>
      <c r="X181" s="109"/>
      <c r="Y181" s="99">
        <f t="shared" si="299"/>
        <v>8483.9590243902439</v>
      </c>
      <c r="Z181" s="108">
        <f t="shared" ref="Z181:AA181" si="359">T181*$D$26/100</f>
        <v>8483.9590243902439</v>
      </c>
      <c r="AA181" s="108">
        <f t="shared" si="359"/>
        <v>0</v>
      </c>
      <c r="AB181" s="108"/>
      <c r="AC181" s="108"/>
      <c r="AD181" s="109"/>
      <c r="AE181" s="99">
        <f>(AO181-AR181)*IF(AW181="보스대상",1,POWER(0.85,AW181))</f>
        <v>20</v>
      </c>
      <c r="AF181" s="101"/>
      <c r="AG181" s="101">
        <f>IF($D$25&gt;100,100,$D$25)+AU181</f>
        <v>60</v>
      </c>
      <c r="AH181" s="101">
        <f t="shared" ref="AH181:AH184" si="360">AQ181</f>
        <v>521</v>
      </c>
      <c r="AI181" s="101">
        <f t="shared" ref="AI181:AI184" si="361">$D$26</f>
        <v>200</v>
      </c>
      <c r="AJ181" s="112">
        <f>10*AS181/IF(AX181=1,IF(AY181=1,4.5,4),4)</f>
        <v>2.5</v>
      </c>
      <c r="AK181" s="101">
        <f t="shared" si="316"/>
        <v>2538.0878048780487</v>
      </c>
      <c r="AL181" s="101">
        <f>IF(AV181=1,$D$29*(VLOOKUP(C181,$B$4:$AG$7,25,FALSE)+VLOOKUP(C181,$B$8:$AG$11,25,FALSE)*$D$22),(IF(H181="근접",$D$29*(VLOOKUP(C181,$B$4:$AG$7,25,FALSE)+VLOOKUP(C181,$B$8:$AG$11,25,FALSE)*$D$22),$D$28*(VLOOKUP(C181,$B$4:$AG$7,25,FALSE)+VLOOKUP(C181,$B$8:$AG$11,25,FALSE)*$D$22))))*$D$27/100</f>
        <v>1514.9926829268295</v>
      </c>
      <c r="AM181" s="101">
        <f>(IF(AV181=1,$D$29*(VLOOKUP(C181,$B$4:$AG$7,26,FALSE)+VLOOKUP(C181,$B$8:$AG$11,26,FALSE)*$D$22),IF(H181="근접",$D$29*(VLOOKUP(C181,$B$4:$AG$7,26,FALSE)+VLOOKUP(C181,$B$8:$AG$11,26,FALSE)*$D$22),$D$28*(VLOOKUP(C181,$B$4:$AG$7,26,FALSE)+VLOOKUP(C181,$B$8:$AG$11,26,FALSE)*$D$22))))*$D$27/100</f>
        <v>1023.0951219512194</v>
      </c>
      <c r="AN181" s="101"/>
      <c r="AO181" s="1">
        <v>24</v>
      </c>
      <c r="AP181" s="2"/>
      <c r="AQ181" s="74">
        <f>VLOOKUP(C181,$B$13:$AA$16,25,FALSE)</f>
        <v>521</v>
      </c>
      <c r="AR181" s="10">
        <v>4</v>
      </c>
      <c r="AS181" s="1">
        <v>1</v>
      </c>
      <c r="AT181" s="11">
        <v>1</v>
      </c>
      <c r="AU181" s="10">
        <v>40</v>
      </c>
      <c r="AV181" s="1">
        <v>0</v>
      </c>
      <c r="AW181" s="1" t="s">
        <v>86</v>
      </c>
      <c r="AX181" s="10">
        <v>2.8</v>
      </c>
      <c r="AY181" s="11">
        <v>1</v>
      </c>
      <c r="AZ181" s="2"/>
      <c r="BA181" s="2"/>
      <c r="BB181" s="2"/>
      <c r="BC181" s="1"/>
      <c r="BD181" s="111"/>
      <c r="BE181" s="2"/>
      <c r="BF181" s="3"/>
      <c r="BG181" s="2"/>
      <c r="BH181" s="2"/>
      <c r="BI181" s="1"/>
      <c r="BJ181" s="1"/>
      <c r="BK181" s="1"/>
    </row>
    <row r="182" spans="1:63" ht="12" customHeight="1">
      <c r="A182" s="1"/>
      <c r="B182" s="107">
        <v>18</v>
      </c>
      <c r="C182" s="31">
        <v>10</v>
      </c>
      <c r="D182" s="111" t="s">
        <v>21</v>
      </c>
      <c r="E182" s="2" t="s">
        <v>164</v>
      </c>
      <c r="F182" s="25" t="s">
        <v>149</v>
      </c>
      <c r="G182" s="2"/>
      <c r="H182" s="33"/>
      <c r="I182" s="99">
        <f t="shared" si="293"/>
        <v>314.53134048780487</v>
      </c>
      <c r="J182" s="101">
        <f t="shared" si="294"/>
        <v>21.9</v>
      </c>
      <c r="K182" s="101">
        <f t="shared" si="295"/>
        <v>10</v>
      </c>
      <c r="L182" s="144">
        <f t="shared" si="342"/>
        <v>8</v>
      </c>
      <c r="M182" s="99">
        <f t="shared" si="343"/>
        <v>9435.9402146341454</v>
      </c>
      <c r="N182" s="108">
        <f t="shared" si="358"/>
        <v>7224.391726829268</v>
      </c>
      <c r="O182" s="108"/>
      <c r="P182" s="108"/>
      <c r="Q182" s="108"/>
      <c r="R182" s="109">
        <f>X182*(1+(AG182/100)*(AI182/100-1))</f>
        <v>2211.5484878048778</v>
      </c>
      <c r="S182" s="99">
        <f t="shared" si="340"/>
        <v>7003.2368780487805</v>
      </c>
      <c r="T182" s="108">
        <f>AL182*AW182*AX182*AY182*IF(F182="백어택",1.2,1)</f>
        <v>5160.2798048780487</v>
      </c>
      <c r="U182" s="108"/>
      <c r="V182" s="108"/>
      <c r="W182" s="108"/>
      <c r="X182" s="109">
        <f>AL182*AS182+IF(AX182=1,AL182*AU182,AL182*AU182*2)</f>
        <v>1842.9570731707315</v>
      </c>
      <c r="Y182" s="99">
        <f t="shared" si="299"/>
        <v>14006.473756097561</v>
      </c>
      <c r="Z182" s="108">
        <f t="shared" ref="Z182:Z184" si="362">T182*$D$26/100</f>
        <v>10320.559609756097</v>
      </c>
      <c r="AA182" s="108"/>
      <c r="AB182" s="108"/>
      <c r="AC182" s="108"/>
      <c r="AD182" s="109">
        <f>X182*$D$26/100</f>
        <v>3685.914146341463</v>
      </c>
      <c r="AE182" s="99">
        <f>AO182-AR182</f>
        <v>30</v>
      </c>
      <c r="AF182" s="101"/>
      <c r="AG182" s="101">
        <f>IF($D$25&gt;100,100,$D$25)</f>
        <v>20</v>
      </c>
      <c r="AH182" s="101">
        <f t="shared" si="360"/>
        <v>657</v>
      </c>
      <c r="AI182" s="101">
        <f t="shared" si="361"/>
        <v>200</v>
      </c>
      <c r="AJ182" s="108">
        <f>10/6</f>
        <v>1.6666666666666667</v>
      </c>
      <c r="AK182" s="101">
        <f t="shared" si="316"/>
        <v>3071.5951219512194</v>
      </c>
      <c r="AL182" s="101">
        <f>(VLOOKUP(C182,$B$4:$AG$7,31,FALSE)+VLOOKUP(C182,$B$8:$AG$11,31,FALSE)*$D$22)*$D$27/100</f>
        <v>3071.5951219512194</v>
      </c>
      <c r="AM182" s="101"/>
      <c r="AN182" s="101"/>
      <c r="AO182" s="1">
        <v>36</v>
      </c>
      <c r="AP182" s="2"/>
      <c r="AQ182" s="74">
        <f>VLOOKUP(C182,$B$13:$AG$16,31,FALSE)</f>
        <v>657</v>
      </c>
      <c r="AR182" s="10">
        <v>6</v>
      </c>
      <c r="AS182" s="1">
        <v>0</v>
      </c>
      <c r="AT182" s="11"/>
      <c r="AU182" s="10">
        <v>0.3</v>
      </c>
      <c r="AV182" s="1"/>
      <c r="AW182" s="1">
        <v>1</v>
      </c>
      <c r="AX182" s="10">
        <v>1.4</v>
      </c>
      <c r="AY182" s="11">
        <v>1</v>
      </c>
      <c r="AZ182" s="2"/>
      <c r="BA182" s="2"/>
      <c r="BB182" s="2"/>
      <c r="BC182" s="1"/>
      <c r="BD182" s="113"/>
      <c r="BE182" s="2"/>
      <c r="BF182" s="2"/>
      <c r="BG182" s="2"/>
      <c r="BH182" s="2"/>
      <c r="BI182" s="1"/>
      <c r="BJ182" s="1"/>
      <c r="BK182" s="1"/>
    </row>
    <row r="183" spans="1:63" ht="12" customHeight="1">
      <c r="A183" s="1"/>
      <c r="B183" s="107">
        <v>14</v>
      </c>
      <c r="C183" s="31">
        <v>10</v>
      </c>
      <c r="D183" s="111" t="s">
        <v>18</v>
      </c>
      <c r="E183" s="2" t="s">
        <v>164</v>
      </c>
      <c r="F183" s="25" t="s">
        <v>149</v>
      </c>
      <c r="G183" s="2"/>
      <c r="H183" s="33" t="s">
        <v>80</v>
      </c>
      <c r="I183" s="99">
        <f t="shared" si="293"/>
        <v>305.42252487804876</v>
      </c>
      <c r="J183" s="101">
        <f t="shared" si="294"/>
        <v>26.05</v>
      </c>
      <c r="K183" s="101">
        <f t="shared" si="295"/>
        <v>12</v>
      </c>
      <c r="L183" s="144">
        <f t="shared" si="342"/>
        <v>9</v>
      </c>
      <c r="M183" s="99">
        <f t="shared" si="343"/>
        <v>6108.4504975609752</v>
      </c>
      <c r="N183" s="108">
        <f t="shared" si="358"/>
        <v>6108.4504975609752</v>
      </c>
      <c r="O183" s="108">
        <f>U183*(1+(($D$25+IF(F183="백어택",20,0))/100)*(AI183/100-1))</f>
        <v>0</v>
      </c>
      <c r="P183" s="108"/>
      <c r="Q183" s="108"/>
      <c r="R183" s="109"/>
      <c r="S183" s="99">
        <f t="shared" si="340"/>
        <v>3393.5836097560973</v>
      </c>
      <c r="T183" s="108">
        <f>AL183*IF(H183="근접",AT183,IF(AV183=1,AT183,1))*AX183*IF(F183="백어택",1.2,1)</f>
        <v>3393.5836097560973</v>
      </c>
      <c r="U183" s="108">
        <f>IF(AX183=1,AM183*IF(H183="근접",AT183,IF(AV183=1,AT183,1)),0)*AY183*IF(AX183=1,1,0)*IF(F183="백어택",1.2,1)</f>
        <v>0</v>
      </c>
      <c r="V183" s="108"/>
      <c r="W183" s="108"/>
      <c r="X183" s="109"/>
      <c r="Y183" s="99">
        <f t="shared" si="299"/>
        <v>6787.1672195121946</v>
      </c>
      <c r="Z183" s="108">
        <f t="shared" si="362"/>
        <v>6787.1672195121946</v>
      </c>
      <c r="AA183" s="108">
        <f>U183*$D$26/100</f>
        <v>0</v>
      </c>
      <c r="AB183" s="108"/>
      <c r="AC183" s="108"/>
      <c r="AD183" s="109"/>
      <c r="AE183" s="99">
        <f>(AO183-AR183)*IF(AW183="보스대상",1,POWER(0.85,AW183))</f>
        <v>20</v>
      </c>
      <c r="AF183" s="101"/>
      <c r="AG183" s="101">
        <f>IF($D$25&gt;100,100,$D$25)+AU183</f>
        <v>60</v>
      </c>
      <c r="AH183" s="101">
        <f t="shared" si="360"/>
        <v>521</v>
      </c>
      <c r="AI183" s="101">
        <f t="shared" si="361"/>
        <v>200</v>
      </c>
      <c r="AJ183" s="112">
        <f>10*AS183/IF(AX183=1,IF(AY183=1,4.5,4),4)</f>
        <v>2.5</v>
      </c>
      <c r="AK183" s="101">
        <f t="shared" si="316"/>
        <v>1692.0585365853658</v>
      </c>
      <c r="AL183" s="101">
        <f>IF(AV183=1,$D$29*(VLOOKUP(C183,$B$4:$AG$7,25,FALSE)+VLOOKUP(C183,$B$8:$AG$11,25,FALSE)*$D$22),(IF(H183="근접",$D$29*(VLOOKUP(C183,$B$4:$AG$7,25,FALSE)+VLOOKUP(C183,$B$8:$AG$11,25,FALSE)*$D$22),$D$28*(VLOOKUP(C183,$B$4:$AG$7,25,FALSE)+VLOOKUP(C183,$B$8:$AG$11,25,FALSE)*$D$22))))*$D$27/100</f>
        <v>1009.9951219512195</v>
      </c>
      <c r="AM183" s="101">
        <f>(IF(AV183=1,$D$29*(VLOOKUP(C183,$B$4:$AG$7,26,FALSE)+VLOOKUP(C183,$B$8:$AG$11,26,FALSE)*$D$22),IF(H183="근접",$D$29*(VLOOKUP(C183,$B$4:$AG$7,26,FALSE)+VLOOKUP(C183,$B$8:$AG$11,26,FALSE)*$D$22),$D$28*(VLOOKUP(C183,$B$4:$AG$7,26,FALSE)+VLOOKUP(C183,$B$8:$AG$11,26,FALSE)*$D$22))))*$D$27/100</f>
        <v>682.06341463414628</v>
      </c>
      <c r="AN183" s="101"/>
      <c r="AO183" s="1">
        <v>24</v>
      </c>
      <c r="AP183" s="2"/>
      <c r="AQ183" s="74">
        <f>VLOOKUP(C183,$B$13:$AA$16,25,FALSE)</f>
        <v>521</v>
      </c>
      <c r="AR183" s="10">
        <v>4</v>
      </c>
      <c r="AS183" s="1">
        <v>1</v>
      </c>
      <c r="AT183" s="11">
        <v>1</v>
      </c>
      <c r="AU183" s="10">
        <v>40</v>
      </c>
      <c r="AV183" s="1">
        <v>0</v>
      </c>
      <c r="AW183" s="1" t="s">
        <v>86</v>
      </c>
      <c r="AX183" s="10">
        <v>2.8</v>
      </c>
      <c r="AY183" s="11">
        <v>1</v>
      </c>
      <c r="AZ183" s="2"/>
      <c r="BA183" s="2"/>
      <c r="BB183" s="2"/>
      <c r="BC183" s="1"/>
      <c r="BD183" s="111"/>
      <c r="BE183" s="2"/>
      <c r="BF183" s="3"/>
      <c r="BG183" s="2"/>
      <c r="BH183" s="2"/>
      <c r="BI183" s="1"/>
      <c r="BJ183" s="1"/>
      <c r="BK183" s="1"/>
    </row>
    <row r="184" spans="1:63" ht="12" customHeight="1">
      <c r="A184" s="1"/>
      <c r="B184" s="107">
        <v>19</v>
      </c>
      <c r="C184" s="31">
        <v>10</v>
      </c>
      <c r="D184" s="111" t="s">
        <v>21</v>
      </c>
      <c r="E184" s="2" t="s">
        <v>157</v>
      </c>
      <c r="F184" s="25"/>
      <c r="G184" s="2" t="s">
        <v>177</v>
      </c>
      <c r="H184" s="33"/>
      <c r="I184" s="99">
        <f t="shared" si="293"/>
        <v>294.87313170731704</v>
      </c>
      <c r="J184" s="101">
        <f t="shared" si="294"/>
        <v>21.9</v>
      </c>
      <c r="K184" s="101">
        <f t="shared" si="295"/>
        <v>14</v>
      </c>
      <c r="L184" s="144">
        <f t="shared" si="342"/>
        <v>10</v>
      </c>
      <c r="M184" s="99">
        <f t="shared" si="343"/>
        <v>8846.1939512195113</v>
      </c>
      <c r="N184" s="108">
        <f t="shared" si="358"/>
        <v>8846.1939512195113</v>
      </c>
      <c r="O184" s="108"/>
      <c r="P184" s="108"/>
      <c r="Q184" s="108"/>
      <c r="R184" s="109">
        <f>X184*(1+(AG184/100)*(AI184/100-1))</f>
        <v>0</v>
      </c>
      <c r="S184" s="99">
        <f t="shared" si="340"/>
        <v>7371.828292682927</v>
      </c>
      <c r="T184" s="108">
        <f>AL184*AW184*AX184*AY184*IF(F184="백어택",1.2,1)</f>
        <v>7371.828292682927</v>
      </c>
      <c r="U184" s="108"/>
      <c r="V184" s="108"/>
      <c r="W184" s="108"/>
      <c r="X184" s="109">
        <f>AL184*AS184+IF(AX184=1,AL184*AU184,AL184*AU184*2)</f>
        <v>0</v>
      </c>
      <c r="Y184" s="99">
        <f t="shared" si="299"/>
        <v>14743.656585365856</v>
      </c>
      <c r="Z184" s="108">
        <f t="shared" si="362"/>
        <v>14743.656585365856</v>
      </c>
      <c r="AA184" s="108"/>
      <c r="AB184" s="108"/>
      <c r="AC184" s="108"/>
      <c r="AD184" s="109">
        <f>X184*$D$26/100</f>
        <v>0</v>
      </c>
      <c r="AE184" s="99">
        <f>AO184-AR184</f>
        <v>30</v>
      </c>
      <c r="AF184" s="101"/>
      <c r="AG184" s="101">
        <f>IF($D$25&gt;100,100,$D$25)</f>
        <v>20</v>
      </c>
      <c r="AH184" s="101">
        <f t="shared" si="360"/>
        <v>657</v>
      </c>
      <c r="AI184" s="101">
        <f t="shared" si="361"/>
        <v>200</v>
      </c>
      <c r="AJ184" s="108">
        <f>10/6</f>
        <v>1.6666666666666667</v>
      </c>
      <c r="AK184" s="101">
        <f t="shared" si="316"/>
        <v>3071.5951219512194</v>
      </c>
      <c r="AL184" s="101">
        <f>(VLOOKUP(C184,$B$4:$AG$7,31,FALSE)+VLOOKUP(C184,$B$8:$AG$11,31,FALSE)*$D$22)*$D$27/100</f>
        <v>3071.5951219512194</v>
      </c>
      <c r="AM184" s="101"/>
      <c r="AN184" s="101"/>
      <c r="AO184" s="1">
        <v>36</v>
      </c>
      <c r="AP184" s="2"/>
      <c r="AQ184" s="74">
        <f>VLOOKUP(C184,$B$13:$AG$16,31,FALSE)</f>
        <v>657</v>
      </c>
      <c r="AR184" s="10">
        <v>6</v>
      </c>
      <c r="AS184" s="1">
        <v>0</v>
      </c>
      <c r="AT184" s="11"/>
      <c r="AU184" s="10">
        <v>0</v>
      </c>
      <c r="AV184" s="1"/>
      <c r="AW184" s="1">
        <v>1.5</v>
      </c>
      <c r="AX184" s="10">
        <v>1</v>
      </c>
      <c r="AY184" s="11">
        <v>1.6</v>
      </c>
      <c r="AZ184" s="2"/>
      <c r="BA184" s="2"/>
      <c r="BB184" s="2"/>
      <c r="BC184" s="1"/>
      <c r="BD184" s="113"/>
      <c r="BE184" s="2"/>
      <c r="BF184" s="1"/>
      <c r="BG184" s="2"/>
      <c r="BH184" s="2"/>
      <c r="BI184" s="1"/>
      <c r="BJ184" s="1"/>
      <c r="BK184" s="2"/>
    </row>
    <row r="185" spans="1:63" ht="12" customHeight="1">
      <c r="A185" s="1"/>
      <c r="B185" s="107">
        <v>13</v>
      </c>
      <c r="C185" s="31">
        <v>10</v>
      </c>
      <c r="D185" s="111" t="s">
        <v>14</v>
      </c>
      <c r="E185" s="2" t="s">
        <v>164</v>
      </c>
      <c r="F185" s="25"/>
      <c r="G185" s="2"/>
      <c r="H185" s="33" t="s">
        <v>81</v>
      </c>
      <c r="I185" s="99">
        <f t="shared" si="293"/>
        <v>279.26035772357721</v>
      </c>
      <c r="J185" s="101">
        <f t="shared" si="294"/>
        <v>18.25</v>
      </c>
      <c r="K185" s="101">
        <f t="shared" si="295"/>
        <v>17</v>
      </c>
      <c r="L185" s="144">
        <f t="shared" si="342"/>
        <v>11</v>
      </c>
      <c r="M185" s="99">
        <f t="shared" si="343"/>
        <v>10053.37287804878</v>
      </c>
      <c r="N185" s="101">
        <f t="shared" si="358"/>
        <v>1874.7539634146342</v>
      </c>
      <c r="O185" s="101">
        <f>U185*(1+((AG185+IF(F185="백어택",20,0))/100)*(AI185/100-1))</f>
        <v>1874.7539634146342</v>
      </c>
      <c r="P185" s="101">
        <f>V185*(1+((AG185+IF(F185="백어택",20,0))/100)*(AI185*IF(AX185=1,AW185,1)/100-1))</f>
        <v>2533.8501219512191</v>
      </c>
      <c r="Q185" s="101">
        <f>W185*(1+((AG185+IF(F185="백어택",20,0))/100)*(AI185*AW185/100-1))</f>
        <v>3770.0148292682925</v>
      </c>
      <c r="R185" s="109"/>
      <c r="S185" s="99">
        <f t="shared" si="340"/>
        <v>6002.0136585365854</v>
      </c>
      <c r="T185" s="101">
        <f>AL185*AY185*IF(F185="백어택",1.2,1)</f>
        <v>1119.2560975609756</v>
      </c>
      <c r="U185" s="101">
        <f>AM185*AY185*IF(F185="백어택",1.2,1)</f>
        <v>1119.2560975609756</v>
      </c>
      <c r="V185" s="101">
        <f>AN185*AY185*IF(F185="백어택",1.2,1)</f>
        <v>1512.7463414634144</v>
      </c>
      <c r="W185" s="101">
        <f>(T185+U185+V185)*IF(AX185=1,0,0.6)*IF(F185="백어택",1.2,1)</f>
        <v>2250.7551219512193</v>
      </c>
      <c r="X185" s="74"/>
      <c r="Y185" s="99">
        <f t="shared" si="299"/>
        <v>15005.034146341462</v>
      </c>
      <c r="Z185" s="101">
        <f>T185*AI185/100</f>
        <v>2798.1402439024391</v>
      </c>
      <c r="AA185" s="101">
        <f>U185*AI185/100</f>
        <v>2798.1402439024391</v>
      </c>
      <c r="AB185" s="101">
        <f>V185*AI185*IF(AX185=1,AW185,1)/100</f>
        <v>3781.8658536585363</v>
      </c>
      <c r="AC185" s="101">
        <f>W185*AI185*AW185/100</f>
        <v>5626.887804878048</v>
      </c>
      <c r="AD185" s="74"/>
      <c r="AE185" s="99">
        <f>AO185</f>
        <v>36</v>
      </c>
      <c r="AF185" s="101"/>
      <c r="AG185" s="101">
        <f>IF($D$25+AU185&gt;100,100,$D$25+AU185)</f>
        <v>45</v>
      </c>
      <c r="AH185" s="101">
        <f>AQ185*AS185</f>
        <v>657</v>
      </c>
      <c r="AI185" s="101">
        <f>$D$26+IF(H185="근접",AR185,0)+IF(AY185=1,0,50)</f>
        <v>250</v>
      </c>
      <c r="AJ185" s="108">
        <f>10/3</f>
        <v>3.3333333333333335</v>
      </c>
      <c r="AK185" s="101">
        <f t="shared" si="316"/>
        <v>3751.2585365853656</v>
      </c>
      <c r="AL185" s="101">
        <f>(IF(H185="근접",$D$29*(VLOOKUP(C185,$B$4:$AG$7,19,FALSE)+VLOOKUP(C185,$B$8:$AG$11,19,FALSE)*$D$22),$D$28*(VLOOKUP(C185,$B$4:$AG$7,19,FALSE)+VLOOKUP(C185,$B$8:$AG$11,19,FALSE)*$D$22)))*$D$27/100</f>
        <v>1119.2560975609756</v>
      </c>
      <c r="AM185" s="101">
        <f>(IF(H185="근접",$D$29*(VLOOKUP(C185,$B$4:$AG$7,20,FALSE)+VLOOKUP(C185,$B$8:$AG$11,20,FALSE)*$D$22),$D$28*(VLOOKUP(C185,$B$4:$AG$7,20,FALSE)+VLOOKUP(C185,$B$8:$AG$11,20,FALSE)*$D$22)))*$D$27/100</f>
        <v>1119.2560975609756</v>
      </c>
      <c r="AN185" s="101">
        <f>(IF(H185="근접",$D$29*(VLOOKUP(C185,$B$4:$AG$7,21,FALSE)+VLOOKUP(C185,$B$8:$AG$11,21,FALSE)*$D$22),$D$28*(VLOOKUP(C185,$B$4:$AG$7,21,FALSE)+VLOOKUP(C185,$B$8:$AG$11,21,FALSE)*$D$22)))*$D$27/100</f>
        <v>1512.7463414634144</v>
      </c>
      <c r="AO185" s="1">
        <v>36</v>
      </c>
      <c r="AP185" s="2"/>
      <c r="AQ185" s="74">
        <f>VLOOKUP(C185,$B$13:$AA$16,19,FALSE)</f>
        <v>657</v>
      </c>
      <c r="AR185" s="10">
        <v>50</v>
      </c>
      <c r="AS185" s="1">
        <v>1</v>
      </c>
      <c r="AT185" s="11"/>
      <c r="AU185" s="10">
        <v>25</v>
      </c>
      <c r="AV185" s="1"/>
      <c r="AW185" s="1">
        <v>1</v>
      </c>
      <c r="AX185" s="10">
        <v>0.6</v>
      </c>
      <c r="AY185" s="11">
        <v>1</v>
      </c>
      <c r="AZ185" s="2"/>
      <c r="BA185" s="2"/>
      <c r="BB185" s="2"/>
      <c r="BC185" s="1"/>
      <c r="BD185" s="111"/>
      <c r="BE185" s="2"/>
      <c r="BF185" s="3"/>
      <c r="BG185" s="2"/>
      <c r="BH185" s="2"/>
      <c r="BI185" s="1"/>
      <c r="BJ185" s="1"/>
      <c r="BK185" s="2"/>
    </row>
    <row r="186" spans="1:63" ht="12" customHeight="1">
      <c r="A186" s="1"/>
      <c r="B186" s="107">
        <v>19</v>
      </c>
      <c r="C186" s="31">
        <v>10</v>
      </c>
      <c r="D186" s="111" t="s">
        <v>21</v>
      </c>
      <c r="E186" s="2" t="s">
        <v>157</v>
      </c>
      <c r="F186" s="25" t="s">
        <v>149</v>
      </c>
      <c r="G186" s="2" t="s">
        <v>178</v>
      </c>
      <c r="H186" s="33"/>
      <c r="I186" s="99">
        <f t="shared" si="293"/>
        <v>275.21492292682922</v>
      </c>
      <c r="J186" s="101">
        <f t="shared" si="294"/>
        <v>21.9</v>
      </c>
      <c r="K186" s="101">
        <f t="shared" si="295"/>
        <v>19</v>
      </c>
      <c r="L186" s="144">
        <f t="shared" si="342"/>
        <v>12</v>
      </c>
      <c r="M186" s="99">
        <f t="shared" si="343"/>
        <v>8256.4476878048772</v>
      </c>
      <c r="N186" s="108">
        <f t="shared" si="358"/>
        <v>8256.4476878048772</v>
      </c>
      <c r="O186" s="108"/>
      <c r="P186" s="108"/>
      <c r="Q186" s="108"/>
      <c r="R186" s="109">
        <f>X186*(1+(AG186/100)*(AI186/100-1))</f>
        <v>0</v>
      </c>
      <c r="S186" s="99">
        <f t="shared" si="340"/>
        <v>5897.4626341463418</v>
      </c>
      <c r="T186" s="108">
        <f>AL186*AW186*AX186*AY186*IF(F186="백어택",1.2,1)</f>
        <v>5897.4626341463418</v>
      </c>
      <c r="U186" s="108"/>
      <c r="V186" s="108"/>
      <c r="W186" s="108"/>
      <c r="X186" s="109">
        <f>AL186*AS186+IF(AX186=1,AL186*AU186,AL186*AU186*2)</f>
        <v>0</v>
      </c>
      <c r="Y186" s="99">
        <f t="shared" si="299"/>
        <v>11794.925268292684</v>
      </c>
      <c r="Z186" s="108">
        <f t="shared" ref="Z186:Z188" si="363">T186*$D$26/100</f>
        <v>11794.925268292684</v>
      </c>
      <c r="AA186" s="108"/>
      <c r="AB186" s="108"/>
      <c r="AC186" s="108"/>
      <c r="AD186" s="109">
        <f>X186*$D$26/100</f>
        <v>0</v>
      </c>
      <c r="AE186" s="99">
        <f>AO186-AR186</f>
        <v>30</v>
      </c>
      <c r="AF186" s="101"/>
      <c r="AG186" s="101">
        <f>IF($D$25&gt;100,100,$D$25)</f>
        <v>20</v>
      </c>
      <c r="AH186" s="101">
        <f t="shared" ref="AH186:AH188" si="364">AQ186</f>
        <v>657</v>
      </c>
      <c r="AI186" s="101">
        <f t="shared" ref="AI186:AI188" si="365">$D$26</f>
        <v>200</v>
      </c>
      <c r="AJ186" s="108">
        <f>10/6</f>
        <v>1.6666666666666667</v>
      </c>
      <c r="AK186" s="101">
        <f t="shared" si="316"/>
        <v>3071.5951219512194</v>
      </c>
      <c r="AL186" s="101">
        <f>(VLOOKUP(C186,$B$4:$AG$7,31,FALSE)+VLOOKUP(C186,$B$8:$AG$11,31,FALSE)*$D$22)*$D$27/100</f>
        <v>3071.5951219512194</v>
      </c>
      <c r="AM186" s="101"/>
      <c r="AN186" s="101"/>
      <c r="AO186" s="1">
        <v>36</v>
      </c>
      <c r="AP186" s="2"/>
      <c r="AQ186" s="74">
        <f>VLOOKUP(C186,$B$13:$AG$16,31,FALSE)</f>
        <v>657</v>
      </c>
      <c r="AR186" s="10">
        <v>6</v>
      </c>
      <c r="AS186" s="1">
        <v>0</v>
      </c>
      <c r="AT186" s="11"/>
      <c r="AU186" s="10">
        <v>0</v>
      </c>
      <c r="AV186" s="1"/>
      <c r="AW186" s="1">
        <v>1</v>
      </c>
      <c r="AX186" s="10">
        <v>1</v>
      </c>
      <c r="AY186" s="11">
        <v>1.6</v>
      </c>
      <c r="AZ186" s="2"/>
      <c r="BA186" s="2"/>
      <c r="BB186" s="2"/>
      <c r="BC186" s="1"/>
      <c r="BD186" s="113"/>
      <c r="BE186" s="2"/>
      <c r="BF186" s="2"/>
      <c r="BG186" s="2"/>
      <c r="BH186" s="2"/>
      <c r="BI186" s="1"/>
      <c r="BJ186" s="1"/>
      <c r="BK186" s="1"/>
    </row>
    <row r="187" spans="1:63" ht="12" customHeight="1">
      <c r="A187" s="1"/>
      <c r="B187" s="107">
        <v>15</v>
      </c>
      <c r="C187" s="31">
        <v>10</v>
      </c>
      <c r="D187" s="111" t="s">
        <v>18</v>
      </c>
      <c r="E187" s="2" t="s">
        <v>154</v>
      </c>
      <c r="F187" s="25"/>
      <c r="G187" s="2"/>
      <c r="H187" s="33" t="s">
        <v>81</v>
      </c>
      <c r="I187" s="99">
        <f t="shared" si="293"/>
        <v>275.05668292682924</v>
      </c>
      <c r="J187" s="101">
        <f t="shared" si="294"/>
        <v>26.05</v>
      </c>
      <c r="K187" s="101">
        <f t="shared" si="295"/>
        <v>20</v>
      </c>
      <c r="L187" s="144">
        <f t="shared" si="342"/>
        <v>13</v>
      </c>
      <c r="M187" s="99">
        <f t="shared" si="343"/>
        <v>5501.1336585365852</v>
      </c>
      <c r="N187" s="108">
        <f t="shared" si="358"/>
        <v>1817.9912195121954</v>
      </c>
      <c r="O187" s="108">
        <f t="shared" ref="O187:O188" si="366">U187*(1+(($D$25+IF(F187="백어택",20,0))/100)*(AI187/100-1))</f>
        <v>3683.1424390243897</v>
      </c>
      <c r="P187" s="108"/>
      <c r="Q187" s="108"/>
      <c r="R187" s="109"/>
      <c r="S187" s="99">
        <f t="shared" si="340"/>
        <v>4584.2780487804876</v>
      </c>
      <c r="T187" s="108">
        <f t="shared" ref="T187:T188" si="367">AL187*IF(H187="근접",AT187,IF(AV187=1,AT187,1))*AX187*IF(F187="백어택",1.2,1)</f>
        <v>1514.9926829268295</v>
      </c>
      <c r="U187" s="108">
        <f t="shared" ref="U187:U188" si="368">IF(AX187=1,AM187*IF(H187="근접",AT187,IF(AV187=1,AT187,1)),0)*AY187*IF(AX187=1,1,0)*IF(F187="백어택",1.2,1)</f>
        <v>3069.2853658536583</v>
      </c>
      <c r="V187" s="108"/>
      <c r="W187" s="108"/>
      <c r="X187" s="109"/>
      <c r="Y187" s="99">
        <f t="shared" si="299"/>
        <v>9168.5560975609751</v>
      </c>
      <c r="Z187" s="108">
        <f t="shared" si="363"/>
        <v>3029.985365853659</v>
      </c>
      <c r="AA187" s="108">
        <f t="shared" ref="AA187:AA188" si="369">U187*$D$26/100</f>
        <v>6138.5707317073166</v>
      </c>
      <c r="AB187" s="108"/>
      <c r="AC187" s="108"/>
      <c r="AD187" s="109"/>
      <c r="AE187" s="99">
        <f t="shared" ref="AE187:AE188" si="370">(AO187-AR187)*IF(AW187="보스대상",1,POWER(0.85,AW187))</f>
        <v>20</v>
      </c>
      <c r="AF187" s="101"/>
      <c r="AG187" s="101">
        <f t="shared" ref="AG187:AG188" si="371">IF($D$25&gt;100,100,$D$25)+AU187</f>
        <v>20</v>
      </c>
      <c r="AH187" s="101">
        <f t="shared" si="364"/>
        <v>521</v>
      </c>
      <c r="AI187" s="101">
        <f t="shared" si="365"/>
        <v>200</v>
      </c>
      <c r="AJ187" s="112">
        <f t="shared" ref="AJ187:AJ188" si="372">10*AS187/IF(AX187=1,IF(AY187=1,4.5,4),4)</f>
        <v>2.5</v>
      </c>
      <c r="AK187" s="101">
        <f t="shared" si="316"/>
        <v>2538.0878048780487</v>
      </c>
      <c r="AL187" s="101">
        <f t="shared" ref="AL187:AL188" si="373">IF(AV187=1,$D$29*(VLOOKUP(C187,$B$4:$AG$7,25,FALSE)+VLOOKUP(C187,$B$8:$AG$11,25,FALSE)*$D$22),(IF(H187="근접",$D$29*(VLOOKUP(C187,$B$4:$AG$7,25,FALSE)+VLOOKUP(C187,$B$8:$AG$11,25,FALSE)*$D$22),$D$28*(VLOOKUP(C187,$B$4:$AG$7,25,FALSE)+VLOOKUP(C187,$B$8:$AG$11,25,FALSE)*$D$22))))*$D$27/100</f>
        <v>1514.9926829268295</v>
      </c>
      <c r="AM187" s="101">
        <f t="shared" ref="AM187:AM188" si="374">(IF(AV187=1,$D$29*(VLOOKUP(C187,$B$4:$AG$7,26,FALSE)+VLOOKUP(C187,$B$8:$AG$11,26,FALSE)*$D$22),IF(H187="근접",$D$29*(VLOOKUP(C187,$B$4:$AG$7,26,FALSE)+VLOOKUP(C187,$B$8:$AG$11,26,FALSE)*$D$22),$D$28*(VLOOKUP(C187,$B$4:$AG$7,26,FALSE)+VLOOKUP(C187,$B$8:$AG$11,26,FALSE)*$D$22))))*$D$27/100</f>
        <v>1023.0951219512194</v>
      </c>
      <c r="AN187" s="101"/>
      <c r="AO187" s="1">
        <v>24</v>
      </c>
      <c r="AP187" s="2"/>
      <c r="AQ187" s="74">
        <f t="shared" ref="AQ187:AQ188" si="375">VLOOKUP(C187,$B$13:$AA$16,25,FALSE)</f>
        <v>521</v>
      </c>
      <c r="AR187" s="10">
        <v>4</v>
      </c>
      <c r="AS187" s="1">
        <v>1</v>
      </c>
      <c r="AT187" s="11">
        <v>1</v>
      </c>
      <c r="AU187" s="10">
        <v>0</v>
      </c>
      <c r="AV187" s="1">
        <v>1</v>
      </c>
      <c r="AW187" s="1" t="s">
        <v>86</v>
      </c>
      <c r="AX187" s="10">
        <v>1</v>
      </c>
      <c r="AY187" s="11">
        <v>3</v>
      </c>
      <c r="AZ187" s="2"/>
      <c r="BA187" s="2"/>
      <c r="BB187" s="2"/>
      <c r="BC187" s="1"/>
      <c r="BD187" s="111"/>
      <c r="BE187" s="2"/>
      <c r="BF187" s="3"/>
      <c r="BG187" s="2"/>
      <c r="BH187" s="2"/>
      <c r="BI187" s="1"/>
      <c r="BJ187" s="1"/>
      <c r="BK187" s="1"/>
    </row>
    <row r="188" spans="1:63" ht="12" customHeight="1">
      <c r="A188" s="1"/>
      <c r="B188" s="107">
        <v>15</v>
      </c>
      <c r="C188" s="31">
        <v>10</v>
      </c>
      <c r="D188" s="111" t="s">
        <v>18</v>
      </c>
      <c r="E188" s="2" t="s">
        <v>154</v>
      </c>
      <c r="F188" s="25"/>
      <c r="G188" s="2"/>
      <c r="H188" s="33" t="s">
        <v>80</v>
      </c>
      <c r="I188" s="99">
        <f t="shared" si="293"/>
        <v>275.05668292682924</v>
      </c>
      <c r="J188" s="101">
        <f t="shared" si="294"/>
        <v>26.05</v>
      </c>
      <c r="K188" s="101">
        <f t="shared" si="295"/>
        <v>20</v>
      </c>
      <c r="L188" s="144">
        <f t="shared" si="342"/>
        <v>13</v>
      </c>
      <c r="M188" s="99">
        <f t="shared" si="343"/>
        <v>5501.1336585365852</v>
      </c>
      <c r="N188" s="108">
        <f t="shared" si="358"/>
        <v>1817.9912195121954</v>
      </c>
      <c r="O188" s="108">
        <f t="shared" si="366"/>
        <v>3683.1424390243897</v>
      </c>
      <c r="P188" s="108"/>
      <c r="Q188" s="108"/>
      <c r="R188" s="109"/>
      <c r="S188" s="99">
        <f t="shared" si="340"/>
        <v>4584.2780487804876</v>
      </c>
      <c r="T188" s="108">
        <f t="shared" si="367"/>
        <v>1514.9926829268295</v>
      </c>
      <c r="U188" s="108">
        <f t="shared" si="368"/>
        <v>3069.2853658536583</v>
      </c>
      <c r="V188" s="108"/>
      <c r="W188" s="108"/>
      <c r="X188" s="109"/>
      <c r="Y188" s="99">
        <f t="shared" si="299"/>
        <v>9168.5560975609751</v>
      </c>
      <c r="Z188" s="108">
        <f t="shared" si="363"/>
        <v>3029.985365853659</v>
      </c>
      <c r="AA188" s="108">
        <f t="shared" si="369"/>
        <v>6138.5707317073166</v>
      </c>
      <c r="AB188" s="108"/>
      <c r="AC188" s="108"/>
      <c r="AD188" s="109"/>
      <c r="AE188" s="99">
        <f t="shared" si="370"/>
        <v>20</v>
      </c>
      <c r="AF188" s="101"/>
      <c r="AG188" s="101">
        <f t="shared" si="371"/>
        <v>20</v>
      </c>
      <c r="AH188" s="101">
        <f t="shared" si="364"/>
        <v>521</v>
      </c>
      <c r="AI188" s="101">
        <f t="shared" si="365"/>
        <v>200</v>
      </c>
      <c r="AJ188" s="112">
        <f t="shared" si="372"/>
        <v>2.5</v>
      </c>
      <c r="AK188" s="101">
        <f t="shared" si="316"/>
        <v>2538.0878048780487</v>
      </c>
      <c r="AL188" s="101">
        <f t="shared" si="373"/>
        <v>1514.9926829268295</v>
      </c>
      <c r="AM188" s="101">
        <f t="shared" si="374"/>
        <v>1023.0951219512194</v>
      </c>
      <c r="AN188" s="101"/>
      <c r="AO188" s="1">
        <v>24</v>
      </c>
      <c r="AP188" s="2"/>
      <c r="AQ188" s="74">
        <f t="shared" si="375"/>
        <v>521</v>
      </c>
      <c r="AR188" s="10">
        <v>4</v>
      </c>
      <c r="AS188" s="1">
        <v>1</v>
      </c>
      <c r="AT188" s="11">
        <v>1</v>
      </c>
      <c r="AU188" s="10">
        <v>0</v>
      </c>
      <c r="AV188" s="1">
        <v>1</v>
      </c>
      <c r="AW188" s="1" t="s">
        <v>86</v>
      </c>
      <c r="AX188" s="10">
        <v>1</v>
      </c>
      <c r="AY188" s="11">
        <v>3</v>
      </c>
      <c r="AZ188" s="2"/>
      <c r="BA188" s="2"/>
      <c r="BB188" s="2"/>
      <c r="BC188" s="1"/>
      <c r="BD188" s="111"/>
      <c r="BE188" s="2"/>
      <c r="BF188" s="3"/>
      <c r="BG188" s="2"/>
      <c r="BH188" s="2"/>
      <c r="BI188" s="1"/>
      <c r="BJ188" s="1"/>
      <c r="BK188" s="1"/>
    </row>
    <row r="189" spans="1:63" ht="12" customHeight="1">
      <c r="A189" s="1"/>
      <c r="B189" s="107">
        <v>17</v>
      </c>
      <c r="C189" s="31">
        <v>10</v>
      </c>
      <c r="D189" s="111" t="s">
        <v>8</v>
      </c>
      <c r="E189" s="2" t="s">
        <v>164</v>
      </c>
      <c r="F189" s="25"/>
      <c r="G189" s="2"/>
      <c r="H189" s="33" t="s">
        <v>81</v>
      </c>
      <c r="I189" s="99">
        <f t="shared" si="293"/>
        <v>255.59751219512194</v>
      </c>
      <c r="J189" s="101">
        <f t="shared" si="294"/>
        <v>30.391666666666666</v>
      </c>
      <c r="K189" s="101">
        <f t="shared" si="295"/>
        <v>23</v>
      </c>
      <c r="L189" s="144">
        <f t="shared" si="342"/>
        <v>15</v>
      </c>
      <c r="M189" s="99">
        <f t="shared" si="343"/>
        <v>6134.3402926829267</v>
      </c>
      <c r="N189" s="108">
        <f>T189*(1+((AG189+IF(F189="백어택",20,0))/100)*(IF(AY189=1,$D$26,$D$26+50)/100-1))</f>
        <v>1726.9287804878049</v>
      </c>
      <c r="O189" s="108">
        <f>U189*(1+((AG189+IF(F189="백어택",20,0))/100)*(AI189/100-1))</f>
        <v>2203.7057560975609</v>
      </c>
      <c r="P189" s="108">
        <f>V189*(1+((AG189+IF(F189="백어택",20,0))/100)*(AI189/100-1))</f>
        <v>2203.7057560975609</v>
      </c>
      <c r="Q189" s="108"/>
      <c r="R189" s="109"/>
      <c r="S189" s="99">
        <f t="shared" si="340"/>
        <v>4230.5795121951223</v>
      </c>
      <c r="T189" s="108">
        <f>AL189*IF(H189="근접",AR189,1)*AY189*IF(F189="백어택",1.2,1)</f>
        <v>1190.9853658536585</v>
      </c>
      <c r="U189" s="108">
        <f>AM189*IF(H189="근접",AR189,1)*AY189*IF(F189="백어택",1.2,1)</f>
        <v>1519.7970731707317</v>
      </c>
      <c r="V189" s="108">
        <f>IF(AX189=1,0,AM189*IF(H189="근접",AR189,1)*AY189)*IF(F189="백어택",1.2,1)</f>
        <v>1519.7970731707317</v>
      </c>
      <c r="W189" s="108"/>
      <c r="X189" s="109"/>
      <c r="Y189" s="99">
        <f t="shared" si="299"/>
        <v>8461.1590243902447</v>
      </c>
      <c r="Z189" s="108">
        <f>T189*IF(AY189=1,$D$26,$D$26+50)/100</f>
        <v>2381.9707317073171</v>
      </c>
      <c r="AA189" s="108">
        <f>U189*AI189/100</f>
        <v>3039.5941463414633</v>
      </c>
      <c r="AB189" s="108">
        <f>V189*AI189/100</f>
        <v>3039.5941463414633</v>
      </c>
      <c r="AC189" s="108"/>
      <c r="AD189" s="109"/>
      <c r="AE189" s="99">
        <f>AO189</f>
        <v>24</v>
      </c>
      <c r="AF189" s="101"/>
      <c r="AG189" s="101">
        <f>IF($D$25+AU189&gt;100,100,$D$25+AU189)</f>
        <v>45</v>
      </c>
      <c r="AH189" s="101">
        <f>IF(AX189=1,AQ189,AQ189*1.4)</f>
        <v>729.4</v>
      </c>
      <c r="AI189" s="101">
        <f>IF(AY189=1,$D$26,$D$26+50)*AW189</f>
        <v>200</v>
      </c>
      <c r="AJ189" s="108">
        <f>10/6/AX189</f>
        <v>1.1111111111111112</v>
      </c>
      <c r="AK189" s="101">
        <f t="shared" si="316"/>
        <v>2258.9853658536585</v>
      </c>
      <c r="AL189" s="101">
        <f>(IF(H189="근접",$D$29*(VLOOKUP(C189,$B$4:$AG$7,9,FALSE)+VLOOKUP(C189,$B$8:$AG$11,9,FALSE)*$D$22),$D$28*(VLOOKUP(C189,$B$4:$AG$7,9,FALSE)+VLOOKUP(C189,$B$8:$AG$11,9,FALSE)*$D$22)))*$D$27/100</f>
        <v>992.48780487804879</v>
      </c>
      <c r="AM189" s="101">
        <f>(IF(H189="근접",$D$29*(VLOOKUP(C189,$B$4:$AG$7,10,FALSE)+VLOOKUP(C189,$B$8:$AG$11,10,FALSE)*$D$22),$D$28*(VLOOKUP(C189,$B$4:$AG$7,10,FALSE)+VLOOKUP(C189,$B$8:$AG$11,10,FALSE)*$D$22)))*$D$27/100</f>
        <v>1266.4975609756098</v>
      </c>
      <c r="AN189" s="101"/>
      <c r="AO189" s="1">
        <v>24</v>
      </c>
      <c r="AP189" s="2"/>
      <c r="AQ189" s="74">
        <f>VLOOKUP(C189,$B$13:$AA$16,9,FALSE)</f>
        <v>521</v>
      </c>
      <c r="AR189" s="10">
        <v>1.2</v>
      </c>
      <c r="AS189" s="1"/>
      <c r="AT189" s="11"/>
      <c r="AU189" s="10">
        <v>25</v>
      </c>
      <c r="AV189" s="1"/>
      <c r="AW189" s="1">
        <v>1</v>
      </c>
      <c r="AX189" s="10">
        <v>1.5</v>
      </c>
      <c r="AY189" s="11">
        <v>1</v>
      </c>
      <c r="AZ189" s="2"/>
      <c r="BA189" s="2"/>
      <c r="BB189" s="2"/>
      <c r="BC189" s="1"/>
      <c r="BD189" s="111"/>
      <c r="BE189" s="2"/>
      <c r="BF189" s="3"/>
      <c r="BG189" s="2"/>
      <c r="BH189" s="2"/>
      <c r="BI189" s="1"/>
      <c r="BJ189" s="1"/>
      <c r="BK189" s="1"/>
    </row>
    <row r="190" spans="1:63" ht="12" customHeight="1">
      <c r="A190" s="1"/>
      <c r="B190" s="107">
        <v>18</v>
      </c>
      <c r="C190" s="31">
        <v>10</v>
      </c>
      <c r="D190" s="111" t="s">
        <v>21</v>
      </c>
      <c r="E190" s="2" t="s">
        <v>164</v>
      </c>
      <c r="F190" s="25"/>
      <c r="G190" s="2"/>
      <c r="H190" s="33"/>
      <c r="I190" s="99">
        <f t="shared" si="293"/>
        <v>245.72760975609756</v>
      </c>
      <c r="J190" s="101">
        <f t="shared" si="294"/>
        <v>21.9</v>
      </c>
      <c r="K190" s="101">
        <f t="shared" si="295"/>
        <v>26</v>
      </c>
      <c r="L190" s="144">
        <f t="shared" si="342"/>
        <v>16</v>
      </c>
      <c r="M190" s="99">
        <f t="shared" si="343"/>
        <v>7371.828292682927</v>
      </c>
      <c r="N190" s="108">
        <f t="shared" ref="N190:N193" si="376">T190*(1+((AG190+IF(F190="백어택",20,0))/100)*(AI190/100-1))</f>
        <v>5160.2798048780487</v>
      </c>
      <c r="O190" s="108"/>
      <c r="P190" s="108"/>
      <c r="Q190" s="108"/>
      <c r="R190" s="109">
        <f>X190*(1+(AG190/100)*(AI190/100-1))</f>
        <v>2211.5484878048778</v>
      </c>
      <c r="S190" s="99">
        <f t="shared" si="340"/>
        <v>6143.1902439024389</v>
      </c>
      <c r="T190" s="108">
        <f>AL190*AW190*AX190*AY190*IF(F190="백어택",1.2,1)</f>
        <v>4300.2331707317071</v>
      </c>
      <c r="U190" s="108"/>
      <c r="V190" s="108"/>
      <c r="W190" s="108"/>
      <c r="X190" s="109">
        <f>AL190*AS190+IF(AX190=1,AL190*AU190,AL190*AU190*2)</f>
        <v>1842.9570731707315</v>
      </c>
      <c r="Y190" s="99">
        <f t="shared" si="299"/>
        <v>12286.380487804878</v>
      </c>
      <c r="Z190" s="108">
        <f>T190*$D$26/100</f>
        <v>8600.4663414634142</v>
      </c>
      <c r="AA190" s="108"/>
      <c r="AB190" s="108"/>
      <c r="AC190" s="108"/>
      <c r="AD190" s="109">
        <f>X190*$D$26/100</f>
        <v>3685.914146341463</v>
      </c>
      <c r="AE190" s="99">
        <f>AO190-AR190</f>
        <v>30</v>
      </c>
      <c r="AF190" s="101"/>
      <c r="AG190" s="101">
        <f>IF($D$25&gt;100,100,$D$25)</f>
        <v>20</v>
      </c>
      <c r="AH190" s="101">
        <f>AQ190</f>
        <v>657</v>
      </c>
      <c r="AI190" s="101">
        <f>$D$26</f>
        <v>200</v>
      </c>
      <c r="AJ190" s="108">
        <f>10/6</f>
        <v>1.6666666666666667</v>
      </c>
      <c r="AK190" s="101">
        <f t="shared" si="316"/>
        <v>3071.5951219512194</v>
      </c>
      <c r="AL190" s="101">
        <f>(VLOOKUP(C190,$B$4:$AG$7,31,FALSE)+VLOOKUP(C190,$B$8:$AG$11,31,FALSE)*$D$22)*$D$27/100</f>
        <v>3071.5951219512194</v>
      </c>
      <c r="AM190" s="101"/>
      <c r="AN190" s="101"/>
      <c r="AO190" s="1">
        <v>36</v>
      </c>
      <c r="AP190" s="2"/>
      <c r="AQ190" s="74">
        <f>VLOOKUP(C190,$B$13:$AG$16,31,FALSE)</f>
        <v>657</v>
      </c>
      <c r="AR190" s="10">
        <v>6</v>
      </c>
      <c r="AS190" s="1">
        <v>0</v>
      </c>
      <c r="AT190" s="11"/>
      <c r="AU190" s="10">
        <v>0.3</v>
      </c>
      <c r="AV190" s="1"/>
      <c r="AW190" s="1">
        <v>1</v>
      </c>
      <c r="AX190" s="10">
        <v>1.4</v>
      </c>
      <c r="AY190" s="11">
        <v>1</v>
      </c>
      <c r="AZ190" s="2"/>
      <c r="BA190" s="2"/>
      <c r="BB190" s="2"/>
      <c r="BC190" s="1"/>
      <c r="BD190" s="111"/>
      <c r="BE190" s="2"/>
      <c r="BF190" s="3"/>
      <c r="BG190" s="2"/>
      <c r="BH190" s="2"/>
      <c r="BI190" s="1"/>
      <c r="BJ190" s="1"/>
      <c r="BK190" s="1"/>
    </row>
    <row r="191" spans="1:63" ht="12" customHeight="1">
      <c r="A191" s="1"/>
      <c r="B191" s="107">
        <v>13</v>
      </c>
      <c r="C191" s="31">
        <v>10</v>
      </c>
      <c r="D191" s="111" t="s">
        <v>14</v>
      </c>
      <c r="E191" s="2" t="s">
        <v>164</v>
      </c>
      <c r="F191" s="25" t="s">
        <v>149</v>
      </c>
      <c r="G191" s="2"/>
      <c r="H191" s="33" t="s">
        <v>80</v>
      </c>
      <c r="I191" s="99">
        <f t="shared" si="293"/>
        <v>236.57937170731708</v>
      </c>
      <c r="J191" s="101">
        <f t="shared" si="294"/>
        <v>18.25</v>
      </c>
      <c r="K191" s="101">
        <f t="shared" si="295"/>
        <v>27</v>
      </c>
      <c r="L191" s="144">
        <f t="shared" si="342"/>
        <v>17</v>
      </c>
      <c r="M191" s="99">
        <f t="shared" si="343"/>
        <v>8516.8573814634146</v>
      </c>
      <c r="N191" s="101">
        <f t="shared" si="376"/>
        <v>1477.4180487804879</v>
      </c>
      <c r="O191" s="101">
        <f>U191*(1+((AG191+IF(F191="백어택",20,0))/100)*(AI191/100-1))</f>
        <v>1477.4180487804879</v>
      </c>
      <c r="P191" s="101">
        <f>V191*(1+((AG191+IF(F191="백어택",20,0))/100)*(AI191*IF(AX191=1,AW191,1)/100-1))</f>
        <v>1996.825170731707</v>
      </c>
      <c r="Q191" s="101">
        <f>W191*(1+((AG191+IF(F191="백어택",20,0))/100)*(AI191*AW191/100-1))</f>
        <v>3565.1961131707312</v>
      </c>
      <c r="R191" s="109"/>
      <c r="S191" s="99">
        <f t="shared" si="340"/>
        <v>5161.7317463414638</v>
      </c>
      <c r="T191" s="101">
        <f>AL191*AY191*IF(F191="백어택",1.2,1)</f>
        <v>895.40487804878057</v>
      </c>
      <c r="U191" s="101">
        <f>AM191*AY191*IF(F191="백어택",1.2,1)</f>
        <v>895.40487804878057</v>
      </c>
      <c r="V191" s="101">
        <f>AN191*AY191*IF(F191="백어택",1.2,1)</f>
        <v>1210.1970731707315</v>
      </c>
      <c r="W191" s="101">
        <f>(T191+U191+V191)*IF(AX191=1,0,0.6)*IF(F191="백어택",1.2,1)</f>
        <v>2160.7249170731707</v>
      </c>
      <c r="X191" s="74"/>
      <c r="Y191" s="99">
        <f t="shared" si="299"/>
        <v>10323.463492682928</v>
      </c>
      <c r="Z191" s="101">
        <f>T191*AI191/100</f>
        <v>1790.8097560975611</v>
      </c>
      <c r="AA191" s="101">
        <f>U191*AI191/100</f>
        <v>1790.8097560975611</v>
      </c>
      <c r="AB191" s="101">
        <f>V191*AI191*IF(AX191=1,AW191,1)/100</f>
        <v>2420.3941463414631</v>
      </c>
      <c r="AC191" s="101">
        <f>W191*AI191*AW191/100</f>
        <v>4321.4498341463413</v>
      </c>
      <c r="AD191" s="74"/>
      <c r="AE191" s="99">
        <f>AO191</f>
        <v>36</v>
      </c>
      <c r="AF191" s="101"/>
      <c r="AG191" s="101">
        <f>IF($D$25+AU191&gt;100,100,$D$25+AU191)</f>
        <v>45</v>
      </c>
      <c r="AH191" s="101">
        <f>AQ191*AS191</f>
        <v>657</v>
      </c>
      <c r="AI191" s="101">
        <f>$D$26+IF(H191="근접",AR191,0)+IF(AY191=1,0,50)</f>
        <v>200</v>
      </c>
      <c r="AJ191" s="108">
        <f>10/3</f>
        <v>3.3333333333333335</v>
      </c>
      <c r="AK191" s="101">
        <f t="shared" si="316"/>
        <v>2500.839024390244</v>
      </c>
      <c r="AL191" s="101">
        <f>(IF(H191="근접",$D$29*(VLOOKUP(C191,$B$4:$AG$7,19,FALSE)+VLOOKUP(C191,$B$8:$AG$11,19,FALSE)*$D$22),$D$28*(VLOOKUP(C191,$B$4:$AG$7,19,FALSE)+VLOOKUP(C191,$B$8:$AG$11,19,FALSE)*$D$22)))*$D$27/100</f>
        <v>746.17073170731715</v>
      </c>
      <c r="AM191" s="101">
        <f>(IF(H191="근접",$D$29*(VLOOKUP(C191,$B$4:$AG$7,20,FALSE)+VLOOKUP(C191,$B$8:$AG$11,20,FALSE)*$D$22),$D$28*(VLOOKUP(C191,$B$4:$AG$7,20,FALSE)+VLOOKUP(C191,$B$8:$AG$11,20,FALSE)*$D$22)))*$D$27/100</f>
        <v>746.17073170731715</v>
      </c>
      <c r="AN191" s="101">
        <f>(IF(H191="근접",$D$29*(VLOOKUP(C191,$B$4:$AG$7,21,FALSE)+VLOOKUP(C191,$B$8:$AG$11,21,FALSE)*$D$22),$D$28*(VLOOKUP(C191,$B$4:$AG$7,21,FALSE)+VLOOKUP(C191,$B$8:$AG$11,21,FALSE)*$D$22)))*$D$27/100</f>
        <v>1008.4975609756096</v>
      </c>
      <c r="AO191" s="1">
        <v>36</v>
      </c>
      <c r="AP191" s="2"/>
      <c r="AQ191" s="74">
        <f>VLOOKUP(C191,$B$13:$AA$16,19,FALSE)</f>
        <v>657</v>
      </c>
      <c r="AR191" s="10">
        <v>50</v>
      </c>
      <c r="AS191" s="1">
        <v>1</v>
      </c>
      <c r="AT191" s="11"/>
      <c r="AU191" s="10">
        <v>25</v>
      </c>
      <c r="AV191" s="1"/>
      <c r="AW191" s="1">
        <v>1</v>
      </c>
      <c r="AX191" s="10">
        <v>0.6</v>
      </c>
      <c r="AY191" s="11">
        <v>1</v>
      </c>
      <c r="AZ191" s="2"/>
      <c r="BA191" s="2"/>
      <c r="BB191" s="2"/>
      <c r="BC191" s="1"/>
      <c r="BD191" s="111"/>
      <c r="BE191" s="2"/>
      <c r="BF191" s="3"/>
      <c r="BG191" s="2"/>
      <c r="BH191" s="2"/>
      <c r="BI191" s="1"/>
      <c r="BJ191" s="1"/>
      <c r="BK191" s="1"/>
    </row>
    <row r="192" spans="1:63" ht="12" customHeight="1">
      <c r="A192" s="1"/>
      <c r="B192" s="107">
        <v>14</v>
      </c>
      <c r="C192" s="31">
        <v>10</v>
      </c>
      <c r="D192" s="111" t="s">
        <v>18</v>
      </c>
      <c r="E192" s="2" t="s">
        <v>164</v>
      </c>
      <c r="F192" s="25"/>
      <c r="G192" s="2"/>
      <c r="H192" s="33" t="s">
        <v>80</v>
      </c>
      <c r="I192" s="99">
        <f t="shared" si="293"/>
        <v>226.2389073170732</v>
      </c>
      <c r="J192" s="101">
        <f t="shared" si="294"/>
        <v>26.05</v>
      </c>
      <c r="K192" s="101">
        <f t="shared" si="295"/>
        <v>30</v>
      </c>
      <c r="L192" s="144">
        <f t="shared" si="342"/>
        <v>18</v>
      </c>
      <c r="M192" s="99">
        <f t="shared" si="343"/>
        <v>4524.778146341464</v>
      </c>
      <c r="N192" s="108">
        <f t="shared" si="376"/>
        <v>4524.778146341464</v>
      </c>
      <c r="O192" s="108">
        <f>U192*(1+(($D$25+IF(F192="백어택",20,0))/100)*(AI192/100-1))</f>
        <v>0</v>
      </c>
      <c r="P192" s="108"/>
      <c r="Q192" s="108"/>
      <c r="R192" s="109"/>
      <c r="S192" s="99">
        <f t="shared" si="340"/>
        <v>2827.9863414634146</v>
      </c>
      <c r="T192" s="108">
        <f>AL192*IF(H192="근접",AT192,IF(AV192=1,AT192,1))*AX192*IF(F192="백어택",1.2,1)</f>
        <v>2827.9863414634146</v>
      </c>
      <c r="U192" s="108">
        <f>IF(AX192=1,AM192*IF(H192="근접",AT192,IF(AV192=1,AT192,1)),0)*AY192*IF(AX192=1,1,0)*IF(F192="백어택",1.2,1)</f>
        <v>0</v>
      </c>
      <c r="V192" s="108"/>
      <c r="W192" s="108"/>
      <c r="X192" s="109"/>
      <c r="Y192" s="99">
        <f t="shared" si="299"/>
        <v>5655.9726829268293</v>
      </c>
      <c r="Z192" s="108">
        <f t="shared" ref="Z192:AA192" si="377">T192*$D$26/100</f>
        <v>5655.9726829268293</v>
      </c>
      <c r="AA192" s="108">
        <f t="shared" si="377"/>
        <v>0</v>
      </c>
      <c r="AB192" s="108"/>
      <c r="AC192" s="108"/>
      <c r="AD192" s="109"/>
      <c r="AE192" s="99">
        <f>(AO192-AR192)*IF(AW192="보스대상",1,POWER(0.85,AW192))</f>
        <v>20</v>
      </c>
      <c r="AF192" s="101"/>
      <c r="AG192" s="101">
        <f>IF($D$25&gt;100,100,$D$25)+AU192</f>
        <v>60</v>
      </c>
      <c r="AH192" s="101">
        <f t="shared" ref="AH192:AH193" si="378">AQ192</f>
        <v>521</v>
      </c>
      <c r="AI192" s="101">
        <f t="shared" ref="AI192:AI193" si="379">$D$26</f>
        <v>200</v>
      </c>
      <c r="AJ192" s="112">
        <f>10*AS192/IF(AX192=1,IF(AY192=1,4.5,4),4)</f>
        <v>2.5</v>
      </c>
      <c r="AK192" s="101">
        <f t="shared" si="316"/>
        <v>1692.0585365853658</v>
      </c>
      <c r="AL192" s="101">
        <f>IF(AV192=1,$D$29*(VLOOKUP(C192,$B$4:$AG$7,25,FALSE)+VLOOKUP(C192,$B$8:$AG$11,25,FALSE)*$D$22),(IF(H192="근접",$D$29*(VLOOKUP(C192,$B$4:$AG$7,25,FALSE)+VLOOKUP(C192,$B$8:$AG$11,25,FALSE)*$D$22),$D$28*(VLOOKUP(C192,$B$4:$AG$7,25,FALSE)+VLOOKUP(C192,$B$8:$AG$11,25,FALSE)*$D$22))))*$D$27/100</f>
        <v>1009.9951219512195</v>
      </c>
      <c r="AM192" s="101">
        <f>(IF(AV192=1,$D$29*(VLOOKUP(C192,$B$4:$AG$7,26,FALSE)+VLOOKUP(C192,$B$8:$AG$11,26,FALSE)*$D$22),IF(H192="근접",$D$29*(VLOOKUP(C192,$B$4:$AG$7,26,FALSE)+VLOOKUP(C192,$B$8:$AG$11,26,FALSE)*$D$22),$D$28*(VLOOKUP(C192,$B$4:$AG$7,26,FALSE)+VLOOKUP(C192,$B$8:$AG$11,26,FALSE)*$D$22))))*$D$27/100</f>
        <v>682.06341463414628</v>
      </c>
      <c r="AN192" s="101"/>
      <c r="AO192" s="1">
        <v>24</v>
      </c>
      <c r="AP192" s="2"/>
      <c r="AQ192" s="74">
        <f>VLOOKUP(C192,$B$13:$AA$16,25,FALSE)</f>
        <v>521</v>
      </c>
      <c r="AR192" s="10">
        <v>4</v>
      </c>
      <c r="AS192" s="1">
        <v>1</v>
      </c>
      <c r="AT192" s="11">
        <v>1</v>
      </c>
      <c r="AU192" s="10">
        <v>40</v>
      </c>
      <c r="AV192" s="1">
        <v>0</v>
      </c>
      <c r="AW192" s="1" t="s">
        <v>86</v>
      </c>
      <c r="AX192" s="10">
        <v>2.8</v>
      </c>
      <c r="AY192" s="11">
        <v>1</v>
      </c>
      <c r="AZ192" s="2"/>
      <c r="BA192" s="2"/>
      <c r="BB192" s="2"/>
      <c r="BC192" s="1"/>
      <c r="BD192" s="111"/>
      <c r="BE192" s="2"/>
      <c r="BF192" s="3"/>
      <c r="BG192" s="2"/>
      <c r="BH192" s="2"/>
      <c r="BI192" s="1"/>
      <c r="BJ192" s="1"/>
      <c r="BK192" s="1"/>
    </row>
    <row r="193" spans="1:63" ht="12" customHeight="1">
      <c r="A193" s="1"/>
      <c r="B193" s="107">
        <v>19</v>
      </c>
      <c r="C193" s="31">
        <v>10</v>
      </c>
      <c r="D193" s="111" t="s">
        <v>21</v>
      </c>
      <c r="E193" s="2" t="s">
        <v>157</v>
      </c>
      <c r="F193" s="25"/>
      <c r="G193" s="2" t="s">
        <v>178</v>
      </c>
      <c r="H193" s="33"/>
      <c r="I193" s="99">
        <f t="shared" si="293"/>
        <v>196.58208780487806</v>
      </c>
      <c r="J193" s="101">
        <f t="shared" si="294"/>
        <v>21.9</v>
      </c>
      <c r="K193" s="101">
        <f t="shared" si="295"/>
        <v>37</v>
      </c>
      <c r="L193" s="144">
        <f t="shared" si="342"/>
        <v>19</v>
      </c>
      <c r="M193" s="99">
        <f t="shared" si="343"/>
        <v>5897.4626341463418</v>
      </c>
      <c r="N193" s="108">
        <f t="shared" si="376"/>
        <v>5897.4626341463418</v>
      </c>
      <c r="O193" s="108"/>
      <c r="P193" s="108"/>
      <c r="Q193" s="108"/>
      <c r="R193" s="109">
        <f>X193*(1+(AG193/100)*(AI193/100-1))</f>
        <v>0</v>
      </c>
      <c r="S193" s="99">
        <f t="shared" si="340"/>
        <v>4914.5521951219516</v>
      </c>
      <c r="T193" s="108">
        <f>AL193*AW193*AX193*AY193*IF(F193="백어택",1.2,1)</f>
        <v>4914.5521951219516</v>
      </c>
      <c r="U193" s="108"/>
      <c r="V193" s="108"/>
      <c r="W193" s="108"/>
      <c r="X193" s="109">
        <f>AL193*AS193+IF(AX193=1,AL193*AU193,AL193*AU193*2)</f>
        <v>0</v>
      </c>
      <c r="Y193" s="99">
        <f t="shared" si="299"/>
        <v>9829.1043902439033</v>
      </c>
      <c r="Z193" s="108">
        <f>T193*$D$26/100</f>
        <v>9829.1043902439033</v>
      </c>
      <c r="AA193" s="108"/>
      <c r="AB193" s="108"/>
      <c r="AC193" s="108"/>
      <c r="AD193" s="109">
        <f>X193*$D$26/100</f>
        <v>0</v>
      </c>
      <c r="AE193" s="99">
        <f>AO193-AR193</f>
        <v>30</v>
      </c>
      <c r="AF193" s="101"/>
      <c r="AG193" s="101">
        <f>IF($D$25&gt;100,100,$D$25)</f>
        <v>20</v>
      </c>
      <c r="AH193" s="101">
        <f t="shared" si="378"/>
        <v>657</v>
      </c>
      <c r="AI193" s="101">
        <f t="shared" si="379"/>
        <v>200</v>
      </c>
      <c r="AJ193" s="108">
        <f>10/6</f>
        <v>1.6666666666666667</v>
      </c>
      <c r="AK193" s="101">
        <f t="shared" si="316"/>
        <v>3071.5951219512194</v>
      </c>
      <c r="AL193" s="101">
        <f>(VLOOKUP(C193,$B$4:$AG$7,31,FALSE)+VLOOKUP(C193,$B$8:$AG$11,31,FALSE)*$D$22)*$D$27/100</f>
        <v>3071.5951219512194</v>
      </c>
      <c r="AM193" s="101"/>
      <c r="AN193" s="101"/>
      <c r="AO193" s="1">
        <v>36</v>
      </c>
      <c r="AP193" s="2"/>
      <c r="AQ193" s="74">
        <f>VLOOKUP(C193,$B$13:$AG$16,31,FALSE)</f>
        <v>657</v>
      </c>
      <c r="AR193" s="10">
        <v>6</v>
      </c>
      <c r="AS193" s="1">
        <v>0</v>
      </c>
      <c r="AT193" s="11"/>
      <c r="AU193" s="10">
        <v>0</v>
      </c>
      <c r="AV193" s="1"/>
      <c r="AW193" s="1">
        <v>1</v>
      </c>
      <c r="AX193" s="10">
        <v>1</v>
      </c>
      <c r="AY193" s="11">
        <v>1.6</v>
      </c>
      <c r="AZ193" s="2"/>
      <c r="BA193" s="2"/>
      <c r="BB193" s="2"/>
      <c r="BC193" s="1"/>
      <c r="BD193" s="113"/>
      <c r="BE193" s="2"/>
      <c r="BF193" s="1"/>
      <c r="BG193" s="2"/>
      <c r="BH193" s="2"/>
      <c r="BI193" s="1"/>
      <c r="BJ193" s="1"/>
      <c r="BK193" s="1"/>
    </row>
    <row r="194" spans="1:63" ht="12" customHeight="1">
      <c r="A194" s="1"/>
      <c r="B194" s="107">
        <v>17</v>
      </c>
      <c r="C194" s="31">
        <v>10</v>
      </c>
      <c r="D194" s="111" t="s">
        <v>8</v>
      </c>
      <c r="E194" s="2" t="s">
        <v>164</v>
      </c>
      <c r="F194" s="25" t="s">
        <v>149</v>
      </c>
      <c r="G194" s="2"/>
      <c r="H194" s="33" t="s">
        <v>80</v>
      </c>
      <c r="I194" s="99">
        <f t="shared" si="293"/>
        <v>193.90156097560975</v>
      </c>
      <c r="J194" s="101">
        <f t="shared" si="294"/>
        <v>30.391666666666666</v>
      </c>
      <c r="K194" s="101">
        <f t="shared" si="295"/>
        <v>38</v>
      </c>
      <c r="L194" s="144">
        <f t="shared" si="342"/>
        <v>20</v>
      </c>
      <c r="M194" s="99">
        <f t="shared" si="343"/>
        <v>4653.6374634146341</v>
      </c>
      <c r="N194" s="108">
        <f>T194*(1+((AG194+IF(F194="백어택",20,0))/100)*(IF(AY194=1,$D$26,$D$26+50)/100-1))</f>
        <v>1310.0839024390241</v>
      </c>
      <c r="O194" s="108">
        <f t="shared" ref="O194:O195" si="380">U194*(1+((AG194+IF(F194="백어택",20,0))/100)*(AI194/100-1))</f>
        <v>1671.7767804878051</v>
      </c>
      <c r="P194" s="108">
        <f>V194*(1+((AG194+IF(F194="백어택",20,0))/100)*(AI194/100-1))</f>
        <v>1671.7767804878051</v>
      </c>
      <c r="Q194" s="108"/>
      <c r="R194" s="109"/>
      <c r="S194" s="99">
        <f t="shared" si="340"/>
        <v>2820.3863414634147</v>
      </c>
      <c r="T194" s="108">
        <f>AL194*IF(H194="근접",AR194,1)*AY194*IF(F194="백어택",1.2,1)</f>
        <v>793.99024390243892</v>
      </c>
      <c r="U194" s="108">
        <f>AM194*IF(H194="근접",AR194,1)*AY194*IF(F194="백어택",1.2,1)</f>
        <v>1013.198048780488</v>
      </c>
      <c r="V194" s="108">
        <f>IF(AX194=1,0,AM194*IF(H194="근접",AR194,1)*AY194)*IF(F194="백어택",1.2,1)</f>
        <v>1013.198048780488</v>
      </c>
      <c r="W194" s="108"/>
      <c r="X194" s="109"/>
      <c r="Y194" s="99">
        <f t="shared" si="299"/>
        <v>5640.7726829268304</v>
      </c>
      <c r="Z194" s="108">
        <f>T194*IF(AY194=1,$D$26,$D$26+50)/100</f>
        <v>1587.9804878048778</v>
      </c>
      <c r="AA194" s="108">
        <f t="shared" ref="AA194:AA195" si="381">U194*AI194/100</f>
        <v>2026.3960975609762</v>
      </c>
      <c r="AB194" s="108">
        <f>V194*AI194/100</f>
        <v>2026.3960975609762</v>
      </c>
      <c r="AC194" s="108"/>
      <c r="AD194" s="109"/>
      <c r="AE194" s="99">
        <f t="shared" ref="AE194:AE195" si="382">AO194</f>
        <v>24</v>
      </c>
      <c r="AF194" s="101"/>
      <c r="AG194" s="101">
        <f t="shared" ref="AG194:AG195" si="383">IF($D$25+AU194&gt;100,100,$D$25+AU194)</f>
        <v>45</v>
      </c>
      <c r="AH194" s="101">
        <f>IF(AX194=1,AQ194,AQ194*1.4)</f>
        <v>729.4</v>
      </c>
      <c r="AI194" s="101">
        <f>IF(AY194=1,$D$26,$D$26+50)*AW194</f>
        <v>200</v>
      </c>
      <c r="AJ194" s="108">
        <f>10/6/AX194</f>
        <v>1.1111111111111112</v>
      </c>
      <c r="AK194" s="101">
        <f t="shared" si="316"/>
        <v>1505.990243902439</v>
      </c>
      <c r="AL194" s="101">
        <f>(IF(H194="근접",$D$29*(VLOOKUP(C194,$B$4:$AG$7,9,FALSE)+VLOOKUP(C194,$B$8:$AG$11,9,FALSE)*$D$22),$D$28*(VLOOKUP(C194,$B$4:$AG$7,9,FALSE)+VLOOKUP(C194,$B$8:$AG$11,9,FALSE)*$D$22)))*$D$27/100</f>
        <v>661.65853658536582</v>
      </c>
      <c r="AM194" s="101">
        <f>(IF(H194="근접",$D$29*(VLOOKUP(C194,$B$4:$AG$7,10,FALSE)+VLOOKUP(C194,$B$8:$AG$11,10,FALSE)*$D$22),$D$28*(VLOOKUP(C194,$B$4:$AG$7,10,FALSE)+VLOOKUP(C194,$B$8:$AG$11,10,FALSE)*$D$22)))*$D$27/100</f>
        <v>844.33170731707332</v>
      </c>
      <c r="AN194" s="101"/>
      <c r="AO194" s="1">
        <v>24</v>
      </c>
      <c r="AP194" s="2"/>
      <c r="AQ194" s="74">
        <f>VLOOKUP(C194,$B$13:$AA$16,9,FALSE)</f>
        <v>521</v>
      </c>
      <c r="AR194" s="10">
        <v>1.2</v>
      </c>
      <c r="AS194" s="1"/>
      <c r="AT194" s="11"/>
      <c r="AU194" s="10">
        <v>25</v>
      </c>
      <c r="AV194" s="1"/>
      <c r="AW194" s="1">
        <v>1</v>
      </c>
      <c r="AX194" s="10">
        <v>1.5</v>
      </c>
      <c r="AY194" s="11">
        <v>1</v>
      </c>
      <c r="AZ194" s="2"/>
      <c r="BA194" s="2"/>
      <c r="BB194" s="2"/>
      <c r="BC194" s="1"/>
      <c r="BD194" s="111"/>
      <c r="BE194" s="2"/>
      <c r="BF194" s="3"/>
      <c r="BG194" s="2"/>
      <c r="BH194" s="2"/>
      <c r="BI194" s="1"/>
      <c r="BJ194" s="1"/>
      <c r="BK194" s="1"/>
    </row>
    <row r="195" spans="1:63" ht="12" customHeight="1">
      <c r="A195" s="1"/>
      <c r="B195" s="107">
        <v>13</v>
      </c>
      <c r="C195" s="31">
        <v>10</v>
      </c>
      <c r="D195" s="111" t="s">
        <v>14</v>
      </c>
      <c r="E195" s="2" t="s">
        <v>164</v>
      </c>
      <c r="F195" s="25"/>
      <c r="G195" s="2"/>
      <c r="H195" s="33" t="s">
        <v>80</v>
      </c>
      <c r="I195" s="99">
        <f t="shared" si="293"/>
        <v>161.16518157181571</v>
      </c>
      <c r="J195" s="101">
        <f t="shared" si="294"/>
        <v>18.25</v>
      </c>
      <c r="K195" s="101">
        <f t="shared" si="295"/>
        <v>44</v>
      </c>
      <c r="L195" s="144">
        <f t="shared" si="342"/>
        <v>21</v>
      </c>
      <c r="M195" s="99">
        <f t="shared" si="343"/>
        <v>5801.9465365853657</v>
      </c>
      <c r="N195" s="101">
        <f>T195*(1+((AG195+IF(F195="백어택",20,0))/100)*(AI195/100-1))</f>
        <v>1081.9475609756098</v>
      </c>
      <c r="O195" s="101">
        <f t="shared" si="380"/>
        <v>1081.9475609756098</v>
      </c>
      <c r="P195" s="101">
        <f>V195*(1+((AG195+IF(F195="백어택",20,0))/100)*(AI195*IF(AX195=1,AW195,1)/100-1))</f>
        <v>1462.3214634146339</v>
      </c>
      <c r="Q195" s="101">
        <f>W195*(1+((AG195+IF(F195="백어택",20,0))/100)*(AI195*AW195/100-1))</f>
        <v>2175.7299512195123</v>
      </c>
      <c r="R195" s="109"/>
      <c r="S195" s="99">
        <f t="shared" si="340"/>
        <v>4001.3424390243904</v>
      </c>
      <c r="T195" s="101">
        <f>AL195*AY195*IF(F195="백어택",1.2,1)</f>
        <v>746.17073170731715</v>
      </c>
      <c r="U195" s="101">
        <f>AM195*AY195*IF(F195="백어택",1.2,1)</f>
        <v>746.17073170731715</v>
      </c>
      <c r="V195" s="101">
        <f>AN195*AY195*IF(F195="백어택",1.2,1)</f>
        <v>1008.4975609756096</v>
      </c>
      <c r="W195" s="101">
        <f>(T195+U195+V195)*IF(AX195=1,0,0.6)*IF(F195="백어택",1.2,1)</f>
        <v>1500.5034146341463</v>
      </c>
      <c r="X195" s="74"/>
      <c r="Y195" s="99">
        <f t="shared" si="299"/>
        <v>8002.6848780487808</v>
      </c>
      <c r="Z195" s="101">
        <f>T195*AI195/100</f>
        <v>1492.3414634146343</v>
      </c>
      <c r="AA195" s="101">
        <f t="shared" si="381"/>
        <v>1492.3414634146343</v>
      </c>
      <c r="AB195" s="101">
        <f>V195*AI195*IF(AX195=1,AW195,1)/100</f>
        <v>2016.9951219512193</v>
      </c>
      <c r="AC195" s="101">
        <f>W195*AI195*AW195/100</f>
        <v>3001.0068292682927</v>
      </c>
      <c r="AD195" s="74"/>
      <c r="AE195" s="99">
        <f t="shared" si="382"/>
        <v>36</v>
      </c>
      <c r="AF195" s="101"/>
      <c r="AG195" s="101">
        <f t="shared" si="383"/>
        <v>45</v>
      </c>
      <c r="AH195" s="101">
        <f>AQ195*AS195</f>
        <v>657</v>
      </c>
      <c r="AI195" s="101">
        <f>$D$26+IF(H195="근접",AR195,0)+IF(AY195=1,0,50)</f>
        <v>200</v>
      </c>
      <c r="AJ195" s="108">
        <f>10/3</f>
        <v>3.3333333333333335</v>
      </c>
      <c r="AK195" s="101">
        <f t="shared" si="316"/>
        <v>2500.839024390244</v>
      </c>
      <c r="AL195" s="101">
        <f>(IF(H195="근접",$D$29*(VLOOKUP(C195,$B$4:$AG$7,19,FALSE)+VLOOKUP(C195,$B$8:$AG$11,19,FALSE)*$D$22),$D$28*(VLOOKUP(C195,$B$4:$AG$7,19,FALSE)+VLOOKUP(C195,$B$8:$AG$11,19,FALSE)*$D$22)))*$D$27/100</f>
        <v>746.17073170731715</v>
      </c>
      <c r="AM195" s="101">
        <f>(IF(H195="근접",$D$29*(VLOOKUP(C195,$B$4:$AG$7,20,FALSE)+VLOOKUP(C195,$B$8:$AG$11,20,FALSE)*$D$22),$D$28*(VLOOKUP(C195,$B$4:$AG$7,20,FALSE)+VLOOKUP(C195,$B$8:$AG$11,20,FALSE)*$D$22)))*$D$27/100</f>
        <v>746.17073170731715</v>
      </c>
      <c r="AN195" s="101">
        <f>(IF(H195="근접",$D$29*(VLOOKUP(C195,$B$4:$AG$7,21,FALSE)+VLOOKUP(C195,$B$8:$AG$11,21,FALSE)*$D$22),$D$28*(VLOOKUP(C195,$B$4:$AG$7,21,FALSE)+VLOOKUP(C195,$B$8:$AG$11,21,FALSE)*$D$22)))*$D$27/100</f>
        <v>1008.4975609756096</v>
      </c>
      <c r="AO195" s="1">
        <v>36</v>
      </c>
      <c r="AP195" s="2"/>
      <c r="AQ195" s="74">
        <f>VLOOKUP(C195,$B$13:$AA$16,19,FALSE)</f>
        <v>657</v>
      </c>
      <c r="AR195" s="10">
        <v>50</v>
      </c>
      <c r="AS195" s="1">
        <v>1</v>
      </c>
      <c r="AT195" s="11"/>
      <c r="AU195" s="10">
        <v>25</v>
      </c>
      <c r="AV195" s="1"/>
      <c r="AW195" s="1">
        <v>1</v>
      </c>
      <c r="AX195" s="10">
        <v>0.6</v>
      </c>
      <c r="AY195" s="11">
        <v>1</v>
      </c>
      <c r="AZ195" s="2"/>
      <c r="BA195" s="2"/>
      <c r="BB195" s="2"/>
      <c r="BC195" s="1"/>
      <c r="BD195" s="111"/>
      <c r="BE195" s="2"/>
      <c r="BF195" s="3"/>
      <c r="BG195" s="2"/>
      <c r="BH195" s="2"/>
      <c r="BI195" s="1"/>
      <c r="BJ195" s="1"/>
      <c r="BK195" s="1"/>
    </row>
    <row r="196" spans="1:63" ht="12" customHeight="1">
      <c r="A196" s="1"/>
      <c r="B196" s="107">
        <v>16</v>
      </c>
      <c r="C196" s="31">
        <v>10</v>
      </c>
      <c r="D196" s="111" t="s">
        <v>11</v>
      </c>
      <c r="E196" s="2" t="s">
        <v>153</v>
      </c>
      <c r="F196" s="25"/>
      <c r="G196" s="2"/>
      <c r="H196" s="33">
        <f>IF(AX196=1,5,1)</f>
        <v>1</v>
      </c>
      <c r="I196" s="99">
        <f t="shared" si="293"/>
        <v>159.69635121951217</v>
      </c>
      <c r="J196" s="101">
        <f t="shared" si="294"/>
        <v>23.68</v>
      </c>
      <c r="K196" s="101">
        <f t="shared" si="295"/>
        <v>46</v>
      </c>
      <c r="L196" s="144">
        <f t="shared" si="342"/>
        <v>22</v>
      </c>
      <c r="M196" s="99">
        <f t="shared" si="343"/>
        <v>3992.4087804878045</v>
      </c>
      <c r="N196" s="108">
        <f>T196*(1+(AG196/100)*(AI196/100-1))</f>
        <v>3630.3453658536582</v>
      </c>
      <c r="O196" s="108">
        <f>U196*(1+(AG196/100)*(AI196/100-1))</f>
        <v>362.06341463414634</v>
      </c>
      <c r="P196" s="108"/>
      <c r="Q196" s="108"/>
      <c r="R196" s="109"/>
      <c r="S196" s="99">
        <f>T196</f>
        <v>3025.2878048780485</v>
      </c>
      <c r="T196" s="108">
        <f>H196*AL196*AX196</f>
        <v>3025.2878048780485</v>
      </c>
      <c r="U196" s="108">
        <f>AM196*AV196</f>
        <v>301.71951219512198</v>
      </c>
      <c r="V196" s="108"/>
      <c r="W196" s="108"/>
      <c r="X196" s="109"/>
      <c r="Y196" s="99">
        <f t="shared" si="299"/>
        <v>6654.0146341463405</v>
      </c>
      <c r="Z196" s="108">
        <f t="shared" ref="Z196:AA196" si="384">T196*$D$26/100</f>
        <v>6050.575609756097</v>
      </c>
      <c r="AA196" s="108">
        <f t="shared" si="384"/>
        <v>603.43902439024396</v>
      </c>
      <c r="AB196" s="108"/>
      <c r="AC196" s="108"/>
      <c r="AD196" s="109"/>
      <c r="AE196" s="99">
        <f>AO196-AR196</f>
        <v>25</v>
      </c>
      <c r="AF196" s="101"/>
      <c r="AG196" s="101">
        <f>IF($D$25+AS196&gt;100,100,$D$25+AS196)</f>
        <v>20</v>
      </c>
      <c r="AH196" s="101">
        <f>AQ196</f>
        <v>592</v>
      </c>
      <c r="AI196" s="101">
        <f>$D$26</f>
        <v>200</v>
      </c>
      <c r="AJ196" s="108">
        <f>10/IF(AX196=1,7,6)</f>
        <v>1.6666666666666667</v>
      </c>
      <c r="AK196" s="101">
        <f t="shared" si="316"/>
        <v>705.36097560975611</v>
      </c>
      <c r="AL196" s="101">
        <f>(VLOOKUP(C196,$B$4:$AG$7,14,FALSE)+VLOOKUP(C196,$B$8:$AG$11,14,FALSE)*$D$22)*$D$27/100</f>
        <v>504.21463414634144</v>
      </c>
      <c r="AM196" s="101">
        <f>(VLOOKUP(C196,$B$4:$AG$7,15,FALSE)+VLOOKUP(C196,$B$8:$AG$11,15,FALSE)*$D$22)*$D$27/100</f>
        <v>201.14634146341464</v>
      </c>
      <c r="AN196" s="101"/>
      <c r="AO196" s="1">
        <v>30</v>
      </c>
      <c r="AP196" s="2"/>
      <c r="AQ196" s="74">
        <f>VLOOKUP(C196,$B$13:$AA$16,14,FALSE)</f>
        <v>592</v>
      </c>
      <c r="AR196" s="10">
        <v>5</v>
      </c>
      <c r="AS196" s="1">
        <v>0</v>
      </c>
      <c r="AT196" s="11"/>
      <c r="AU196" s="10"/>
      <c r="AV196" s="1">
        <v>1.5</v>
      </c>
      <c r="AW196" s="1"/>
      <c r="AX196" s="10">
        <v>6</v>
      </c>
      <c r="AY196" s="11"/>
      <c r="AZ196" s="2"/>
      <c r="BA196" s="2"/>
      <c r="BB196" s="2"/>
      <c r="BC196" s="1"/>
      <c r="BD196" s="111"/>
      <c r="BE196" s="2"/>
      <c r="BF196" s="3"/>
      <c r="BG196" s="2"/>
      <c r="BH196" s="2"/>
      <c r="BI196" s="1"/>
      <c r="BJ196" s="1"/>
      <c r="BK196" s="1"/>
    </row>
    <row r="197" spans="1:63" ht="12" customHeight="1">
      <c r="A197" s="1"/>
      <c r="B197" s="107">
        <v>17</v>
      </c>
      <c r="C197" s="31">
        <v>10</v>
      </c>
      <c r="D197" s="111" t="s">
        <v>8</v>
      </c>
      <c r="E197" s="2" t="s">
        <v>164</v>
      </c>
      <c r="F197" s="25"/>
      <c r="G197" s="2"/>
      <c r="H197" s="33" t="s">
        <v>80</v>
      </c>
      <c r="I197" s="99">
        <f t="shared" si="293"/>
        <v>141.99861788617889</v>
      </c>
      <c r="J197" s="101">
        <f t="shared" si="294"/>
        <v>30.391666666666666</v>
      </c>
      <c r="K197" s="101">
        <f t="shared" si="295"/>
        <v>51</v>
      </c>
      <c r="L197" s="144">
        <f t="shared" si="342"/>
        <v>23</v>
      </c>
      <c r="M197" s="99">
        <f t="shared" si="343"/>
        <v>3407.9668292682932</v>
      </c>
      <c r="N197" s="108">
        <f>T197*(1+((AG197+IF(F197="백어택",20,0))/100)*(IF(AY197=1,$D$26,$D$26+50)/100-1))</f>
        <v>959.40487804878046</v>
      </c>
      <c r="O197" s="108">
        <f>U197*(1+((AG197+IF(F197="백어택",20,0))/100)*(AI197/100-1))</f>
        <v>1224.2809756097563</v>
      </c>
      <c r="P197" s="108">
        <f>V197*(1+((AG197+IF(F197="백어택",20,0))/100)*(AI197/100-1))</f>
        <v>1224.2809756097563</v>
      </c>
      <c r="Q197" s="108"/>
      <c r="R197" s="109"/>
      <c r="S197" s="99">
        <f t="shared" ref="S197:S208" si="385">SUM(T197:X197)</f>
        <v>2350.3219512195124</v>
      </c>
      <c r="T197" s="108">
        <f>AL197*IF(H197="근접",AR197,1)*AY197*IF(F197="백어택",1.2,1)</f>
        <v>661.65853658536582</v>
      </c>
      <c r="U197" s="108">
        <f>AM197*IF(H197="근접",AR197,1)*AY197*IF(F197="백어택",1.2,1)</f>
        <v>844.33170731707332</v>
      </c>
      <c r="V197" s="108">
        <f>IF(AX197=1,0,AM197*IF(H197="근접",AR197,1)*AY197)*IF(F197="백어택",1.2,1)</f>
        <v>844.33170731707332</v>
      </c>
      <c r="W197" s="108"/>
      <c r="X197" s="109"/>
      <c r="Y197" s="99">
        <f t="shared" si="299"/>
        <v>4700.6439024390247</v>
      </c>
      <c r="Z197" s="108">
        <f>T197*IF(AY197=1,$D$26,$D$26+50)/100</f>
        <v>1323.3170731707316</v>
      </c>
      <c r="AA197" s="108">
        <f t="shared" ref="AA197:AA198" si="386">U197*AI197/100</f>
        <v>1688.6634146341466</v>
      </c>
      <c r="AB197" s="108">
        <f t="shared" ref="AB197:AB198" si="387">V197*AI197/100</f>
        <v>1688.6634146341466</v>
      </c>
      <c r="AC197" s="108"/>
      <c r="AD197" s="109"/>
      <c r="AE197" s="99">
        <f t="shared" ref="AE197:AE208" si="388">AO197</f>
        <v>24</v>
      </c>
      <c r="AF197" s="101"/>
      <c r="AG197" s="101">
        <f>IF($D$25+AU197&gt;100,100,$D$25+AU197)</f>
        <v>45</v>
      </c>
      <c r="AH197" s="101">
        <f>IF(AX197=1,AQ197,AQ197*1.4)</f>
        <v>729.4</v>
      </c>
      <c r="AI197" s="101">
        <f>IF(AY197=1,$D$26,$D$26+50)*AW197</f>
        <v>200</v>
      </c>
      <c r="AJ197" s="108">
        <f>10/6/AX197</f>
        <v>1.1111111111111112</v>
      </c>
      <c r="AK197" s="101">
        <f t="shared" si="316"/>
        <v>1505.990243902439</v>
      </c>
      <c r="AL197" s="101">
        <f>(IF(H197="근접",$D$29*(VLOOKUP(C197,$B$4:$AG$7,9,FALSE)+VLOOKUP(C197,$B$8:$AG$11,9,FALSE)*$D$22),$D$28*(VLOOKUP(C197,$B$4:$AG$7,9,FALSE)+VLOOKUP(C197,$B$8:$AG$11,9,FALSE)*$D$22)))*$D$27/100</f>
        <v>661.65853658536582</v>
      </c>
      <c r="AM197" s="101">
        <f>(IF(H197="근접",$D$29*(VLOOKUP(C197,$B$4:$AG$7,10,FALSE)+VLOOKUP(C197,$B$8:$AG$11,10,FALSE)*$D$22),$D$28*(VLOOKUP(C197,$B$4:$AG$7,10,FALSE)+VLOOKUP(C197,$B$8:$AG$11,10,FALSE)*$D$22)))*$D$27/100</f>
        <v>844.33170731707332</v>
      </c>
      <c r="AN197" s="101"/>
      <c r="AO197" s="1">
        <v>24</v>
      </c>
      <c r="AP197" s="2"/>
      <c r="AQ197" s="74">
        <f>VLOOKUP(C197,$B$13:$AA$16,9,FALSE)</f>
        <v>521</v>
      </c>
      <c r="AR197" s="10">
        <v>1.2</v>
      </c>
      <c r="AS197" s="1"/>
      <c r="AT197" s="11"/>
      <c r="AU197" s="10">
        <v>25</v>
      </c>
      <c r="AV197" s="1"/>
      <c r="AW197" s="1">
        <v>1</v>
      </c>
      <c r="AX197" s="10">
        <v>1.5</v>
      </c>
      <c r="AY197" s="11">
        <v>1</v>
      </c>
      <c r="AZ197" s="2"/>
      <c r="BA197" s="2"/>
      <c r="BB197" s="2"/>
      <c r="BC197" s="1"/>
      <c r="BD197" s="111"/>
      <c r="BE197" s="2"/>
      <c r="BF197" s="3"/>
      <c r="BG197" s="2"/>
      <c r="BH197" s="2"/>
      <c r="BI197" s="1"/>
      <c r="BJ197" s="1"/>
      <c r="BK197" s="1"/>
    </row>
    <row r="198" spans="1:63" ht="12" customHeight="1">
      <c r="A198" s="2"/>
      <c r="B198" s="107">
        <v>26</v>
      </c>
      <c r="C198" s="31">
        <v>10</v>
      </c>
      <c r="D198" s="113" t="s">
        <v>15</v>
      </c>
      <c r="E198" s="2" t="s">
        <v>171</v>
      </c>
      <c r="F198" s="10"/>
      <c r="G198" s="2" t="s">
        <v>180</v>
      </c>
      <c r="H198" s="33">
        <f>IF(AX198=AT198,3,4)</f>
        <v>4</v>
      </c>
      <c r="I198" s="99">
        <f t="shared" si="293"/>
        <v>283.49211056910571</v>
      </c>
      <c r="J198" s="101">
        <f t="shared" si="294"/>
        <v>19.733333333333334</v>
      </c>
      <c r="K198" s="101">
        <f t="shared" si="295"/>
        <v>15</v>
      </c>
      <c r="L198" s="144">
        <f t="shared" ref="L198:L208" si="389">RANK(I198,$I$86:$I$96)</f>
        <v>1</v>
      </c>
      <c r="M198" s="99">
        <f t="shared" si="343"/>
        <v>8504.7633170731715</v>
      </c>
      <c r="N198" s="108">
        <f t="shared" ref="N198:N199" si="390">T198*(1+(AG198/100)*(AI198/100-1))</f>
        <v>1398.8097560975611</v>
      </c>
      <c r="O198" s="108">
        <f>U198*(1+(AG198/100)*(AI198/100-1))</f>
        <v>1398.8097560975611</v>
      </c>
      <c r="P198" s="108">
        <f>V198*(1+(AG198/100)*(AI198/100-1))</f>
        <v>1398.8097560975611</v>
      </c>
      <c r="Q198" s="108">
        <f>W198*(1+(AG198/100)*(AI198/100-1))</f>
        <v>1398.8097560975611</v>
      </c>
      <c r="R198" s="109">
        <f>X198*(1+(AG198/100)*(AI198/100-1))</f>
        <v>2909.5242926829278</v>
      </c>
      <c r="S198" s="99">
        <f t="shared" si="385"/>
        <v>5315.4770731707322</v>
      </c>
      <c r="T198" s="108">
        <f>AL198*AS198*AY198</f>
        <v>874.25609756097572</v>
      </c>
      <c r="U198" s="108">
        <f>AL198*AS198*AY198</f>
        <v>874.25609756097572</v>
      </c>
      <c r="V198" s="108">
        <f>AL198*AS198*AY198</f>
        <v>874.25609756097572</v>
      </c>
      <c r="W198" s="108">
        <f>IF(H198=4,AL198*AS198*IF(AT198=0,AY198,1),0)</f>
        <v>874.25609756097572</v>
      </c>
      <c r="X198" s="109">
        <f>AL198*IF(H198=3,11,IF(AT198=1,15,13))*IF(AW198=1,0,AW198)</f>
        <v>1818.4526829268298</v>
      </c>
      <c r="Y198" s="99">
        <f t="shared" si="299"/>
        <v>10630.954146341464</v>
      </c>
      <c r="Z198" s="108">
        <f>T198*AI198/100</f>
        <v>1748.5121951219514</v>
      </c>
      <c r="AA198" s="108">
        <f t="shared" si="386"/>
        <v>1748.5121951219514</v>
      </c>
      <c r="AB198" s="108">
        <f t="shared" si="387"/>
        <v>1748.5121951219514</v>
      </c>
      <c r="AC198" s="108">
        <f>W198*AI198/100</f>
        <v>1748.5121951219514</v>
      </c>
      <c r="AD198" s="109">
        <f>X198*AI198/100</f>
        <v>3636.9053658536595</v>
      </c>
      <c r="AE198" s="99">
        <f t="shared" si="388"/>
        <v>30</v>
      </c>
      <c r="AF198" s="101"/>
      <c r="AG198" s="101">
        <f>IF($D$25+AX198&gt;100,100,$D$25+AX198)</f>
        <v>60</v>
      </c>
      <c r="AH198" s="101">
        <f>AQ198</f>
        <v>592</v>
      </c>
      <c r="AI198" s="101">
        <f t="shared" ref="AI198:AI208" si="391">$D$26</f>
        <v>200</v>
      </c>
      <c r="AJ198" s="108">
        <f>10*AU198/IF(AT198=1,2.5,(IF(AY198=1,3,2.5)))</f>
        <v>3.3333333333333335</v>
      </c>
      <c r="AK198" s="101">
        <f t="shared" si="316"/>
        <v>699.40487804878057</v>
      </c>
      <c r="AL198" s="101">
        <f>((VLOOKUP(C198,$B$4:$AG$7,22,FALSE)+VLOOKUP(C198,$B$8:$AG$11,22,FALSE)*$D$22))*$D$27/100</f>
        <v>699.40487804878057</v>
      </c>
      <c r="AM198" s="101"/>
      <c r="AN198" s="101"/>
      <c r="AO198" s="1">
        <v>30</v>
      </c>
      <c r="AP198" s="2"/>
      <c r="AQ198" s="74">
        <f>VLOOKUP(C198,$B$13:$AA$16,22,FALSE)</f>
        <v>592</v>
      </c>
      <c r="AR198" s="10"/>
      <c r="AS198" s="1">
        <v>1.25</v>
      </c>
      <c r="AT198" s="11">
        <v>0</v>
      </c>
      <c r="AU198" s="10">
        <v>1</v>
      </c>
      <c r="AV198" s="1"/>
      <c r="AW198" s="1">
        <v>0.2</v>
      </c>
      <c r="AX198" s="10">
        <v>40</v>
      </c>
      <c r="AY198" s="11">
        <v>1</v>
      </c>
      <c r="AZ198" s="2"/>
      <c r="BA198" s="2"/>
      <c r="BB198" s="2"/>
      <c r="BC198" s="2"/>
      <c r="BD198" s="2"/>
      <c r="BE198" s="2"/>
      <c r="BF198" s="2"/>
      <c r="BG198" s="2"/>
      <c r="BH198" s="2"/>
      <c r="BI198" s="1"/>
      <c r="BJ198" s="1"/>
      <c r="BK198" s="1"/>
    </row>
    <row r="199" spans="1:63" ht="12" customHeight="1">
      <c r="A199" s="1"/>
      <c r="B199" s="107">
        <v>27</v>
      </c>
      <c r="C199" s="31">
        <v>10</v>
      </c>
      <c r="D199" s="113" t="s">
        <v>22</v>
      </c>
      <c r="E199" s="2" t="s">
        <v>139</v>
      </c>
      <c r="F199" s="25"/>
      <c r="G199" s="2"/>
      <c r="H199" s="33"/>
      <c r="I199" s="99">
        <f t="shared" si="293"/>
        <v>279.71434146341466</v>
      </c>
      <c r="J199" s="101">
        <f t="shared" si="294"/>
        <v>19.733333333333334</v>
      </c>
      <c r="K199" s="101">
        <f t="shared" si="295"/>
        <v>16</v>
      </c>
      <c r="L199" s="144">
        <f t="shared" si="389"/>
        <v>2</v>
      </c>
      <c r="M199" s="99">
        <f t="shared" si="343"/>
        <v>8391.4302439024395</v>
      </c>
      <c r="N199" s="108">
        <f t="shared" si="390"/>
        <v>8391.4302439024395</v>
      </c>
      <c r="O199" s="108"/>
      <c r="P199" s="108"/>
      <c r="Q199" s="108"/>
      <c r="R199" s="109">
        <f>X199*(1+($D$25/100)*(AI199/100-1))</f>
        <v>0</v>
      </c>
      <c r="S199" s="99">
        <f t="shared" si="385"/>
        <v>4195.7151219512198</v>
      </c>
      <c r="T199" s="108">
        <f t="shared" ref="T199:T200" si="392">AL199*AU199</f>
        <v>4195.7151219512198</v>
      </c>
      <c r="U199" s="108"/>
      <c r="V199" s="108"/>
      <c r="W199" s="108"/>
      <c r="X199" s="109">
        <f>AL199*AW199</f>
        <v>0</v>
      </c>
      <c r="Y199" s="99">
        <f t="shared" si="299"/>
        <v>8391.4302439024395</v>
      </c>
      <c r="Z199" s="108">
        <f t="shared" ref="Z199:Z200" si="393">T199*$D$26/100</f>
        <v>8391.4302439024395</v>
      </c>
      <c r="AA199" s="108"/>
      <c r="AB199" s="108"/>
      <c r="AC199" s="108"/>
      <c r="AD199" s="109"/>
      <c r="AE199" s="99">
        <f t="shared" si="388"/>
        <v>30</v>
      </c>
      <c r="AF199" s="101"/>
      <c r="AG199" s="101">
        <f>IF($D$25+AY199&gt;100,100,$D$25+AY199)</f>
        <v>100</v>
      </c>
      <c r="AH199" s="101">
        <f>AQ199*AR199</f>
        <v>592</v>
      </c>
      <c r="AI199" s="101">
        <f t="shared" si="391"/>
        <v>200</v>
      </c>
      <c r="AJ199" s="101">
        <f>10/5</f>
        <v>2</v>
      </c>
      <c r="AK199" s="101">
        <f t="shared" si="316"/>
        <v>3227.4731707317073</v>
      </c>
      <c r="AL199" s="101">
        <f>(VLOOKUP(C199,$B$4:$AG$7,32,FALSE)+VLOOKUP(C199,$B$8:$AG$11,32,FALSE)*$D$22)*$D$27/100</f>
        <v>3227.4731707317073</v>
      </c>
      <c r="AM199" s="101"/>
      <c r="AN199" s="101"/>
      <c r="AO199" s="1">
        <v>30</v>
      </c>
      <c r="AP199" s="2"/>
      <c r="AQ199" s="74">
        <f>VLOOKUP(C199,$B$13:$AG$16,32,FALSE)</f>
        <v>592</v>
      </c>
      <c r="AR199" s="10">
        <v>1</v>
      </c>
      <c r="AS199" s="1"/>
      <c r="AT199" s="11"/>
      <c r="AU199" s="10">
        <v>1.3</v>
      </c>
      <c r="AV199" s="1"/>
      <c r="AW199" s="1">
        <v>0</v>
      </c>
      <c r="AX199" s="10"/>
      <c r="AY199" s="11">
        <v>100</v>
      </c>
      <c r="AZ199" s="2"/>
      <c r="BA199" s="2"/>
      <c r="BB199" s="2"/>
      <c r="BC199" s="1"/>
      <c r="BD199" s="1"/>
      <c r="BE199" s="1"/>
      <c r="BF199" s="1"/>
      <c r="BG199" s="1"/>
      <c r="BH199" s="1"/>
      <c r="BI199" s="2"/>
      <c r="BJ199" s="2"/>
      <c r="BK199" s="1"/>
    </row>
    <row r="200" spans="1:63" ht="12" customHeight="1">
      <c r="A200" s="1"/>
      <c r="B200" s="107">
        <v>24</v>
      </c>
      <c r="C200" s="31">
        <v>10</v>
      </c>
      <c r="D200" s="113" t="s">
        <v>19</v>
      </c>
      <c r="E200" s="2" t="s">
        <v>145</v>
      </c>
      <c r="F200" s="25"/>
      <c r="G200" s="2"/>
      <c r="H200" s="33">
        <f>IF(AY200=1,4,6)</f>
        <v>6</v>
      </c>
      <c r="I200" s="99">
        <f t="shared" si="293"/>
        <v>255.02997967479675</v>
      </c>
      <c r="J200" s="101">
        <f t="shared" si="294"/>
        <v>21.708333333333332</v>
      </c>
      <c r="K200" s="101">
        <f t="shared" si="295"/>
        <v>24</v>
      </c>
      <c r="L200" s="144">
        <f t="shared" si="389"/>
        <v>3</v>
      </c>
      <c r="M200" s="99">
        <f t="shared" si="343"/>
        <v>6120.7195121951218</v>
      </c>
      <c r="N200" s="108">
        <f>T200*(1+($D$25/100)*($D$26/100-1))</f>
        <v>3918.1829268292681</v>
      </c>
      <c r="O200" s="108">
        <f t="shared" ref="O200:O201" si="394">U200*(1+(AG200/100)*(AI200/100-1))</f>
        <v>2202.5365853658536</v>
      </c>
      <c r="P200" s="108"/>
      <c r="Q200" s="108"/>
      <c r="R200" s="109"/>
      <c r="S200" s="99">
        <f t="shared" si="385"/>
        <v>4366.4207317073169</v>
      </c>
      <c r="T200" s="108">
        <f t="shared" si="392"/>
        <v>3265.1524390243903</v>
      </c>
      <c r="U200" s="108">
        <f>AM200*AU200</f>
        <v>1101.2682926829268</v>
      </c>
      <c r="V200" s="108"/>
      <c r="W200" s="108"/>
      <c r="X200" s="109"/>
      <c r="Y200" s="99">
        <f t="shared" si="299"/>
        <v>8732.8414634146338</v>
      </c>
      <c r="Z200" s="108">
        <f t="shared" si="393"/>
        <v>6530.3048780487807</v>
      </c>
      <c r="AA200" s="108">
        <f>U200*$D$26/100</f>
        <v>2202.5365853658536</v>
      </c>
      <c r="AB200" s="108"/>
      <c r="AC200" s="108"/>
      <c r="AD200" s="109"/>
      <c r="AE200" s="99">
        <f t="shared" si="388"/>
        <v>24</v>
      </c>
      <c r="AF200" s="101"/>
      <c r="AG200" s="101">
        <f>IF($D$25+AT200&gt;100,100,$D$25+AT200)</f>
        <v>100</v>
      </c>
      <c r="AH200" s="101">
        <f t="shared" ref="AH200:AH208" si="395">AQ200</f>
        <v>521</v>
      </c>
      <c r="AI200" s="101">
        <f t="shared" si="391"/>
        <v>200</v>
      </c>
      <c r="AJ200" s="108">
        <f>10/IF(AY200=1,(2.5+AX200),2)</f>
        <v>5</v>
      </c>
      <c r="AK200" s="101">
        <f t="shared" si="316"/>
        <v>3493.1365853658535</v>
      </c>
      <c r="AL200" s="101">
        <f>(H200-1)*(VLOOKUP(C200,$B$4:$AG$7,27,FALSE)+VLOOKUP(C200,$B$8:$AG$11,27,FALSE)*$D$22)*$D$27/100</f>
        <v>2612.1219512195121</v>
      </c>
      <c r="AM200" s="101">
        <f>(VLOOKUP(C200,$B$4:$AG$7,28,FALSE)+VLOOKUP(C200,$B$8:$AG$11,28,FALSE)*$D$22)*$D$27/100</f>
        <v>881.01463414634145</v>
      </c>
      <c r="AN200" s="101"/>
      <c r="AO200" s="1">
        <v>24</v>
      </c>
      <c r="AP200" s="2"/>
      <c r="AQ200" s="74">
        <f>VLOOKUP(C200,$B$13:$AG$16,27,FALSE)</f>
        <v>521</v>
      </c>
      <c r="AR200" s="10"/>
      <c r="AS200" s="1"/>
      <c r="AT200" s="11">
        <v>100</v>
      </c>
      <c r="AU200" s="10">
        <v>1.25</v>
      </c>
      <c r="AV200" s="1"/>
      <c r="AW200" s="1"/>
      <c r="AX200" s="10">
        <v>0</v>
      </c>
      <c r="AY200" s="11">
        <v>2</v>
      </c>
      <c r="AZ200" s="2"/>
      <c r="BA200" s="2"/>
      <c r="BB200" s="2"/>
      <c r="BC200" s="1"/>
      <c r="BD200" s="1"/>
      <c r="BE200" s="1"/>
      <c r="BF200" s="1"/>
      <c r="BG200" s="1"/>
      <c r="BH200" s="1"/>
      <c r="BI200" s="2"/>
      <c r="BJ200" s="2"/>
      <c r="BK200" s="1"/>
    </row>
    <row r="201" spans="1:63" ht="12" customHeight="1">
      <c r="A201" s="1"/>
      <c r="B201" s="107">
        <v>25</v>
      </c>
      <c r="C201" s="31">
        <v>10</v>
      </c>
      <c r="D201" s="113" t="s">
        <v>15</v>
      </c>
      <c r="E201" s="2" t="s">
        <v>135</v>
      </c>
      <c r="F201" s="25"/>
      <c r="G201" s="2"/>
      <c r="H201" s="33">
        <f>IF(AX201=AT201,3,4)</f>
        <v>4</v>
      </c>
      <c r="I201" s="99">
        <f t="shared" si="293"/>
        <v>221.01194146341464</v>
      </c>
      <c r="J201" s="101">
        <f t="shared" si="294"/>
        <v>19.733333333333334</v>
      </c>
      <c r="K201" s="101">
        <f t="shared" si="295"/>
        <v>31</v>
      </c>
      <c r="L201" s="144">
        <f t="shared" si="389"/>
        <v>4</v>
      </c>
      <c r="M201" s="99">
        <f t="shared" si="343"/>
        <v>6630.3582439024394</v>
      </c>
      <c r="N201" s="108">
        <f t="shared" ref="N201:N208" si="396">T201*(1+(AG201/100)*(AI201/100-1))</f>
        <v>1091.0716097560976</v>
      </c>
      <c r="O201" s="108">
        <f t="shared" si="394"/>
        <v>1091.0716097560976</v>
      </c>
      <c r="P201" s="108">
        <f>V201*(1+(AG201/100)*(AI201/100-1))</f>
        <v>1091.0716097560976</v>
      </c>
      <c r="Q201" s="108">
        <f>W201*(1+(AG201/100)*(AI201/100-1))</f>
        <v>839.28585365853667</v>
      </c>
      <c r="R201" s="109">
        <f>X201*(1+(AG201/100)*(AI201/100-1))</f>
        <v>2517.8575609756099</v>
      </c>
      <c r="S201" s="99">
        <f t="shared" si="385"/>
        <v>5525.2985365853665</v>
      </c>
      <c r="T201" s="108">
        <f>AL201*AS201*AY201</f>
        <v>909.22634146341477</v>
      </c>
      <c r="U201" s="108">
        <f>AL201*AS201*AY201</f>
        <v>909.22634146341477</v>
      </c>
      <c r="V201" s="108">
        <f>AL201*AS201*AY201</f>
        <v>909.22634146341477</v>
      </c>
      <c r="W201" s="108">
        <f>IF(H201=4,AL201*AS201*IF(AT201=0,AY201,1),0)</f>
        <v>699.40487804878057</v>
      </c>
      <c r="X201" s="109">
        <f>AL201*IF(H201=3,11,IF(AT201=1,15,13))*IF(AW201=1,0,AW201)</f>
        <v>2098.2146341463417</v>
      </c>
      <c r="Y201" s="99">
        <f t="shared" si="299"/>
        <v>11050.597073170733</v>
      </c>
      <c r="Z201" s="108">
        <f>T201*AI201/100</f>
        <v>1818.4526829268295</v>
      </c>
      <c r="AA201" s="108">
        <f>U201*AI201/100</f>
        <v>1818.4526829268295</v>
      </c>
      <c r="AB201" s="108">
        <f>V201*AI201/100</f>
        <v>1818.4526829268295</v>
      </c>
      <c r="AC201" s="108">
        <f>W201*AI201/100</f>
        <v>1398.8097560975611</v>
      </c>
      <c r="AD201" s="109">
        <f>X201*AI201/100</f>
        <v>4196.4292682926834</v>
      </c>
      <c r="AE201" s="99">
        <f t="shared" si="388"/>
        <v>30</v>
      </c>
      <c r="AF201" s="101"/>
      <c r="AG201" s="101">
        <f>IF($D$25+AX201&gt;100,100,$D$25+AX201)</f>
        <v>20</v>
      </c>
      <c r="AH201" s="101">
        <f t="shared" si="395"/>
        <v>592</v>
      </c>
      <c r="AI201" s="101">
        <f t="shared" si="391"/>
        <v>200</v>
      </c>
      <c r="AJ201" s="108">
        <f>10*AU201/IF(AT201=1,2.5,(IF(AY201=1,3,2.5)))</f>
        <v>4</v>
      </c>
      <c r="AK201" s="101">
        <f t="shared" si="316"/>
        <v>699.40487804878057</v>
      </c>
      <c r="AL201" s="101">
        <f>((VLOOKUP(C201,$B$4:$AG$7,22,FALSE)+VLOOKUP(C201,$B$8:$AG$11,22,FALSE)*$D$22))*$D$27/100</f>
        <v>699.40487804878057</v>
      </c>
      <c r="AM201" s="101"/>
      <c r="AN201" s="101"/>
      <c r="AO201" s="1">
        <v>30</v>
      </c>
      <c r="AP201" s="2"/>
      <c r="AQ201" s="74">
        <f>VLOOKUP(C201,$B$13:$AA$16,22,FALSE)</f>
        <v>592</v>
      </c>
      <c r="AR201" s="10"/>
      <c r="AS201" s="1">
        <v>1</v>
      </c>
      <c r="AT201" s="11">
        <v>1</v>
      </c>
      <c r="AU201" s="10">
        <v>1</v>
      </c>
      <c r="AV201" s="1"/>
      <c r="AW201" s="1">
        <v>0.2</v>
      </c>
      <c r="AX201" s="10">
        <v>0</v>
      </c>
      <c r="AY201" s="11">
        <v>1.3</v>
      </c>
      <c r="AZ201" s="2"/>
      <c r="BA201" s="2"/>
      <c r="BB201" s="2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1:63" ht="12" customHeight="1">
      <c r="A202" s="2"/>
      <c r="B202" s="107">
        <v>21</v>
      </c>
      <c r="C202" s="31">
        <v>10</v>
      </c>
      <c r="D202" s="113" t="s">
        <v>12</v>
      </c>
      <c r="E202" s="2" t="s">
        <v>138</v>
      </c>
      <c r="F202" s="31"/>
      <c r="G202" s="2" t="s">
        <v>180</v>
      </c>
      <c r="H202" s="33"/>
      <c r="I202" s="99">
        <f t="shared" si="293"/>
        <v>208.7689024390244</v>
      </c>
      <c r="J202" s="101">
        <f t="shared" si="294"/>
        <v>21.708333333333332</v>
      </c>
      <c r="K202" s="101">
        <f t="shared" si="295"/>
        <v>33</v>
      </c>
      <c r="L202" s="144">
        <f t="shared" si="389"/>
        <v>5</v>
      </c>
      <c r="M202" s="99">
        <f t="shared" si="343"/>
        <v>5010.4536585365859</v>
      </c>
      <c r="N202" s="108">
        <f t="shared" si="396"/>
        <v>3340.3024390243904</v>
      </c>
      <c r="O202" s="108">
        <f t="shared" ref="O202:O206" si="397">U202*(1+($D$25/100)*(AI202/100-1))</f>
        <v>1670.1512195121952</v>
      </c>
      <c r="P202" s="108"/>
      <c r="Q202" s="108"/>
      <c r="R202" s="109">
        <f t="shared" ref="R202:R206" si="398">X202*(1+($D$25/100)*(AI202/100-1))</f>
        <v>0</v>
      </c>
      <c r="S202" s="99">
        <f t="shared" si="385"/>
        <v>4175.3780487804888</v>
      </c>
      <c r="T202" s="108">
        <f>AL202*AU202*AW202</f>
        <v>2783.5853658536589</v>
      </c>
      <c r="U202" s="108">
        <f>AL202*AU202*AW202*AX202</f>
        <v>1391.7926829268295</v>
      </c>
      <c r="V202" s="108"/>
      <c r="W202" s="108"/>
      <c r="X202" s="109">
        <f>AL202*AY202</f>
        <v>0</v>
      </c>
      <c r="Y202" s="99">
        <f t="shared" si="299"/>
        <v>8350.7560975609777</v>
      </c>
      <c r="Z202" s="108">
        <f t="shared" ref="Z202:AA202" si="399">T202*$D$26/100</f>
        <v>5567.1707317073178</v>
      </c>
      <c r="AA202" s="108">
        <f t="shared" si="399"/>
        <v>2783.5853658536589</v>
      </c>
      <c r="AB202" s="108"/>
      <c r="AC202" s="108"/>
      <c r="AD202" s="109">
        <f t="shared" ref="AD202:AD206" si="400">X202*$D$26/100</f>
        <v>0</v>
      </c>
      <c r="AE202" s="99">
        <f t="shared" si="388"/>
        <v>24</v>
      </c>
      <c r="AF202" s="101"/>
      <c r="AG202" s="101">
        <f>IF($D$25+AV202&gt;100,100,$D$25+AV202)</f>
        <v>20</v>
      </c>
      <c r="AH202" s="101">
        <f t="shared" si="395"/>
        <v>521</v>
      </c>
      <c r="AI202" s="101">
        <f t="shared" si="391"/>
        <v>200</v>
      </c>
      <c r="AJ202" s="108">
        <f>10/7</f>
        <v>1.4285714285714286</v>
      </c>
      <c r="AK202" s="101">
        <f t="shared" si="316"/>
        <v>2141.2195121951222</v>
      </c>
      <c r="AL202" s="101">
        <f>(VLOOKUP(C202,$B$4:$AG$7,16,FALSE)+VLOOKUP(C202,$B$8:$AG$11,16,FALSE)*$D$22)*$D$27/100</f>
        <v>2141.2195121951222</v>
      </c>
      <c r="AM202" s="101"/>
      <c r="AN202" s="101"/>
      <c r="AO202" s="1">
        <v>24</v>
      </c>
      <c r="AP202" s="2"/>
      <c r="AQ202" s="74">
        <f>VLOOKUP(C202,$B$13:$AA$16,16,FALSE)</f>
        <v>521</v>
      </c>
      <c r="AR202" s="10"/>
      <c r="AS202" s="1"/>
      <c r="AT202" s="11"/>
      <c r="AU202" s="10">
        <v>1.3</v>
      </c>
      <c r="AV202" s="1">
        <v>0</v>
      </c>
      <c r="AW202" s="1">
        <v>1</v>
      </c>
      <c r="AX202" s="10">
        <v>0.5</v>
      </c>
      <c r="AY202" s="11">
        <v>0</v>
      </c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1"/>
    </row>
    <row r="203" spans="1:63" ht="12" customHeight="1">
      <c r="A203" s="1"/>
      <c r="B203" s="107">
        <v>22</v>
      </c>
      <c r="C203" s="31">
        <v>10</v>
      </c>
      <c r="D203" s="113" t="s">
        <v>9</v>
      </c>
      <c r="E203" s="2" t="s">
        <v>169</v>
      </c>
      <c r="F203" s="25"/>
      <c r="G203" s="2"/>
      <c r="H203" s="33"/>
      <c r="I203" s="99">
        <f t="shared" si="293"/>
        <v>177.22048780487805</v>
      </c>
      <c r="J203" s="101">
        <f t="shared" si="294"/>
        <v>18.25</v>
      </c>
      <c r="K203" s="101">
        <f t="shared" si="295"/>
        <v>41</v>
      </c>
      <c r="L203" s="144">
        <f t="shared" si="389"/>
        <v>6</v>
      </c>
      <c r="M203" s="99">
        <f t="shared" si="343"/>
        <v>6379.9375609756098</v>
      </c>
      <c r="N203" s="108">
        <f t="shared" si="396"/>
        <v>3837.1785365853661</v>
      </c>
      <c r="O203" s="108">
        <f t="shared" si="397"/>
        <v>1907.0692682926829</v>
      </c>
      <c r="P203" s="108"/>
      <c r="Q203" s="108"/>
      <c r="R203" s="109">
        <f t="shared" si="398"/>
        <v>635.68975609756092</v>
      </c>
      <c r="S203" s="99">
        <f t="shared" si="385"/>
        <v>5316.6146341463418</v>
      </c>
      <c r="T203" s="108">
        <f t="shared" ref="T203:T204" si="401">AL203*AU203*AY203</f>
        <v>3197.6487804878052</v>
      </c>
      <c r="U203" s="108">
        <f t="shared" ref="U203:U204" si="402">AM203*AX203</f>
        <v>1589.2243902439025</v>
      </c>
      <c r="V203" s="108"/>
      <c r="W203" s="108"/>
      <c r="X203" s="109">
        <f t="shared" ref="X203:X204" si="403">AM203*AS203</f>
        <v>529.74146341463415</v>
      </c>
      <c r="Y203" s="99">
        <f t="shared" si="299"/>
        <v>10633.229268292684</v>
      </c>
      <c r="Z203" s="108">
        <f t="shared" ref="Z203:AA203" si="404">T203*$D$26/100</f>
        <v>6395.2975609756095</v>
      </c>
      <c r="AA203" s="108">
        <f t="shared" si="404"/>
        <v>3178.4487804878049</v>
      </c>
      <c r="AB203" s="108"/>
      <c r="AC203" s="108"/>
      <c r="AD203" s="109">
        <f t="shared" si="400"/>
        <v>1059.4829268292683</v>
      </c>
      <c r="AE203" s="99">
        <f t="shared" si="388"/>
        <v>36</v>
      </c>
      <c r="AF203" s="101"/>
      <c r="AG203" s="101">
        <f t="shared" ref="AG203:AG204" si="405">IF($D$25+AW203&gt;100,100,$D$25+AW203)</f>
        <v>20</v>
      </c>
      <c r="AH203" s="101">
        <f t="shared" si="395"/>
        <v>657</v>
      </c>
      <c r="AI203" s="101">
        <f t="shared" si="391"/>
        <v>200</v>
      </c>
      <c r="AJ203" s="108">
        <f t="shared" ref="AJ203:AJ204" si="406">10/(6+AT203)</f>
        <v>1.6666666666666667</v>
      </c>
      <c r="AK203" s="101">
        <f t="shared" si="316"/>
        <v>2661.5073170731712</v>
      </c>
      <c r="AL203" s="101">
        <f t="shared" ref="AL203:AL204" si="407">(VLOOKUP(C203,$B$4:$AG$7,11,FALSE)+VLOOKUP(C203,$B$8:$AG$11,11,FALSE)*$D$22)*$D$27/100</f>
        <v>2131.7658536585368</v>
      </c>
      <c r="AM203" s="101">
        <f t="shared" ref="AM203:AM204" si="408">(3*(VLOOKUP(C203,$B$4:$AG$7,12,FALSE)+VLOOKUP(C203,$B$8:$AG$11,12,FALSE)*$D$22))*$D$27/100</f>
        <v>529.74146341463415</v>
      </c>
      <c r="AN203" s="101"/>
      <c r="AO203" s="1">
        <v>36</v>
      </c>
      <c r="AP203" s="2"/>
      <c r="AQ203" s="74">
        <f t="shared" ref="AQ203:AQ204" si="409">VLOOKUP(C203,$B$13:$AA$16,11,FALSE)</f>
        <v>657</v>
      </c>
      <c r="AR203" s="10"/>
      <c r="AS203" s="1">
        <v>1</v>
      </c>
      <c r="AT203" s="11">
        <v>0</v>
      </c>
      <c r="AU203" s="10">
        <v>1.5</v>
      </c>
      <c r="AV203" s="1"/>
      <c r="AW203" s="1">
        <v>0</v>
      </c>
      <c r="AX203" s="10">
        <v>3</v>
      </c>
      <c r="AY203" s="11">
        <v>1</v>
      </c>
      <c r="AZ203" s="2"/>
      <c r="BA203" s="2"/>
      <c r="BB203" s="2"/>
      <c r="BC203" s="1"/>
      <c r="BD203" s="113"/>
      <c r="BE203" s="2"/>
      <c r="BF203" s="2"/>
      <c r="BG203" s="2"/>
      <c r="BH203" s="1"/>
      <c r="BI203" s="2"/>
      <c r="BJ203" s="2"/>
      <c r="BK203" s="1"/>
    </row>
    <row r="204" spans="1:63" ht="12" customHeight="1">
      <c r="A204" s="2"/>
      <c r="B204" s="107">
        <v>23</v>
      </c>
      <c r="C204" s="31">
        <v>10</v>
      </c>
      <c r="D204" s="113" t="s">
        <v>9</v>
      </c>
      <c r="E204" s="2" t="s">
        <v>171</v>
      </c>
      <c r="F204" s="31"/>
      <c r="G204" s="2" t="s">
        <v>158</v>
      </c>
      <c r="H204" s="33"/>
      <c r="I204" s="99">
        <f t="shared" si="293"/>
        <v>177.22048780487805</v>
      </c>
      <c r="J204" s="101">
        <f t="shared" si="294"/>
        <v>18.25</v>
      </c>
      <c r="K204" s="101">
        <f t="shared" si="295"/>
        <v>41</v>
      </c>
      <c r="L204" s="144">
        <f t="shared" si="389"/>
        <v>6</v>
      </c>
      <c r="M204" s="99">
        <f t="shared" si="343"/>
        <v>6379.9375609756098</v>
      </c>
      <c r="N204" s="108">
        <f t="shared" si="396"/>
        <v>3837.1785365853661</v>
      </c>
      <c r="O204" s="108">
        <f t="shared" si="397"/>
        <v>1907.0692682926829</v>
      </c>
      <c r="P204" s="108"/>
      <c r="Q204" s="108"/>
      <c r="R204" s="109">
        <f t="shared" si="398"/>
        <v>635.68975609756092</v>
      </c>
      <c r="S204" s="99">
        <f t="shared" si="385"/>
        <v>4250.7317073170734</v>
      </c>
      <c r="T204" s="108">
        <f t="shared" si="401"/>
        <v>2131.7658536585368</v>
      </c>
      <c r="U204" s="108">
        <f t="shared" si="402"/>
        <v>1589.2243902439025</v>
      </c>
      <c r="V204" s="108"/>
      <c r="W204" s="108"/>
      <c r="X204" s="109">
        <f t="shared" si="403"/>
        <v>529.74146341463415</v>
      </c>
      <c r="Y204" s="99">
        <f t="shared" si="299"/>
        <v>8501.4634146341468</v>
      </c>
      <c r="Z204" s="108">
        <f t="shared" ref="Z204:AA204" si="410">T204*$D$26/100</f>
        <v>4263.5317073170736</v>
      </c>
      <c r="AA204" s="108">
        <f t="shared" si="410"/>
        <v>3178.4487804878049</v>
      </c>
      <c r="AB204" s="108"/>
      <c r="AC204" s="108"/>
      <c r="AD204" s="109">
        <f t="shared" si="400"/>
        <v>1059.4829268292683</v>
      </c>
      <c r="AE204" s="99">
        <f t="shared" si="388"/>
        <v>36</v>
      </c>
      <c r="AF204" s="101"/>
      <c r="AG204" s="101">
        <f t="shared" si="405"/>
        <v>80</v>
      </c>
      <c r="AH204" s="101">
        <f t="shared" si="395"/>
        <v>657</v>
      </c>
      <c r="AI204" s="101">
        <f t="shared" si="391"/>
        <v>200</v>
      </c>
      <c r="AJ204" s="108">
        <f t="shared" si="406"/>
        <v>1.6666666666666667</v>
      </c>
      <c r="AK204" s="101">
        <f t="shared" si="316"/>
        <v>2661.5073170731712</v>
      </c>
      <c r="AL204" s="101">
        <f t="shared" si="407"/>
        <v>2131.7658536585368</v>
      </c>
      <c r="AM204" s="101">
        <f t="shared" si="408"/>
        <v>529.74146341463415</v>
      </c>
      <c r="AN204" s="101"/>
      <c r="AO204" s="1">
        <v>36</v>
      </c>
      <c r="AP204" s="2"/>
      <c r="AQ204" s="74">
        <f t="shared" si="409"/>
        <v>657</v>
      </c>
      <c r="AR204" s="10"/>
      <c r="AS204" s="1">
        <v>1</v>
      </c>
      <c r="AT204" s="11">
        <v>0</v>
      </c>
      <c r="AU204" s="10">
        <v>1</v>
      </c>
      <c r="AV204" s="1"/>
      <c r="AW204" s="1">
        <v>60</v>
      </c>
      <c r="AX204" s="10">
        <v>3</v>
      </c>
      <c r="AY204" s="11">
        <v>1</v>
      </c>
      <c r="AZ204" s="2"/>
      <c r="BA204" s="2"/>
      <c r="BB204" s="2"/>
      <c r="BC204" s="2"/>
      <c r="BD204" s="2"/>
      <c r="BE204" s="2"/>
      <c r="BF204" s="2"/>
      <c r="BG204" s="2"/>
      <c r="BH204" s="2"/>
      <c r="BI204" s="1"/>
      <c r="BJ204" s="1"/>
      <c r="BK204" s="1"/>
    </row>
    <row r="205" spans="1:63" ht="12" customHeight="1">
      <c r="A205" s="1"/>
      <c r="B205" s="107">
        <v>20</v>
      </c>
      <c r="C205" s="31">
        <v>10</v>
      </c>
      <c r="D205" s="113" t="s">
        <v>12</v>
      </c>
      <c r="E205" s="2" t="s">
        <v>92</v>
      </c>
      <c r="F205" s="25"/>
      <c r="G205" s="2"/>
      <c r="H205" s="50"/>
      <c r="I205" s="99">
        <f t="shared" si="293"/>
        <v>171.29756097560974</v>
      </c>
      <c r="J205" s="101">
        <f t="shared" si="294"/>
        <v>21.708333333333332</v>
      </c>
      <c r="K205" s="101">
        <f t="shared" si="295"/>
        <v>43</v>
      </c>
      <c r="L205" s="144">
        <f t="shared" si="389"/>
        <v>8</v>
      </c>
      <c r="M205" s="99">
        <f t="shared" si="343"/>
        <v>4111.141463414634</v>
      </c>
      <c r="N205" s="108">
        <f t="shared" si="396"/>
        <v>2569.4634146341464</v>
      </c>
      <c r="O205" s="108">
        <f t="shared" si="397"/>
        <v>0</v>
      </c>
      <c r="P205" s="108"/>
      <c r="Q205" s="108"/>
      <c r="R205" s="109">
        <f t="shared" si="398"/>
        <v>1541.6780487804879</v>
      </c>
      <c r="S205" s="99">
        <f t="shared" si="385"/>
        <v>3425.9512195121952</v>
      </c>
      <c r="T205" s="108">
        <f t="shared" ref="T205:T206" si="411">AL205*AU205*AW205</f>
        <v>2141.2195121951222</v>
      </c>
      <c r="U205" s="108">
        <f t="shared" ref="U205:U206" si="412">AL205*AU205*AW205*AX205</f>
        <v>0</v>
      </c>
      <c r="V205" s="108"/>
      <c r="W205" s="108"/>
      <c r="X205" s="109">
        <f t="shared" ref="X205:X206" si="413">AL205*AY205</f>
        <v>1284.7317073170732</v>
      </c>
      <c r="Y205" s="99">
        <f t="shared" si="299"/>
        <v>6851.9024390243903</v>
      </c>
      <c r="Z205" s="108">
        <f t="shared" ref="Z205:AA205" si="414">T205*$D$26/100</f>
        <v>4282.4390243902444</v>
      </c>
      <c r="AA205" s="108">
        <f t="shared" si="414"/>
        <v>0</v>
      </c>
      <c r="AB205" s="108"/>
      <c r="AC205" s="108"/>
      <c r="AD205" s="109">
        <f t="shared" si="400"/>
        <v>2569.4634146341464</v>
      </c>
      <c r="AE205" s="99">
        <f t="shared" si="388"/>
        <v>24</v>
      </c>
      <c r="AF205" s="101"/>
      <c r="AG205" s="101">
        <f t="shared" ref="AG205:AG206" si="415">IF($D$25+AV205&gt;100,100,$D$25+AV205)</f>
        <v>20</v>
      </c>
      <c r="AH205" s="101">
        <f t="shared" si="395"/>
        <v>521</v>
      </c>
      <c r="AI205" s="101">
        <f t="shared" si="391"/>
        <v>200</v>
      </c>
      <c r="AJ205" s="108">
        <f t="shared" ref="AJ205:AJ206" si="416">10/7</f>
        <v>1.4285714285714286</v>
      </c>
      <c r="AK205" s="101">
        <f t="shared" si="316"/>
        <v>2141.2195121951222</v>
      </c>
      <c r="AL205" s="101">
        <f t="shared" ref="AL205:AL206" si="417">(VLOOKUP(C205,$B$4:$AG$7,16,FALSE)+VLOOKUP(C205,$B$8:$AG$11,16,FALSE)*$D$22)*$D$27/100</f>
        <v>2141.2195121951222</v>
      </c>
      <c r="AM205" s="101"/>
      <c r="AN205" s="101"/>
      <c r="AO205" s="1">
        <v>24</v>
      </c>
      <c r="AP205" s="2"/>
      <c r="AQ205" s="74">
        <f t="shared" ref="AQ205:AQ206" si="418">VLOOKUP(C205,$B$13:$AA$16,16,FALSE)</f>
        <v>521</v>
      </c>
      <c r="AR205" s="10"/>
      <c r="AS205" s="1"/>
      <c r="AT205" s="11"/>
      <c r="AU205" s="10">
        <v>1</v>
      </c>
      <c r="AV205" s="1">
        <v>0</v>
      </c>
      <c r="AW205" s="1">
        <v>1</v>
      </c>
      <c r="AX205" s="10">
        <v>0</v>
      </c>
      <c r="AY205" s="11">
        <v>0.6</v>
      </c>
      <c r="AZ205" s="2"/>
      <c r="BA205" s="2"/>
      <c r="BB205" s="2"/>
      <c r="BC205" s="1"/>
      <c r="BD205" s="1"/>
      <c r="BE205" s="1"/>
      <c r="BF205" s="1"/>
      <c r="BG205" s="1"/>
      <c r="BH205" s="1"/>
      <c r="BI205" s="1"/>
      <c r="BJ205" s="1"/>
      <c r="BK205" s="2"/>
    </row>
    <row r="206" spans="1:63" ht="12" customHeight="1">
      <c r="A206" s="2"/>
      <c r="B206" s="107">
        <v>21</v>
      </c>
      <c r="C206" s="31">
        <v>10</v>
      </c>
      <c r="D206" s="113" t="s">
        <v>12</v>
      </c>
      <c r="E206" s="2" t="s">
        <v>138</v>
      </c>
      <c r="F206" s="31"/>
      <c r="G206" s="2" t="s">
        <v>181</v>
      </c>
      <c r="H206" s="33"/>
      <c r="I206" s="99">
        <f t="shared" si="293"/>
        <v>160.59146341463415</v>
      </c>
      <c r="J206" s="101">
        <f t="shared" si="294"/>
        <v>21.708333333333332</v>
      </c>
      <c r="K206" s="101">
        <f t="shared" si="295"/>
        <v>45</v>
      </c>
      <c r="L206" s="144">
        <f t="shared" si="389"/>
        <v>9</v>
      </c>
      <c r="M206" s="99">
        <f t="shared" si="343"/>
        <v>3854.1951219512193</v>
      </c>
      <c r="N206" s="108">
        <f t="shared" si="396"/>
        <v>2569.4634146341464</v>
      </c>
      <c r="O206" s="108">
        <f t="shared" si="397"/>
        <v>1284.7317073170732</v>
      </c>
      <c r="P206" s="108"/>
      <c r="Q206" s="108"/>
      <c r="R206" s="109">
        <f t="shared" si="398"/>
        <v>0</v>
      </c>
      <c r="S206" s="99">
        <f t="shared" si="385"/>
        <v>3211.8292682926831</v>
      </c>
      <c r="T206" s="108">
        <f t="shared" si="411"/>
        <v>2141.2195121951222</v>
      </c>
      <c r="U206" s="108">
        <f t="shared" si="412"/>
        <v>1070.6097560975611</v>
      </c>
      <c r="V206" s="108"/>
      <c r="W206" s="108"/>
      <c r="X206" s="109">
        <f t="shared" si="413"/>
        <v>0</v>
      </c>
      <c r="Y206" s="99">
        <f t="shared" si="299"/>
        <v>6423.6585365853662</v>
      </c>
      <c r="Z206" s="108">
        <f t="shared" ref="Z206:AA206" si="419">T206*$D$26/100</f>
        <v>4282.4390243902444</v>
      </c>
      <c r="AA206" s="108">
        <f t="shared" si="419"/>
        <v>2141.2195121951222</v>
      </c>
      <c r="AB206" s="108"/>
      <c r="AC206" s="108"/>
      <c r="AD206" s="109">
        <f t="shared" si="400"/>
        <v>0</v>
      </c>
      <c r="AE206" s="99">
        <f t="shared" si="388"/>
        <v>24</v>
      </c>
      <c r="AF206" s="101"/>
      <c r="AG206" s="101">
        <f t="shared" si="415"/>
        <v>20</v>
      </c>
      <c r="AH206" s="101">
        <f t="shared" si="395"/>
        <v>521</v>
      </c>
      <c r="AI206" s="101">
        <f t="shared" si="391"/>
        <v>200</v>
      </c>
      <c r="AJ206" s="108">
        <f t="shared" si="416"/>
        <v>1.4285714285714286</v>
      </c>
      <c r="AK206" s="101">
        <f t="shared" si="316"/>
        <v>2141.2195121951222</v>
      </c>
      <c r="AL206" s="101">
        <f t="shared" si="417"/>
        <v>2141.2195121951222</v>
      </c>
      <c r="AM206" s="101"/>
      <c r="AN206" s="101"/>
      <c r="AO206" s="1">
        <v>24</v>
      </c>
      <c r="AP206" s="2"/>
      <c r="AQ206" s="74">
        <f t="shared" si="418"/>
        <v>521</v>
      </c>
      <c r="AR206" s="10"/>
      <c r="AS206" s="1"/>
      <c r="AT206" s="11"/>
      <c r="AU206" s="10">
        <v>1</v>
      </c>
      <c r="AV206" s="1">
        <v>0</v>
      </c>
      <c r="AW206" s="1">
        <v>1</v>
      </c>
      <c r="AX206" s="10">
        <v>0.5</v>
      </c>
      <c r="AY206" s="11">
        <v>0</v>
      </c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</row>
    <row r="207" spans="1:63" ht="12" customHeight="1">
      <c r="A207" s="2"/>
      <c r="B207" s="107">
        <v>26</v>
      </c>
      <c r="C207" s="31">
        <v>10</v>
      </c>
      <c r="D207" s="113" t="s">
        <v>15</v>
      </c>
      <c r="E207" s="2" t="s">
        <v>171</v>
      </c>
      <c r="F207" s="10"/>
      <c r="G207" s="2" t="s">
        <v>181</v>
      </c>
      <c r="H207" s="33">
        <f>IF(AX207=AT207,3,4)</f>
        <v>3</v>
      </c>
      <c r="I207" s="99">
        <f t="shared" si="293"/>
        <v>145.47621463414634</v>
      </c>
      <c r="J207" s="101">
        <f t="shared" si="294"/>
        <v>19.733333333333334</v>
      </c>
      <c r="K207" s="101">
        <f t="shared" si="295"/>
        <v>49</v>
      </c>
      <c r="L207" s="144">
        <f t="shared" si="389"/>
        <v>10</v>
      </c>
      <c r="M207" s="99">
        <f t="shared" si="343"/>
        <v>4364.2864390243903</v>
      </c>
      <c r="N207" s="108">
        <f t="shared" si="396"/>
        <v>839.28585365853667</v>
      </c>
      <c r="O207" s="108">
        <f>U207*(1+(AG207/100)*(AI207/100-1))</f>
        <v>839.28585365853667</v>
      </c>
      <c r="P207" s="108">
        <f>V207*(1+(AG207/100)*(AI207/100-1))</f>
        <v>839.28585365853667</v>
      </c>
      <c r="Q207" s="108">
        <f>W207*(1+(AG207/100)*(AI207/100-1))</f>
        <v>0</v>
      </c>
      <c r="R207" s="109">
        <f>X207*(1+(AG207/100)*(AI207/100-1))</f>
        <v>1846.4288780487807</v>
      </c>
      <c r="S207" s="99">
        <f t="shared" si="385"/>
        <v>3636.9053658536591</v>
      </c>
      <c r="T207" s="108">
        <f>AL207*AS207*AY207</f>
        <v>699.40487804878057</v>
      </c>
      <c r="U207" s="108">
        <f>AL207*AS207*AY207</f>
        <v>699.40487804878057</v>
      </c>
      <c r="V207" s="108">
        <f>AL207*AS207*AY207</f>
        <v>699.40487804878057</v>
      </c>
      <c r="W207" s="108">
        <f>IF(H207=4,AL207*AS207*IF(AT207=0,AY207,1),0)</f>
        <v>0</v>
      </c>
      <c r="X207" s="109">
        <f>AL207*IF(H207=3,11,IF(AT207=1,15,13))*IF(AW207=1,0,AW207)</f>
        <v>1538.6907317073174</v>
      </c>
      <c r="Y207" s="99">
        <f t="shared" si="299"/>
        <v>7273.8107317073182</v>
      </c>
      <c r="Z207" s="108">
        <f>T207*AI207/100</f>
        <v>1398.8097560975611</v>
      </c>
      <c r="AA207" s="108">
        <f>U207*AI207/100</f>
        <v>1398.8097560975611</v>
      </c>
      <c r="AB207" s="108">
        <f>V207*AI207/100</f>
        <v>1398.8097560975611</v>
      </c>
      <c r="AC207" s="108">
        <f>W207*AI207/100</f>
        <v>0</v>
      </c>
      <c r="AD207" s="109">
        <f>X207*AI207/100</f>
        <v>3077.3814634146347</v>
      </c>
      <c r="AE207" s="99">
        <f t="shared" si="388"/>
        <v>30</v>
      </c>
      <c r="AF207" s="101"/>
      <c r="AG207" s="101">
        <f>IF($D$25+AX207&gt;100,100,$D$25+AX207)</f>
        <v>20</v>
      </c>
      <c r="AH207" s="101">
        <f t="shared" si="395"/>
        <v>592</v>
      </c>
      <c r="AI207" s="101">
        <f t="shared" si="391"/>
        <v>200</v>
      </c>
      <c r="AJ207" s="108">
        <f>10*AU207/IF(AT207=1,2.5,(IF(AY207=1,3,2.5)))</f>
        <v>3.3333333333333335</v>
      </c>
      <c r="AK207" s="101">
        <f t="shared" si="316"/>
        <v>699.40487804878057</v>
      </c>
      <c r="AL207" s="101">
        <f>((VLOOKUP(C207,$B$4:$AG$7,22,FALSE)+VLOOKUP(C207,$B$8:$AG$11,22,FALSE)*$D$22))*$D$27/100</f>
        <v>699.40487804878057</v>
      </c>
      <c r="AM207" s="101"/>
      <c r="AN207" s="101"/>
      <c r="AO207" s="1">
        <v>30</v>
      </c>
      <c r="AP207" s="2"/>
      <c r="AQ207" s="74">
        <f>VLOOKUP(C207,$B$13:$AA$16,22,FALSE)</f>
        <v>592</v>
      </c>
      <c r="AR207" s="10"/>
      <c r="AS207" s="1">
        <v>1</v>
      </c>
      <c r="AT207" s="11">
        <v>0</v>
      </c>
      <c r="AU207" s="10">
        <v>1</v>
      </c>
      <c r="AV207" s="1"/>
      <c r="AW207" s="1">
        <v>0.2</v>
      </c>
      <c r="AX207" s="10">
        <v>0</v>
      </c>
      <c r="AY207" s="11">
        <v>1</v>
      </c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1"/>
    </row>
    <row r="208" spans="1:63" ht="12" customHeight="1">
      <c r="A208" s="2"/>
      <c r="B208" s="116">
        <v>23</v>
      </c>
      <c r="C208" s="81">
        <v>10</v>
      </c>
      <c r="D208" s="117" t="s">
        <v>9</v>
      </c>
      <c r="E208" s="82" t="s">
        <v>171</v>
      </c>
      <c r="F208" s="81"/>
      <c r="G208" s="82" t="s">
        <v>143</v>
      </c>
      <c r="H208" s="83"/>
      <c r="I208" s="118">
        <f t="shared" si="293"/>
        <v>141.69105691056913</v>
      </c>
      <c r="J208" s="119">
        <f t="shared" si="294"/>
        <v>18.25</v>
      </c>
      <c r="K208" s="119">
        <f t="shared" si="295"/>
        <v>52</v>
      </c>
      <c r="L208" s="145">
        <f t="shared" si="389"/>
        <v>11</v>
      </c>
      <c r="M208" s="118">
        <f t="shared" si="343"/>
        <v>5100.8780487804888</v>
      </c>
      <c r="N208" s="121">
        <f t="shared" si="396"/>
        <v>2558.1190243902442</v>
      </c>
      <c r="O208" s="121">
        <f>U208*(1+($D$25/100)*(AI208/100-1))</f>
        <v>1907.0692682926829</v>
      </c>
      <c r="P208" s="121"/>
      <c r="Q208" s="121"/>
      <c r="R208" s="122">
        <f>X208*(1+($D$25/100)*(AI208/100-1))</f>
        <v>635.68975609756092</v>
      </c>
      <c r="S208" s="118">
        <f t="shared" si="385"/>
        <v>4250.7317073170734</v>
      </c>
      <c r="T208" s="121">
        <f>AL208*AU208*AY208</f>
        <v>2131.7658536585368</v>
      </c>
      <c r="U208" s="121">
        <f>AM208*AX208</f>
        <v>1589.2243902439025</v>
      </c>
      <c r="V208" s="121"/>
      <c r="W208" s="121"/>
      <c r="X208" s="122">
        <f>AM208*AS208</f>
        <v>529.74146341463415</v>
      </c>
      <c r="Y208" s="118">
        <f t="shared" si="299"/>
        <v>8501.4634146341468</v>
      </c>
      <c r="Z208" s="121">
        <f t="shared" ref="Z208:AA208" si="420">T208*$D$26/100</f>
        <v>4263.5317073170736</v>
      </c>
      <c r="AA208" s="121">
        <f t="shared" si="420"/>
        <v>3178.4487804878049</v>
      </c>
      <c r="AB208" s="121"/>
      <c r="AC208" s="121"/>
      <c r="AD208" s="122">
        <f>X208*$D$26/100</f>
        <v>1059.4829268292683</v>
      </c>
      <c r="AE208" s="118">
        <f t="shared" si="388"/>
        <v>36</v>
      </c>
      <c r="AF208" s="119"/>
      <c r="AG208" s="119">
        <f>IF($D$25+AW208&gt;100,100,$D$25+AW208)</f>
        <v>20</v>
      </c>
      <c r="AH208" s="119">
        <f t="shared" si="395"/>
        <v>657</v>
      </c>
      <c r="AI208" s="119">
        <f t="shared" si="391"/>
        <v>200</v>
      </c>
      <c r="AJ208" s="121">
        <f>10/(6+AT208)</f>
        <v>1.6666666666666667</v>
      </c>
      <c r="AK208" s="119">
        <f t="shared" si="316"/>
        <v>2661.5073170731712</v>
      </c>
      <c r="AL208" s="119">
        <f>(VLOOKUP(C208,$B$4:$AG$7,11,FALSE)+VLOOKUP(C208,$B$8:$AG$11,11,FALSE)*$D$22)*$D$27/100</f>
        <v>2131.7658536585368</v>
      </c>
      <c r="AM208" s="119">
        <f>(3*(VLOOKUP(C208,$B$4:$AG$7,12,FALSE)+VLOOKUP(C208,$B$8:$AG$11,12,FALSE)*$D$22))*$D$27/100</f>
        <v>529.74146341463415</v>
      </c>
      <c r="AN208" s="119"/>
      <c r="AO208" s="17">
        <v>36</v>
      </c>
      <c r="AP208" s="82"/>
      <c r="AQ208" s="120">
        <f>VLOOKUP(C208,$B$13:$AA$16,11,FALSE)</f>
        <v>657</v>
      </c>
      <c r="AR208" s="16"/>
      <c r="AS208" s="17">
        <v>1</v>
      </c>
      <c r="AT208" s="21">
        <v>0</v>
      </c>
      <c r="AU208" s="16">
        <v>1</v>
      </c>
      <c r="AV208" s="17"/>
      <c r="AW208" s="17">
        <v>0</v>
      </c>
      <c r="AX208" s="16">
        <v>3</v>
      </c>
      <c r="AY208" s="21">
        <v>1</v>
      </c>
      <c r="AZ208" s="2"/>
      <c r="BA208" s="2"/>
      <c r="BB208" s="2"/>
      <c r="BC208" s="2"/>
      <c r="BD208" s="2"/>
      <c r="BE208" s="2"/>
      <c r="BF208" s="2"/>
      <c r="BG208" s="2"/>
      <c r="BH208" s="2"/>
      <c r="BI208" s="1"/>
      <c r="BJ208" s="1"/>
      <c r="BK208" s="1"/>
    </row>
    <row r="209" spans="1:63" ht="12" customHeight="1">
      <c r="A209" s="1"/>
      <c r="B209" s="1"/>
      <c r="C209" s="1"/>
      <c r="D209" s="1"/>
      <c r="E209" s="1"/>
      <c r="F209" s="3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1:63" ht="12" customHeight="1">
      <c r="A210" s="1"/>
      <c r="B210" s="1"/>
      <c r="C210" s="1"/>
      <c r="D210" s="1"/>
      <c r="E210" s="1"/>
      <c r="F210" s="3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1:63" ht="12" customHeight="1">
      <c r="A211" s="1"/>
      <c r="B211" s="1"/>
      <c r="C211" s="1"/>
      <c r="D211" s="1"/>
      <c r="E211" s="1"/>
      <c r="F211" s="3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1:63" ht="12" customHeight="1">
      <c r="A212" s="1"/>
      <c r="B212" s="1"/>
      <c r="C212" s="1"/>
      <c r="D212" s="1"/>
      <c r="E212" s="1"/>
      <c r="F212" s="3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1:63" ht="12" customHeight="1">
      <c r="A213" s="1"/>
      <c r="B213" s="1"/>
      <c r="C213" s="1"/>
      <c r="D213" s="1"/>
      <c r="E213" s="1"/>
      <c r="F213" s="3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1:63" ht="12" customHeight="1">
      <c r="A214" s="1"/>
      <c r="B214" s="1"/>
      <c r="C214" s="1"/>
      <c r="D214" s="1"/>
      <c r="E214" s="1"/>
      <c r="F214" s="3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1:63" ht="12" customHeight="1">
      <c r="A215" s="1"/>
      <c r="B215" s="1"/>
      <c r="C215" s="1"/>
      <c r="D215" s="1"/>
      <c r="E215" s="1"/>
      <c r="F215" s="3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1:63" ht="12" customHeight="1">
      <c r="A216" s="1"/>
      <c r="B216" s="1"/>
      <c r="C216" s="1"/>
      <c r="D216" s="1"/>
      <c r="E216" s="1"/>
      <c r="F216" s="3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1:63" ht="12" customHeight="1">
      <c r="A217" s="1"/>
      <c r="B217" s="1"/>
      <c r="C217" s="1"/>
      <c r="D217" s="1"/>
      <c r="E217" s="1"/>
      <c r="F217" s="3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ht="12" customHeight="1">
      <c r="A218" s="1"/>
      <c r="B218" s="1"/>
      <c r="C218" s="1"/>
      <c r="D218" s="1"/>
      <c r="E218" s="1"/>
      <c r="F218" s="3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1:63" ht="12" customHeight="1">
      <c r="A219" s="1"/>
      <c r="B219" s="1"/>
      <c r="C219" s="1"/>
      <c r="D219" s="1"/>
      <c r="E219" s="1"/>
      <c r="F219" s="3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spans="1:63" ht="12" customHeight="1">
      <c r="A220" s="1"/>
      <c r="B220" s="1"/>
      <c r="C220" s="1"/>
      <c r="D220" s="1"/>
      <c r="E220" s="1"/>
      <c r="F220" s="3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spans="1:63" ht="12" customHeight="1">
      <c r="A221" s="1"/>
      <c r="B221" s="1"/>
      <c r="C221" s="1"/>
      <c r="D221" s="1"/>
      <c r="E221" s="1"/>
      <c r="F221" s="3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spans="1:63" ht="12" customHeight="1">
      <c r="A222" s="1"/>
      <c r="B222" s="1"/>
      <c r="C222" s="1"/>
      <c r="D222" s="1"/>
      <c r="E222" s="1"/>
      <c r="F222" s="3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spans="1:63" ht="12" customHeight="1">
      <c r="A223" s="1"/>
      <c r="B223" s="1"/>
      <c r="C223" s="1"/>
      <c r="D223" s="1"/>
      <c r="E223" s="1"/>
      <c r="F223" s="3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spans="1:63" ht="12" customHeight="1">
      <c r="A224" s="1"/>
      <c r="B224" s="1"/>
      <c r="C224" s="1"/>
      <c r="D224" s="1"/>
      <c r="E224" s="1"/>
      <c r="F224" s="3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ht="12" customHeight="1">
      <c r="A225" s="1"/>
      <c r="B225" s="1"/>
      <c r="C225" s="1"/>
      <c r="D225" s="1"/>
      <c r="E225" s="1"/>
      <c r="F225" s="3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spans="1:63" ht="12" customHeight="1">
      <c r="A226" s="1"/>
      <c r="B226" s="1"/>
      <c r="C226" s="1"/>
      <c r="D226" s="1"/>
      <c r="E226" s="1"/>
      <c r="F226" s="3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spans="1:63" ht="12" customHeight="1">
      <c r="A227" s="1"/>
      <c r="B227" s="1"/>
      <c r="C227" s="1"/>
      <c r="D227" s="1"/>
      <c r="E227" s="1"/>
      <c r="F227" s="3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spans="1:63" ht="12" customHeight="1">
      <c r="A228" s="1"/>
      <c r="B228" s="1"/>
      <c r="C228" s="1"/>
      <c r="D228" s="1"/>
      <c r="E228" s="1"/>
      <c r="F228" s="3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spans="1:63" ht="12" customHeight="1">
      <c r="A229" s="1"/>
      <c r="B229" s="1"/>
      <c r="C229" s="1"/>
      <c r="D229" s="1"/>
      <c r="E229" s="1"/>
      <c r="F229" s="3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spans="1:63" ht="12" customHeight="1">
      <c r="A230" s="1"/>
      <c r="B230" s="1"/>
      <c r="C230" s="1"/>
      <c r="D230" s="1"/>
      <c r="E230" s="1"/>
      <c r="F230" s="3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</row>
    <row r="231" spans="1:63" ht="12" customHeight="1">
      <c r="A231" s="1"/>
      <c r="B231" s="1"/>
      <c r="C231" s="1"/>
      <c r="D231" s="1"/>
      <c r="E231" s="1"/>
      <c r="F231" s="3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spans="1:63" ht="12" customHeight="1">
      <c r="A232" s="1"/>
      <c r="B232" s="1"/>
      <c r="C232" s="1"/>
      <c r="D232" s="1"/>
      <c r="E232" s="1"/>
      <c r="F232" s="3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</row>
    <row r="233" spans="1:63" ht="12" customHeight="1">
      <c r="A233" s="1"/>
      <c r="B233" s="1"/>
      <c r="C233" s="1"/>
      <c r="D233" s="1"/>
      <c r="E233" s="1"/>
      <c r="F233" s="3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</row>
    <row r="234" spans="1:63" ht="12" customHeight="1">
      <c r="A234" s="1"/>
      <c r="B234" s="1"/>
      <c r="C234" s="1"/>
      <c r="D234" s="1"/>
      <c r="E234" s="1"/>
      <c r="F234" s="3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</row>
    <row r="235" spans="1:63" ht="12" customHeight="1">
      <c r="A235" s="1"/>
      <c r="B235" s="1"/>
      <c r="C235" s="1"/>
      <c r="D235" s="1"/>
      <c r="E235" s="1"/>
      <c r="F235" s="3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</row>
    <row r="236" spans="1:63" ht="12" customHeight="1">
      <c r="A236" s="1"/>
      <c r="B236" s="1"/>
      <c r="C236" s="1"/>
      <c r="D236" s="1"/>
      <c r="E236" s="1"/>
      <c r="F236" s="3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</row>
    <row r="237" spans="1:63" ht="12" customHeight="1">
      <c r="A237" s="1"/>
      <c r="B237" s="1"/>
      <c r="C237" s="1"/>
      <c r="D237" s="1"/>
      <c r="E237" s="1"/>
      <c r="F237" s="3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</row>
    <row r="238" spans="1:63" ht="12" customHeight="1">
      <c r="A238" s="1"/>
      <c r="B238" s="1"/>
      <c r="C238" s="1"/>
      <c r="D238" s="1"/>
      <c r="E238" s="1"/>
      <c r="F238" s="3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spans="1:63" ht="12" customHeight="1">
      <c r="A239" s="1"/>
      <c r="B239" s="1"/>
      <c r="C239" s="1"/>
      <c r="D239" s="1"/>
      <c r="E239" s="1"/>
      <c r="F239" s="3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</row>
    <row r="240" spans="1:63" ht="12" customHeight="1">
      <c r="A240" s="1"/>
      <c r="B240" s="1"/>
      <c r="C240" s="1"/>
      <c r="D240" s="1"/>
      <c r="E240" s="1"/>
      <c r="F240" s="3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</row>
    <row r="241" spans="1:63" ht="12" customHeight="1">
      <c r="A241" s="1"/>
      <c r="B241" s="1"/>
      <c r="C241" s="1"/>
      <c r="D241" s="1"/>
      <c r="E241" s="1"/>
      <c r="F241" s="3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</row>
    <row r="242" spans="1:63" ht="12" customHeight="1">
      <c r="A242" s="1"/>
      <c r="B242" s="1"/>
      <c r="C242" s="1"/>
      <c r="D242" s="1"/>
      <c r="E242" s="1"/>
      <c r="F242" s="3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</row>
    <row r="243" spans="1:63" ht="12" customHeight="1">
      <c r="A243" s="1"/>
      <c r="B243" s="1"/>
      <c r="C243" s="1"/>
      <c r="D243" s="1"/>
      <c r="E243" s="1"/>
      <c r="F243" s="3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</row>
    <row r="244" spans="1:63" ht="12" customHeight="1">
      <c r="A244" s="1"/>
      <c r="B244" s="1"/>
      <c r="C244" s="1"/>
      <c r="D244" s="1"/>
      <c r="E244" s="1"/>
      <c r="F244" s="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</row>
    <row r="245" spans="1:63" ht="12" customHeight="1">
      <c r="A245" s="1"/>
      <c r="B245" s="1"/>
      <c r="C245" s="1"/>
      <c r="D245" s="1"/>
      <c r="E245" s="1"/>
      <c r="F245" s="3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spans="1:63" ht="12" customHeight="1">
      <c r="A246" s="1"/>
      <c r="B246" s="1"/>
      <c r="C246" s="1"/>
      <c r="D246" s="1"/>
      <c r="E246" s="1"/>
      <c r="F246" s="3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</row>
    <row r="247" spans="1:63" ht="12" customHeight="1">
      <c r="A247" s="1"/>
      <c r="B247" s="1"/>
      <c r="C247" s="1"/>
      <c r="D247" s="1"/>
      <c r="E247" s="1"/>
      <c r="F247" s="3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</row>
    <row r="248" spans="1:63" ht="12" customHeight="1">
      <c r="A248" s="1"/>
      <c r="B248" s="1"/>
      <c r="C248" s="1"/>
      <c r="D248" s="1"/>
      <c r="E248" s="1"/>
      <c r="F248" s="3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</row>
    <row r="249" spans="1:63" ht="12" customHeight="1">
      <c r="A249" s="1"/>
      <c r="B249" s="1"/>
      <c r="C249" s="1"/>
      <c r="D249" s="1"/>
      <c r="E249" s="1"/>
      <c r="F249" s="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</row>
    <row r="250" spans="1:63" ht="12" customHeight="1">
      <c r="A250" s="1"/>
      <c r="B250" s="1"/>
      <c r="C250" s="1"/>
      <c r="D250" s="1"/>
      <c r="E250" s="1"/>
      <c r="F250" s="3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</row>
    <row r="251" spans="1:63" ht="12" customHeight="1">
      <c r="A251" s="1"/>
      <c r="B251" s="1"/>
      <c r="C251" s="1"/>
      <c r="D251" s="1"/>
      <c r="E251" s="1"/>
      <c r="F251" s="3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</row>
    <row r="252" spans="1:63" ht="12" customHeight="1">
      <c r="A252" s="1"/>
      <c r="B252" s="1"/>
      <c r="C252" s="1"/>
      <c r="D252" s="1"/>
      <c r="E252" s="1"/>
      <c r="F252" s="3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</row>
    <row r="253" spans="1:63" ht="12" customHeight="1">
      <c r="A253" s="1"/>
      <c r="B253" s="1"/>
      <c r="C253" s="1"/>
      <c r="D253" s="1"/>
      <c r="E253" s="1"/>
      <c r="F253" s="3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</row>
    <row r="254" spans="1:63" ht="12" customHeight="1">
      <c r="A254" s="1"/>
      <c r="B254" s="1"/>
      <c r="C254" s="1"/>
      <c r="D254" s="1"/>
      <c r="E254" s="1"/>
      <c r="F254" s="3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</row>
    <row r="255" spans="1:63" ht="12" customHeight="1">
      <c r="A255" s="1"/>
      <c r="B255" s="1"/>
      <c r="C255" s="1"/>
      <c r="D255" s="1"/>
      <c r="E255" s="1"/>
      <c r="F255" s="3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</row>
    <row r="256" spans="1:63" ht="12" customHeight="1">
      <c r="A256" s="1"/>
      <c r="B256" s="1"/>
      <c r="C256" s="1"/>
      <c r="D256" s="1"/>
      <c r="E256" s="1"/>
      <c r="F256" s="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spans="1:63" ht="12" customHeight="1">
      <c r="A257" s="1"/>
      <c r="B257" s="1"/>
      <c r="C257" s="1"/>
      <c r="D257" s="1"/>
      <c r="E257" s="1"/>
      <c r="F257" s="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</row>
    <row r="258" spans="1:63" ht="12" customHeight="1">
      <c r="A258" s="1"/>
      <c r="B258" s="1"/>
      <c r="C258" s="1"/>
      <c r="D258" s="1"/>
      <c r="E258" s="1"/>
      <c r="F258" s="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</row>
    <row r="259" spans="1:63" ht="12" customHeight="1">
      <c r="A259" s="1"/>
      <c r="B259" s="1"/>
      <c r="C259" s="1"/>
      <c r="D259" s="1"/>
      <c r="E259" s="1"/>
      <c r="F259" s="3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</row>
    <row r="260" spans="1:63" ht="12" customHeight="1">
      <c r="A260" s="1"/>
      <c r="B260" s="1"/>
      <c r="C260" s="1"/>
      <c r="D260" s="1"/>
      <c r="E260" s="1"/>
      <c r="F260" s="3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</row>
    <row r="261" spans="1:63" ht="12" customHeight="1">
      <c r="A261" s="1"/>
      <c r="B261" s="1"/>
      <c r="C261" s="1"/>
      <c r="D261" s="1"/>
      <c r="E261" s="1"/>
      <c r="F261" s="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</row>
    <row r="262" spans="1:63" ht="12" customHeight="1">
      <c r="A262" s="1"/>
      <c r="B262" s="1"/>
      <c r="C262" s="1"/>
      <c r="D262" s="1"/>
      <c r="E262" s="1"/>
      <c r="F262" s="3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</row>
    <row r="263" spans="1:63" ht="12" customHeight="1">
      <c r="A263" s="1"/>
      <c r="B263" s="1"/>
      <c r="C263" s="1"/>
      <c r="D263" s="1"/>
      <c r="E263" s="1"/>
      <c r="F263" s="3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</row>
    <row r="264" spans="1:63" ht="12" customHeight="1">
      <c r="A264" s="1"/>
      <c r="B264" s="1"/>
      <c r="C264" s="1"/>
      <c r="D264" s="1"/>
      <c r="E264" s="1"/>
      <c r="F264" s="3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</row>
    <row r="265" spans="1:63" ht="12" customHeight="1">
      <c r="A265" s="1"/>
      <c r="B265" s="1"/>
      <c r="C265" s="1"/>
      <c r="D265" s="1"/>
      <c r="E265" s="1"/>
      <c r="F265" s="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</row>
    <row r="266" spans="1:63" ht="12" customHeight="1">
      <c r="A266" s="1"/>
      <c r="B266" s="1"/>
      <c r="C266" s="1"/>
      <c r="D266" s="1"/>
      <c r="E266" s="1"/>
      <c r="F266" s="3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</row>
    <row r="267" spans="1:63" ht="12" customHeight="1">
      <c r="A267" s="1"/>
      <c r="B267" s="1"/>
      <c r="C267" s="1"/>
      <c r="D267" s="1"/>
      <c r="E267" s="1"/>
      <c r="F267" s="3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</row>
    <row r="268" spans="1:63" ht="12" customHeight="1">
      <c r="A268" s="1"/>
      <c r="B268" s="1"/>
      <c r="C268" s="1"/>
      <c r="D268" s="1"/>
      <c r="E268" s="1"/>
      <c r="F268" s="3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spans="1:63" ht="12" customHeight="1">
      <c r="A269" s="1"/>
      <c r="B269" s="1"/>
      <c r="C269" s="1"/>
      <c r="D269" s="1"/>
      <c r="E269" s="1"/>
      <c r="F269" s="3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</row>
    <row r="270" spans="1:63" ht="12" customHeight="1">
      <c r="A270" s="1"/>
      <c r="B270" s="1"/>
      <c r="C270" s="1"/>
      <c r="D270" s="1"/>
      <c r="E270" s="1"/>
      <c r="F270" s="3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spans="1:63" ht="12" customHeight="1">
      <c r="A271" s="1"/>
      <c r="B271" s="1"/>
      <c r="C271" s="1"/>
      <c r="D271" s="1"/>
      <c r="E271" s="1"/>
      <c r="F271" s="3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spans="1:63" ht="12" customHeight="1">
      <c r="A272" s="1"/>
      <c r="B272" s="1"/>
      <c r="C272" s="1"/>
      <c r="D272" s="1"/>
      <c r="E272" s="1"/>
      <c r="F272" s="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</row>
    <row r="273" spans="1:63" ht="12" customHeight="1">
      <c r="A273" s="1"/>
      <c r="B273" s="1"/>
      <c r="C273" s="1"/>
      <c r="D273" s="1"/>
      <c r="E273" s="1"/>
      <c r="F273" s="3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</row>
    <row r="274" spans="1:63" ht="12" customHeight="1">
      <c r="A274" s="1"/>
      <c r="B274" s="1"/>
      <c r="C274" s="1"/>
      <c r="D274" s="1"/>
      <c r="E274" s="1"/>
      <c r="F274" s="3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</row>
    <row r="275" spans="1:63" ht="12" customHeight="1">
      <c r="A275" s="1"/>
      <c r="B275" s="1"/>
      <c r="C275" s="1"/>
      <c r="D275" s="1"/>
      <c r="E275" s="1"/>
      <c r="F275" s="3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</row>
    <row r="276" spans="1:63" ht="12" customHeight="1">
      <c r="A276" s="1"/>
      <c r="B276" s="1"/>
      <c r="C276" s="1"/>
      <c r="D276" s="1"/>
      <c r="E276" s="1"/>
      <c r="F276" s="3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</row>
    <row r="277" spans="1:63" ht="12" customHeight="1">
      <c r="A277" s="1"/>
      <c r="B277" s="1"/>
      <c r="C277" s="1"/>
      <c r="D277" s="1"/>
      <c r="E277" s="1"/>
      <c r="F277" s="3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</row>
    <row r="278" spans="1:63" ht="12" customHeight="1">
      <c r="A278" s="1"/>
      <c r="B278" s="1"/>
      <c r="C278" s="1"/>
      <c r="D278" s="1"/>
      <c r="E278" s="1"/>
      <c r="F278" s="3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</row>
    <row r="279" spans="1:63" ht="12" customHeight="1">
      <c r="A279" s="1"/>
      <c r="B279" s="1"/>
      <c r="C279" s="1"/>
      <c r="D279" s="1"/>
      <c r="E279" s="1"/>
      <c r="F279" s="3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</row>
    <row r="280" spans="1:63" ht="12" customHeight="1">
      <c r="A280" s="1"/>
      <c r="B280" s="1"/>
      <c r="C280" s="1"/>
      <c r="D280" s="1"/>
      <c r="E280" s="1"/>
      <c r="F280" s="3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</row>
    <row r="281" spans="1:63" ht="12" customHeight="1">
      <c r="A281" s="1"/>
      <c r="B281" s="1"/>
      <c r="C281" s="1"/>
      <c r="D281" s="1"/>
      <c r="E281" s="1"/>
      <c r="F281" s="3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</row>
    <row r="282" spans="1:63" ht="12" customHeight="1">
      <c r="A282" s="1"/>
      <c r="B282" s="1"/>
      <c r="C282" s="1"/>
      <c r="D282" s="1"/>
      <c r="E282" s="1"/>
      <c r="F282" s="3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</row>
    <row r="283" spans="1:63" ht="12" customHeight="1">
      <c r="A283" s="1"/>
      <c r="B283" s="1"/>
      <c r="C283" s="1"/>
      <c r="D283" s="1"/>
      <c r="E283" s="1"/>
      <c r="F283" s="3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spans="1:63" ht="12" customHeight="1">
      <c r="A284" s="1"/>
      <c r="B284" s="1"/>
      <c r="C284" s="1"/>
      <c r="D284" s="1"/>
      <c r="E284" s="1"/>
      <c r="F284" s="3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</row>
    <row r="285" spans="1:63" ht="12" customHeight="1">
      <c r="A285" s="1"/>
      <c r="B285" s="1"/>
      <c r="C285" s="1"/>
      <c r="D285" s="1"/>
      <c r="E285" s="1"/>
      <c r="F285" s="3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</row>
    <row r="286" spans="1:63" ht="12" customHeight="1">
      <c r="A286" s="1"/>
      <c r="B286" s="1"/>
      <c r="C286" s="1"/>
      <c r="D286" s="1"/>
      <c r="E286" s="1"/>
      <c r="F286" s="3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</row>
    <row r="287" spans="1:63" ht="12" customHeight="1">
      <c r="A287" s="1"/>
      <c r="B287" s="1"/>
      <c r="C287" s="1"/>
      <c r="D287" s="1"/>
      <c r="E287" s="1"/>
      <c r="F287" s="3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</row>
    <row r="288" spans="1:63" ht="12" customHeight="1">
      <c r="A288" s="1"/>
      <c r="B288" s="1"/>
      <c r="C288" s="1"/>
      <c r="D288" s="1"/>
      <c r="E288" s="1"/>
      <c r="F288" s="3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</row>
    <row r="289" spans="1:63" ht="12" customHeight="1">
      <c r="A289" s="1"/>
      <c r="B289" s="1"/>
      <c r="C289" s="1"/>
      <c r="D289" s="1"/>
      <c r="E289" s="1"/>
      <c r="F289" s="3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</row>
    <row r="290" spans="1:63" ht="12" customHeight="1">
      <c r="A290" s="1"/>
      <c r="B290" s="1"/>
      <c r="C290" s="1"/>
      <c r="D290" s="1"/>
      <c r="E290" s="1"/>
      <c r="F290" s="3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</row>
    <row r="291" spans="1:63" ht="12" customHeight="1">
      <c r="A291" s="1"/>
      <c r="B291" s="1"/>
      <c r="C291" s="1"/>
      <c r="D291" s="1"/>
      <c r="E291" s="1"/>
      <c r="F291" s="3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</row>
    <row r="292" spans="1:63" ht="12" customHeight="1">
      <c r="A292" s="1"/>
      <c r="B292" s="1"/>
      <c r="C292" s="1"/>
      <c r="D292" s="1"/>
      <c r="E292" s="1"/>
      <c r="F292" s="3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</row>
    <row r="293" spans="1:63" ht="12" customHeight="1">
      <c r="A293" s="1"/>
      <c r="B293" s="1"/>
      <c r="C293" s="1"/>
      <c r="D293" s="1"/>
      <c r="E293" s="1"/>
      <c r="F293" s="3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</row>
    <row r="294" spans="1:63" ht="12" customHeight="1">
      <c r="A294" s="1"/>
      <c r="B294" s="1"/>
      <c r="C294" s="1"/>
      <c r="D294" s="1"/>
      <c r="E294" s="1"/>
      <c r="F294" s="3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spans="1:63" ht="12" customHeight="1">
      <c r="A295" s="1"/>
      <c r="B295" s="1"/>
      <c r="C295" s="1"/>
      <c r="D295" s="1"/>
      <c r="E295" s="1"/>
      <c r="F295" s="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</row>
    <row r="296" spans="1:63" ht="12" customHeight="1">
      <c r="A296" s="1"/>
      <c r="B296" s="1"/>
      <c r="C296" s="1"/>
      <c r="D296" s="1"/>
      <c r="E296" s="1"/>
      <c r="F296" s="3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spans="1:63" ht="12" customHeight="1">
      <c r="A297" s="1"/>
      <c r="B297" s="1"/>
      <c r="C297" s="1"/>
      <c r="D297" s="1"/>
      <c r="E297" s="1"/>
      <c r="F297" s="3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</row>
    <row r="298" spans="1:63" ht="12" customHeight="1">
      <c r="A298" s="1"/>
      <c r="B298" s="1"/>
      <c r="C298" s="1"/>
      <c r="D298" s="1"/>
      <c r="E298" s="1"/>
      <c r="F298" s="3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</row>
    <row r="299" spans="1:63" ht="12" customHeight="1">
      <c r="A299" s="1"/>
      <c r="B299" s="1"/>
      <c r="C299" s="1"/>
      <c r="D299" s="1"/>
      <c r="E299" s="1"/>
      <c r="F299" s="3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</row>
    <row r="300" spans="1:63" ht="12" customHeight="1">
      <c r="A300" s="1"/>
      <c r="B300" s="1"/>
      <c r="C300" s="1"/>
      <c r="D300" s="1"/>
      <c r="E300" s="1"/>
      <c r="F300" s="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</row>
    <row r="301" spans="1:63" ht="12" customHeight="1">
      <c r="A301" s="1"/>
      <c r="B301" s="1"/>
      <c r="C301" s="1"/>
      <c r="D301" s="1"/>
      <c r="E301" s="1"/>
      <c r="F301" s="3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</row>
    <row r="302" spans="1:63" ht="12" customHeight="1">
      <c r="A302" s="1"/>
      <c r="B302" s="1"/>
      <c r="C302" s="1"/>
      <c r="D302" s="1"/>
      <c r="E302" s="1"/>
      <c r="F302" s="3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</row>
    <row r="303" spans="1:63" ht="12" customHeight="1">
      <c r="A303" s="1"/>
      <c r="B303" s="1"/>
      <c r="C303" s="1"/>
      <c r="D303" s="1"/>
      <c r="E303" s="1"/>
      <c r="F303" s="3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</row>
    <row r="304" spans="1:63" ht="12" customHeight="1">
      <c r="A304" s="1"/>
      <c r="B304" s="1"/>
      <c r="C304" s="1"/>
      <c r="D304" s="1"/>
      <c r="E304" s="1"/>
      <c r="F304" s="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</row>
    <row r="305" spans="1:63" ht="12" customHeight="1">
      <c r="A305" s="1"/>
      <c r="B305" s="1"/>
      <c r="C305" s="1"/>
      <c r="D305" s="1"/>
      <c r="E305" s="1"/>
      <c r="F305" s="3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</row>
    <row r="306" spans="1:63" ht="12" customHeight="1">
      <c r="A306" s="1"/>
      <c r="B306" s="1"/>
      <c r="C306" s="1"/>
      <c r="D306" s="1"/>
      <c r="E306" s="1"/>
      <c r="F306" s="3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spans="1:63" ht="12" customHeight="1">
      <c r="A307" s="1"/>
      <c r="B307" s="1"/>
      <c r="C307" s="1"/>
      <c r="D307" s="1"/>
      <c r="E307" s="1"/>
      <c r="F307" s="3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</row>
    <row r="308" spans="1:63" ht="12" customHeight="1">
      <c r="A308" s="1"/>
      <c r="B308" s="1"/>
      <c r="C308" s="1"/>
      <c r="D308" s="1"/>
      <c r="E308" s="1"/>
      <c r="F308" s="3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</row>
    <row r="309" spans="1:63" ht="12" customHeight="1">
      <c r="A309" s="1"/>
      <c r="B309" s="1"/>
      <c r="C309" s="1"/>
      <c r="D309" s="1"/>
      <c r="E309" s="1"/>
      <c r="F309" s="3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</row>
    <row r="310" spans="1:63" ht="12" customHeight="1">
      <c r="A310" s="1"/>
      <c r="B310" s="1"/>
      <c r="C310" s="1"/>
      <c r="D310" s="1"/>
      <c r="E310" s="1"/>
      <c r="F310" s="3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</row>
    <row r="311" spans="1:63" ht="12" customHeight="1">
      <c r="A311" s="1"/>
      <c r="B311" s="1"/>
      <c r="C311" s="1"/>
      <c r="D311" s="1"/>
      <c r="E311" s="1"/>
      <c r="F311" s="3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</row>
    <row r="312" spans="1:63" ht="12" customHeight="1">
      <c r="A312" s="1"/>
      <c r="B312" s="1"/>
      <c r="C312" s="1"/>
      <c r="D312" s="1"/>
      <c r="E312" s="1"/>
      <c r="F312" s="3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</row>
    <row r="313" spans="1:63" ht="12" customHeight="1">
      <c r="A313" s="1"/>
      <c r="B313" s="1"/>
      <c r="C313" s="1"/>
      <c r="D313" s="1"/>
      <c r="E313" s="1"/>
      <c r="F313" s="3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</row>
    <row r="314" spans="1:63" ht="12" customHeight="1">
      <c r="A314" s="1"/>
      <c r="B314" s="1"/>
      <c r="C314" s="1"/>
      <c r="D314" s="1"/>
      <c r="E314" s="1"/>
      <c r="F314" s="3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</row>
    <row r="315" spans="1:63" ht="12" customHeight="1">
      <c r="A315" s="1"/>
      <c r="B315" s="1"/>
      <c r="C315" s="1"/>
      <c r="D315" s="1"/>
      <c r="E315" s="1"/>
      <c r="F315" s="3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</row>
    <row r="316" spans="1:63" ht="12" customHeight="1">
      <c r="A316" s="1"/>
      <c r="B316" s="1"/>
      <c r="C316" s="1"/>
      <c r="D316" s="1"/>
      <c r="E316" s="1"/>
      <c r="F316" s="3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</row>
    <row r="317" spans="1:63" ht="12" customHeight="1">
      <c r="A317" s="1"/>
      <c r="B317" s="1"/>
      <c r="C317" s="1"/>
      <c r="D317" s="1"/>
      <c r="E317" s="1"/>
      <c r="F317" s="3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</row>
    <row r="318" spans="1:63" ht="12" customHeight="1">
      <c r="A318" s="1"/>
      <c r="B318" s="1"/>
      <c r="C318" s="1"/>
      <c r="D318" s="1"/>
      <c r="E318" s="1"/>
      <c r="F318" s="3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</row>
    <row r="319" spans="1:63" ht="12" customHeight="1">
      <c r="A319" s="1"/>
      <c r="B319" s="1"/>
      <c r="C319" s="1"/>
      <c r="D319" s="1"/>
      <c r="E319" s="1"/>
      <c r="F319" s="3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</row>
    <row r="320" spans="1:63" ht="12" customHeight="1">
      <c r="A320" s="1"/>
      <c r="B320" s="1"/>
      <c r="C320" s="1"/>
      <c r="D320" s="1"/>
      <c r="E320" s="1"/>
      <c r="F320" s="3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spans="1:63" ht="12" customHeight="1">
      <c r="A321" s="1"/>
      <c r="B321" s="1"/>
      <c r="C321" s="1"/>
      <c r="D321" s="1"/>
      <c r="E321" s="1"/>
      <c r="F321" s="3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</row>
    <row r="322" spans="1:63" ht="12" customHeight="1">
      <c r="A322" s="1"/>
      <c r="B322" s="1"/>
      <c r="C322" s="1"/>
      <c r="D322" s="1"/>
      <c r="E322" s="1"/>
      <c r="F322" s="3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</row>
    <row r="323" spans="1:63" ht="12" customHeight="1">
      <c r="A323" s="1"/>
      <c r="B323" s="1"/>
      <c r="C323" s="1"/>
      <c r="D323" s="1"/>
      <c r="E323" s="1"/>
      <c r="F323" s="3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</row>
    <row r="324" spans="1:63" ht="12" customHeight="1">
      <c r="A324" s="1"/>
      <c r="B324" s="1"/>
      <c r="C324" s="1"/>
      <c r="D324" s="1"/>
      <c r="E324" s="1"/>
      <c r="F324" s="3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</row>
    <row r="325" spans="1:63" ht="12" customHeight="1">
      <c r="A325" s="1"/>
      <c r="B325" s="1"/>
      <c r="C325" s="1"/>
      <c r="D325" s="1"/>
      <c r="E325" s="1"/>
      <c r="F325" s="3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</row>
    <row r="326" spans="1:63" ht="12" customHeight="1">
      <c r="A326" s="1"/>
      <c r="B326" s="1"/>
      <c r="C326" s="1"/>
      <c r="D326" s="1"/>
      <c r="E326" s="1"/>
      <c r="F326" s="3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</row>
    <row r="327" spans="1:63" ht="12" customHeight="1">
      <c r="A327" s="1"/>
      <c r="B327" s="1"/>
      <c r="C327" s="1"/>
      <c r="D327" s="1"/>
      <c r="E327" s="1"/>
      <c r="F327" s="3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</row>
    <row r="328" spans="1:63" ht="12" customHeight="1">
      <c r="A328" s="1"/>
      <c r="B328" s="1"/>
      <c r="C328" s="1"/>
      <c r="D328" s="1"/>
      <c r="E328" s="1"/>
      <c r="F328" s="3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</row>
    <row r="329" spans="1:63" ht="12" customHeight="1">
      <c r="A329" s="1"/>
      <c r="B329" s="1"/>
      <c r="C329" s="1"/>
      <c r="D329" s="1"/>
      <c r="E329" s="1"/>
      <c r="F329" s="3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</row>
    <row r="330" spans="1:63" ht="12" customHeight="1">
      <c r="A330" s="1"/>
      <c r="B330" s="1"/>
      <c r="C330" s="1"/>
      <c r="D330" s="1"/>
      <c r="E330" s="1"/>
      <c r="F330" s="3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</row>
    <row r="331" spans="1:63" ht="12" customHeight="1">
      <c r="A331" s="1"/>
      <c r="B331" s="1"/>
      <c r="C331" s="1"/>
      <c r="D331" s="1"/>
      <c r="E331" s="1"/>
      <c r="F331" s="3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</row>
    <row r="332" spans="1:63" ht="12" customHeight="1">
      <c r="A332" s="1"/>
      <c r="B332" s="1"/>
      <c r="C332" s="1"/>
      <c r="D332" s="1"/>
      <c r="E332" s="1"/>
      <c r="F332" s="3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spans="1:63" ht="12" customHeight="1">
      <c r="A333" s="1"/>
      <c r="B333" s="1"/>
      <c r="C333" s="1"/>
      <c r="D333" s="1"/>
      <c r="E333" s="1"/>
      <c r="F333" s="3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</row>
    <row r="334" spans="1:63" ht="12" customHeight="1">
      <c r="A334" s="1"/>
      <c r="B334" s="1"/>
      <c r="C334" s="1"/>
      <c r="D334" s="1"/>
      <c r="E334" s="1"/>
      <c r="F334" s="3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spans="1:63" ht="12" customHeight="1">
      <c r="A335" s="1"/>
      <c r="B335" s="1"/>
      <c r="C335" s="1"/>
      <c r="D335" s="1"/>
      <c r="E335" s="1"/>
      <c r="F335" s="3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</row>
    <row r="336" spans="1:63" ht="12" customHeight="1">
      <c r="A336" s="1"/>
      <c r="B336" s="1"/>
      <c r="C336" s="1"/>
      <c r="D336" s="1"/>
      <c r="E336" s="1"/>
      <c r="F336" s="3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</row>
    <row r="337" spans="1:63" ht="12" customHeight="1">
      <c r="A337" s="1"/>
      <c r="B337" s="1"/>
      <c r="C337" s="1"/>
      <c r="D337" s="1"/>
      <c r="E337" s="1"/>
      <c r="F337" s="3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</row>
    <row r="338" spans="1:63" ht="12" customHeight="1">
      <c r="A338" s="1"/>
      <c r="B338" s="1"/>
      <c r="C338" s="1"/>
      <c r="D338" s="1"/>
      <c r="E338" s="1"/>
      <c r="F338" s="3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</row>
    <row r="339" spans="1:63" ht="12" customHeight="1">
      <c r="A339" s="1"/>
      <c r="B339" s="1"/>
      <c r="C339" s="1"/>
      <c r="D339" s="1"/>
      <c r="E339" s="1"/>
      <c r="F339" s="3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</row>
    <row r="340" spans="1:63" ht="12" customHeight="1">
      <c r="A340" s="1"/>
      <c r="B340" s="1"/>
      <c r="C340" s="1"/>
      <c r="D340" s="1"/>
      <c r="E340" s="1"/>
      <c r="F340" s="3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</row>
    <row r="341" spans="1:63" ht="12" customHeight="1">
      <c r="A341" s="1"/>
      <c r="B341" s="1"/>
      <c r="C341" s="1"/>
      <c r="D341" s="1"/>
      <c r="E341" s="1"/>
      <c r="F341" s="3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spans="1:63" ht="12" customHeight="1">
      <c r="A342" s="1"/>
      <c r="B342" s="1"/>
      <c r="C342" s="1"/>
      <c r="D342" s="1"/>
      <c r="E342" s="1"/>
      <c r="F342" s="3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</row>
    <row r="343" spans="1:63" ht="12" customHeight="1">
      <c r="A343" s="1"/>
      <c r="B343" s="1"/>
      <c r="C343" s="1"/>
      <c r="D343" s="1"/>
      <c r="E343" s="1"/>
      <c r="F343" s="3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</row>
    <row r="344" spans="1:63" ht="12" customHeight="1">
      <c r="A344" s="1"/>
      <c r="B344" s="1"/>
      <c r="C344" s="1"/>
      <c r="D344" s="1"/>
      <c r="E344" s="1"/>
      <c r="F344" s="3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</row>
    <row r="345" spans="1:63" ht="12" customHeight="1">
      <c r="A345" s="1"/>
      <c r="B345" s="1"/>
      <c r="C345" s="1"/>
      <c r="D345" s="1"/>
      <c r="E345" s="1"/>
      <c r="F345" s="3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spans="1:63" ht="12" customHeight="1">
      <c r="A346" s="1"/>
      <c r="B346" s="1"/>
      <c r="C346" s="1"/>
      <c r="D346" s="1"/>
      <c r="E346" s="1"/>
      <c r="F346" s="3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</row>
    <row r="347" spans="1:63" ht="12" customHeight="1">
      <c r="A347" s="1"/>
      <c r="B347" s="1"/>
      <c r="C347" s="1"/>
      <c r="D347" s="1"/>
      <c r="E347" s="1"/>
      <c r="F347" s="3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</row>
    <row r="348" spans="1:63" ht="12" customHeight="1">
      <c r="A348" s="1"/>
      <c r="B348" s="1"/>
      <c r="C348" s="1"/>
      <c r="D348" s="1"/>
      <c r="E348" s="1"/>
      <c r="F348" s="3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</row>
    <row r="349" spans="1:63" ht="12" customHeight="1">
      <c r="A349" s="1"/>
      <c r="B349" s="1"/>
      <c r="C349" s="1"/>
      <c r="D349" s="1"/>
      <c r="E349" s="1"/>
      <c r="F349" s="3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</row>
    <row r="350" spans="1:63" ht="12" customHeight="1">
      <c r="A350" s="1"/>
      <c r="B350" s="1"/>
      <c r="C350" s="1"/>
      <c r="D350" s="1"/>
      <c r="E350" s="1"/>
      <c r="F350" s="3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</row>
    <row r="351" spans="1:63" ht="12" customHeight="1">
      <c r="A351" s="1"/>
      <c r="B351" s="1"/>
      <c r="C351" s="1"/>
      <c r="D351" s="1"/>
      <c r="E351" s="1"/>
      <c r="F351" s="3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</row>
    <row r="352" spans="1:63" ht="12" customHeight="1">
      <c r="A352" s="1"/>
      <c r="B352" s="1"/>
      <c r="C352" s="1"/>
      <c r="D352" s="1"/>
      <c r="E352" s="1"/>
      <c r="F352" s="3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</row>
    <row r="353" spans="1:63" ht="12" customHeight="1">
      <c r="A353" s="1"/>
      <c r="B353" s="1"/>
      <c r="C353" s="1"/>
      <c r="D353" s="1"/>
      <c r="E353" s="1"/>
      <c r="F353" s="3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</row>
    <row r="354" spans="1:63" ht="12" customHeight="1">
      <c r="A354" s="1"/>
      <c r="B354" s="1"/>
      <c r="C354" s="1"/>
      <c r="D354" s="1"/>
      <c r="E354" s="1"/>
      <c r="F354" s="3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</row>
    <row r="355" spans="1:63" ht="12" customHeight="1">
      <c r="A355" s="1"/>
      <c r="B355" s="1"/>
      <c r="C355" s="1"/>
      <c r="D355" s="1"/>
      <c r="E355" s="1"/>
      <c r="F355" s="3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</row>
    <row r="356" spans="1:63" ht="12" customHeight="1">
      <c r="A356" s="1"/>
      <c r="B356" s="1"/>
      <c r="C356" s="1"/>
      <c r="D356" s="1"/>
      <c r="E356" s="1"/>
      <c r="F356" s="3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</row>
    <row r="357" spans="1:63" ht="12" customHeight="1">
      <c r="A357" s="1"/>
      <c r="B357" s="1"/>
      <c r="C357" s="1"/>
      <c r="D357" s="1"/>
      <c r="E357" s="1"/>
      <c r="F357" s="3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spans="1:63" ht="12" customHeight="1">
      <c r="A358" s="1"/>
      <c r="B358" s="1"/>
      <c r="C358" s="1"/>
      <c r="D358" s="1"/>
      <c r="E358" s="1"/>
      <c r="F358" s="3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</row>
    <row r="359" spans="1:63" ht="12" customHeight="1">
      <c r="A359" s="1"/>
      <c r="B359" s="1"/>
      <c r="C359" s="1"/>
      <c r="D359" s="1"/>
      <c r="E359" s="1"/>
      <c r="F359" s="3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</row>
    <row r="360" spans="1:63" ht="12" customHeight="1">
      <c r="A360" s="1"/>
      <c r="B360" s="1"/>
      <c r="C360" s="1"/>
      <c r="D360" s="1"/>
      <c r="E360" s="1"/>
      <c r="F360" s="3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</row>
    <row r="361" spans="1:63" ht="12" customHeight="1">
      <c r="A361" s="1"/>
      <c r="B361" s="1"/>
      <c r="C361" s="1"/>
      <c r="D361" s="1"/>
      <c r="E361" s="1"/>
      <c r="F361" s="3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spans="1:63" ht="12" customHeight="1">
      <c r="A362" s="1"/>
      <c r="B362" s="1"/>
      <c r="C362" s="1"/>
      <c r="D362" s="1"/>
      <c r="E362" s="1"/>
      <c r="F362" s="3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spans="1:63" ht="12" customHeight="1">
      <c r="A363" s="1"/>
      <c r="B363" s="1"/>
      <c r="C363" s="1"/>
      <c r="D363" s="1"/>
      <c r="E363" s="1"/>
      <c r="F363" s="3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</row>
    <row r="364" spans="1:63" ht="12" customHeight="1">
      <c r="A364" s="1"/>
      <c r="B364" s="1"/>
      <c r="C364" s="1"/>
      <c r="D364" s="1"/>
      <c r="E364" s="1"/>
      <c r="F364" s="3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</row>
    <row r="365" spans="1:63" ht="12" customHeight="1">
      <c r="A365" s="1"/>
      <c r="B365" s="1"/>
      <c r="C365" s="1"/>
      <c r="D365" s="1"/>
      <c r="E365" s="1"/>
      <c r="F365" s="3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</row>
    <row r="366" spans="1:63" ht="12" customHeight="1">
      <c r="A366" s="1"/>
      <c r="B366" s="1"/>
      <c r="C366" s="1"/>
      <c r="D366" s="1"/>
      <c r="E366" s="1"/>
      <c r="F366" s="3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</row>
    <row r="367" spans="1:63" ht="12" customHeight="1">
      <c r="A367" s="1"/>
      <c r="B367" s="1"/>
      <c r="C367" s="1"/>
      <c r="D367" s="1"/>
      <c r="E367" s="1"/>
      <c r="F367" s="3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</row>
    <row r="368" spans="1:63" ht="12" customHeight="1">
      <c r="A368" s="1"/>
      <c r="B368" s="1"/>
      <c r="C368" s="1"/>
      <c r="D368" s="1"/>
      <c r="E368" s="1"/>
      <c r="F368" s="3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</row>
    <row r="369" spans="1:63" ht="12" customHeight="1">
      <c r="A369" s="1"/>
      <c r="B369" s="1"/>
      <c r="C369" s="1"/>
      <c r="D369" s="1"/>
      <c r="E369" s="1"/>
      <c r="F369" s="3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</row>
    <row r="370" spans="1:63" ht="12" customHeight="1">
      <c r="A370" s="1"/>
      <c r="B370" s="1"/>
      <c r="C370" s="1"/>
      <c r="D370" s="1"/>
      <c r="E370" s="1"/>
      <c r="F370" s="3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</row>
    <row r="371" spans="1:63" ht="12" customHeight="1">
      <c r="A371" s="1"/>
      <c r="B371" s="1"/>
      <c r="C371" s="1"/>
      <c r="D371" s="1"/>
      <c r="E371" s="1"/>
      <c r="F371" s="3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</row>
    <row r="372" spans="1:63" ht="12" customHeight="1">
      <c r="A372" s="1"/>
      <c r="B372" s="1"/>
      <c r="C372" s="1"/>
      <c r="D372" s="1"/>
      <c r="E372" s="1"/>
      <c r="F372" s="3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</row>
    <row r="373" spans="1:63" ht="12" customHeight="1">
      <c r="A373" s="1"/>
      <c r="B373" s="1"/>
      <c r="C373" s="1"/>
      <c r="D373" s="1"/>
      <c r="E373" s="1"/>
      <c r="F373" s="3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</row>
    <row r="374" spans="1:63" ht="12" customHeight="1">
      <c r="A374" s="1"/>
      <c r="B374" s="1"/>
      <c r="C374" s="1"/>
      <c r="D374" s="1"/>
      <c r="E374" s="1"/>
      <c r="F374" s="3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</row>
    <row r="375" spans="1:63" ht="12" customHeight="1">
      <c r="A375" s="1"/>
      <c r="B375" s="1"/>
      <c r="C375" s="1"/>
      <c r="D375" s="1"/>
      <c r="E375" s="1"/>
      <c r="F375" s="3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</row>
    <row r="376" spans="1:63" ht="12" customHeight="1">
      <c r="A376" s="1"/>
      <c r="B376" s="1"/>
      <c r="C376" s="1"/>
      <c r="D376" s="1"/>
      <c r="E376" s="1"/>
      <c r="F376" s="3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</row>
    <row r="377" spans="1:63" ht="12" customHeight="1">
      <c r="A377" s="1"/>
      <c r="B377" s="1"/>
      <c r="C377" s="1"/>
      <c r="D377" s="1"/>
      <c r="E377" s="1"/>
      <c r="F377" s="3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</row>
    <row r="378" spans="1:63" ht="12" customHeight="1">
      <c r="A378" s="1"/>
      <c r="B378" s="1"/>
      <c r="C378" s="1"/>
      <c r="D378" s="1"/>
      <c r="E378" s="1"/>
      <c r="F378" s="3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</row>
    <row r="379" spans="1:63" ht="12" customHeight="1">
      <c r="A379" s="1"/>
      <c r="B379" s="1"/>
      <c r="C379" s="1"/>
      <c r="D379" s="1"/>
      <c r="E379" s="1"/>
      <c r="F379" s="3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spans="1:63" ht="12" customHeight="1">
      <c r="A380" s="1"/>
      <c r="B380" s="1"/>
      <c r="C380" s="1"/>
      <c r="D380" s="1"/>
      <c r="E380" s="1"/>
      <c r="F380" s="3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</row>
    <row r="381" spans="1:63" ht="12" customHeight="1">
      <c r="A381" s="1"/>
      <c r="B381" s="1"/>
      <c r="C381" s="1"/>
      <c r="D381" s="1"/>
      <c r="E381" s="1"/>
      <c r="F381" s="3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spans="1:63" ht="12" customHeight="1">
      <c r="A382" s="1"/>
      <c r="B382" s="1"/>
      <c r="C382" s="1"/>
      <c r="D382" s="1"/>
      <c r="E382" s="1"/>
      <c r="F382" s="3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spans="1:63" ht="12" customHeight="1">
      <c r="A383" s="1"/>
      <c r="B383" s="1"/>
      <c r="C383" s="1"/>
      <c r="D383" s="1"/>
      <c r="E383" s="1"/>
      <c r="F383" s="3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</row>
    <row r="384" spans="1:63" ht="12" customHeight="1">
      <c r="A384" s="1"/>
      <c r="B384" s="1"/>
      <c r="C384" s="1"/>
      <c r="D384" s="1"/>
      <c r="E384" s="1"/>
      <c r="F384" s="3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</row>
    <row r="385" spans="1:63" ht="12" customHeight="1">
      <c r="A385" s="1"/>
      <c r="B385" s="1"/>
      <c r="C385" s="1"/>
      <c r="D385" s="1"/>
      <c r="E385" s="1"/>
      <c r="F385" s="3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</row>
    <row r="386" spans="1:63" ht="12" customHeight="1">
      <c r="A386" s="1"/>
      <c r="B386" s="1"/>
      <c r="C386" s="1"/>
      <c r="D386" s="1"/>
      <c r="E386" s="1"/>
      <c r="F386" s="3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</row>
    <row r="387" spans="1:63" ht="12" customHeight="1">
      <c r="A387" s="1"/>
      <c r="B387" s="1"/>
      <c r="C387" s="1"/>
      <c r="D387" s="1"/>
      <c r="E387" s="1"/>
      <c r="F387" s="3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</row>
    <row r="388" spans="1:63" ht="12" customHeight="1">
      <c r="A388" s="1"/>
      <c r="B388" s="1"/>
      <c r="C388" s="1"/>
      <c r="D388" s="1"/>
      <c r="E388" s="1"/>
      <c r="F388" s="3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</row>
    <row r="389" spans="1:63" ht="12" customHeight="1">
      <c r="A389" s="1"/>
      <c r="B389" s="1"/>
      <c r="C389" s="1"/>
      <c r="D389" s="1"/>
      <c r="E389" s="1"/>
      <c r="F389" s="3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</row>
    <row r="390" spans="1:63" ht="12" customHeight="1">
      <c r="A390" s="1"/>
      <c r="B390" s="1"/>
      <c r="C390" s="1"/>
      <c r="D390" s="1"/>
      <c r="E390" s="1"/>
      <c r="F390" s="3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</row>
    <row r="391" spans="1:63" ht="12" customHeight="1">
      <c r="A391" s="1"/>
      <c r="B391" s="1"/>
      <c r="C391" s="1"/>
      <c r="D391" s="1"/>
      <c r="E391" s="1"/>
      <c r="F391" s="3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</row>
    <row r="392" spans="1:63" ht="12" customHeight="1">
      <c r="A392" s="1"/>
      <c r="B392" s="1"/>
      <c r="C392" s="1"/>
      <c r="D392" s="1"/>
      <c r="E392" s="1"/>
      <c r="F392" s="3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</row>
    <row r="393" spans="1:63" ht="12" customHeight="1">
      <c r="A393" s="1"/>
      <c r="B393" s="1"/>
      <c r="C393" s="1"/>
      <c r="D393" s="1"/>
      <c r="E393" s="1"/>
      <c r="F393" s="3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spans="1:63" ht="12" customHeight="1">
      <c r="A394" s="1"/>
      <c r="B394" s="1"/>
      <c r="C394" s="1"/>
      <c r="D394" s="1"/>
      <c r="E394" s="1"/>
      <c r="F394" s="3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spans="1:63" ht="12" customHeight="1">
      <c r="A395" s="1"/>
      <c r="B395" s="1"/>
      <c r="C395" s="1"/>
      <c r="D395" s="1"/>
      <c r="E395" s="1"/>
      <c r="F395" s="3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</row>
    <row r="396" spans="1:63" ht="12" customHeight="1">
      <c r="A396" s="1"/>
      <c r="B396" s="1"/>
      <c r="C396" s="1"/>
      <c r="D396" s="1"/>
      <c r="E396" s="1"/>
      <c r="F396" s="3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</row>
    <row r="397" spans="1:63" ht="12" customHeight="1">
      <c r="A397" s="1"/>
      <c r="B397" s="1"/>
      <c r="C397" s="1"/>
      <c r="D397" s="1"/>
      <c r="E397" s="1"/>
      <c r="F397" s="3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</row>
    <row r="398" spans="1:63" ht="12" customHeight="1">
      <c r="A398" s="1"/>
      <c r="B398" s="1"/>
      <c r="C398" s="1"/>
      <c r="D398" s="1"/>
      <c r="E398" s="1"/>
      <c r="F398" s="3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</row>
    <row r="399" spans="1:63" ht="12" customHeight="1">
      <c r="A399" s="1"/>
      <c r="B399" s="1"/>
      <c r="C399" s="1"/>
      <c r="D399" s="1"/>
      <c r="E399" s="1"/>
      <c r="F399" s="3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spans="1:63" ht="12" customHeight="1">
      <c r="A400" s="1"/>
      <c r="B400" s="1"/>
      <c r="C400" s="1"/>
      <c r="D400" s="1"/>
      <c r="E400" s="1"/>
      <c r="F400" s="3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spans="1:63" ht="12" customHeight="1">
      <c r="A401" s="1"/>
      <c r="B401" s="1"/>
      <c r="C401" s="1"/>
      <c r="D401" s="1"/>
      <c r="E401" s="1"/>
      <c r="F401" s="3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</row>
    <row r="402" spans="1:63" ht="12" customHeight="1">
      <c r="A402" s="1"/>
      <c r="B402" s="1"/>
      <c r="C402" s="1"/>
      <c r="D402" s="1"/>
      <c r="E402" s="1"/>
      <c r="F402" s="3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</row>
    <row r="403" spans="1:63" ht="12" customHeight="1">
      <c r="A403" s="1"/>
      <c r="B403" s="1"/>
      <c r="C403" s="1"/>
      <c r="D403" s="1"/>
      <c r="E403" s="1"/>
      <c r="F403" s="3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</row>
    <row r="404" spans="1:63" ht="12" customHeight="1">
      <c r="A404" s="1"/>
      <c r="B404" s="1"/>
      <c r="C404" s="1"/>
      <c r="D404" s="1"/>
      <c r="E404" s="1"/>
      <c r="F404" s="3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</row>
    <row r="405" spans="1:63" ht="12" customHeight="1">
      <c r="A405" s="1"/>
      <c r="B405" s="1"/>
      <c r="C405" s="1"/>
      <c r="D405" s="1"/>
      <c r="E405" s="1"/>
      <c r="F405" s="3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spans="1:63" ht="12" customHeight="1">
      <c r="A406" s="1"/>
      <c r="B406" s="1"/>
      <c r="C406" s="1"/>
      <c r="D406" s="1"/>
      <c r="E406" s="1"/>
      <c r="F406" s="3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</row>
    <row r="407" spans="1:63" ht="12" customHeight="1">
      <c r="A407" s="1"/>
      <c r="B407" s="1"/>
      <c r="C407" s="1"/>
      <c r="D407" s="1"/>
      <c r="E407" s="1"/>
      <c r="F407" s="3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</row>
    <row r="408" spans="1:63" ht="12" customHeight="1">
      <c r="A408" s="1"/>
      <c r="B408" s="1"/>
      <c r="C408" s="1"/>
      <c r="D408" s="1"/>
      <c r="E408" s="1"/>
      <c r="F408" s="3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</row>
    <row r="409" spans="1:63" ht="12" customHeight="1">
      <c r="A409" s="1"/>
      <c r="B409" s="1"/>
      <c r="C409" s="1"/>
      <c r="D409" s="1"/>
      <c r="E409" s="1"/>
      <c r="F409" s="3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</row>
    <row r="410" spans="1:63" ht="12" customHeight="1">
      <c r="A410" s="1"/>
      <c r="B410" s="1"/>
      <c r="C410" s="1"/>
      <c r="D410" s="1"/>
      <c r="E410" s="1"/>
      <c r="F410" s="3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</row>
    <row r="411" spans="1:63" ht="12" customHeight="1">
      <c r="A411" s="1"/>
      <c r="B411" s="1"/>
      <c r="C411" s="1"/>
      <c r="D411" s="1"/>
      <c r="E411" s="1"/>
      <c r="F411" s="3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</row>
    <row r="412" spans="1:63" ht="12" customHeight="1">
      <c r="A412" s="1"/>
      <c r="B412" s="1"/>
      <c r="C412" s="1"/>
      <c r="D412" s="1"/>
      <c r="E412" s="1"/>
      <c r="F412" s="3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</row>
    <row r="413" spans="1:63" ht="12" customHeight="1">
      <c r="A413" s="1"/>
      <c r="B413" s="1"/>
      <c r="C413" s="1"/>
      <c r="D413" s="1"/>
      <c r="E413" s="1"/>
      <c r="F413" s="3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</row>
    <row r="414" spans="1:63" ht="12" customHeight="1">
      <c r="A414" s="1"/>
      <c r="B414" s="1"/>
      <c r="C414" s="1"/>
      <c r="D414" s="1"/>
      <c r="E414" s="1"/>
      <c r="F414" s="3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</row>
    <row r="415" spans="1:63" ht="12" customHeight="1">
      <c r="A415" s="1"/>
      <c r="B415" s="1"/>
      <c r="C415" s="1"/>
      <c r="D415" s="1"/>
      <c r="E415" s="1"/>
      <c r="F415" s="3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spans="1:63" ht="12" customHeight="1">
      <c r="A416" s="1"/>
      <c r="B416" s="1"/>
      <c r="C416" s="1"/>
      <c r="D416" s="1"/>
      <c r="E416" s="1"/>
      <c r="F416" s="3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</row>
    <row r="417" spans="1:63" ht="12" customHeight="1">
      <c r="A417" s="1"/>
      <c r="B417" s="1"/>
      <c r="C417" s="1"/>
      <c r="D417" s="1"/>
      <c r="E417" s="1"/>
      <c r="F417" s="3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</row>
    <row r="418" spans="1:63" ht="12" customHeight="1">
      <c r="A418" s="1"/>
      <c r="B418" s="1"/>
      <c r="C418" s="1"/>
      <c r="D418" s="1"/>
      <c r="E418" s="1"/>
      <c r="F418" s="3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</row>
    <row r="419" spans="1:63" ht="12" customHeight="1">
      <c r="A419" s="1"/>
      <c r="B419" s="1"/>
      <c r="C419" s="1"/>
      <c r="D419" s="1"/>
      <c r="E419" s="1"/>
      <c r="F419" s="3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</row>
    <row r="420" spans="1:63" ht="12" customHeight="1">
      <c r="A420" s="1"/>
      <c r="B420" s="1"/>
      <c r="C420" s="1"/>
      <c r="D420" s="1"/>
      <c r="E420" s="1"/>
      <c r="F420" s="3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</row>
    <row r="421" spans="1:63" ht="12" customHeight="1">
      <c r="A421" s="1"/>
      <c r="B421" s="1"/>
      <c r="C421" s="1"/>
      <c r="D421" s="1"/>
      <c r="E421" s="1"/>
      <c r="F421" s="3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</row>
    <row r="422" spans="1:63" ht="12" customHeight="1">
      <c r="A422" s="1"/>
      <c r="B422" s="1"/>
      <c r="C422" s="1"/>
      <c r="D422" s="1"/>
      <c r="E422" s="1"/>
      <c r="F422" s="3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spans="1:63" ht="12" customHeight="1">
      <c r="A423" s="1"/>
      <c r="B423" s="1"/>
      <c r="C423" s="1"/>
      <c r="D423" s="1"/>
      <c r="E423" s="1"/>
      <c r="F423" s="3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</row>
    <row r="424" spans="1:63" ht="12" customHeight="1">
      <c r="A424" s="1"/>
      <c r="B424" s="1"/>
      <c r="C424" s="1"/>
      <c r="D424" s="1"/>
      <c r="E424" s="1"/>
      <c r="F424" s="3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</row>
    <row r="425" spans="1:63" ht="12" customHeight="1">
      <c r="A425" s="1"/>
      <c r="B425" s="1"/>
      <c r="C425" s="1"/>
      <c r="D425" s="1"/>
      <c r="E425" s="1"/>
      <c r="F425" s="3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spans="1:63" ht="12" customHeight="1">
      <c r="A426" s="1"/>
      <c r="B426" s="1"/>
      <c r="C426" s="1"/>
      <c r="D426" s="1"/>
      <c r="E426" s="1"/>
      <c r="F426" s="3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</row>
    <row r="427" spans="1:63" ht="12" customHeight="1">
      <c r="A427" s="1"/>
      <c r="B427" s="1"/>
      <c r="C427" s="1"/>
      <c r="D427" s="1"/>
      <c r="E427" s="1"/>
      <c r="F427" s="3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</row>
    <row r="428" spans="1:63" ht="12" customHeight="1">
      <c r="A428" s="1"/>
      <c r="B428" s="1"/>
      <c r="C428" s="1"/>
      <c r="D428" s="1"/>
      <c r="E428" s="1"/>
      <c r="F428" s="3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</row>
    <row r="429" spans="1:63" ht="12" customHeight="1">
      <c r="A429" s="1"/>
      <c r="B429" s="1"/>
      <c r="C429" s="1"/>
      <c r="D429" s="1"/>
      <c r="E429" s="1"/>
      <c r="F429" s="3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</row>
    <row r="430" spans="1:63" ht="12" customHeight="1">
      <c r="A430" s="1"/>
      <c r="B430" s="1"/>
      <c r="C430" s="1"/>
      <c r="D430" s="1"/>
      <c r="E430" s="1"/>
      <c r="F430" s="3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</row>
    <row r="431" spans="1:63" ht="12" customHeight="1">
      <c r="A431" s="1"/>
      <c r="B431" s="1"/>
      <c r="C431" s="1"/>
      <c r="D431" s="1"/>
      <c r="E431" s="1"/>
      <c r="F431" s="3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spans="1:63" ht="12" customHeight="1">
      <c r="A432" s="1"/>
      <c r="B432" s="1"/>
      <c r="C432" s="1"/>
      <c r="D432" s="1"/>
      <c r="E432" s="1"/>
      <c r="F432" s="3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</row>
    <row r="433" spans="1:63" ht="12" customHeight="1">
      <c r="A433" s="1"/>
      <c r="B433" s="1"/>
      <c r="C433" s="1"/>
      <c r="D433" s="1"/>
      <c r="E433" s="1"/>
      <c r="F433" s="3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</row>
    <row r="434" spans="1:63" ht="12" customHeight="1">
      <c r="A434" s="1"/>
      <c r="B434" s="1"/>
      <c r="C434" s="1"/>
      <c r="D434" s="1"/>
      <c r="E434" s="1"/>
      <c r="F434" s="3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</row>
    <row r="435" spans="1:63" ht="12" customHeight="1">
      <c r="A435" s="1"/>
      <c r="B435" s="1"/>
      <c r="C435" s="1"/>
      <c r="D435" s="1"/>
      <c r="E435" s="1"/>
      <c r="F435" s="3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</row>
    <row r="436" spans="1:63" ht="12" customHeight="1">
      <c r="A436" s="1"/>
      <c r="B436" s="1"/>
      <c r="C436" s="1"/>
      <c r="D436" s="1"/>
      <c r="E436" s="1"/>
      <c r="F436" s="3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</row>
    <row r="437" spans="1:63" ht="12" customHeight="1">
      <c r="A437" s="1"/>
      <c r="B437" s="1"/>
      <c r="C437" s="1"/>
      <c r="D437" s="1"/>
      <c r="E437" s="1"/>
      <c r="F437" s="3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spans="1:63" ht="12" customHeight="1">
      <c r="A438" s="1"/>
      <c r="B438" s="1"/>
      <c r="C438" s="1"/>
      <c r="D438" s="1"/>
      <c r="E438" s="1"/>
      <c r="F438" s="3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</row>
    <row r="439" spans="1:63" ht="12" customHeight="1">
      <c r="A439" s="1"/>
      <c r="B439" s="1"/>
      <c r="C439" s="1"/>
      <c r="D439" s="1"/>
      <c r="E439" s="1"/>
      <c r="F439" s="3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</row>
    <row r="440" spans="1:63" ht="12" customHeight="1">
      <c r="A440" s="1"/>
      <c r="B440" s="1"/>
      <c r="C440" s="1"/>
      <c r="D440" s="1"/>
      <c r="E440" s="1"/>
      <c r="F440" s="3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</row>
    <row r="441" spans="1:63" ht="12" customHeight="1">
      <c r="A441" s="1"/>
      <c r="B441" s="1"/>
      <c r="C441" s="1"/>
      <c r="D441" s="1"/>
      <c r="E441" s="1"/>
      <c r="F441" s="3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</row>
    <row r="442" spans="1:63" ht="12" customHeight="1">
      <c r="A442" s="1"/>
      <c r="B442" s="1"/>
      <c r="C442" s="1"/>
      <c r="D442" s="1"/>
      <c r="E442" s="1"/>
      <c r="F442" s="3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</row>
    <row r="443" spans="1:63" ht="12" customHeight="1">
      <c r="A443" s="1"/>
      <c r="B443" s="1"/>
      <c r="C443" s="1"/>
      <c r="D443" s="1"/>
      <c r="E443" s="1"/>
      <c r="F443" s="3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</row>
    <row r="444" spans="1:63" ht="12" customHeight="1">
      <c r="A444" s="1"/>
      <c r="B444" s="1"/>
      <c r="C444" s="1"/>
      <c r="D444" s="1"/>
      <c r="E444" s="1"/>
      <c r="F444" s="3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</row>
    <row r="445" spans="1:63" ht="12" customHeight="1">
      <c r="A445" s="1"/>
      <c r="B445" s="1"/>
      <c r="C445" s="1"/>
      <c r="D445" s="1"/>
      <c r="E445" s="1"/>
      <c r="F445" s="3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</row>
    <row r="446" spans="1:63" ht="12" customHeight="1">
      <c r="A446" s="1"/>
      <c r="B446" s="1"/>
      <c r="C446" s="1"/>
      <c r="D446" s="1"/>
      <c r="E446" s="1"/>
      <c r="F446" s="3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</row>
    <row r="447" spans="1:63" ht="12" customHeight="1">
      <c r="A447" s="1"/>
      <c r="B447" s="1"/>
      <c r="C447" s="1"/>
      <c r="D447" s="1"/>
      <c r="E447" s="1"/>
      <c r="F447" s="3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</row>
    <row r="448" spans="1:63" ht="12" customHeight="1">
      <c r="A448" s="1"/>
      <c r="B448" s="1"/>
      <c r="C448" s="1"/>
      <c r="D448" s="1"/>
      <c r="E448" s="1"/>
      <c r="F448" s="3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</row>
    <row r="449" spans="1:63" ht="12" customHeight="1">
      <c r="A449" s="1"/>
      <c r="B449" s="1"/>
      <c r="C449" s="1"/>
      <c r="D449" s="1"/>
      <c r="E449" s="1"/>
      <c r="F449" s="3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spans="1:63" ht="12" customHeight="1">
      <c r="A450" s="1"/>
      <c r="B450" s="1"/>
      <c r="C450" s="1"/>
      <c r="D450" s="1"/>
      <c r="E450" s="1"/>
      <c r="F450" s="3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</row>
    <row r="451" spans="1:63" ht="12" customHeight="1">
      <c r="A451" s="1"/>
      <c r="B451" s="1"/>
      <c r="C451" s="1"/>
      <c r="D451" s="1"/>
      <c r="E451" s="1"/>
      <c r="F451" s="3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</row>
    <row r="452" spans="1:63" ht="12" customHeight="1">
      <c r="A452" s="1"/>
      <c r="B452" s="1"/>
      <c r="C452" s="1"/>
      <c r="D452" s="1"/>
      <c r="E452" s="1"/>
      <c r="F452" s="3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</row>
    <row r="453" spans="1:63" ht="12" customHeight="1">
      <c r="A453" s="1"/>
      <c r="B453" s="1"/>
      <c r="C453" s="1"/>
      <c r="D453" s="1"/>
      <c r="E453" s="1"/>
      <c r="F453" s="3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</row>
    <row r="454" spans="1:63" ht="12" customHeight="1">
      <c r="A454" s="1"/>
      <c r="B454" s="1"/>
      <c r="C454" s="1"/>
      <c r="D454" s="1"/>
      <c r="E454" s="1"/>
      <c r="F454" s="3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</row>
    <row r="455" spans="1:63" ht="12" customHeight="1">
      <c r="A455" s="1"/>
      <c r="B455" s="1"/>
      <c r="C455" s="1"/>
      <c r="D455" s="1"/>
      <c r="E455" s="1"/>
      <c r="F455" s="3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spans="1:63" ht="12" customHeight="1">
      <c r="A456" s="1"/>
      <c r="B456" s="1"/>
      <c r="C456" s="1"/>
      <c r="D456" s="1"/>
      <c r="E456" s="1"/>
      <c r="F456" s="3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</row>
    <row r="457" spans="1:63" ht="12" customHeight="1">
      <c r="A457" s="1"/>
      <c r="B457" s="1"/>
      <c r="C457" s="1"/>
      <c r="D457" s="1"/>
      <c r="E457" s="1"/>
      <c r="F457" s="3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spans="1:63" ht="12" customHeight="1">
      <c r="A458" s="1"/>
      <c r="B458" s="1"/>
      <c r="C458" s="1"/>
      <c r="D458" s="1"/>
      <c r="E458" s="1"/>
      <c r="F458" s="3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</row>
    <row r="459" spans="1:63" ht="12" customHeight="1">
      <c r="A459" s="1"/>
      <c r="B459" s="1"/>
      <c r="C459" s="1"/>
      <c r="D459" s="1"/>
      <c r="E459" s="1"/>
      <c r="F459" s="3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spans="1:63" ht="12" customHeight="1">
      <c r="A460" s="1"/>
      <c r="B460" s="1"/>
      <c r="C460" s="1"/>
      <c r="D460" s="1"/>
      <c r="E460" s="1"/>
      <c r="F460" s="3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</row>
    <row r="461" spans="1:63" ht="12" customHeight="1">
      <c r="A461" s="1"/>
      <c r="B461" s="1"/>
      <c r="C461" s="1"/>
      <c r="D461" s="1"/>
      <c r="E461" s="1"/>
      <c r="F461" s="3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</row>
    <row r="462" spans="1:63" ht="12" customHeight="1">
      <c r="A462" s="1"/>
      <c r="B462" s="1"/>
      <c r="C462" s="1"/>
      <c r="D462" s="1"/>
      <c r="E462" s="1"/>
      <c r="F462" s="3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</row>
    <row r="463" spans="1:63" ht="12" customHeight="1">
      <c r="A463" s="1"/>
      <c r="B463" s="1"/>
      <c r="C463" s="1"/>
      <c r="D463" s="1"/>
      <c r="E463" s="1"/>
      <c r="F463" s="3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</row>
    <row r="464" spans="1:63" ht="12" customHeight="1">
      <c r="A464" s="1"/>
      <c r="B464" s="1"/>
      <c r="C464" s="1"/>
      <c r="D464" s="1"/>
      <c r="E464" s="1"/>
      <c r="F464" s="3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spans="1:63" ht="12" customHeight="1">
      <c r="A465" s="1"/>
      <c r="B465" s="1"/>
      <c r="C465" s="1"/>
      <c r="D465" s="1"/>
      <c r="E465" s="1"/>
      <c r="F465" s="3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</row>
    <row r="466" spans="1:63" ht="12" customHeight="1">
      <c r="A466" s="1"/>
      <c r="B466" s="1"/>
      <c r="C466" s="1"/>
      <c r="D466" s="1"/>
      <c r="E466" s="1"/>
      <c r="F466" s="3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</row>
    <row r="467" spans="1:63" ht="12" customHeight="1">
      <c r="A467" s="1"/>
      <c r="B467" s="1"/>
      <c r="C467" s="1"/>
      <c r="D467" s="1"/>
      <c r="E467" s="1"/>
      <c r="F467" s="3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spans="1:63" ht="12" customHeight="1">
      <c r="A468" s="1"/>
      <c r="B468" s="1"/>
      <c r="C468" s="1"/>
      <c r="D468" s="1"/>
      <c r="E468" s="1"/>
      <c r="F468" s="3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</row>
    <row r="469" spans="1:63" ht="12" customHeight="1">
      <c r="A469" s="1"/>
      <c r="B469" s="1"/>
      <c r="C469" s="1"/>
      <c r="D469" s="1"/>
      <c r="E469" s="1"/>
      <c r="F469" s="3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</row>
    <row r="470" spans="1:63" ht="12" customHeight="1">
      <c r="A470" s="1"/>
      <c r="B470" s="1"/>
      <c r="C470" s="1"/>
      <c r="D470" s="1"/>
      <c r="E470" s="1"/>
      <c r="F470" s="3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spans="1:63" ht="12" customHeight="1">
      <c r="A471" s="1"/>
      <c r="B471" s="1"/>
      <c r="C471" s="1"/>
      <c r="D471" s="1"/>
      <c r="E471" s="1"/>
      <c r="F471" s="3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</row>
    <row r="472" spans="1:63" ht="12" customHeight="1">
      <c r="A472" s="1"/>
      <c r="B472" s="1"/>
      <c r="C472" s="1"/>
      <c r="D472" s="1"/>
      <c r="E472" s="1"/>
      <c r="F472" s="3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</row>
    <row r="473" spans="1:63" ht="12" customHeight="1">
      <c r="A473" s="1"/>
      <c r="B473" s="1"/>
      <c r="C473" s="1"/>
      <c r="D473" s="1"/>
      <c r="E473" s="1"/>
      <c r="F473" s="3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</row>
    <row r="474" spans="1:63" ht="12" customHeight="1">
      <c r="A474" s="1"/>
      <c r="B474" s="1"/>
      <c r="C474" s="1"/>
      <c r="D474" s="1"/>
      <c r="E474" s="1"/>
      <c r="F474" s="3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</row>
    <row r="475" spans="1:63" ht="12" customHeight="1">
      <c r="A475" s="1"/>
      <c r="B475" s="1"/>
      <c r="C475" s="1"/>
      <c r="D475" s="1"/>
      <c r="E475" s="1"/>
      <c r="F475" s="3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</row>
    <row r="476" spans="1:63" ht="12" customHeight="1">
      <c r="A476" s="1"/>
      <c r="B476" s="1"/>
      <c r="C476" s="1"/>
      <c r="D476" s="1"/>
      <c r="E476" s="1"/>
      <c r="F476" s="3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</row>
    <row r="477" spans="1:63" ht="12" customHeight="1">
      <c r="A477" s="1"/>
      <c r="B477" s="1"/>
      <c r="C477" s="1"/>
      <c r="D477" s="1"/>
      <c r="E477" s="1"/>
      <c r="F477" s="3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</row>
    <row r="478" spans="1:63" ht="12" customHeight="1">
      <c r="A478" s="1"/>
      <c r="B478" s="1"/>
      <c r="C478" s="1"/>
      <c r="D478" s="1"/>
      <c r="E478" s="1"/>
      <c r="F478" s="3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</row>
    <row r="479" spans="1:63" ht="12" customHeight="1">
      <c r="A479" s="1"/>
      <c r="B479" s="1"/>
      <c r="C479" s="1"/>
      <c r="D479" s="1"/>
      <c r="E479" s="1"/>
      <c r="F479" s="3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</row>
    <row r="480" spans="1:63" ht="12" customHeight="1">
      <c r="A480" s="1"/>
      <c r="B480" s="1"/>
      <c r="C480" s="1"/>
      <c r="D480" s="1"/>
      <c r="E480" s="1"/>
      <c r="F480" s="3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</row>
    <row r="481" spans="1:63" ht="12" customHeight="1">
      <c r="A481" s="1"/>
      <c r="B481" s="1"/>
      <c r="C481" s="1"/>
      <c r="D481" s="1"/>
      <c r="E481" s="1"/>
      <c r="F481" s="3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</row>
    <row r="482" spans="1:63" ht="12" customHeight="1">
      <c r="A482" s="1"/>
      <c r="B482" s="1"/>
      <c r="C482" s="1"/>
      <c r="D482" s="1"/>
      <c r="E482" s="1"/>
      <c r="F482" s="3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</row>
    <row r="483" spans="1:63" ht="12" customHeight="1">
      <c r="A483" s="1"/>
      <c r="B483" s="1"/>
      <c r="C483" s="1"/>
      <c r="D483" s="1"/>
      <c r="E483" s="1"/>
      <c r="F483" s="3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</row>
    <row r="484" spans="1:63" ht="12" customHeight="1">
      <c r="A484" s="1"/>
      <c r="B484" s="1"/>
      <c r="C484" s="1"/>
      <c r="D484" s="1"/>
      <c r="E484" s="1"/>
      <c r="F484" s="3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</row>
    <row r="485" spans="1:63" ht="12" customHeight="1">
      <c r="A485" s="1"/>
      <c r="B485" s="1"/>
      <c r="C485" s="1"/>
      <c r="D485" s="1"/>
      <c r="E485" s="1"/>
      <c r="F485" s="3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</row>
    <row r="486" spans="1:63" ht="12" customHeight="1">
      <c r="A486" s="1"/>
      <c r="B486" s="1"/>
      <c r="C486" s="1"/>
      <c r="D486" s="1"/>
      <c r="E486" s="1"/>
      <c r="F486" s="3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</row>
    <row r="487" spans="1:63" ht="12" customHeight="1">
      <c r="A487" s="1"/>
      <c r="B487" s="1"/>
      <c r="C487" s="1"/>
      <c r="D487" s="1"/>
      <c r="E487" s="1"/>
      <c r="F487" s="3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spans="1:63" ht="12" customHeight="1">
      <c r="A488" s="1"/>
      <c r="B488" s="1"/>
      <c r="C488" s="1"/>
      <c r="D488" s="1"/>
      <c r="E488" s="1"/>
      <c r="F488" s="3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</row>
    <row r="489" spans="1:63" ht="12" customHeight="1">
      <c r="A489" s="1"/>
      <c r="B489" s="1"/>
      <c r="C489" s="1"/>
      <c r="D489" s="1"/>
      <c r="E489" s="1"/>
      <c r="F489" s="3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</row>
    <row r="490" spans="1:63" ht="12" customHeight="1">
      <c r="A490" s="1"/>
      <c r="B490" s="1"/>
      <c r="C490" s="1"/>
      <c r="D490" s="1"/>
      <c r="E490" s="1"/>
      <c r="F490" s="3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</row>
    <row r="491" spans="1:63" ht="12" customHeight="1">
      <c r="A491" s="1"/>
      <c r="B491" s="1"/>
      <c r="C491" s="1"/>
      <c r="D491" s="1"/>
      <c r="E491" s="1"/>
      <c r="F491" s="3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</row>
    <row r="492" spans="1:63" ht="12" customHeight="1">
      <c r="A492" s="1"/>
      <c r="B492" s="1"/>
      <c r="C492" s="1"/>
      <c r="D492" s="1"/>
      <c r="E492" s="1"/>
      <c r="F492" s="3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spans="1:63" ht="12" customHeight="1">
      <c r="A493" s="1"/>
      <c r="B493" s="1"/>
      <c r="C493" s="1"/>
      <c r="D493" s="1"/>
      <c r="E493" s="1"/>
      <c r="F493" s="3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</row>
    <row r="494" spans="1:63" ht="12" customHeight="1">
      <c r="A494" s="1"/>
      <c r="B494" s="1"/>
      <c r="C494" s="1"/>
      <c r="D494" s="1"/>
      <c r="E494" s="1"/>
      <c r="F494" s="3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spans="1:63" ht="12" customHeight="1">
      <c r="A495" s="1"/>
      <c r="B495" s="1"/>
      <c r="C495" s="1"/>
      <c r="D495" s="1"/>
      <c r="E495" s="1"/>
      <c r="F495" s="3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</row>
    <row r="496" spans="1:63" ht="12" customHeight="1">
      <c r="A496" s="1"/>
      <c r="B496" s="1"/>
      <c r="C496" s="1"/>
      <c r="D496" s="1"/>
      <c r="E496" s="1"/>
      <c r="F496" s="3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</row>
    <row r="497" spans="1:63" ht="12" customHeight="1">
      <c r="A497" s="1"/>
      <c r="B497" s="1"/>
      <c r="C497" s="1"/>
      <c r="D497" s="1"/>
      <c r="E497" s="1"/>
      <c r="F497" s="3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spans="1:63" ht="12" customHeight="1">
      <c r="A498" s="1"/>
      <c r="B498" s="1"/>
      <c r="C498" s="1"/>
      <c r="D498" s="1"/>
      <c r="E498" s="1"/>
      <c r="F498" s="3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</row>
    <row r="499" spans="1:63" ht="12" customHeight="1">
      <c r="A499" s="1"/>
      <c r="B499" s="1"/>
      <c r="C499" s="1"/>
      <c r="D499" s="1"/>
      <c r="E499" s="1"/>
      <c r="F499" s="3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</row>
    <row r="500" spans="1:63" ht="12" customHeight="1">
      <c r="A500" s="1"/>
      <c r="B500" s="1"/>
      <c r="C500" s="1"/>
      <c r="D500" s="1"/>
      <c r="E500" s="1"/>
      <c r="F500" s="3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</row>
    <row r="501" spans="1:63" ht="12" customHeight="1">
      <c r="A501" s="1"/>
      <c r="B501" s="1"/>
      <c r="C501" s="1"/>
      <c r="D501" s="1"/>
      <c r="E501" s="1"/>
      <c r="F501" s="3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</row>
    <row r="502" spans="1:63" ht="12" customHeight="1">
      <c r="A502" s="1"/>
      <c r="B502" s="1"/>
      <c r="C502" s="1"/>
      <c r="D502" s="1"/>
      <c r="E502" s="1"/>
      <c r="F502" s="3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spans="1:63" ht="12" customHeight="1">
      <c r="A503" s="1"/>
      <c r="B503" s="1"/>
      <c r="C503" s="1"/>
      <c r="D503" s="1"/>
      <c r="E503" s="1"/>
      <c r="F503" s="3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</row>
    <row r="504" spans="1:63" ht="12" customHeight="1">
      <c r="A504" s="1"/>
      <c r="B504" s="1"/>
      <c r="C504" s="1"/>
      <c r="D504" s="1"/>
      <c r="E504" s="1"/>
      <c r="F504" s="3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</row>
    <row r="505" spans="1:63" ht="12" customHeight="1">
      <c r="A505" s="1"/>
      <c r="B505" s="1"/>
      <c r="C505" s="1"/>
      <c r="D505" s="1"/>
      <c r="E505" s="1"/>
      <c r="F505" s="3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</row>
    <row r="506" spans="1:63" ht="12" customHeight="1">
      <c r="A506" s="1"/>
      <c r="B506" s="1"/>
      <c r="C506" s="1"/>
      <c r="D506" s="1"/>
      <c r="E506" s="1"/>
      <c r="F506" s="3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</row>
    <row r="507" spans="1:63" ht="12" customHeight="1">
      <c r="A507" s="1"/>
      <c r="B507" s="1"/>
      <c r="C507" s="1"/>
      <c r="D507" s="1"/>
      <c r="E507" s="1"/>
      <c r="F507" s="3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spans="1:63" ht="12" customHeight="1">
      <c r="A508" s="1"/>
      <c r="B508" s="1"/>
      <c r="C508" s="1"/>
      <c r="D508" s="1"/>
      <c r="E508" s="1"/>
      <c r="F508" s="3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spans="1:63" ht="12" customHeight="1">
      <c r="A509" s="1"/>
      <c r="B509" s="1"/>
      <c r="C509" s="1"/>
      <c r="D509" s="1"/>
      <c r="E509" s="1"/>
      <c r="F509" s="3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</row>
    <row r="510" spans="1:63" ht="12" customHeight="1">
      <c r="A510" s="1"/>
      <c r="B510" s="1"/>
      <c r="C510" s="1"/>
      <c r="D510" s="1"/>
      <c r="E510" s="1"/>
      <c r="F510" s="3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spans="1:63" ht="12" customHeight="1">
      <c r="A511" s="1"/>
      <c r="B511" s="1"/>
      <c r="C511" s="1"/>
      <c r="D511" s="1"/>
      <c r="E511" s="1"/>
      <c r="F511" s="3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</row>
    <row r="512" spans="1:63" ht="12" customHeight="1">
      <c r="A512" s="1"/>
      <c r="B512" s="1"/>
      <c r="C512" s="1"/>
      <c r="D512" s="1"/>
      <c r="E512" s="1"/>
      <c r="F512" s="3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3" spans="1:63" ht="12" customHeight="1">
      <c r="A513" s="1"/>
      <c r="B513" s="1"/>
      <c r="C513" s="1"/>
      <c r="D513" s="1"/>
      <c r="E513" s="1"/>
      <c r="F513" s="3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</row>
    <row r="514" spans="1:63" ht="12" customHeight="1">
      <c r="A514" s="1"/>
      <c r="B514" s="1"/>
      <c r="C514" s="1"/>
      <c r="D514" s="1"/>
      <c r="E514" s="1"/>
      <c r="F514" s="3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</row>
    <row r="515" spans="1:63" ht="12" customHeight="1">
      <c r="A515" s="1"/>
      <c r="B515" s="1"/>
      <c r="C515" s="1"/>
      <c r="D515" s="1"/>
      <c r="E515" s="1"/>
      <c r="F515" s="3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</row>
    <row r="516" spans="1:63" ht="12" customHeight="1">
      <c r="A516" s="1"/>
      <c r="B516" s="1"/>
      <c r="C516" s="1"/>
      <c r="D516" s="1"/>
      <c r="E516" s="1"/>
      <c r="F516" s="3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</row>
    <row r="517" spans="1:63" ht="12" customHeight="1">
      <c r="A517" s="1"/>
      <c r="B517" s="1"/>
      <c r="C517" s="1"/>
      <c r="D517" s="1"/>
      <c r="E517" s="1"/>
      <c r="F517" s="3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</row>
    <row r="518" spans="1:63" ht="12" customHeight="1">
      <c r="A518" s="1"/>
      <c r="B518" s="1"/>
      <c r="C518" s="1"/>
      <c r="D518" s="1"/>
      <c r="E518" s="1"/>
      <c r="F518" s="3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</row>
    <row r="519" spans="1:63" ht="12" customHeight="1">
      <c r="A519" s="1"/>
      <c r="B519" s="1"/>
      <c r="C519" s="1"/>
      <c r="D519" s="1"/>
      <c r="E519" s="1"/>
      <c r="F519" s="3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</row>
    <row r="520" spans="1:63" ht="12" customHeight="1">
      <c r="A520" s="1"/>
      <c r="B520" s="1"/>
      <c r="C520" s="1"/>
      <c r="D520" s="1"/>
      <c r="E520" s="1"/>
      <c r="F520" s="3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</row>
    <row r="521" spans="1:63" ht="12" customHeight="1">
      <c r="A521" s="1"/>
      <c r="B521" s="1"/>
      <c r="C521" s="1"/>
      <c r="D521" s="1"/>
      <c r="E521" s="1"/>
      <c r="F521" s="3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spans="1:63" ht="12" customHeight="1">
      <c r="A522" s="1"/>
      <c r="B522" s="1"/>
      <c r="C522" s="1"/>
      <c r="D522" s="1"/>
      <c r="E522" s="1"/>
      <c r="F522" s="3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</row>
    <row r="523" spans="1:63" ht="12" customHeight="1">
      <c r="A523" s="1"/>
      <c r="B523" s="1"/>
      <c r="C523" s="1"/>
      <c r="D523" s="1"/>
      <c r="E523" s="1"/>
      <c r="F523" s="3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</row>
    <row r="524" spans="1:63" ht="12" customHeight="1">
      <c r="A524" s="1"/>
      <c r="B524" s="1"/>
      <c r="C524" s="1"/>
      <c r="D524" s="1"/>
      <c r="E524" s="1"/>
      <c r="F524" s="3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</row>
    <row r="525" spans="1:63" ht="12" customHeight="1">
      <c r="A525" s="1"/>
      <c r="B525" s="1"/>
      <c r="C525" s="1"/>
      <c r="D525" s="1"/>
      <c r="E525" s="1"/>
      <c r="F525" s="3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</row>
    <row r="526" spans="1:63" ht="12" customHeight="1">
      <c r="A526" s="1"/>
      <c r="B526" s="1"/>
      <c r="C526" s="1"/>
      <c r="D526" s="1"/>
      <c r="E526" s="1"/>
      <c r="F526" s="3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</row>
    <row r="527" spans="1:63" ht="12" customHeight="1">
      <c r="A527" s="1"/>
      <c r="B527" s="1"/>
      <c r="C527" s="1"/>
      <c r="D527" s="1"/>
      <c r="E527" s="1"/>
      <c r="F527" s="3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</row>
    <row r="528" spans="1:63" ht="12" customHeight="1">
      <c r="A528" s="1"/>
      <c r="B528" s="1"/>
      <c r="C528" s="1"/>
      <c r="D528" s="1"/>
      <c r="E528" s="1"/>
      <c r="F528" s="3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</row>
    <row r="529" spans="1:63" ht="12" customHeight="1">
      <c r="A529" s="1"/>
      <c r="B529" s="1"/>
      <c r="C529" s="1"/>
      <c r="D529" s="1"/>
      <c r="E529" s="1"/>
      <c r="F529" s="3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</row>
    <row r="530" spans="1:63" ht="12" customHeight="1">
      <c r="A530" s="1"/>
      <c r="B530" s="1"/>
      <c r="C530" s="1"/>
      <c r="D530" s="1"/>
      <c r="E530" s="1"/>
      <c r="F530" s="3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</row>
    <row r="531" spans="1:63" ht="12" customHeight="1">
      <c r="A531" s="1"/>
      <c r="B531" s="1"/>
      <c r="C531" s="1"/>
      <c r="D531" s="1"/>
      <c r="E531" s="1"/>
      <c r="F531" s="3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</row>
    <row r="532" spans="1:63" ht="12" customHeight="1">
      <c r="A532" s="1"/>
      <c r="B532" s="1"/>
      <c r="C532" s="1"/>
      <c r="D532" s="1"/>
      <c r="E532" s="1"/>
      <c r="F532" s="3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spans="1:63" ht="12" customHeight="1">
      <c r="A533" s="1"/>
      <c r="B533" s="1"/>
      <c r="C533" s="1"/>
      <c r="D533" s="1"/>
      <c r="E533" s="1"/>
      <c r="F533" s="3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</row>
    <row r="534" spans="1:63" ht="12" customHeight="1">
      <c r="A534" s="1"/>
      <c r="B534" s="1"/>
      <c r="C534" s="1"/>
      <c r="D534" s="1"/>
      <c r="E534" s="1"/>
      <c r="F534" s="3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</row>
    <row r="535" spans="1:63" ht="12" customHeight="1">
      <c r="A535" s="1"/>
      <c r="B535" s="1"/>
      <c r="C535" s="1"/>
      <c r="D535" s="1"/>
      <c r="E535" s="1"/>
      <c r="F535" s="3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</row>
    <row r="536" spans="1:63" ht="12" customHeight="1">
      <c r="A536" s="1"/>
      <c r="B536" s="1"/>
      <c r="C536" s="1"/>
      <c r="D536" s="1"/>
      <c r="E536" s="1"/>
      <c r="F536" s="3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</row>
    <row r="537" spans="1:63" ht="12" customHeight="1">
      <c r="A537" s="1"/>
      <c r="B537" s="1"/>
      <c r="C537" s="1"/>
      <c r="D537" s="1"/>
      <c r="E537" s="1"/>
      <c r="F537" s="3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</row>
    <row r="538" spans="1:63" ht="12" customHeight="1">
      <c r="A538" s="1"/>
      <c r="B538" s="1"/>
      <c r="C538" s="1"/>
      <c r="D538" s="1"/>
      <c r="E538" s="1"/>
      <c r="F538" s="3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</row>
    <row r="539" spans="1:63" ht="12" customHeight="1">
      <c r="A539" s="1"/>
      <c r="B539" s="1"/>
      <c r="C539" s="1"/>
      <c r="D539" s="1"/>
      <c r="E539" s="1"/>
      <c r="F539" s="3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</row>
    <row r="540" spans="1:63" ht="12" customHeight="1">
      <c r="A540" s="1"/>
      <c r="B540" s="1"/>
      <c r="C540" s="1"/>
      <c r="D540" s="1"/>
      <c r="E540" s="1"/>
      <c r="F540" s="3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</row>
    <row r="541" spans="1:63" ht="12" customHeight="1">
      <c r="A541" s="1"/>
      <c r="B541" s="1"/>
      <c r="C541" s="1"/>
      <c r="D541" s="1"/>
      <c r="E541" s="1"/>
      <c r="F541" s="3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</row>
    <row r="542" spans="1:63" ht="12" customHeight="1">
      <c r="A542" s="1"/>
      <c r="B542" s="1"/>
      <c r="C542" s="1"/>
      <c r="D542" s="1"/>
      <c r="E542" s="1"/>
      <c r="F542" s="3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</row>
    <row r="543" spans="1:63" ht="12" customHeight="1">
      <c r="A543" s="1"/>
      <c r="B543" s="1"/>
      <c r="C543" s="1"/>
      <c r="D543" s="1"/>
      <c r="E543" s="1"/>
      <c r="F543" s="3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spans="1:63" ht="12" customHeight="1">
      <c r="A544" s="1"/>
      <c r="B544" s="1"/>
      <c r="C544" s="1"/>
      <c r="D544" s="1"/>
      <c r="E544" s="1"/>
      <c r="F544" s="3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spans="1:63" ht="12" customHeight="1">
      <c r="A545" s="1"/>
      <c r="B545" s="1"/>
      <c r="C545" s="1"/>
      <c r="D545" s="1"/>
      <c r="E545" s="1"/>
      <c r="F545" s="3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</row>
    <row r="546" spans="1:63" ht="12" customHeight="1">
      <c r="A546" s="1"/>
      <c r="B546" s="1"/>
      <c r="C546" s="1"/>
      <c r="D546" s="1"/>
      <c r="E546" s="1"/>
      <c r="F546" s="3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</row>
    <row r="547" spans="1:63" ht="12" customHeight="1">
      <c r="A547" s="1"/>
      <c r="B547" s="1"/>
      <c r="C547" s="1"/>
      <c r="D547" s="1"/>
      <c r="E547" s="1"/>
      <c r="F547" s="3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</row>
    <row r="548" spans="1:63" ht="12" customHeight="1">
      <c r="A548" s="1"/>
      <c r="B548" s="1"/>
      <c r="C548" s="1"/>
      <c r="D548" s="1"/>
      <c r="E548" s="1"/>
      <c r="F548" s="3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</row>
    <row r="549" spans="1:63" ht="12" customHeight="1">
      <c r="A549" s="1"/>
      <c r="B549" s="1"/>
      <c r="C549" s="1"/>
      <c r="D549" s="1"/>
      <c r="E549" s="1"/>
      <c r="F549" s="3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</row>
    <row r="550" spans="1:63" ht="12" customHeight="1">
      <c r="A550" s="1"/>
      <c r="B550" s="1"/>
      <c r="C550" s="1"/>
      <c r="D550" s="1"/>
      <c r="E550" s="1"/>
      <c r="F550" s="3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</row>
    <row r="551" spans="1:63" ht="12" customHeight="1">
      <c r="A551" s="1"/>
      <c r="B551" s="1"/>
      <c r="C551" s="1"/>
      <c r="D551" s="1"/>
      <c r="E551" s="1"/>
      <c r="F551" s="3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</row>
    <row r="552" spans="1:63" ht="12" customHeight="1">
      <c r="A552" s="1"/>
      <c r="B552" s="1"/>
      <c r="C552" s="1"/>
      <c r="D552" s="1"/>
      <c r="E552" s="1"/>
      <c r="F552" s="3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</row>
    <row r="553" spans="1:63" ht="12" customHeight="1">
      <c r="A553" s="1"/>
      <c r="B553" s="1"/>
      <c r="C553" s="1"/>
      <c r="D553" s="1"/>
      <c r="E553" s="1"/>
      <c r="F553" s="3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</row>
    <row r="554" spans="1:63" ht="12" customHeight="1">
      <c r="A554" s="1"/>
      <c r="B554" s="1"/>
      <c r="C554" s="1"/>
      <c r="D554" s="1"/>
      <c r="E554" s="1"/>
      <c r="F554" s="3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</row>
    <row r="555" spans="1:63" ht="12" customHeight="1">
      <c r="A555" s="1"/>
      <c r="B555" s="1"/>
      <c r="C555" s="1"/>
      <c r="D555" s="1"/>
      <c r="E555" s="1"/>
      <c r="F555" s="3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spans="1:63" ht="12" customHeight="1">
      <c r="A556" s="1"/>
      <c r="B556" s="1"/>
      <c r="C556" s="1"/>
      <c r="D556" s="1"/>
      <c r="E556" s="1"/>
      <c r="F556" s="3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</row>
    <row r="557" spans="1:63" ht="12" customHeight="1">
      <c r="A557" s="1"/>
      <c r="B557" s="1"/>
      <c r="C557" s="1"/>
      <c r="D557" s="1"/>
      <c r="E557" s="1"/>
      <c r="F557" s="3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</row>
    <row r="558" spans="1:63" ht="12" customHeight="1">
      <c r="A558" s="1"/>
      <c r="B558" s="1"/>
      <c r="C558" s="1"/>
      <c r="D558" s="1"/>
      <c r="E558" s="1"/>
      <c r="F558" s="3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</row>
    <row r="559" spans="1:63" ht="12" customHeight="1">
      <c r="A559" s="1"/>
      <c r="B559" s="1"/>
      <c r="C559" s="1"/>
      <c r="D559" s="1"/>
      <c r="E559" s="1"/>
      <c r="F559" s="3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</row>
    <row r="560" spans="1:63" ht="12" customHeight="1">
      <c r="A560" s="1"/>
      <c r="B560" s="1"/>
      <c r="C560" s="1"/>
      <c r="D560" s="1"/>
      <c r="E560" s="1"/>
      <c r="F560" s="3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</row>
    <row r="561" spans="1:63" ht="12" customHeight="1">
      <c r="A561" s="1"/>
      <c r="B561" s="1"/>
      <c r="C561" s="1"/>
      <c r="D561" s="1"/>
      <c r="E561" s="1"/>
      <c r="F561" s="3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</row>
    <row r="562" spans="1:63" ht="12" customHeight="1">
      <c r="A562" s="1"/>
      <c r="B562" s="1"/>
      <c r="C562" s="1"/>
      <c r="D562" s="1"/>
      <c r="E562" s="1"/>
      <c r="F562" s="3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</row>
    <row r="563" spans="1:63" ht="12" customHeight="1">
      <c r="A563" s="1"/>
      <c r="B563" s="1"/>
      <c r="C563" s="1"/>
      <c r="D563" s="1"/>
      <c r="E563" s="1"/>
      <c r="F563" s="3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</row>
    <row r="564" spans="1:63" ht="12" customHeight="1">
      <c r="A564" s="1"/>
      <c r="B564" s="1"/>
      <c r="C564" s="1"/>
      <c r="D564" s="1"/>
      <c r="E564" s="1"/>
      <c r="F564" s="3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</row>
    <row r="565" spans="1:63" ht="12" customHeight="1">
      <c r="A565" s="1"/>
      <c r="B565" s="1"/>
      <c r="C565" s="1"/>
      <c r="D565" s="1"/>
      <c r="E565" s="1"/>
      <c r="F565" s="3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</row>
    <row r="566" spans="1:63" ht="12" customHeight="1">
      <c r="A566" s="1"/>
      <c r="B566" s="1"/>
      <c r="C566" s="1"/>
      <c r="D566" s="1"/>
      <c r="E566" s="1"/>
      <c r="F566" s="3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spans="1:63" ht="12" customHeight="1">
      <c r="A567" s="1"/>
      <c r="B567" s="1"/>
      <c r="C567" s="1"/>
      <c r="D567" s="1"/>
      <c r="E567" s="1"/>
      <c r="F567" s="3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</row>
    <row r="568" spans="1:63" ht="12" customHeight="1">
      <c r="A568" s="1"/>
      <c r="B568" s="1"/>
      <c r="C568" s="1"/>
      <c r="D568" s="1"/>
      <c r="E568" s="1"/>
      <c r="F568" s="3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</row>
    <row r="569" spans="1:63" ht="12" customHeight="1">
      <c r="A569" s="1"/>
      <c r="B569" s="1"/>
      <c r="C569" s="1"/>
      <c r="D569" s="1"/>
      <c r="E569" s="1"/>
      <c r="F569" s="3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</row>
    <row r="570" spans="1:63" ht="12" customHeight="1">
      <c r="A570" s="1"/>
      <c r="B570" s="1"/>
      <c r="C570" s="1"/>
      <c r="D570" s="1"/>
      <c r="E570" s="1"/>
      <c r="F570" s="3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</row>
    <row r="571" spans="1:63" ht="12" customHeight="1">
      <c r="A571" s="1"/>
      <c r="B571" s="1"/>
      <c r="C571" s="1"/>
      <c r="D571" s="1"/>
      <c r="E571" s="1"/>
      <c r="F571" s="3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</row>
    <row r="572" spans="1:63" ht="12" customHeight="1">
      <c r="A572" s="1"/>
      <c r="B572" s="1"/>
      <c r="C572" s="1"/>
      <c r="D572" s="1"/>
      <c r="E572" s="1"/>
      <c r="F572" s="3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</row>
    <row r="573" spans="1:63" ht="12" customHeight="1">
      <c r="A573" s="1"/>
      <c r="B573" s="1"/>
      <c r="C573" s="1"/>
      <c r="D573" s="1"/>
      <c r="E573" s="1"/>
      <c r="F573" s="3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</row>
    <row r="574" spans="1:63" ht="12" customHeight="1">
      <c r="A574" s="1"/>
      <c r="B574" s="1"/>
      <c r="C574" s="1"/>
      <c r="D574" s="1"/>
      <c r="E574" s="1"/>
      <c r="F574" s="3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</row>
    <row r="575" spans="1:63" ht="12" customHeight="1">
      <c r="A575" s="1"/>
      <c r="B575" s="1"/>
      <c r="C575" s="1"/>
      <c r="D575" s="1"/>
      <c r="E575" s="1"/>
      <c r="F575" s="3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</row>
    <row r="576" spans="1:63" ht="12" customHeight="1">
      <c r="A576" s="1"/>
      <c r="B576" s="1"/>
      <c r="C576" s="1"/>
      <c r="D576" s="1"/>
      <c r="E576" s="1"/>
      <c r="F576" s="3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</row>
    <row r="577" spans="1:63" ht="12" customHeight="1">
      <c r="A577" s="1"/>
      <c r="B577" s="1"/>
      <c r="C577" s="1"/>
      <c r="D577" s="1"/>
      <c r="E577" s="1"/>
      <c r="F577" s="3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spans="1:63" ht="12" customHeight="1">
      <c r="A578" s="1"/>
      <c r="B578" s="1"/>
      <c r="C578" s="1"/>
      <c r="D578" s="1"/>
      <c r="E578" s="1"/>
      <c r="F578" s="3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</row>
    <row r="579" spans="1:63" ht="12" customHeight="1">
      <c r="A579" s="1"/>
      <c r="B579" s="1"/>
      <c r="C579" s="1"/>
      <c r="D579" s="1"/>
      <c r="E579" s="1"/>
      <c r="F579" s="3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</row>
    <row r="580" spans="1:63" ht="12" customHeight="1">
      <c r="A580" s="1"/>
      <c r="B580" s="1"/>
      <c r="C580" s="1"/>
      <c r="D580" s="1"/>
      <c r="E580" s="1"/>
      <c r="F580" s="3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</row>
    <row r="581" spans="1:63" ht="12" customHeight="1">
      <c r="A581" s="1"/>
      <c r="B581" s="1"/>
      <c r="C581" s="1"/>
      <c r="D581" s="1"/>
      <c r="E581" s="1"/>
      <c r="F581" s="3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spans="1:63" ht="12" customHeight="1">
      <c r="A582" s="1"/>
      <c r="B582" s="1"/>
      <c r="C582" s="1"/>
      <c r="D582" s="1"/>
      <c r="E582" s="1"/>
      <c r="F582" s="3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</row>
    <row r="583" spans="1:63" ht="12" customHeight="1">
      <c r="A583" s="1"/>
      <c r="B583" s="1"/>
      <c r="C583" s="1"/>
      <c r="D583" s="1"/>
      <c r="E583" s="1"/>
      <c r="F583" s="3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</row>
    <row r="584" spans="1:63" ht="12" customHeight="1">
      <c r="A584" s="1"/>
      <c r="B584" s="1"/>
      <c r="C584" s="1"/>
      <c r="D584" s="1"/>
      <c r="E584" s="1"/>
      <c r="F584" s="3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</row>
    <row r="585" spans="1:63" ht="12" customHeight="1">
      <c r="A585" s="1"/>
      <c r="B585" s="1"/>
      <c r="C585" s="1"/>
      <c r="D585" s="1"/>
      <c r="E585" s="1"/>
      <c r="F585" s="3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spans="1:63" ht="12" customHeight="1">
      <c r="A586" s="1"/>
      <c r="B586" s="1"/>
      <c r="C586" s="1"/>
      <c r="D586" s="1"/>
      <c r="E586" s="1"/>
      <c r="F586" s="3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</row>
    <row r="587" spans="1:63" ht="12" customHeight="1">
      <c r="A587" s="1"/>
      <c r="B587" s="1"/>
      <c r="C587" s="1"/>
      <c r="D587" s="1"/>
      <c r="E587" s="1"/>
      <c r="F587" s="3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</row>
    <row r="588" spans="1:63" ht="12" customHeight="1">
      <c r="A588" s="1"/>
      <c r="B588" s="1"/>
      <c r="C588" s="1"/>
      <c r="D588" s="1"/>
      <c r="E588" s="1"/>
      <c r="F588" s="3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</row>
    <row r="589" spans="1:63" ht="12" customHeight="1">
      <c r="A589" s="1"/>
      <c r="B589" s="1"/>
      <c r="C589" s="1"/>
      <c r="D589" s="1"/>
      <c r="E589" s="1"/>
      <c r="F589" s="3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</row>
    <row r="590" spans="1:63" ht="12" customHeight="1">
      <c r="A590" s="1"/>
      <c r="B590" s="1"/>
      <c r="C590" s="1"/>
      <c r="D590" s="1"/>
      <c r="E590" s="1"/>
      <c r="F590" s="3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</row>
    <row r="591" spans="1:63" ht="12" customHeight="1">
      <c r="A591" s="1"/>
      <c r="B591" s="1"/>
      <c r="C591" s="1"/>
      <c r="D591" s="1"/>
      <c r="E591" s="1"/>
      <c r="F591" s="3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</row>
    <row r="592" spans="1:63" ht="12" customHeight="1">
      <c r="A592" s="1"/>
      <c r="B592" s="1"/>
      <c r="C592" s="1"/>
      <c r="D592" s="1"/>
      <c r="E592" s="1"/>
      <c r="F592" s="3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</row>
    <row r="593" spans="1:63" ht="12" customHeight="1">
      <c r="A593" s="1"/>
      <c r="B593" s="1"/>
      <c r="C593" s="1"/>
      <c r="D593" s="1"/>
      <c r="E593" s="1"/>
      <c r="F593" s="3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</row>
    <row r="594" spans="1:63" ht="12" customHeight="1">
      <c r="A594" s="1"/>
      <c r="B594" s="1"/>
      <c r="C594" s="1"/>
      <c r="D594" s="1"/>
      <c r="E594" s="1"/>
      <c r="F594" s="3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</row>
    <row r="595" spans="1:63" ht="12" customHeight="1">
      <c r="A595" s="1"/>
      <c r="B595" s="1"/>
      <c r="C595" s="1"/>
      <c r="D595" s="1"/>
      <c r="E595" s="1"/>
      <c r="F595" s="3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</row>
    <row r="596" spans="1:63" ht="12" customHeight="1">
      <c r="A596" s="1"/>
      <c r="B596" s="1"/>
      <c r="C596" s="1"/>
      <c r="D596" s="1"/>
      <c r="E596" s="1"/>
      <c r="F596" s="3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</row>
    <row r="597" spans="1:63" ht="12" customHeight="1">
      <c r="A597" s="1"/>
      <c r="B597" s="1"/>
      <c r="C597" s="1"/>
      <c r="D597" s="1"/>
      <c r="E597" s="1"/>
      <c r="F597" s="3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</row>
    <row r="598" spans="1:63" ht="12" customHeight="1">
      <c r="A598" s="1"/>
      <c r="B598" s="1"/>
      <c r="C598" s="1"/>
      <c r="D598" s="1"/>
      <c r="E598" s="1"/>
      <c r="F598" s="3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</row>
    <row r="599" spans="1:63" ht="12" customHeight="1">
      <c r="A599" s="1"/>
      <c r="B599" s="1"/>
      <c r="C599" s="1"/>
      <c r="D599" s="1"/>
      <c r="E599" s="1"/>
      <c r="F599" s="3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</row>
    <row r="600" spans="1:63" ht="12" customHeight="1">
      <c r="A600" s="1"/>
      <c r="B600" s="1"/>
      <c r="C600" s="1"/>
      <c r="D600" s="1"/>
      <c r="E600" s="1"/>
      <c r="F600" s="3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</row>
    <row r="601" spans="1:63" ht="12" customHeight="1">
      <c r="A601" s="1"/>
      <c r="B601" s="1"/>
      <c r="C601" s="1"/>
      <c r="D601" s="1"/>
      <c r="E601" s="1"/>
      <c r="F601" s="3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</row>
    <row r="602" spans="1:63" ht="12" customHeight="1">
      <c r="A602" s="1"/>
      <c r="B602" s="1"/>
      <c r="C602" s="1"/>
      <c r="D602" s="1"/>
      <c r="E602" s="1"/>
      <c r="F602" s="3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spans="1:63" ht="12" customHeight="1">
      <c r="A603" s="1"/>
      <c r="B603" s="1"/>
      <c r="C603" s="1"/>
      <c r="D603" s="1"/>
      <c r="E603" s="1"/>
      <c r="F603" s="3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spans="1:63" ht="12" customHeight="1">
      <c r="A604" s="1"/>
      <c r="B604" s="1"/>
      <c r="C604" s="1"/>
      <c r="D604" s="1"/>
      <c r="E604" s="1"/>
      <c r="F604" s="3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</row>
    <row r="605" spans="1:63" ht="12" customHeight="1">
      <c r="A605" s="1"/>
      <c r="B605" s="1"/>
      <c r="C605" s="1"/>
      <c r="D605" s="1"/>
      <c r="E605" s="1"/>
      <c r="F605" s="3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spans="1:63" ht="12" customHeight="1">
      <c r="A606" s="1"/>
      <c r="B606" s="1"/>
      <c r="C606" s="1"/>
      <c r="D606" s="1"/>
      <c r="E606" s="1"/>
      <c r="F606" s="3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</row>
    <row r="607" spans="1:63" ht="12" customHeight="1">
      <c r="A607" s="1"/>
      <c r="B607" s="1"/>
      <c r="C607" s="1"/>
      <c r="D607" s="1"/>
      <c r="E607" s="1"/>
      <c r="F607" s="3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spans="1:63" ht="12" customHeight="1">
      <c r="A608" s="1"/>
      <c r="B608" s="1"/>
      <c r="C608" s="1"/>
      <c r="D608" s="1"/>
      <c r="E608" s="1"/>
      <c r="F608" s="3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spans="1:63" ht="12" customHeight="1">
      <c r="A609" s="1"/>
      <c r="B609" s="1"/>
      <c r="C609" s="1"/>
      <c r="D609" s="1"/>
      <c r="E609" s="1"/>
      <c r="F609" s="3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spans="1:63" ht="12" customHeight="1">
      <c r="A610" s="1"/>
      <c r="B610" s="1"/>
      <c r="C610" s="1"/>
      <c r="D610" s="1"/>
      <c r="E610" s="1"/>
      <c r="F610" s="3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spans="1:63" ht="12" customHeight="1">
      <c r="A611" s="1"/>
      <c r="B611" s="1"/>
      <c r="C611" s="1"/>
      <c r="D611" s="1"/>
      <c r="E611" s="1"/>
      <c r="F611" s="3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spans="1:63" ht="12" customHeight="1">
      <c r="A612" s="1"/>
      <c r="B612" s="1"/>
      <c r="C612" s="1"/>
      <c r="D612" s="1"/>
      <c r="E612" s="1"/>
      <c r="F612" s="3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spans="1:63" ht="12" customHeight="1">
      <c r="A613" s="1"/>
      <c r="B613" s="1"/>
      <c r="C613" s="1"/>
      <c r="D613" s="1"/>
      <c r="E613" s="1"/>
      <c r="F613" s="3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</row>
    <row r="614" spans="1:63" ht="12" customHeight="1">
      <c r="A614" s="1"/>
      <c r="B614" s="1"/>
      <c r="C614" s="1"/>
      <c r="D614" s="1"/>
      <c r="E614" s="1"/>
      <c r="F614" s="3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spans="1:63" ht="12" customHeight="1">
      <c r="A615" s="1"/>
      <c r="B615" s="1"/>
      <c r="C615" s="1"/>
      <c r="D615" s="1"/>
      <c r="E615" s="1"/>
      <c r="F615" s="3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  <row r="616" spans="1:63" ht="12" customHeight="1">
      <c r="A616" s="1"/>
      <c r="B616" s="1"/>
      <c r="C616" s="1"/>
      <c r="D616" s="1"/>
      <c r="E616" s="1"/>
      <c r="F616" s="3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</row>
    <row r="617" spans="1:63" ht="12" customHeight="1">
      <c r="A617" s="1"/>
      <c r="B617" s="1"/>
      <c r="C617" s="1"/>
      <c r="D617" s="1"/>
      <c r="E617" s="1"/>
      <c r="F617" s="3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</row>
    <row r="618" spans="1:63" ht="12" customHeight="1">
      <c r="A618" s="1"/>
      <c r="B618" s="1"/>
      <c r="C618" s="1"/>
      <c r="D618" s="1"/>
      <c r="E618" s="1"/>
      <c r="F618" s="3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</row>
    <row r="619" spans="1:63" ht="12" customHeight="1">
      <c r="A619" s="1"/>
      <c r="B619" s="1"/>
      <c r="C619" s="1"/>
      <c r="D619" s="1"/>
      <c r="E619" s="1"/>
      <c r="F619" s="3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</row>
    <row r="620" spans="1:63" ht="12" customHeight="1">
      <c r="A620" s="1"/>
      <c r="B620" s="1"/>
      <c r="C620" s="1"/>
      <c r="D620" s="1"/>
      <c r="E620" s="1"/>
      <c r="F620" s="3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</row>
    <row r="621" spans="1:63" ht="12" customHeight="1">
      <c r="A621" s="1"/>
      <c r="B621" s="1"/>
      <c r="C621" s="1"/>
      <c r="D621" s="1"/>
      <c r="E621" s="1"/>
      <c r="F621" s="3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</row>
    <row r="622" spans="1:63" ht="12" customHeight="1">
      <c r="A622" s="1"/>
      <c r="B622" s="1"/>
      <c r="C622" s="1"/>
      <c r="D622" s="1"/>
      <c r="E622" s="1"/>
      <c r="F622" s="3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</row>
    <row r="623" spans="1:63" ht="12" customHeight="1">
      <c r="A623" s="1"/>
      <c r="B623" s="1"/>
      <c r="C623" s="1"/>
      <c r="D623" s="1"/>
      <c r="E623" s="1"/>
      <c r="F623" s="3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</row>
    <row r="624" spans="1:63" ht="12" customHeight="1">
      <c r="A624" s="1"/>
      <c r="B624" s="1"/>
      <c r="C624" s="1"/>
      <c r="D624" s="1"/>
      <c r="E624" s="1"/>
      <c r="F624" s="3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</row>
    <row r="625" spans="1:63" ht="12" customHeight="1">
      <c r="A625" s="1"/>
      <c r="B625" s="1"/>
      <c r="C625" s="1"/>
      <c r="D625" s="1"/>
      <c r="E625" s="1"/>
      <c r="F625" s="3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</row>
    <row r="626" spans="1:63" ht="12" customHeight="1">
      <c r="A626" s="1"/>
      <c r="B626" s="1"/>
      <c r="C626" s="1"/>
      <c r="D626" s="1"/>
      <c r="E626" s="1"/>
      <c r="F626" s="3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</row>
    <row r="627" spans="1:63" ht="12" customHeight="1">
      <c r="A627" s="1"/>
      <c r="B627" s="1"/>
      <c r="C627" s="1"/>
      <c r="D627" s="1"/>
      <c r="E627" s="1"/>
      <c r="F627" s="3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</row>
    <row r="628" spans="1:63" ht="12" customHeight="1">
      <c r="A628" s="1"/>
      <c r="B628" s="1"/>
      <c r="C628" s="1"/>
      <c r="D628" s="1"/>
      <c r="E628" s="1"/>
      <c r="F628" s="3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</row>
    <row r="629" spans="1:63" ht="12" customHeight="1">
      <c r="A629" s="1"/>
      <c r="B629" s="1"/>
      <c r="C629" s="1"/>
      <c r="D629" s="1"/>
      <c r="E629" s="1"/>
      <c r="F629" s="3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</row>
    <row r="630" spans="1:63" ht="12" customHeight="1">
      <c r="A630" s="1"/>
      <c r="B630" s="1"/>
      <c r="C630" s="1"/>
      <c r="D630" s="1"/>
      <c r="E630" s="1"/>
      <c r="F630" s="3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</row>
    <row r="631" spans="1:63" ht="12" customHeight="1">
      <c r="A631" s="1"/>
      <c r="B631" s="1"/>
      <c r="C631" s="1"/>
      <c r="D631" s="1"/>
      <c r="E631" s="1"/>
      <c r="F631" s="3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</row>
    <row r="632" spans="1:63" ht="12" customHeight="1">
      <c r="A632" s="1"/>
      <c r="B632" s="1"/>
      <c r="C632" s="1"/>
      <c r="D632" s="1"/>
      <c r="E632" s="1"/>
      <c r="F632" s="3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</row>
    <row r="633" spans="1:63" ht="12" customHeight="1">
      <c r="A633" s="1"/>
      <c r="B633" s="1"/>
      <c r="C633" s="1"/>
      <c r="D633" s="1"/>
      <c r="E633" s="1"/>
      <c r="F633" s="3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</row>
    <row r="634" spans="1:63" ht="12" customHeight="1">
      <c r="A634" s="1"/>
      <c r="B634" s="1"/>
      <c r="C634" s="1"/>
      <c r="D634" s="1"/>
      <c r="E634" s="1"/>
      <c r="F634" s="3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</row>
    <row r="635" spans="1:63" ht="12" customHeight="1">
      <c r="A635" s="1"/>
      <c r="B635" s="1"/>
      <c r="C635" s="1"/>
      <c r="D635" s="1"/>
      <c r="E635" s="1"/>
      <c r="F635" s="3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</row>
    <row r="636" spans="1:63" ht="12" customHeight="1">
      <c r="A636" s="1"/>
      <c r="B636" s="1"/>
      <c r="C636" s="1"/>
      <c r="D636" s="1"/>
      <c r="E636" s="1"/>
      <c r="F636" s="3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</row>
    <row r="637" spans="1:63" ht="12" customHeight="1">
      <c r="A637" s="1"/>
      <c r="B637" s="1"/>
      <c r="C637" s="1"/>
      <c r="D637" s="1"/>
      <c r="E637" s="1"/>
      <c r="F637" s="3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</row>
    <row r="638" spans="1:63" ht="12" customHeight="1">
      <c r="A638" s="1"/>
      <c r="B638" s="1"/>
      <c r="C638" s="1"/>
      <c r="D638" s="1"/>
      <c r="E638" s="1"/>
      <c r="F638" s="3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</row>
    <row r="639" spans="1:63" ht="12" customHeight="1">
      <c r="A639" s="1"/>
      <c r="B639" s="1"/>
      <c r="C639" s="1"/>
      <c r="D639" s="1"/>
      <c r="E639" s="1"/>
      <c r="F639" s="3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</row>
    <row r="640" spans="1:63" ht="12" customHeight="1">
      <c r="A640" s="1"/>
      <c r="B640" s="1"/>
      <c r="C640" s="1"/>
      <c r="D640" s="1"/>
      <c r="E640" s="1"/>
      <c r="F640" s="3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</row>
    <row r="641" spans="1:63" ht="12" customHeight="1">
      <c r="A641" s="1"/>
      <c r="B641" s="1"/>
      <c r="C641" s="1"/>
      <c r="D641" s="1"/>
      <c r="E641" s="1"/>
      <c r="F641" s="3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</row>
    <row r="642" spans="1:63" ht="12" customHeight="1">
      <c r="A642" s="1"/>
      <c r="B642" s="1"/>
      <c r="C642" s="1"/>
      <c r="D642" s="1"/>
      <c r="E642" s="1"/>
      <c r="F642" s="3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</row>
    <row r="643" spans="1:63" ht="12" customHeight="1">
      <c r="A643" s="1"/>
      <c r="B643" s="1"/>
      <c r="C643" s="1"/>
      <c r="D643" s="1"/>
      <c r="E643" s="1"/>
      <c r="F643" s="3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</row>
    <row r="644" spans="1:63" ht="12" customHeight="1">
      <c r="A644" s="1"/>
      <c r="B644" s="1"/>
      <c r="C644" s="1"/>
      <c r="D644" s="1"/>
      <c r="E644" s="1"/>
      <c r="F644" s="3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</row>
    <row r="645" spans="1:63" ht="12" customHeight="1">
      <c r="A645" s="1"/>
      <c r="B645" s="1"/>
      <c r="C645" s="1"/>
      <c r="D645" s="1"/>
      <c r="E645" s="1"/>
      <c r="F645" s="3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</row>
    <row r="646" spans="1:63" ht="12" customHeight="1">
      <c r="A646" s="1"/>
      <c r="B646" s="1"/>
      <c r="C646" s="1"/>
      <c r="D646" s="1"/>
      <c r="E646" s="1"/>
      <c r="F646" s="3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</row>
    <row r="647" spans="1:63" ht="12" customHeight="1">
      <c r="A647" s="1"/>
      <c r="B647" s="1"/>
      <c r="C647" s="1"/>
      <c r="D647" s="1"/>
      <c r="E647" s="1"/>
      <c r="F647" s="3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</row>
    <row r="648" spans="1:63" ht="12" customHeight="1">
      <c r="A648" s="1"/>
      <c r="B648" s="1"/>
      <c r="C648" s="1"/>
      <c r="D648" s="1"/>
      <c r="E648" s="1"/>
      <c r="F648" s="3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</row>
    <row r="649" spans="1:63" ht="12" customHeight="1">
      <c r="A649" s="1"/>
      <c r="B649" s="1"/>
      <c r="C649" s="1"/>
      <c r="D649" s="1"/>
      <c r="E649" s="1"/>
      <c r="F649" s="3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</row>
    <row r="650" spans="1:63" ht="12" customHeight="1">
      <c r="A650" s="1"/>
      <c r="B650" s="1"/>
      <c r="C650" s="1"/>
      <c r="D650" s="1"/>
      <c r="E650" s="1"/>
      <c r="F650" s="3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</row>
    <row r="651" spans="1:63" ht="12" customHeight="1">
      <c r="A651" s="1"/>
      <c r="B651" s="1"/>
      <c r="C651" s="1"/>
      <c r="D651" s="1"/>
      <c r="E651" s="1"/>
      <c r="F651" s="3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</row>
    <row r="652" spans="1:63" ht="12" customHeight="1">
      <c r="A652" s="1"/>
      <c r="B652" s="1"/>
      <c r="C652" s="1"/>
      <c r="D652" s="1"/>
      <c r="E652" s="1"/>
      <c r="F652" s="3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</row>
    <row r="653" spans="1:63" ht="12" customHeight="1">
      <c r="A653" s="1"/>
      <c r="B653" s="1"/>
      <c r="C653" s="1"/>
      <c r="D653" s="1"/>
      <c r="E653" s="1"/>
      <c r="F653" s="3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</row>
    <row r="654" spans="1:63" ht="12" customHeight="1">
      <c r="A654" s="1"/>
      <c r="B654" s="1"/>
      <c r="C654" s="1"/>
      <c r="D654" s="1"/>
      <c r="E654" s="1"/>
      <c r="F654" s="3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</row>
    <row r="655" spans="1:63" ht="12" customHeight="1">
      <c r="A655" s="1"/>
      <c r="B655" s="1"/>
      <c r="C655" s="1"/>
      <c r="D655" s="1"/>
      <c r="E655" s="1"/>
      <c r="F655" s="3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</row>
    <row r="656" spans="1:63" ht="12" customHeight="1">
      <c r="A656" s="1"/>
      <c r="B656" s="1"/>
      <c r="C656" s="1"/>
      <c r="D656" s="1"/>
      <c r="E656" s="1"/>
      <c r="F656" s="3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</row>
    <row r="657" spans="1:63" ht="12" customHeight="1">
      <c r="A657" s="1"/>
      <c r="B657" s="1"/>
      <c r="C657" s="1"/>
      <c r="D657" s="1"/>
      <c r="E657" s="1"/>
      <c r="F657" s="3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</row>
    <row r="658" spans="1:63" ht="12" customHeight="1">
      <c r="A658" s="1"/>
      <c r="B658" s="1"/>
      <c r="C658" s="1"/>
      <c r="D658" s="1"/>
      <c r="E658" s="1"/>
      <c r="F658" s="3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</row>
    <row r="659" spans="1:63" ht="12" customHeight="1">
      <c r="A659" s="1"/>
      <c r="B659" s="1"/>
      <c r="C659" s="1"/>
      <c r="D659" s="1"/>
      <c r="E659" s="1"/>
      <c r="F659" s="3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</row>
    <row r="660" spans="1:63" ht="12" customHeight="1">
      <c r="A660" s="1"/>
      <c r="B660" s="1"/>
      <c r="C660" s="1"/>
      <c r="D660" s="1"/>
      <c r="E660" s="1"/>
      <c r="F660" s="3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</row>
    <row r="661" spans="1:63" ht="12" customHeight="1">
      <c r="A661" s="1"/>
      <c r="B661" s="1"/>
      <c r="C661" s="1"/>
      <c r="D661" s="1"/>
      <c r="E661" s="1"/>
      <c r="F661" s="3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</row>
    <row r="662" spans="1:63" ht="12" customHeight="1">
      <c r="A662" s="1"/>
      <c r="B662" s="1"/>
      <c r="C662" s="1"/>
      <c r="D662" s="1"/>
      <c r="E662" s="1"/>
      <c r="F662" s="3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</row>
    <row r="663" spans="1:63" ht="12" customHeight="1">
      <c r="A663" s="1"/>
      <c r="B663" s="1"/>
      <c r="C663" s="1"/>
      <c r="D663" s="1"/>
      <c r="E663" s="1"/>
      <c r="F663" s="3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</row>
    <row r="664" spans="1:63" ht="12" customHeight="1">
      <c r="A664" s="1"/>
      <c r="B664" s="1"/>
      <c r="C664" s="1"/>
      <c r="D664" s="1"/>
      <c r="E664" s="1"/>
      <c r="F664" s="3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</row>
    <row r="665" spans="1:63" ht="12" customHeight="1">
      <c r="A665" s="1"/>
      <c r="B665" s="1"/>
      <c r="C665" s="1"/>
      <c r="D665" s="1"/>
      <c r="E665" s="1"/>
      <c r="F665" s="3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</row>
    <row r="666" spans="1:63" ht="12" customHeight="1">
      <c r="A666" s="1"/>
      <c r="B666" s="1"/>
      <c r="C666" s="1"/>
      <c r="D666" s="1"/>
      <c r="E666" s="1"/>
      <c r="F666" s="3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</row>
    <row r="667" spans="1:63" ht="12" customHeight="1">
      <c r="A667" s="1"/>
      <c r="B667" s="1"/>
      <c r="C667" s="1"/>
      <c r="D667" s="1"/>
      <c r="E667" s="1"/>
      <c r="F667" s="3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</row>
    <row r="668" spans="1:63" ht="12" customHeight="1">
      <c r="A668" s="1"/>
      <c r="B668" s="1"/>
      <c r="C668" s="1"/>
      <c r="D668" s="1"/>
      <c r="E668" s="1"/>
      <c r="F668" s="3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</row>
    <row r="669" spans="1:63" ht="12" customHeight="1">
      <c r="A669" s="1"/>
      <c r="B669" s="1"/>
      <c r="C669" s="1"/>
      <c r="D669" s="1"/>
      <c r="E669" s="1"/>
      <c r="F669" s="3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</row>
    <row r="670" spans="1:63" ht="12" customHeight="1">
      <c r="A670" s="1"/>
      <c r="B670" s="1"/>
      <c r="C670" s="1"/>
      <c r="D670" s="1"/>
      <c r="E670" s="1"/>
      <c r="F670" s="3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</row>
    <row r="671" spans="1:63" ht="12" customHeight="1">
      <c r="A671" s="1"/>
      <c r="B671" s="1"/>
      <c r="C671" s="1"/>
      <c r="D671" s="1"/>
      <c r="E671" s="1"/>
      <c r="F671" s="3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</row>
    <row r="672" spans="1:63" ht="12" customHeight="1">
      <c r="A672" s="1"/>
      <c r="B672" s="1"/>
      <c r="C672" s="1"/>
      <c r="D672" s="1"/>
      <c r="E672" s="1"/>
      <c r="F672" s="3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</row>
    <row r="673" spans="1:63" ht="12" customHeight="1">
      <c r="A673" s="1"/>
      <c r="B673" s="1"/>
      <c r="C673" s="1"/>
      <c r="D673" s="1"/>
      <c r="E673" s="1"/>
      <c r="F673" s="3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</row>
    <row r="674" spans="1:63" ht="12" customHeight="1">
      <c r="A674" s="1"/>
      <c r="B674" s="1"/>
      <c r="C674" s="1"/>
      <c r="D674" s="1"/>
      <c r="E674" s="1"/>
      <c r="F674" s="3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</row>
    <row r="675" spans="1:63" ht="12" customHeight="1">
      <c r="A675" s="1"/>
      <c r="B675" s="1"/>
      <c r="C675" s="1"/>
      <c r="D675" s="1"/>
      <c r="E675" s="1"/>
      <c r="F675" s="3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</row>
    <row r="676" spans="1:63" ht="12" customHeight="1">
      <c r="A676" s="1"/>
      <c r="B676" s="1"/>
      <c r="C676" s="1"/>
      <c r="D676" s="1"/>
      <c r="E676" s="1"/>
      <c r="F676" s="3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</row>
    <row r="677" spans="1:63" ht="12" customHeight="1">
      <c r="A677" s="1"/>
      <c r="B677" s="1"/>
      <c r="C677" s="1"/>
      <c r="D677" s="1"/>
      <c r="E677" s="1"/>
      <c r="F677" s="3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</row>
    <row r="678" spans="1:63" ht="12" customHeight="1">
      <c r="A678" s="1"/>
      <c r="B678" s="1"/>
      <c r="C678" s="1"/>
      <c r="D678" s="1"/>
      <c r="E678" s="1"/>
      <c r="F678" s="3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</row>
    <row r="679" spans="1:63" ht="12" customHeight="1">
      <c r="A679" s="1"/>
      <c r="B679" s="1"/>
      <c r="C679" s="1"/>
      <c r="D679" s="1"/>
      <c r="E679" s="1"/>
      <c r="F679" s="3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</row>
    <row r="680" spans="1:63" ht="12" customHeight="1">
      <c r="A680" s="1"/>
      <c r="B680" s="1"/>
      <c r="C680" s="1"/>
      <c r="D680" s="1"/>
      <c r="E680" s="1"/>
      <c r="F680" s="3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</row>
    <row r="681" spans="1:63" ht="12" customHeight="1">
      <c r="A681" s="1"/>
      <c r="B681" s="1"/>
      <c r="C681" s="1"/>
      <c r="D681" s="1"/>
      <c r="E681" s="1"/>
      <c r="F681" s="3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</row>
    <row r="682" spans="1:63" ht="12" customHeight="1">
      <c r="A682" s="1"/>
      <c r="B682" s="1"/>
      <c r="C682" s="1"/>
      <c r="D682" s="1"/>
      <c r="E682" s="1"/>
      <c r="F682" s="3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</row>
    <row r="683" spans="1:63" ht="12" customHeight="1">
      <c r="A683" s="1"/>
      <c r="B683" s="1"/>
      <c r="C683" s="1"/>
      <c r="D683" s="1"/>
      <c r="E683" s="1"/>
      <c r="F683" s="3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</row>
    <row r="684" spans="1:63" ht="12" customHeight="1">
      <c r="A684" s="1"/>
      <c r="B684" s="1"/>
      <c r="C684" s="1"/>
      <c r="D684" s="1"/>
      <c r="E684" s="1"/>
      <c r="F684" s="3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</row>
    <row r="685" spans="1:63" ht="12" customHeight="1">
      <c r="A685" s="1"/>
      <c r="B685" s="1"/>
      <c r="C685" s="1"/>
      <c r="D685" s="1"/>
      <c r="E685" s="1"/>
      <c r="F685" s="3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</row>
    <row r="686" spans="1:63" ht="12" customHeight="1">
      <c r="A686" s="1"/>
      <c r="B686" s="1"/>
      <c r="C686" s="1"/>
      <c r="D686" s="1"/>
      <c r="E686" s="1"/>
      <c r="F686" s="3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</row>
    <row r="687" spans="1:63" ht="12" customHeight="1">
      <c r="A687" s="1"/>
      <c r="B687" s="1"/>
      <c r="C687" s="1"/>
      <c r="D687" s="1"/>
      <c r="E687" s="1"/>
      <c r="F687" s="3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</row>
    <row r="688" spans="1:63" ht="12" customHeight="1">
      <c r="A688" s="1"/>
      <c r="B688" s="1"/>
      <c r="C688" s="1"/>
      <c r="D688" s="1"/>
      <c r="E688" s="1"/>
      <c r="F688" s="3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</row>
    <row r="689" spans="1:63" ht="12" customHeight="1">
      <c r="A689" s="1"/>
      <c r="B689" s="1"/>
      <c r="C689" s="1"/>
      <c r="D689" s="1"/>
      <c r="E689" s="1"/>
      <c r="F689" s="3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</row>
    <row r="690" spans="1:63" ht="12" customHeight="1">
      <c r="A690" s="1"/>
      <c r="B690" s="1"/>
      <c r="C690" s="1"/>
      <c r="D690" s="1"/>
      <c r="E690" s="1"/>
      <c r="F690" s="3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</row>
    <row r="691" spans="1:63" ht="12" customHeight="1">
      <c r="A691" s="1"/>
      <c r="B691" s="1"/>
      <c r="C691" s="1"/>
      <c r="D691" s="1"/>
      <c r="E691" s="1"/>
      <c r="F691" s="3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</row>
    <row r="692" spans="1:63" ht="12" customHeight="1">
      <c r="A692" s="1"/>
      <c r="B692" s="1"/>
      <c r="C692" s="1"/>
      <c r="D692" s="1"/>
      <c r="E692" s="1"/>
      <c r="F692" s="3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</row>
    <row r="693" spans="1:63" ht="12" customHeight="1">
      <c r="A693" s="1"/>
      <c r="B693" s="1"/>
      <c r="C693" s="1"/>
      <c r="D693" s="1"/>
      <c r="E693" s="1"/>
      <c r="F693" s="3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</row>
    <row r="694" spans="1:63" ht="12" customHeight="1">
      <c r="A694" s="1"/>
      <c r="B694" s="1"/>
      <c r="C694" s="1"/>
      <c r="D694" s="1"/>
      <c r="E694" s="1"/>
      <c r="F694" s="3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</row>
    <row r="695" spans="1:63" ht="12" customHeight="1">
      <c r="A695" s="1"/>
      <c r="B695" s="1"/>
      <c r="C695" s="1"/>
      <c r="D695" s="1"/>
      <c r="E695" s="1"/>
      <c r="F695" s="3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</row>
    <row r="696" spans="1:63" ht="12" customHeight="1">
      <c r="A696" s="1"/>
      <c r="B696" s="1"/>
      <c r="C696" s="1"/>
      <c r="D696" s="1"/>
      <c r="E696" s="1"/>
      <c r="F696" s="3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</row>
    <row r="697" spans="1:63" ht="12" customHeight="1">
      <c r="A697" s="1"/>
      <c r="B697" s="1"/>
      <c r="C697" s="1"/>
      <c r="D697" s="1"/>
      <c r="E697" s="1"/>
      <c r="F697" s="3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</row>
    <row r="698" spans="1:63" ht="12" customHeight="1">
      <c r="A698" s="1"/>
      <c r="B698" s="1"/>
      <c r="C698" s="1"/>
      <c r="D698" s="1"/>
      <c r="E698" s="1"/>
      <c r="F698" s="3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</row>
    <row r="699" spans="1:63" ht="12" customHeight="1">
      <c r="A699" s="1"/>
      <c r="B699" s="1"/>
      <c r="C699" s="1"/>
      <c r="D699" s="1"/>
      <c r="E699" s="1"/>
      <c r="F699" s="3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</row>
    <row r="700" spans="1:63" ht="12" customHeight="1">
      <c r="A700" s="1"/>
      <c r="B700" s="1"/>
      <c r="C700" s="1"/>
      <c r="D700" s="1"/>
      <c r="E700" s="1"/>
      <c r="F700" s="3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</row>
    <row r="701" spans="1:63" ht="12" customHeight="1">
      <c r="A701" s="1"/>
      <c r="B701" s="1"/>
      <c r="C701" s="1"/>
      <c r="D701" s="1"/>
      <c r="E701" s="1"/>
      <c r="F701" s="3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</row>
    <row r="702" spans="1:63" ht="12" customHeight="1">
      <c r="A702" s="1"/>
      <c r="B702" s="1"/>
      <c r="C702" s="1"/>
      <c r="D702" s="1"/>
      <c r="E702" s="1"/>
      <c r="F702" s="3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</row>
    <row r="703" spans="1:63" ht="12" customHeight="1">
      <c r="A703" s="1"/>
      <c r="B703" s="1"/>
      <c r="C703" s="1"/>
      <c r="D703" s="1"/>
      <c r="E703" s="1"/>
      <c r="F703" s="3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</row>
    <row r="704" spans="1:63" ht="12" customHeight="1">
      <c r="A704" s="1"/>
      <c r="B704" s="1"/>
      <c r="C704" s="1"/>
      <c r="D704" s="1"/>
      <c r="E704" s="1"/>
      <c r="F704" s="3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</row>
    <row r="705" spans="1:63" ht="12" customHeight="1">
      <c r="A705" s="1"/>
      <c r="B705" s="1"/>
      <c r="C705" s="1"/>
      <c r="D705" s="1"/>
      <c r="E705" s="1"/>
      <c r="F705" s="3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</row>
    <row r="706" spans="1:63" ht="12" customHeight="1">
      <c r="A706" s="1"/>
      <c r="B706" s="1"/>
      <c r="C706" s="1"/>
      <c r="D706" s="1"/>
      <c r="E706" s="1"/>
      <c r="F706" s="3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</row>
    <row r="707" spans="1:63" ht="12" customHeight="1">
      <c r="A707" s="1"/>
      <c r="B707" s="1"/>
      <c r="C707" s="1"/>
      <c r="D707" s="1"/>
      <c r="E707" s="1"/>
      <c r="F707" s="3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</row>
    <row r="708" spans="1:63" ht="12" customHeight="1">
      <c r="A708" s="1"/>
      <c r="B708" s="1"/>
      <c r="C708" s="1"/>
      <c r="D708" s="1"/>
      <c r="E708" s="1"/>
      <c r="F708" s="3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</row>
    <row r="709" spans="1:63" ht="12" customHeight="1">
      <c r="A709" s="1"/>
      <c r="B709" s="1"/>
      <c r="C709" s="1"/>
      <c r="D709" s="1"/>
      <c r="E709" s="1"/>
      <c r="F709" s="3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</row>
    <row r="710" spans="1:63" ht="12" customHeight="1">
      <c r="A710" s="1"/>
      <c r="B710" s="1"/>
      <c r="C710" s="1"/>
      <c r="D710" s="1"/>
      <c r="E710" s="1"/>
      <c r="F710" s="3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</row>
    <row r="711" spans="1:63" ht="12" customHeight="1">
      <c r="A711" s="1"/>
      <c r="B711" s="1"/>
      <c r="C711" s="1"/>
      <c r="D711" s="1"/>
      <c r="E711" s="1"/>
      <c r="F711" s="3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</row>
    <row r="712" spans="1:63" ht="12" customHeight="1">
      <c r="A712" s="1"/>
      <c r="B712" s="1"/>
      <c r="C712" s="1"/>
      <c r="D712" s="1"/>
      <c r="E712" s="1"/>
      <c r="F712" s="3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</row>
    <row r="713" spans="1:63" ht="12" customHeight="1">
      <c r="A713" s="1"/>
      <c r="B713" s="1"/>
      <c r="C713" s="1"/>
      <c r="D713" s="1"/>
      <c r="E713" s="1"/>
      <c r="F713" s="3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</row>
    <row r="714" spans="1:63" ht="12" customHeight="1">
      <c r="A714" s="1"/>
      <c r="B714" s="1"/>
      <c r="C714" s="1"/>
      <c r="D714" s="1"/>
      <c r="E714" s="1"/>
      <c r="F714" s="3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</row>
    <row r="715" spans="1:63" ht="12" customHeight="1">
      <c r="A715" s="1"/>
      <c r="B715" s="1"/>
      <c r="C715" s="1"/>
      <c r="D715" s="1"/>
      <c r="E715" s="1"/>
      <c r="F715" s="3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</row>
    <row r="716" spans="1:63" ht="12" customHeight="1">
      <c r="A716" s="1"/>
      <c r="B716" s="1"/>
      <c r="C716" s="1"/>
      <c r="D716" s="1"/>
      <c r="E716" s="1"/>
      <c r="F716" s="3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</row>
    <row r="717" spans="1:63" ht="12" customHeight="1">
      <c r="A717" s="1"/>
      <c r="B717" s="1"/>
      <c r="C717" s="1"/>
      <c r="D717" s="1"/>
      <c r="E717" s="1"/>
      <c r="F717" s="3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</row>
    <row r="718" spans="1:63" ht="12" customHeight="1">
      <c r="A718" s="1"/>
      <c r="B718" s="1"/>
      <c r="C718" s="1"/>
      <c r="D718" s="1"/>
      <c r="E718" s="1"/>
      <c r="F718" s="3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</row>
    <row r="719" spans="1:63" ht="12" customHeight="1">
      <c r="A719" s="1"/>
      <c r="B719" s="1"/>
      <c r="C719" s="1"/>
      <c r="D719" s="1"/>
      <c r="E719" s="1"/>
      <c r="F719" s="3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</row>
    <row r="720" spans="1:63" ht="12" customHeight="1">
      <c r="A720" s="1"/>
      <c r="B720" s="1"/>
      <c r="C720" s="1"/>
      <c r="D720" s="1"/>
      <c r="E720" s="1"/>
      <c r="F720" s="3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</row>
    <row r="721" spans="1:63" ht="12" customHeight="1">
      <c r="A721" s="1"/>
      <c r="B721" s="1"/>
      <c r="C721" s="1"/>
      <c r="D721" s="1"/>
      <c r="E721" s="1"/>
      <c r="F721" s="3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</row>
    <row r="722" spans="1:63" ht="12" customHeight="1">
      <c r="A722" s="1"/>
      <c r="B722" s="1"/>
      <c r="C722" s="1"/>
      <c r="D722" s="1"/>
      <c r="E722" s="1"/>
      <c r="F722" s="3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</row>
    <row r="723" spans="1:63" ht="12" customHeight="1">
      <c r="A723" s="1"/>
      <c r="B723" s="1"/>
      <c r="C723" s="1"/>
      <c r="D723" s="1"/>
      <c r="E723" s="1"/>
      <c r="F723" s="3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</row>
    <row r="724" spans="1:63" ht="12" customHeight="1">
      <c r="A724" s="1"/>
      <c r="B724" s="1"/>
      <c r="C724" s="1"/>
      <c r="D724" s="1"/>
      <c r="E724" s="1"/>
      <c r="F724" s="3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</row>
    <row r="725" spans="1:63" ht="12" customHeight="1">
      <c r="A725" s="1"/>
      <c r="B725" s="1"/>
      <c r="C725" s="1"/>
      <c r="D725" s="1"/>
      <c r="E725" s="1"/>
      <c r="F725" s="3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</row>
    <row r="726" spans="1:63" ht="12" customHeight="1">
      <c r="A726" s="1"/>
      <c r="B726" s="1"/>
      <c r="C726" s="1"/>
      <c r="D726" s="1"/>
      <c r="E726" s="1"/>
      <c r="F726" s="3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</row>
    <row r="727" spans="1:63" ht="12" customHeight="1">
      <c r="A727" s="1"/>
      <c r="B727" s="1"/>
      <c r="C727" s="1"/>
      <c r="D727" s="1"/>
      <c r="E727" s="1"/>
      <c r="F727" s="3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</row>
    <row r="728" spans="1:63" ht="12" customHeight="1">
      <c r="A728" s="1"/>
      <c r="B728" s="1"/>
      <c r="C728" s="1"/>
      <c r="D728" s="1"/>
      <c r="E728" s="1"/>
      <c r="F728" s="3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</row>
    <row r="729" spans="1:63" ht="12" customHeight="1">
      <c r="A729" s="1"/>
      <c r="B729" s="1"/>
      <c r="C729" s="1"/>
      <c r="D729" s="1"/>
      <c r="E729" s="1"/>
      <c r="F729" s="3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</row>
    <row r="730" spans="1:63" ht="12" customHeight="1">
      <c r="A730" s="1"/>
      <c r="B730" s="1"/>
      <c r="C730" s="1"/>
      <c r="D730" s="1"/>
      <c r="E730" s="1"/>
      <c r="F730" s="3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</row>
    <row r="731" spans="1:63" ht="12" customHeight="1">
      <c r="A731" s="1"/>
      <c r="B731" s="1"/>
      <c r="C731" s="1"/>
      <c r="D731" s="1"/>
      <c r="E731" s="1"/>
      <c r="F731" s="3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</row>
    <row r="732" spans="1:63" ht="12" customHeight="1">
      <c r="A732" s="1"/>
      <c r="B732" s="1"/>
      <c r="C732" s="1"/>
      <c r="D732" s="1"/>
      <c r="E732" s="1"/>
      <c r="F732" s="3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</row>
    <row r="733" spans="1:63" ht="12" customHeight="1">
      <c r="A733" s="1"/>
      <c r="B733" s="1"/>
      <c r="C733" s="1"/>
      <c r="D733" s="1"/>
      <c r="E733" s="1"/>
      <c r="F733" s="3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</row>
    <row r="734" spans="1:63" ht="12" customHeight="1">
      <c r="A734" s="1"/>
      <c r="B734" s="1"/>
      <c r="C734" s="1"/>
      <c r="D734" s="1"/>
      <c r="E734" s="1"/>
      <c r="F734" s="3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</row>
    <row r="735" spans="1:63" ht="12" customHeight="1">
      <c r="A735" s="1"/>
      <c r="B735" s="1"/>
      <c r="C735" s="1"/>
      <c r="D735" s="1"/>
      <c r="E735" s="1"/>
      <c r="F735" s="3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</row>
    <row r="736" spans="1:63" ht="12" customHeight="1">
      <c r="A736" s="1"/>
      <c r="B736" s="1"/>
      <c r="C736" s="1"/>
      <c r="D736" s="1"/>
      <c r="E736" s="1"/>
      <c r="F736" s="3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</row>
    <row r="737" spans="1:63" ht="12" customHeight="1">
      <c r="A737" s="1"/>
      <c r="B737" s="1"/>
      <c r="C737" s="1"/>
      <c r="D737" s="1"/>
      <c r="E737" s="1"/>
      <c r="F737" s="3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</row>
    <row r="738" spans="1:63" ht="12" customHeight="1">
      <c r="A738" s="1"/>
      <c r="B738" s="1"/>
      <c r="C738" s="1"/>
      <c r="D738" s="1"/>
      <c r="E738" s="1"/>
      <c r="F738" s="3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</row>
    <row r="739" spans="1:63" ht="12" customHeight="1">
      <c r="A739" s="1"/>
      <c r="B739" s="1"/>
      <c r="C739" s="1"/>
      <c r="D739" s="1"/>
      <c r="E739" s="1"/>
      <c r="F739" s="3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</row>
    <row r="740" spans="1:63" ht="12" customHeight="1">
      <c r="A740" s="1"/>
      <c r="B740" s="1"/>
      <c r="C740" s="1"/>
      <c r="D740" s="1"/>
      <c r="E740" s="1"/>
      <c r="F740" s="3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</row>
    <row r="741" spans="1:63" ht="12" customHeight="1">
      <c r="A741" s="1"/>
      <c r="B741" s="1"/>
      <c r="C741" s="1"/>
      <c r="D741" s="1"/>
      <c r="E741" s="1"/>
      <c r="F741" s="3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</row>
    <row r="742" spans="1:63" ht="12" customHeight="1">
      <c r="A742" s="1"/>
      <c r="B742" s="1"/>
      <c r="C742" s="1"/>
      <c r="D742" s="1"/>
      <c r="E742" s="1"/>
      <c r="F742" s="3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</row>
    <row r="743" spans="1:63" ht="12" customHeight="1">
      <c r="A743" s="1"/>
      <c r="B743" s="1"/>
      <c r="C743" s="1"/>
      <c r="D743" s="1"/>
      <c r="E743" s="1"/>
      <c r="F743" s="3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</row>
    <row r="744" spans="1:63" ht="12" customHeight="1">
      <c r="A744" s="1"/>
      <c r="B744" s="1"/>
      <c r="C744" s="1"/>
      <c r="D744" s="1"/>
      <c r="E744" s="1"/>
      <c r="F744" s="3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</row>
    <row r="745" spans="1:63" ht="12" customHeight="1">
      <c r="A745" s="1"/>
      <c r="B745" s="1"/>
      <c r="C745" s="1"/>
      <c r="D745" s="1"/>
      <c r="E745" s="1"/>
      <c r="F745" s="3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</row>
    <row r="746" spans="1:63" ht="12" customHeight="1">
      <c r="A746" s="1"/>
      <c r="B746" s="1"/>
      <c r="C746" s="1"/>
      <c r="D746" s="1"/>
      <c r="E746" s="1"/>
      <c r="F746" s="3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</row>
    <row r="747" spans="1:63" ht="12" customHeight="1">
      <c r="A747" s="1"/>
      <c r="B747" s="1"/>
      <c r="C747" s="1"/>
      <c r="D747" s="1"/>
      <c r="E747" s="1"/>
      <c r="F747" s="3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</row>
    <row r="748" spans="1:63" ht="12" customHeight="1">
      <c r="A748" s="1"/>
      <c r="B748" s="1"/>
      <c r="C748" s="1"/>
      <c r="D748" s="1"/>
      <c r="E748" s="1"/>
      <c r="F748" s="3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</row>
    <row r="749" spans="1:63" ht="12" customHeight="1">
      <c r="A749" s="1"/>
      <c r="B749" s="1"/>
      <c r="C749" s="1"/>
      <c r="D749" s="1"/>
      <c r="E749" s="1"/>
      <c r="F749" s="3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</row>
    <row r="750" spans="1:63" ht="12" customHeight="1">
      <c r="A750" s="1"/>
      <c r="B750" s="1"/>
      <c r="C750" s="1"/>
      <c r="D750" s="1"/>
      <c r="E750" s="1"/>
      <c r="F750" s="3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</row>
    <row r="751" spans="1:63" ht="12" customHeight="1">
      <c r="A751" s="1"/>
      <c r="B751" s="1"/>
      <c r="C751" s="1"/>
      <c r="D751" s="1"/>
      <c r="E751" s="1"/>
      <c r="F751" s="3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</row>
    <row r="752" spans="1:63" ht="12" customHeight="1">
      <c r="A752" s="1"/>
      <c r="B752" s="1"/>
      <c r="C752" s="1"/>
      <c r="D752" s="1"/>
      <c r="E752" s="1"/>
      <c r="F752" s="3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</row>
    <row r="753" spans="1:63" ht="12" customHeight="1">
      <c r="A753" s="1"/>
      <c r="B753" s="1"/>
      <c r="C753" s="1"/>
      <c r="D753" s="1"/>
      <c r="E753" s="1"/>
      <c r="F753" s="3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</row>
    <row r="754" spans="1:63" ht="12" customHeight="1">
      <c r="A754" s="1"/>
      <c r="B754" s="1"/>
      <c r="C754" s="1"/>
      <c r="D754" s="1"/>
      <c r="E754" s="1"/>
      <c r="F754" s="3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</row>
    <row r="755" spans="1:63" ht="12" customHeight="1">
      <c r="A755" s="1"/>
      <c r="B755" s="1"/>
      <c r="C755" s="1"/>
      <c r="D755" s="1"/>
      <c r="E755" s="1"/>
      <c r="F755" s="3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</row>
    <row r="756" spans="1:63" ht="12" customHeight="1">
      <c r="A756" s="1"/>
      <c r="B756" s="1"/>
      <c r="C756" s="1"/>
      <c r="D756" s="1"/>
      <c r="E756" s="1"/>
      <c r="F756" s="3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</row>
    <row r="757" spans="1:63" ht="12" customHeight="1">
      <c r="A757" s="1"/>
      <c r="B757" s="1"/>
      <c r="C757" s="1"/>
      <c r="D757" s="1"/>
      <c r="E757" s="1"/>
      <c r="F757" s="3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</row>
    <row r="758" spans="1:63" ht="12" customHeight="1">
      <c r="A758" s="1"/>
      <c r="B758" s="1"/>
      <c r="C758" s="1"/>
      <c r="D758" s="1"/>
      <c r="E758" s="1"/>
      <c r="F758" s="3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</row>
    <row r="759" spans="1:63" ht="12" customHeight="1">
      <c r="A759" s="1"/>
      <c r="B759" s="1"/>
      <c r="C759" s="1"/>
      <c r="D759" s="1"/>
      <c r="E759" s="1"/>
      <c r="F759" s="3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</row>
    <row r="760" spans="1:63" ht="12" customHeight="1">
      <c r="A760" s="1"/>
      <c r="B760" s="1"/>
      <c r="C760" s="1"/>
      <c r="D760" s="1"/>
      <c r="E760" s="1"/>
      <c r="F760" s="3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</row>
    <row r="761" spans="1:63" ht="12" customHeight="1">
      <c r="A761" s="1"/>
      <c r="B761" s="1"/>
      <c r="C761" s="1"/>
      <c r="D761" s="1"/>
      <c r="E761" s="1"/>
      <c r="F761" s="3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</row>
    <row r="762" spans="1:63" ht="12" customHeight="1">
      <c r="A762" s="1"/>
      <c r="B762" s="1"/>
      <c r="C762" s="1"/>
      <c r="D762" s="1"/>
      <c r="E762" s="1"/>
      <c r="F762" s="3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</row>
    <row r="763" spans="1:63" ht="12" customHeight="1">
      <c r="A763" s="1"/>
      <c r="B763" s="1"/>
      <c r="C763" s="1"/>
      <c r="D763" s="1"/>
      <c r="E763" s="1"/>
      <c r="F763" s="3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</row>
    <row r="764" spans="1:63" ht="12" customHeight="1">
      <c r="A764" s="1"/>
      <c r="B764" s="1"/>
      <c r="C764" s="1"/>
      <c r="D764" s="1"/>
      <c r="E764" s="1"/>
      <c r="F764" s="3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</row>
    <row r="765" spans="1:63" ht="12" customHeight="1">
      <c r="A765" s="1"/>
      <c r="B765" s="1"/>
      <c r="C765" s="1"/>
      <c r="D765" s="1"/>
      <c r="E765" s="1"/>
      <c r="F765" s="3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</row>
    <row r="766" spans="1:63" ht="12" customHeight="1">
      <c r="A766" s="1"/>
      <c r="B766" s="1"/>
      <c r="C766" s="1"/>
      <c r="D766" s="1"/>
      <c r="E766" s="1"/>
      <c r="F766" s="3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</row>
    <row r="767" spans="1:63" ht="12" customHeight="1">
      <c r="A767" s="1"/>
      <c r="B767" s="1"/>
      <c r="C767" s="1"/>
      <c r="D767" s="1"/>
      <c r="E767" s="1"/>
      <c r="F767" s="3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</row>
    <row r="768" spans="1:63" ht="12" customHeight="1">
      <c r="A768" s="1"/>
      <c r="B768" s="1"/>
      <c r="C768" s="1"/>
      <c r="D768" s="1"/>
      <c r="E768" s="1"/>
      <c r="F768" s="3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</row>
    <row r="769" spans="1:63" ht="12" customHeight="1">
      <c r="A769" s="1"/>
      <c r="B769" s="1"/>
      <c r="C769" s="1"/>
      <c r="D769" s="1"/>
      <c r="E769" s="1"/>
      <c r="F769" s="3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</row>
    <row r="770" spans="1:63" ht="12" customHeight="1">
      <c r="A770" s="1"/>
      <c r="B770" s="1"/>
      <c r="C770" s="1"/>
      <c r="D770" s="1"/>
      <c r="E770" s="1"/>
      <c r="F770" s="3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</row>
    <row r="771" spans="1:63" ht="12" customHeight="1">
      <c r="A771" s="1"/>
      <c r="B771" s="1"/>
      <c r="C771" s="1"/>
      <c r="D771" s="1"/>
      <c r="E771" s="1"/>
      <c r="F771" s="3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</row>
    <row r="772" spans="1:63" ht="12" customHeight="1">
      <c r="A772" s="1"/>
      <c r="B772" s="1"/>
      <c r="C772" s="1"/>
      <c r="D772" s="1"/>
      <c r="E772" s="1"/>
      <c r="F772" s="3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</row>
    <row r="773" spans="1:63" ht="12" customHeight="1">
      <c r="A773" s="1"/>
      <c r="B773" s="1"/>
      <c r="C773" s="1"/>
      <c r="D773" s="1"/>
      <c r="E773" s="1"/>
      <c r="F773" s="3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</row>
    <row r="774" spans="1:63" ht="12" customHeight="1">
      <c r="A774" s="1"/>
      <c r="B774" s="1"/>
      <c r="C774" s="1"/>
      <c r="D774" s="1"/>
      <c r="E774" s="1"/>
      <c r="F774" s="3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</row>
    <row r="775" spans="1:63" ht="12" customHeight="1">
      <c r="A775" s="1"/>
      <c r="B775" s="1"/>
      <c r="C775" s="1"/>
      <c r="D775" s="1"/>
      <c r="E775" s="1"/>
      <c r="F775" s="3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</row>
    <row r="776" spans="1:63" ht="12" customHeight="1">
      <c r="A776" s="1"/>
      <c r="B776" s="1"/>
      <c r="C776" s="1"/>
      <c r="D776" s="1"/>
      <c r="E776" s="1"/>
      <c r="F776" s="3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</row>
    <row r="777" spans="1:63" ht="12" customHeight="1">
      <c r="A777" s="1"/>
      <c r="B777" s="1"/>
      <c r="C777" s="1"/>
      <c r="D777" s="1"/>
      <c r="E777" s="1"/>
      <c r="F777" s="3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</row>
    <row r="778" spans="1:63" ht="12" customHeight="1">
      <c r="A778" s="1"/>
      <c r="B778" s="1"/>
      <c r="C778" s="1"/>
      <c r="D778" s="1"/>
      <c r="E778" s="1"/>
      <c r="F778" s="3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</row>
    <row r="779" spans="1:63" ht="12" customHeight="1">
      <c r="A779" s="1"/>
      <c r="B779" s="1"/>
      <c r="C779" s="1"/>
      <c r="D779" s="1"/>
      <c r="E779" s="1"/>
      <c r="F779" s="3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</row>
    <row r="780" spans="1:63" ht="12" customHeight="1">
      <c r="A780" s="1"/>
      <c r="B780" s="1"/>
      <c r="C780" s="1"/>
      <c r="D780" s="1"/>
      <c r="E780" s="1"/>
      <c r="F780" s="3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</row>
    <row r="781" spans="1:63" ht="12" customHeight="1">
      <c r="A781" s="1"/>
      <c r="B781" s="1"/>
      <c r="C781" s="1"/>
      <c r="D781" s="1"/>
      <c r="E781" s="1"/>
      <c r="F781" s="3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</row>
    <row r="782" spans="1:63" ht="12" customHeight="1">
      <c r="A782" s="1"/>
      <c r="B782" s="1"/>
      <c r="C782" s="1"/>
      <c r="D782" s="1"/>
      <c r="E782" s="1"/>
      <c r="F782" s="3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</row>
    <row r="783" spans="1:63" ht="12" customHeight="1">
      <c r="A783" s="1"/>
      <c r="B783" s="1"/>
      <c r="C783" s="1"/>
      <c r="D783" s="1"/>
      <c r="E783" s="1"/>
      <c r="F783" s="3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</row>
    <row r="784" spans="1:63" ht="12" customHeight="1">
      <c r="A784" s="1"/>
      <c r="B784" s="1"/>
      <c r="C784" s="1"/>
      <c r="D784" s="1"/>
      <c r="E784" s="1"/>
      <c r="F784" s="3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</row>
    <row r="785" spans="1:63" ht="12" customHeight="1">
      <c r="A785" s="1"/>
      <c r="B785" s="1"/>
      <c r="C785" s="1"/>
      <c r="D785" s="1"/>
      <c r="E785" s="1"/>
      <c r="F785" s="3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</row>
    <row r="786" spans="1:63" ht="12" customHeight="1">
      <c r="A786" s="1"/>
      <c r="B786" s="1"/>
      <c r="C786" s="1"/>
      <c r="D786" s="1"/>
      <c r="E786" s="1"/>
      <c r="F786" s="3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</row>
    <row r="787" spans="1:63" ht="12" customHeight="1">
      <c r="A787" s="1"/>
      <c r="B787" s="1"/>
      <c r="C787" s="1"/>
      <c r="D787" s="1"/>
      <c r="E787" s="1"/>
      <c r="F787" s="3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</row>
    <row r="788" spans="1:63" ht="12" customHeight="1">
      <c r="A788" s="1"/>
      <c r="B788" s="1"/>
      <c r="C788" s="1"/>
      <c r="D788" s="1"/>
      <c r="E788" s="1"/>
      <c r="F788" s="3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</row>
    <row r="789" spans="1:63" ht="12" customHeight="1">
      <c r="A789" s="1"/>
      <c r="B789" s="1"/>
      <c r="C789" s="1"/>
      <c r="D789" s="1"/>
      <c r="E789" s="1"/>
      <c r="F789" s="3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</row>
    <row r="790" spans="1:63" ht="12" customHeight="1">
      <c r="A790" s="1"/>
      <c r="B790" s="1"/>
      <c r="C790" s="1"/>
      <c r="D790" s="1"/>
      <c r="E790" s="1"/>
      <c r="F790" s="3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</row>
    <row r="791" spans="1:63" ht="12" customHeight="1">
      <c r="A791" s="1"/>
      <c r="B791" s="1"/>
      <c r="C791" s="1"/>
      <c r="D791" s="1"/>
      <c r="E791" s="1"/>
      <c r="F791" s="3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</row>
    <row r="792" spans="1:63" ht="12" customHeight="1">
      <c r="A792" s="1"/>
      <c r="B792" s="1"/>
      <c r="C792" s="1"/>
      <c r="D792" s="1"/>
      <c r="E792" s="1"/>
      <c r="F792" s="3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</row>
    <row r="793" spans="1:63" ht="12" customHeight="1">
      <c r="A793" s="1"/>
      <c r="B793" s="1"/>
      <c r="C793" s="1"/>
      <c r="D793" s="1"/>
      <c r="E793" s="1"/>
      <c r="F793" s="3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</row>
    <row r="794" spans="1:63" ht="12" customHeight="1">
      <c r="A794" s="1"/>
      <c r="B794" s="1"/>
      <c r="C794" s="1"/>
      <c r="D794" s="1"/>
      <c r="E794" s="1"/>
      <c r="F794" s="3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</row>
    <row r="795" spans="1:63" ht="12" customHeight="1">
      <c r="A795" s="1"/>
      <c r="B795" s="1"/>
      <c r="C795" s="1"/>
      <c r="D795" s="1"/>
      <c r="E795" s="1"/>
      <c r="F795" s="3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</row>
    <row r="796" spans="1:63" ht="12" customHeight="1">
      <c r="A796" s="1"/>
      <c r="B796" s="1"/>
      <c r="C796" s="1"/>
      <c r="D796" s="1"/>
      <c r="E796" s="1"/>
      <c r="F796" s="3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</row>
    <row r="797" spans="1:63" ht="12" customHeight="1">
      <c r="A797" s="1"/>
      <c r="B797" s="1"/>
      <c r="C797" s="1"/>
      <c r="D797" s="1"/>
      <c r="E797" s="1"/>
      <c r="F797" s="3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</row>
    <row r="798" spans="1:63" ht="12" customHeight="1">
      <c r="A798" s="1"/>
      <c r="B798" s="1"/>
      <c r="C798" s="1"/>
      <c r="D798" s="1"/>
      <c r="E798" s="1"/>
      <c r="F798" s="3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</row>
    <row r="799" spans="1:63" ht="12" customHeight="1">
      <c r="A799" s="1"/>
      <c r="B799" s="1"/>
      <c r="C799" s="1"/>
      <c r="D799" s="1"/>
      <c r="E799" s="1"/>
      <c r="F799" s="3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</row>
    <row r="800" spans="1:63" ht="12" customHeight="1">
      <c r="A800" s="1"/>
      <c r="B800" s="1"/>
      <c r="C800" s="1"/>
      <c r="D800" s="1"/>
      <c r="E800" s="1"/>
      <c r="F800" s="3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</row>
    <row r="801" spans="1:63" ht="12" customHeight="1">
      <c r="A801" s="1"/>
      <c r="B801" s="1"/>
      <c r="C801" s="1"/>
      <c r="D801" s="1"/>
      <c r="E801" s="1"/>
      <c r="F801" s="3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</row>
    <row r="802" spans="1:63" ht="12" customHeight="1">
      <c r="A802" s="1"/>
      <c r="B802" s="1"/>
      <c r="C802" s="1"/>
      <c r="D802" s="1"/>
      <c r="E802" s="1"/>
      <c r="F802" s="3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</row>
    <row r="803" spans="1:63" ht="12" customHeight="1">
      <c r="A803" s="1"/>
      <c r="B803" s="1"/>
      <c r="C803" s="1"/>
      <c r="D803" s="1"/>
      <c r="E803" s="1"/>
      <c r="F803" s="3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</row>
    <row r="804" spans="1:63" ht="12" customHeight="1">
      <c r="A804" s="1"/>
      <c r="B804" s="1"/>
      <c r="C804" s="1"/>
      <c r="D804" s="1"/>
      <c r="E804" s="1"/>
      <c r="F804" s="3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</row>
    <row r="805" spans="1:63" ht="12" customHeight="1">
      <c r="A805" s="1"/>
      <c r="B805" s="1"/>
      <c r="C805" s="1"/>
      <c r="D805" s="1"/>
      <c r="E805" s="1"/>
      <c r="F805" s="3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</row>
    <row r="806" spans="1:63" ht="12" customHeight="1">
      <c r="A806" s="1"/>
      <c r="B806" s="1"/>
      <c r="C806" s="1"/>
      <c r="D806" s="1"/>
      <c r="E806" s="1"/>
      <c r="F806" s="3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</row>
    <row r="807" spans="1:63" ht="12" customHeight="1">
      <c r="A807" s="1"/>
      <c r="B807" s="1"/>
      <c r="C807" s="1"/>
      <c r="D807" s="1"/>
      <c r="E807" s="1"/>
      <c r="F807" s="3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</row>
    <row r="808" spans="1:63" ht="12" customHeight="1">
      <c r="A808" s="1"/>
      <c r="B808" s="1"/>
      <c r="C808" s="1"/>
      <c r="D808" s="1"/>
      <c r="E808" s="1"/>
      <c r="F808" s="3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</row>
    <row r="809" spans="1:63" ht="12" customHeight="1">
      <c r="A809" s="1"/>
      <c r="B809" s="1"/>
      <c r="C809" s="1"/>
      <c r="D809" s="1"/>
      <c r="E809" s="1"/>
      <c r="F809" s="3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</row>
    <row r="810" spans="1:63" ht="12" customHeight="1">
      <c r="A810" s="1"/>
      <c r="B810" s="1"/>
      <c r="C810" s="1"/>
      <c r="D810" s="1"/>
      <c r="E810" s="1"/>
      <c r="F810" s="3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</row>
    <row r="811" spans="1:63" ht="12" customHeight="1">
      <c r="A811" s="1"/>
      <c r="B811" s="1"/>
      <c r="C811" s="1"/>
      <c r="D811" s="1"/>
      <c r="E811" s="1"/>
      <c r="F811" s="3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</row>
    <row r="812" spans="1:63" ht="12" customHeight="1">
      <c r="A812" s="1"/>
      <c r="B812" s="1"/>
      <c r="C812" s="1"/>
      <c r="D812" s="1"/>
      <c r="E812" s="1"/>
      <c r="F812" s="3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</row>
    <row r="813" spans="1:63" ht="12" customHeight="1">
      <c r="A813" s="1"/>
      <c r="B813" s="1"/>
      <c r="C813" s="1"/>
      <c r="D813" s="1"/>
      <c r="E813" s="1"/>
      <c r="F813" s="3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</row>
    <row r="814" spans="1:63" ht="12" customHeight="1">
      <c r="A814" s="1"/>
      <c r="B814" s="1"/>
      <c r="C814" s="1"/>
      <c r="D814" s="1"/>
      <c r="E814" s="1"/>
      <c r="F814" s="3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</row>
    <row r="815" spans="1:63" ht="12" customHeight="1">
      <c r="A815" s="1"/>
      <c r="B815" s="1"/>
      <c r="C815" s="1"/>
      <c r="D815" s="1"/>
      <c r="E815" s="1"/>
      <c r="F815" s="3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</row>
    <row r="816" spans="1:63" ht="12" customHeight="1">
      <c r="A816" s="1"/>
      <c r="B816" s="1"/>
      <c r="C816" s="1"/>
      <c r="D816" s="1"/>
      <c r="E816" s="1"/>
      <c r="F816" s="3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</row>
    <row r="817" spans="1:63" ht="12" customHeight="1">
      <c r="A817" s="1"/>
      <c r="B817" s="1"/>
      <c r="C817" s="1"/>
      <c r="D817" s="1"/>
      <c r="E817" s="1"/>
      <c r="F817" s="3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</row>
    <row r="818" spans="1:63" ht="12" customHeight="1">
      <c r="A818" s="1"/>
      <c r="B818" s="1"/>
      <c r="C818" s="1"/>
      <c r="D818" s="1"/>
      <c r="E818" s="1"/>
      <c r="F818" s="3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</row>
    <row r="819" spans="1:63" ht="12" customHeight="1">
      <c r="A819" s="1"/>
      <c r="B819" s="1"/>
      <c r="C819" s="1"/>
      <c r="D819" s="1"/>
      <c r="E819" s="1"/>
      <c r="F819" s="3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</row>
    <row r="820" spans="1:63" ht="12" customHeight="1">
      <c r="A820" s="1"/>
      <c r="B820" s="1"/>
      <c r="C820" s="1"/>
      <c r="D820" s="1"/>
      <c r="E820" s="1"/>
      <c r="F820" s="3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</row>
    <row r="821" spans="1:63" ht="12" customHeight="1">
      <c r="A821" s="1"/>
      <c r="B821" s="1"/>
      <c r="C821" s="1"/>
      <c r="D821" s="1"/>
      <c r="E821" s="1"/>
      <c r="F821" s="3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</row>
    <row r="822" spans="1:63" ht="12" customHeight="1">
      <c r="A822" s="1"/>
      <c r="B822" s="1"/>
      <c r="C822" s="1"/>
      <c r="D822" s="1"/>
      <c r="E822" s="1"/>
      <c r="F822" s="3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</row>
    <row r="823" spans="1:63" ht="12" customHeight="1">
      <c r="A823" s="1"/>
      <c r="B823" s="1"/>
      <c r="C823" s="1"/>
      <c r="D823" s="1"/>
      <c r="E823" s="1"/>
      <c r="F823" s="3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</row>
    <row r="824" spans="1:63" ht="12" customHeight="1">
      <c r="A824" s="1"/>
      <c r="B824" s="1"/>
      <c r="C824" s="1"/>
      <c r="D824" s="1"/>
      <c r="E824" s="1"/>
      <c r="F824" s="3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</row>
    <row r="825" spans="1:63" ht="12" customHeight="1">
      <c r="A825" s="1"/>
      <c r="B825" s="1"/>
      <c r="C825" s="1"/>
      <c r="D825" s="1"/>
      <c r="E825" s="1"/>
      <c r="F825" s="3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</row>
    <row r="826" spans="1:63" ht="12" customHeight="1">
      <c r="A826" s="1"/>
      <c r="B826" s="1"/>
      <c r="C826" s="1"/>
      <c r="D826" s="1"/>
      <c r="E826" s="1"/>
      <c r="F826" s="3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</row>
    <row r="827" spans="1:63" ht="12" customHeight="1">
      <c r="A827" s="1"/>
      <c r="B827" s="1"/>
      <c r="C827" s="1"/>
      <c r="D827" s="1"/>
      <c r="E827" s="1"/>
      <c r="F827" s="3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</row>
    <row r="828" spans="1:63" ht="12" customHeight="1">
      <c r="A828" s="1"/>
      <c r="B828" s="1"/>
      <c r="C828" s="1"/>
      <c r="D828" s="1"/>
      <c r="E828" s="1"/>
      <c r="F828" s="3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</row>
    <row r="829" spans="1:63" ht="12" customHeight="1">
      <c r="A829" s="1"/>
      <c r="B829" s="1"/>
      <c r="C829" s="1"/>
      <c r="D829" s="1"/>
      <c r="E829" s="1"/>
      <c r="F829" s="3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</row>
    <row r="830" spans="1:63" ht="12" customHeight="1">
      <c r="A830" s="1"/>
      <c r="B830" s="1"/>
      <c r="C830" s="1"/>
      <c r="D830" s="1"/>
      <c r="E830" s="1"/>
      <c r="F830" s="3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</row>
    <row r="831" spans="1:63" ht="12" customHeight="1">
      <c r="A831" s="1"/>
      <c r="B831" s="1"/>
      <c r="C831" s="1"/>
      <c r="D831" s="1"/>
      <c r="E831" s="1"/>
      <c r="F831" s="3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</row>
    <row r="832" spans="1:63" ht="12" customHeight="1">
      <c r="A832" s="1"/>
      <c r="B832" s="1"/>
      <c r="C832" s="1"/>
      <c r="D832" s="1"/>
      <c r="E832" s="1"/>
      <c r="F832" s="3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</row>
    <row r="833" spans="1:63" ht="12" customHeight="1">
      <c r="A833" s="1"/>
      <c r="B833" s="1"/>
      <c r="C833" s="1"/>
      <c r="D833" s="1"/>
      <c r="E833" s="1"/>
      <c r="F833" s="3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</row>
    <row r="834" spans="1:63" ht="12" customHeight="1">
      <c r="A834" s="1"/>
      <c r="B834" s="1"/>
      <c r="C834" s="1"/>
      <c r="D834" s="1"/>
      <c r="E834" s="1"/>
      <c r="F834" s="3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</row>
    <row r="835" spans="1:63" ht="12" customHeight="1">
      <c r="A835" s="1"/>
      <c r="B835" s="1"/>
      <c r="C835" s="1"/>
      <c r="D835" s="1"/>
      <c r="E835" s="1"/>
      <c r="F835" s="3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</row>
    <row r="836" spans="1:63" ht="12" customHeight="1">
      <c r="A836" s="1"/>
      <c r="B836" s="1"/>
      <c r="C836" s="1"/>
      <c r="D836" s="1"/>
      <c r="E836" s="1"/>
      <c r="F836" s="3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</row>
    <row r="837" spans="1:63" ht="12" customHeight="1">
      <c r="A837" s="1"/>
      <c r="B837" s="1"/>
      <c r="C837" s="1"/>
      <c r="D837" s="1"/>
      <c r="E837" s="1"/>
      <c r="F837" s="3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</row>
    <row r="838" spans="1:63" ht="12" customHeight="1">
      <c r="A838" s="1"/>
      <c r="B838" s="1"/>
      <c r="C838" s="1"/>
      <c r="D838" s="1"/>
      <c r="E838" s="1"/>
      <c r="F838" s="3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</row>
    <row r="839" spans="1:63" ht="12" customHeight="1">
      <c r="A839" s="1"/>
      <c r="B839" s="1"/>
      <c r="C839" s="1"/>
      <c r="D839" s="1"/>
      <c r="E839" s="1"/>
      <c r="F839" s="3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</row>
    <row r="840" spans="1:63" ht="12" customHeight="1">
      <c r="A840" s="1"/>
      <c r="B840" s="1"/>
      <c r="C840" s="1"/>
      <c r="D840" s="1"/>
      <c r="E840" s="1"/>
      <c r="F840" s="3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</row>
    <row r="841" spans="1:63" ht="12" customHeight="1">
      <c r="A841" s="1"/>
      <c r="B841" s="1"/>
      <c r="C841" s="1"/>
      <c r="D841" s="1"/>
      <c r="E841" s="1"/>
      <c r="F841" s="3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</row>
    <row r="842" spans="1:63" ht="12" customHeight="1">
      <c r="A842" s="1"/>
      <c r="B842" s="1"/>
      <c r="C842" s="1"/>
      <c r="D842" s="1"/>
      <c r="E842" s="1"/>
      <c r="F842" s="3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</row>
    <row r="843" spans="1:63" ht="12" customHeight="1">
      <c r="A843" s="1"/>
      <c r="B843" s="1"/>
      <c r="C843" s="1"/>
      <c r="D843" s="1"/>
      <c r="E843" s="1"/>
      <c r="F843" s="3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</row>
    <row r="844" spans="1:63" ht="12" customHeight="1">
      <c r="A844" s="1"/>
      <c r="B844" s="1"/>
      <c r="C844" s="1"/>
      <c r="D844" s="1"/>
      <c r="E844" s="1"/>
      <c r="F844" s="3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</row>
    <row r="845" spans="1:63" ht="12" customHeight="1">
      <c r="A845" s="1"/>
      <c r="B845" s="1"/>
      <c r="C845" s="1"/>
      <c r="D845" s="1"/>
      <c r="E845" s="1"/>
      <c r="F845" s="3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</row>
    <row r="846" spans="1:63" ht="12" customHeight="1">
      <c r="A846" s="1"/>
      <c r="B846" s="1"/>
      <c r="C846" s="1"/>
      <c r="D846" s="1"/>
      <c r="E846" s="1"/>
      <c r="F846" s="3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</row>
    <row r="847" spans="1:63" ht="12" customHeight="1">
      <c r="A847" s="1"/>
      <c r="B847" s="1"/>
      <c r="C847" s="1"/>
      <c r="D847" s="1"/>
      <c r="E847" s="1"/>
      <c r="F847" s="3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</row>
    <row r="848" spans="1:63" ht="12" customHeight="1">
      <c r="A848" s="1"/>
      <c r="B848" s="1"/>
      <c r="C848" s="1"/>
      <c r="D848" s="1"/>
      <c r="E848" s="1"/>
      <c r="F848" s="3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</row>
    <row r="849" spans="1:63" ht="12" customHeight="1">
      <c r="A849" s="1"/>
      <c r="B849" s="1"/>
      <c r="C849" s="1"/>
      <c r="D849" s="1"/>
      <c r="E849" s="1"/>
      <c r="F849" s="3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</row>
    <row r="850" spans="1:63" ht="12" customHeight="1">
      <c r="A850" s="1"/>
      <c r="B850" s="1"/>
      <c r="C850" s="1"/>
      <c r="D850" s="1"/>
      <c r="E850" s="1"/>
      <c r="F850" s="3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</row>
    <row r="851" spans="1:63" ht="12" customHeight="1">
      <c r="A851" s="1"/>
      <c r="B851" s="1"/>
      <c r="C851" s="1"/>
      <c r="D851" s="1"/>
      <c r="E851" s="1"/>
      <c r="F851" s="3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</row>
    <row r="852" spans="1:63" ht="12" customHeight="1">
      <c r="A852" s="1"/>
      <c r="B852" s="1"/>
      <c r="C852" s="1"/>
      <c r="D852" s="1"/>
      <c r="E852" s="1"/>
      <c r="F852" s="3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</row>
    <row r="853" spans="1:63" ht="12" customHeight="1">
      <c r="A853" s="1"/>
      <c r="B853" s="1"/>
      <c r="C853" s="1"/>
      <c r="D853" s="1"/>
      <c r="E853" s="1"/>
      <c r="F853" s="3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</row>
    <row r="854" spans="1:63" ht="12" customHeight="1">
      <c r="A854" s="1"/>
      <c r="B854" s="1"/>
      <c r="C854" s="1"/>
      <c r="D854" s="1"/>
      <c r="E854" s="1"/>
      <c r="F854" s="3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</row>
    <row r="855" spans="1:63" ht="12" customHeight="1">
      <c r="A855" s="1"/>
      <c r="B855" s="1"/>
      <c r="C855" s="1"/>
      <c r="D855" s="1"/>
      <c r="E855" s="1"/>
      <c r="F855" s="3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</row>
    <row r="856" spans="1:63" ht="12" customHeight="1">
      <c r="A856" s="1"/>
      <c r="B856" s="1"/>
      <c r="C856" s="1"/>
      <c r="D856" s="1"/>
      <c r="E856" s="1"/>
      <c r="F856" s="3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</row>
    <row r="857" spans="1:63" ht="12" customHeight="1">
      <c r="A857" s="1"/>
      <c r="B857" s="1"/>
      <c r="C857" s="1"/>
      <c r="D857" s="1"/>
      <c r="E857" s="1"/>
      <c r="F857" s="3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</row>
    <row r="858" spans="1:63" ht="12" customHeight="1">
      <c r="A858" s="1"/>
      <c r="B858" s="1"/>
      <c r="C858" s="1"/>
      <c r="D858" s="1"/>
      <c r="E858" s="1"/>
      <c r="F858" s="3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</row>
    <row r="859" spans="1:63" ht="12" customHeight="1">
      <c r="A859" s="1"/>
      <c r="B859" s="1"/>
      <c r="C859" s="1"/>
      <c r="D859" s="1"/>
      <c r="E859" s="1"/>
      <c r="F859" s="3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</row>
    <row r="860" spans="1:63" ht="12" customHeight="1">
      <c r="A860" s="1"/>
      <c r="B860" s="1"/>
      <c r="C860" s="1"/>
      <c r="D860" s="1"/>
      <c r="E860" s="1"/>
      <c r="F860" s="3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</row>
    <row r="861" spans="1:63" ht="12" customHeight="1">
      <c r="A861" s="1"/>
      <c r="B861" s="1"/>
      <c r="C861" s="1"/>
      <c r="D861" s="1"/>
      <c r="E861" s="1"/>
      <c r="F861" s="3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</row>
    <row r="862" spans="1:63" ht="12" customHeight="1">
      <c r="A862" s="1"/>
      <c r="B862" s="1"/>
      <c r="C862" s="1"/>
      <c r="D862" s="1"/>
      <c r="E862" s="1"/>
      <c r="F862" s="3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</row>
    <row r="863" spans="1:63" ht="12" customHeight="1">
      <c r="A863" s="1"/>
      <c r="B863" s="1"/>
      <c r="C863" s="1"/>
      <c r="D863" s="1"/>
      <c r="E863" s="1"/>
      <c r="F863" s="3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</row>
    <row r="864" spans="1:63" ht="12" customHeight="1">
      <c r="A864" s="1"/>
      <c r="B864" s="1"/>
      <c r="C864" s="1"/>
      <c r="D864" s="1"/>
      <c r="E864" s="1"/>
      <c r="F864" s="3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</row>
    <row r="865" spans="1:63" ht="12" customHeight="1">
      <c r="A865" s="1"/>
      <c r="B865" s="1"/>
      <c r="C865" s="1"/>
      <c r="D865" s="1"/>
      <c r="E865" s="1"/>
      <c r="F865" s="3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</row>
    <row r="866" spans="1:63" ht="12" customHeight="1">
      <c r="A866" s="1"/>
      <c r="B866" s="1"/>
      <c r="C866" s="1"/>
      <c r="D866" s="1"/>
      <c r="E866" s="1"/>
      <c r="F866" s="3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</row>
    <row r="867" spans="1:63" ht="12" customHeight="1">
      <c r="A867" s="1"/>
      <c r="B867" s="1"/>
      <c r="C867" s="1"/>
      <c r="D867" s="1"/>
      <c r="E867" s="1"/>
      <c r="F867" s="3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</row>
    <row r="868" spans="1:63" ht="12" customHeight="1">
      <c r="A868" s="1"/>
      <c r="B868" s="1"/>
      <c r="C868" s="1"/>
      <c r="D868" s="1"/>
      <c r="E868" s="1"/>
      <c r="F868" s="3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</row>
    <row r="869" spans="1:63" ht="12" customHeight="1">
      <c r="A869" s="1"/>
      <c r="B869" s="1"/>
      <c r="C869" s="1"/>
      <c r="D869" s="1"/>
      <c r="E869" s="1"/>
      <c r="F869" s="3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</row>
    <row r="870" spans="1:63" ht="12" customHeight="1">
      <c r="A870" s="1"/>
      <c r="B870" s="1"/>
      <c r="C870" s="1"/>
      <c r="D870" s="1"/>
      <c r="E870" s="1"/>
      <c r="F870" s="3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</row>
    <row r="871" spans="1:63" ht="12" customHeight="1">
      <c r="A871" s="1"/>
      <c r="B871" s="1"/>
      <c r="C871" s="1"/>
      <c r="D871" s="1"/>
      <c r="E871" s="1"/>
      <c r="F871" s="3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</row>
    <row r="872" spans="1:63" ht="12" customHeight="1">
      <c r="A872" s="1"/>
      <c r="B872" s="1"/>
      <c r="C872" s="1"/>
      <c r="D872" s="1"/>
      <c r="E872" s="1"/>
      <c r="F872" s="3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</row>
    <row r="873" spans="1:63" ht="12" customHeight="1">
      <c r="A873" s="1"/>
      <c r="B873" s="1"/>
      <c r="C873" s="1"/>
      <c r="D873" s="1"/>
      <c r="E873" s="1"/>
      <c r="F873" s="3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</row>
    <row r="874" spans="1:63" ht="12" customHeight="1">
      <c r="A874" s="1"/>
      <c r="B874" s="1"/>
      <c r="C874" s="1"/>
      <c r="D874" s="1"/>
      <c r="E874" s="1"/>
      <c r="F874" s="3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</row>
    <row r="875" spans="1:63" ht="12" customHeight="1">
      <c r="A875" s="1"/>
      <c r="B875" s="1"/>
      <c r="C875" s="1"/>
      <c r="D875" s="1"/>
      <c r="E875" s="1"/>
      <c r="F875" s="3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</row>
    <row r="876" spans="1:63" ht="12" customHeight="1">
      <c r="A876" s="1"/>
      <c r="B876" s="1"/>
      <c r="C876" s="1"/>
      <c r="D876" s="1"/>
      <c r="E876" s="1"/>
      <c r="F876" s="3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</row>
    <row r="877" spans="1:63" ht="12" customHeight="1">
      <c r="A877" s="1"/>
      <c r="B877" s="1"/>
      <c r="C877" s="1"/>
      <c r="D877" s="1"/>
      <c r="E877" s="1"/>
      <c r="F877" s="3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</row>
    <row r="878" spans="1:63" ht="12" customHeight="1">
      <c r="A878" s="1"/>
      <c r="B878" s="1"/>
      <c r="C878" s="1"/>
      <c r="D878" s="1"/>
      <c r="E878" s="1"/>
      <c r="F878" s="3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</row>
    <row r="879" spans="1:63" ht="12" customHeight="1">
      <c r="A879" s="1"/>
      <c r="B879" s="1"/>
      <c r="C879" s="1"/>
      <c r="D879" s="1"/>
      <c r="E879" s="1"/>
      <c r="F879" s="3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</row>
    <row r="880" spans="1:63" ht="12" customHeight="1">
      <c r="A880" s="1"/>
      <c r="B880" s="1"/>
      <c r="C880" s="1"/>
      <c r="D880" s="1"/>
      <c r="E880" s="1"/>
      <c r="F880" s="3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</row>
    <row r="881" spans="1:63" ht="12" customHeight="1">
      <c r="A881" s="1"/>
      <c r="B881" s="1"/>
      <c r="C881" s="1"/>
      <c r="D881" s="1"/>
      <c r="E881" s="1"/>
      <c r="F881" s="3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</row>
    <row r="882" spans="1:63" ht="12" customHeight="1">
      <c r="A882" s="1"/>
      <c r="B882" s="1"/>
      <c r="C882" s="1"/>
      <c r="D882" s="1"/>
      <c r="E882" s="1"/>
      <c r="F882" s="3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</row>
    <row r="883" spans="1:63" ht="12" customHeight="1">
      <c r="A883" s="1"/>
      <c r="B883" s="1"/>
      <c r="C883" s="1"/>
      <c r="D883" s="1"/>
      <c r="E883" s="1"/>
      <c r="F883" s="3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</row>
    <row r="884" spans="1:63" ht="12" customHeight="1">
      <c r="A884" s="1"/>
      <c r="B884" s="1"/>
      <c r="C884" s="1"/>
      <c r="D884" s="1"/>
      <c r="E884" s="1"/>
      <c r="F884" s="3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</row>
    <row r="885" spans="1:63" ht="12" customHeight="1">
      <c r="A885" s="1"/>
      <c r="B885" s="1"/>
      <c r="C885" s="1"/>
      <c r="D885" s="1"/>
      <c r="E885" s="1"/>
      <c r="F885" s="3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</row>
    <row r="886" spans="1:63" ht="12" customHeight="1">
      <c r="A886" s="1"/>
      <c r="B886" s="1"/>
      <c r="C886" s="1"/>
      <c r="D886" s="1"/>
      <c r="E886" s="1"/>
      <c r="F886" s="3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</row>
    <row r="887" spans="1:63" ht="12" customHeight="1">
      <c r="A887" s="1"/>
      <c r="B887" s="1"/>
      <c r="C887" s="1"/>
      <c r="D887" s="1"/>
      <c r="E887" s="1"/>
      <c r="F887" s="3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</row>
    <row r="888" spans="1:63" ht="12" customHeight="1">
      <c r="A888" s="1"/>
      <c r="B888" s="1"/>
      <c r="C888" s="1"/>
      <c r="D888" s="1"/>
      <c r="E888" s="1"/>
      <c r="F888" s="3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</row>
    <row r="889" spans="1:63" ht="12" customHeight="1">
      <c r="A889" s="1"/>
      <c r="B889" s="1"/>
      <c r="C889" s="1"/>
      <c r="D889" s="1"/>
      <c r="E889" s="1"/>
      <c r="F889" s="3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</row>
    <row r="890" spans="1:63" ht="12" customHeight="1">
      <c r="A890" s="1"/>
      <c r="B890" s="1"/>
      <c r="C890" s="1"/>
      <c r="D890" s="1"/>
      <c r="E890" s="1"/>
      <c r="F890" s="3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</row>
    <row r="891" spans="1:63" ht="12" customHeight="1">
      <c r="A891" s="1"/>
      <c r="B891" s="1"/>
      <c r="C891" s="1"/>
      <c r="D891" s="1"/>
      <c r="E891" s="1"/>
      <c r="F891" s="3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</row>
    <row r="892" spans="1:63" ht="12" customHeight="1">
      <c r="A892" s="1"/>
      <c r="B892" s="1"/>
      <c r="C892" s="1"/>
      <c r="D892" s="1"/>
      <c r="E892" s="1"/>
      <c r="F892" s="3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</row>
    <row r="893" spans="1:63" ht="12" customHeight="1">
      <c r="A893" s="1"/>
      <c r="B893" s="1"/>
      <c r="C893" s="1"/>
      <c r="D893" s="1"/>
      <c r="E893" s="1"/>
      <c r="F893" s="3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</row>
    <row r="894" spans="1:63" ht="12" customHeight="1">
      <c r="A894" s="1"/>
      <c r="B894" s="1"/>
      <c r="C894" s="1"/>
      <c r="D894" s="1"/>
      <c r="E894" s="1"/>
      <c r="F894" s="3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</row>
    <row r="895" spans="1:63" ht="12" customHeight="1">
      <c r="A895" s="1"/>
      <c r="B895" s="1"/>
      <c r="C895" s="1"/>
      <c r="D895" s="1"/>
      <c r="E895" s="1"/>
      <c r="F895" s="3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</row>
    <row r="896" spans="1:63" ht="12" customHeight="1">
      <c r="A896" s="1"/>
      <c r="B896" s="1"/>
      <c r="C896" s="1"/>
      <c r="D896" s="1"/>
      <c r="E896" s="1"/>
      <c r="F896" s="3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</row>
    <row r="897" spans="1:63" ht="12" customHeight="1">
      <c r="A897" s="1"/>
      <c r="B897" s="1"/>
      <c r="C897" s="1"/>
      <c r="D897" s="1"/>
      <c r="E897" s="1"/>
      <c r="F897" s="3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</row>
    <row r="898" spans="1:63" ht="12" customHeight="1">
      <c r="A898" s="1"/>
      <c r="B898" s="1"/>
      <c r="C898" s="1"/>
      <c r="D898" s="1"/>
      <c r="E898" s="1"/>
      <c r="F898" s="3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</row>
    <row r="899" spans="1:63" ht="12" customHeight="1">
      <c r="A899" s="1"/>
      <c r="B899" s="1"/>
      <c r="C899" s="1"/>
      <c r="D899" s="1"/>
      <c r="E899" s="1"/>
      <c r="F899" s="3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</row>
    <row r="900" spans="1:63" ht="12" customHeight="1">
      <c r="A900" s="1"/>
      <c r="B900" s="1"/>
      <c r="C900" s="1"/>
      <c r="D900" s="1"/>
      <c r="E900" s="1"/>
      <c r="F900" s="3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</row>
    <row r="901" spans="1:63" ht="12" customHeight="1">
      <c r="A901" s="1"/>
      <c r="B901" s="1"/>
      <c r="C901" s="1"/>
      <c r="D901" s="1"/>
      <c r="E901" s="1"/>
      <c r="F901" s="3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</row>
    <row r="902" spans="1:63" ht="12" customHeight="1">
      <c r="A902" s="1"/>
      <c r="B902" s="1"/>
      <c r="C902" s="1"/>
      <c r="D902" s="1"/>
      <c r="E902" s="1"/>
      <c r="F902" s="3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</row>
    <row r="903" spans="1:63" ht="12" customHeight="1">
      <c r="A903" s="1"/>
      <c r="B903" s="1"/>
      <c r="C903" s="1"/>
      <c r="D903" s="1"/>
      <c r="E903" s="1"/>
      <c r="F903" s="3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</row>
    <row r="904" spans="1:63" ht="12" customHeight="1">
      <c r="A904" s="1"/>
      <c r="B904" s="1"/>
      <c r="C904" s="1"/>
      <c r="D904" s="1"/>
      <c r="E904" s="1"/>
      <c r="F904" s="3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</row>
    <row r="905" spans="1:63" ht="12" customHeight="1">
      <c r="A905" s="1"/>
      <c r="B905" s="1"/>
      <c r="C905" s="1"/>
      <c r="D905" s="1"/>
      <c r="E905" s="1"/>
      <c r="F905" s="3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</row>
    <row r="906" spans="1:63" ht="12" customHeight="1">
      <c r="A906" s="1"/>
      <c r="B906" s="1"/>
      <c r="C906" s="1"/>
      <c r="D906" s="1"/>
      <c r="E906" s="1"/>
      <c r="F906" s="3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</row>
    <row r="907" spans="1:63" ht="12" customHeight="1">
      <c r="A907" s="1"/>
      <c r="B907" s="1"/>
      <c r="C907" s="1"/>
      <c r="D907" s="1"/>
      <c r="E907" s="1"/>
      <c r="F907" s="3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</row>
    <row r="908" spans="1:63" ht="12" customHeight="1">
      <c r="A908" s="1"/>
      <c r="B908" s="1"/>
      <c r="C908" s="1"/>
      <c r="D908" s="1"/>
      <c r="E908" s="1"/>
      <c r="F908" s="3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</row>
    <row r="909" spans="1:63" ht="12" customHeight="1">
      <c r="A909" s="1"/>
      <c r="B909" s="1"/>
      <c r="C909" s="1"/>
      <c r="D909" s="1"/>
      <c r="E909" s="1"/>
      <c r="F909" s="3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</row>
    <row r="910" spans="1:63" ht="12" customHeight="1">
      <c r="A910" s="1"/>
      <c r="B910" s="1"/>
      <c r="C910" s="1"/>
      <c r="D910" s="1"/>
      <c r="E910" s="1"/>
      <c r="F910" s="3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</row>
    <row r="911" spans="1:63" ht="12" customHeight="1">
      <c r="A911" s="1"/>
      <c r="B911" s="1"/>
      <c r="C911" s="1"/>
      <c r="D911" s="1"/>
      <c r="E911" s="1"/>
      <c r="F911" s="3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</row>
    <row r="912" spans="1:63" ht="12" customHeight="1">
      <c r="A912" s="1"/>
      <c r="B912" s="1"/>
      <c r="C912" s="1"/>
      <c r="D912" s="1"/>
      <c r="E912" s="1"/>
      <c r="F912" s="3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</row>
    <row r="913" spans="1:63" ht="12" customHeight="1">
      <c r="A913" s="1"/>
      <c r="B913" s="1"/>
      <c r="C913" s="1"/>
      <c r="D913" s="1"/>
      <c r="E913" s="1"/>
      <c r="F913" s="3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</row>
    <row r="914" spans="1:63" ht="12" customHeight="1">
      <c r="A914" s="1"/>
      <c r="B914" s="1"/>
      <c r="C914" s="1"/>
      <c r="D914" s="1"/>
      <c r="E914" s="1"/>
      <c r="F914" s="3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</row>
    <row r="915" spans="1:63" ht="12" customHeight="1">
      <c r="A915" s="1"/>
      <c r="B915" s="1"/>
      <c r="C915" s="1"/>
      <c r="D915" s="1"/>
      <c r="E915" s="1"/>
      <c r="F915" s="3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</row>
    <row r="916" spans="1:63" ht="12" customHeight="1">
      <c r="A916" s="1"/>
      <c r="B916" s="1"/>
      <c r="C916" s="1"/>
      <c r="D916" s="1"/>
      <c r="E916" s="1"/>
      <c r="F916" s="3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</row>
    <row r="917" spans="1:63" ht="12" customHeight="1">
      <c r="A917" s="1"/>
      <c r="B917" s="1"/>
      <c r="C917" s="1"/>
      <c r="D917" s="1"/>
      <c r="E917" s="1"/>
      <c r="F917" s="3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</row>
    <row r="918" spans="1:63" ht="12" customHeight="1">
      <c r="A918" s="1"/>
      <c r="B918" s="1"/>
      <c r="C918" s="1"/>
      <c r="D918" s="1"/>
      <c r="E918" s="1"/>
      <c r="F918" s="3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</row>
    <row r="919" spans="1:63" ht="12" customHeight="1">
      <c r="A919" s="1"/>
      <c r="B919" s="1"/>
      <c r="C919" s="1"/>
      <c r="D919" s="1"/>
      <c r="E919" s="1"/>
      <c r="F919" s="3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</row>
    <row r="920" spans="1:63" ht="12" customHeight="1">
      <c r="A920" s="1"/>
      <c r="B920" s="1"/>
      <c r="C920" s="1"/>
      <c r="D920" s="1"/>
      <c r="E920" s="1"/>
      <c r="F920" s="3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</row>
    <row r="921" spans="1:63" ht="12" customHeight="1">
      <c r="A921" s="1"/>
      <c r="B921" s="1"/>
      <c r="C921" s="1"/>
      <c r="D921" s="1"/>
      <c r="E921" s="1"/>
      <c r="F921" s="3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</row>
    <row r="922" spans="1:63" ht="12" customHeight="1">
      <c r="A922" s="1"/>
      <c r="B922" s="1"/>
      <c r="C922" s="1"/>
      <c r="D922" s="1"/>
      <c r="E922" s="1"/>
      <c r="F922" s="3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</row>
    <row r="923" spans="1:63" ht="12" customHeight="1">
      <c r="A923" s="1"/>
      <c r="B923" s="1"/>
      <c r="C923" s="1"/>
      <c r="D923" s="1"/>
      <c r="E923" s="1"/>
      <c r="F923" s="3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</row>
    <row r="924" spans="1:63" ht="12" customHeight="1">
      <c r="A924" s="1"/>
      <c r="B924" s="1"/>
      <c r="C924" s="1"/>
      <c r="D924" s="1"/>
      <c r="E924" s="1"/>
      <c r="F924" s="3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</row>
    <row r="925" spans="1:63" ht="12" customHeight="1">
      <c r="A925" s="1"/>
      <c r="B925" s="1"/>
      <c r="C925" s="1"/>
      <c r="D925" s="1"/>
      <c r="E925" s="1"/>
      <c r="F925" s="3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</row>
    <row r="926" spans="1:63" ht="12" customHeight="1">
      <c r="A926" s="1"/>
      <c r="B926" s="1"/>
      <c r="C926" s="1"/>
      <c r="D926" s="1"/>
      <c r="E926" s="1"/>
      <c r="F926" s="3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</row>
    <row r="927" spans="1:63" ht="12" customHeight="1">
      <c r="A927" s="1"/>
      <c r="B927" s="1"/>
      <c r="C927" s="1"/>
      <c r="D927" s="1"/>
      <c r="E927" s="1"/>
      <c r="F927" s="3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</row>
    <row r="928" spans="1:63" ht="12" customHeight="1">
      <c r="A928" s="1"/>
      <c r="B928" s="1"/>
      <c r="C928" s="1"/>
      <c r="D928" s="1"/>
      <c r="E928" s="1"/>
      <c r="F928" s="3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</row>
    <row r="929" spans="1:63" ht="12" customHeight="1">
      <c r="A929" s="1"/>
      <c r="B929" s="1"/>
      <c r="C929" s="1"/>
      <c r="D929" s="1"/>
      <c r="E929" s="1"/>
      <c r="F929" s="3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</row>
    <row r="930" spans="1:63" ht="12" customHeight="1">
      <c r="A930" s="1"/>
      <c r="B930" s="1"/>
      <c r="C930" s="1"/>
      <c r="D930" s="1"/>
      <c r="E930" s="1"/>
      <c r="F930" s="3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</row>
    <row r="931" spans="1:63" ht="12" customHeight="1">
      <c r="A931" s="1"/>
      <c r="B931" s="1"/>
      <c r="C931" s="1"/>
      <c r="D931" s="1"/>
      <c r="E931" s="1"/>
      <c r="F931" s="3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</row>
    <row r="932" spans="1:63" ht="12" customHeight="1">
      <c r="A932" s="1"/>
      <c r="B932" s="1"/>
      <c r="C932" s="1"/>
      <c r="D932" s="1"/>
      <c r="E932" s="1"/>
      <c r="F932" s="3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</row>
    <row r="933" spans="1:63" ht="12" customHeight="1">
      <c r="A933" s="1"/>
      <c r="B933" s="1"/>
      <c r="C933" s="1"/>
      <c r="D933" s="1"/>
      <c r="E933" s="1"/>
      <c r="F933" s="3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</row>
    <row r="934" spans="1:63" ht="12" customHeight="1">
      <c r="A934" s="1"/>
      <c r="B934" s="1"/>
      <c r="C934" s="1"/>
      <c r="D934" s="1"/>
      <c r="E934" s="1"/>
      <c r="F934" s="3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</row>
    <row r="935" spans="1:63" ht="12" customHeight="1">
      <c r="A935" s="1"/>
      <c r="B935" s="1"/>
      <c r="C935" s="1"/>
      <c r="D935" s="1"/>
      <c r="E935" s="1"/>
      <c r="F935" s="3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</row>
    <row r="936" spans="1:63" ht="12" customHeight="1">
      <c r="A936" s="1"/>
      <c r="B936" s="1"/>
      <c r="C936" s="1"/>
      <c r="D936" s="1"/>
      <c r="E936" s="1"/>
      <c r="F936" s="3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</row>
    <row r="937" spans="1:63" ht="12" customHeight="1">
      <c r="A937" s="1"/>
      <c r="B937" s="1"/>
      <c r="C937" s="1"/>
      <c r="D937" s="1"/>
      <c r="E937" s="1"/>
      <c r="F937" s="3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</row>
    <row r="938" spans="1:63" ht="12" customHeight="1">
      <c r="A938" s="1"/>
      <c r="B938" s="1"/>
      <c r="C938" s="1"/>
      <c r="D938" s="1"/>
      <c r="E938" s="1"/>
      <c r="F938" s="3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</row>
    <row r="939" spans="1:63" ht="12" customHeight="1">
      <c r="A939" s="1"/>
      <c r="B939" s="1"/>
      <c r="C939" s="1"/>
      <c r="D939" s="1"/>
      <c r="E939" s="1"/>
      <c r="F939" s="3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</row>
    <row r="940" spans="1:63" ht="12" customHeight="1">
      <c r="A940" s="1"/>
      <c r="B940" s="1"/>
      <c r="C940" s="1"/>
      <c r="D940" s="1"/>
      <c r="E940" s="1"/>
      <c r="F940" s="3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</row>
    <row r="941" spans="1:63" ht="12" customHeight="1">
      <c r="A941" s="1"/>
      <c r="B941" s="1"/>
      <c r="C941" s="1"/>
      <c r="D941" s="1"/>
      <c r="E941" s="1"/>
      <c r="F941" s="3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</row>
    <row r="942" spans="1:63" ht="12" customHeight="1">
      <c r="A942" s="1"/>
      <c r="B942" s="1"/>
      <c r="C942" s="1"/>
      <c r="D942" s="1"/>
      <c r="E942" s="1"/>
      <c r="F942" s="3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</row>
    <row r="943" spans="1:63" ht="12" customHeight="1">
      <c r="A943" s="1"/>
      <c r="B943" s="1"/>
      <c r="C943" s="1"/>
      <c r="D943" s="1"/>
      <c r="E943" s="1"/>
      <c r="F943" s="3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</row>
    <row r="944" spans="1:63" ht="12" customHeight="1">
      <c r="A944" s="1"/>
      <c r="B944" s="1"/>
      <c r="C944" s="1"/>
      <c r="D944" s="1"/>
      <c r="E944" s="1"/>
      <c r="F944" s="3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</row>
    <row r="945" spans="1:63" ht="12" customHeight="1">
      <c r="A945" s="1"/>
      <c r="B945" s="1"/>
      <c r="C945" s="1"/>
      <c r="D945" s="1"/>
      <c r="E945" s="1"/>
      <c r="F945" s="3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</row>
    <row r="946" spans="1:63" ht="12" customHeight="1">
      <c r="A946" s="1"/>
      <c r="B946" s="1"/>
      <c r="C946" s="1"/>
      <c r="D946" s="1"/>
      <c r="E946" s="1"/>
      <c r="F946" s="3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</row>
    <row r="947" spans="1:63" ht="12" customHeight="1">
      <c r="A947" s="1"/>
      <c r="B947" s="1"/>
      <c r="C947" s="1"/>
      <c r="D947" s="1"/>
      <c r="E947" s="1"/>
      <c r="F947" s="3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</row>
    <row r="948" spans="1:63" ht="12" customHeight="1">
      <c r="A948" s="1"/>
      <c r="B948" s="1"/>
      <c r="C948" s="1"/>
      <c r="D948" s="1"/>
      <c r="E948" s="1"/>
      <c r="F948" s="3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</row>
    <row r="949" spans="1:63" ht="12" customHeight="1">
      <c r="A949" s="1"/>
      <c r="B949" s="1"/>
      <c r="C949" s="1"/>
      <c r="D949" s="1"/>
      <c r="E949" s="1"/>
      <c r="F949" s="3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</row>
    <row r="950" spans="1:63" ht="12" customHeight="1">
      <c r="A950" s="1"/>
      <c r="B950" s="1"/>
      <c r="C950" s="1"/>
      <c r="D950" s="1"/>
      <c r="E950" s="1"/>
      <c r="F950" s="3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</row>
    <row r="951" spans="1:63" ht="12" customHeight="1">
      <c r="A951" s="1"/>
      <c r="B951" s="1"/>
      <c r="C951" s="1"/>
      <c r="D951" s="1"/>
      <c r="E951" s="1"/>
      <c r="F951" s="3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</row>
    <row r="952" spans="1:63" ht="12" customHeight="1">
      <c r="A952" s="1"/>
      <c r="B952" s="1"/>
      <c r="C952" s="1"/>
      <c r="D952" s="1"/>
      <c r="E952" s="1"/>
      <c r="F952" s="3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</row>
    <row r="953" spans="1:63" ht="12" customHeight="1">
      <c r="A953" s="1"/>
      <c r="B953" s="1"/>
      <c r="C953" s="1"/>
      <c r="D953" s="1"/>
      <c r="E953" s="1"/>
      <c r="F953" s="3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</row>
    <row r="954" spans="1:63" ht="12" customHeight="1">
      <c r="A954" s="1"/>
      <c r="B954" s="1"/>
      <c r="C954" s="1"/>
      <c r="D954" s="1"/>
      <c r="E954" s="1"/>
      <c r="F954" s="3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</row>
    <row r="955" spans="1:63" ht="12" customHeight="1">
      <c r="A955" s="1"/>
      <c r="B955" s="1"/>
      <c r="C955" s="1"/>
      <c r="D955" s="1"/>
      <c r="E955" s="1"/>
      <c r="F955" s="3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</row>
    <row r="956" spans="1:63" ht="12" customHeight="1">
      <c r="A956" s="1"/>
      <c r="B956" s="1"/>
      <c r="C956" s="1"/>
      <c r="D956" s="1"/>
      <c r="E956" s="1"/>
      <c r="F956" s="3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</row>
    <row r="957" spans="1:63" ht="12" customHeight="1">
      <c r="A957" s="1"/>
      <c r="B957" s="1"/>
      <c r="C957" s="1"/>
      <c r="D957" s="1"/>
      <c r="E957" s="1"/>
      <c r="F957" s="3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</row>
    <row r="958" spans="1:63" ht="12" customHeight="1">
      <c r="A958" s="1"/>
      <c r="B958" s="1"/>
      <c r="C958" s="1"/>
      <c r="D958" s="1"/>
      <c r="E958" s="1"/>
      <c r="F958" s="3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</row>
    <row r="959" spans="1:63" ht="12" customHeight="1">
      <c r="A959" s="1"/>
      <c r="B959" s="1"/>
      <c r="C959" s="1"/>
      <c r="D959" s="1"/>
      <c r="E959" s="1"/>
      <c r="F959" s="3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</row>
    <row r="960" spans="1:63" ht="12" customHeight="1">
      <c r="A960" s="1"/>
      <c r="B960" s="1"/>
      <c r="C960" s="1"/>
      <c r="D960" s="1"/>
      <c r="E960" s="1"/>
      <c r="F960" s="3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</row>
    <row r="961" spans="1:63" ht="12" customHeight="1">
      <c r="A961" s="1"/>
      <c r="B961" s="1"/>
      <c r="C961" s="1"/>
      <c r="D961" s="1"/>
      <c r="E961" s="1"/>
      <c r="F961" s="3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</row>
    <row r="962" spans="1:63" ht="12" customHeight="1">
      <c r="A962" s="1"/>
      <c r="B962" s="1"/>
      <c r="C962" s="1"/>
      <c r="D962" s="1"/>
      <c r="E962" s="1"/>
      <c r="F962" s="3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</row>
    <row r="963" spans="1:63" ht="12" customHeight="1">
      <c r="A963" s="1"/>
      <c r="B963" s="1"/>
      <c r="C963" s="1"/>
      <c r="D963" s="1"/>
      <c r="E963" s="1"/>
      <c r="F963" s="3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</row>
    <row r="964" spans="1:63" ht="12" customHeight="1">
      <c r="A964" s="1"/>
      <c r="B964" s="1"/>
      <c r="C964" s="1"/>
      <c r="D964" s="1"/>
      <c r="E964" s="1"/>
      <c r="F964" s="3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</row>
    <row r="965" spans="1:63" ht="12" customHeight="1">
      <c r="A965" s="1"/>
      <c r="B965" s="1"/>
      <c r="C965" s="1"/>
      <c r="D965" s="1"/>
      <c r="E965" s="1"/>
      <c r="F965" s="3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</row>
    <row r="966" spans="1:63" ht="12" customHeight="1">
      <c r="A966" s="1"/>
      <c r="B966" s="1"/>
      <c r="C966" s="1"/>
      <c r="D966" s="1"/>
      <c r="E966" s="1"/>
      <c r="F966" s="3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</row>
    <row r="967" spans="1:63" ht="12" customHeight="1">
      <c r="A967" s="1"/>
      <c r="B967" s="1"/>
      <c r="C967" s="1"/>
      <c r="D967" s="1"/>
      <c r="E967" s="1"/>
      <c r="F967" s="3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</row>
    <row r="968" spans="1:63" ht="12" customHeight="1">
      <c r="A968" s="1"/>
      <c r="B968" s="1"/>
      <c r="C968" s="1"/>
      <c r="D968" s="1"/>
      <c r="E968" s="1"/>
      <c r="F968" s="3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</row>
    <row r="969" spans="1:63" ht="12" customHeight="1">
      <c r="A969" s="1"/>
      <c r="B969" s="1"/>
      <c r="C969" s="1"/>
      <c r="D969" s="1"/>
      <c r="E969" s="1"/>
      <c r="F969" s="3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</row>
    <row r="970" spans="1:63" ht="12" customHeight="1">
      <c r="A970" s="1"/>
      <c r="B970" s="1"/>
      <c r="C970" s="1"/>
      <c r="D970" s="1"/>
      <c r="E970" s="1"/>
      <c r="F970" s="3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</row>
    <row r="971" spans="1:63" ht="12" customHeight="1">
      <c r="A971" s="1"/>
      <c r="B971" s="1"/>
      <c r="C971" s="1"/>
      <c r="D971" s="1"/>
      <c r="E971" s="1"/>
      <c r="F971" s="3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</row>
    <row r="972" spans="1:63" ht="12" customHeight="1">
      <c r="A972" s="1"/>
      <c r="B972" s="1"/>
      <c r="C972" s="1"/>
      <c r="D972" s="1"/>
      <c r="E972" s="1"/>
      <c r="F972" s="3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</row>
    <row r="973" spans="1:63" ht="12" customHeight="1">
      <c r="A973" s="1"/>
      <c r="B973" s="1"/>
      <c r="C973" s="1"/>
      <c r="D973" s="1"/>
      <c r="E973" s="1"/>
      <c r="F973" s="3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</row>
    <row r="974" spans="1:63" ht="12" customHeight="1">
      <c r="A974" s="1"/>
      <c r="B974" s="1"/>
      <c r="C974" s="1"/>
      <c r="D974" s="1"/>
      <c r="E974" s="1"/>
      <c r="F974" s="3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</row>
    <row r="975" spans="1:63" ht="12" customHeight="1">
      <c r="A975" s="1"/>
      <c r="B975" s="1"/>
      <c r="C975" s="1"/>
      <c r="D975" s="1"/>
      <c r="E975" s="1"/>
      <c r="F975" s="3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</row>
    <row r="976" spans="1:63" ht="12" customHeight="1">
      <c r="A976" s="1"/>
      <c r="B976" s="1"/>
      <c r="C976" s="1"/>
      <c r="D976" s="1"/>
      <c r="E976" s="1"/>
      <c r="F976" s="3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</row>
    <row r="977" spans="1:63" ht="12" customHeight="1">
      <c r="A977" s="1"/>
      <c r="B977" s="1"/>
      <c r="C977" s="1"/>
      <c r="D977" s="1"/>
      <c r="E977" s="1"/>
      <c r="F977" s="3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</row>
    <row r="978" spans="1:63" ht="12" customHeight="1">
      <c r="A978" s="1"/>
      <c r="B978" s="1"/>
      <c r="C978" s="1"/>
      <c r="D978" s="1"/>
      <c r="E978" s="1"/>
      <c r="F978" s="3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</row>
    <row r="979" spans="1:63" ht="12" customHeight="1">
      <c r="A979" s="1"/>
      <c r="B979" s="1"/>
      <c r="C979" s="1"/>
      <c r="D979" s="1"/>
      <c r="E979" s="1"/>
      <c r="F979" s="3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</row>
    <row r="980" spans="1:63" ht="12" customHeight="1">
      <c r="A980" s="1"/>
      <c r="B980" s="1"/>
      <c r="C980" s="1"/>
      <c r="D980" s="1"/>
      <c r="E980" s="1"/>
      <c r="F980" s="3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</row>
    <row r="981" spans="1:63" ht="12" customHeight="1">
      <c r="A981" s="1"/>
      <c r="B981" s="1"/>
      <c r="C981" s="1"/>
      <c r="D981" s="1"/>
      <c r="E981" s="1"/>
      <c r="F981" s="3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</row>
    <row r="982" spans="1:63" ht="12" customHeight="1">
      <c r="A982" s="1"/>
      <c r="B982" s="1"/>
      <c r="C982" s="1"/>
      <c r="D982" s="1"/>
      <c r="E982" s="1"/>
      <c r="F982" s="3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</row>
    <row r="983" spans="1:63" ht="12" customHeight="1">
      <c r="A983" s="1"/>
      <c r="B983" s="1"/>
      <c r="C983" s="1"/>
      <c r="D983" s="1"/>
      <c r="E983" s="1"/>
      <c r="F983" s="3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</row>
    <row r="984" spans="1:63" ht="12" customHeight="1">
      <c r="A984" s="1"/>
      <c r="B984" s="1"/>
      <c r="C984" s="1"/>
      <c r="D984" s="1"/>
      <c r="E984" s="1"/>
      <c r="F984" s="3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</row>
    <row r="985" spans="1:63" ht="12" customHeight="1">
      <c r="A985" s="1"/>
      <c r="B985" s="1"/>
      <c r="C985" s="1"/>
      <c r="D985" s="1"/>
      <c r="E985" s="1"/>
      <c r="F985" s="3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</row>
    <row r="986" spans="1:63" ht="12" customHeight="1">
      <c r="A986" s="1"/>
      <c r="B986" s="1"/>
      <c r="C986" s="1"/>
      <c r="D986" s="1"/>
      <c r="E986" s="1"/>
      <c r="F986" s="3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</row>
    <row r="987" spans="1:63" ht="12" customHeight="1">
      <c r="A987" s="1"/>
      <c r="B987" s="1"/>
      <c r="C987" s="1"/>
      <c r="D987" s="1"/>
      <c r="E987" s="1"/>
      <c r="F987" s="3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</row>
    <row r="988" spans="1:63" ht="12" customHeight="1">
      <c r="A988" s="1"/>
      <c r="B988" s="1"/>
      <c r="C988" s="1"/>
      <c r="D988" s="1"/>
      <c r="E988" s="1"/>
      <c r="F988" s="3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</row>
    <row r="989" spans="1:63" ht="12" customHeight="1">
      <c r="A989" s="1"/>
      <c r="B989" s="1"/>
      <c r="C989" s="1"/>
      <c r="D989" s="1"/>
      <c r="E989" s="1"/>
      <c r="F989" s="3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</row>
    <row r="990" spans="1:63" ht="12" customHeight="1">
      <c r="A990" s="1"/>
      <c r="B990" s="1"/>
      <c r="C990" s="1"/>
      <c r="D990" s="1"/>
      <c r="E990" s="1"/>
      <c r="F990" s="3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</row>
    <row r="991" spans="1:63" ht="12" customHeight="1">
      <c r="A991" s="1"/>
      <c r="B991" s="1"/>
      <c r="C991" s="1"/>
      <c r="D991" s="1"/>
      <c r="E991" s="1"/>
      <c r="F991" s="3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</row>
    <row r="992" spans="1:63" ht="12" customHeight="1">
      <c r="A992" s="1"/>
      <c r="B992" s="1"/>
      <c r="C992" s="1"/>
      <c r="D992" s="1"/>
      <c r="E992" s="1"/>
      <c r="F992" s="3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</row>
    <row r="993" spans="1:63" ht="12" customHeight="1">
      <c r="A993" s="1"/>
      <c r="B993" s="1"/>
      <c r="C993" s="1"/>
      <c r="D993" s="1"/>
      <c r="E993" s="1"/>
      <c r="F993" s="3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</row>
    <row r="994" spans="1:63" ht="12" customHeight="1">
      <c r="A994" s="1"/>
      <c r="B994" s="1"/>
      <c r="C994" s="1"/>
      <c r="D994" s="1"/>
      <c r="E994" s="1"/>
      <c r="F994" s="3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</row>
    <row r="995" spans="1:63" ht="12" customHeight="1">
      <c r="A995" s="1"/>
      <c r="B995" s="1"/>
      <c r="C995" s="1"/>
      <c r="D995" s="1"/>
      <c r="E995" s="1"/>
      <c r="F995" s="3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</row>
    <row r="996" spans="1:63" ht="12" customHeight="1">
      <c r="A996" s="1"/>
      <c r="B996" s="1"/>
      <c r="C996" s="1"/>
      <c r="D996" s="1"/>
      <c r="E996" s="1"/>
      <c r="F996" s="3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</row>
    <row r="997" spans="1:63" ht="12" customHeight="1">
      <c r="A997" s="1"/>
      <c r="B997" s="1"/>
      <c r="C997" s="1"/>
      <c r="D997" s="1"/>
      <c r="E997" s="1"/>
      <c r="F997" s="3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</row>
    <row r="998" spans="1:63" ht="12" customHeight="1">
      <c r="A998" s="1"/>
      <c r="B998" s="1"/>
      <c r="C998" s="1"/>
      <c r="D998" s="1"/>
      <c r="E998" s="1"/>
      <c r="F998" s="3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</row>
    <row r="999" spans="1:63" ht="12" customHeight="1">
      <c r="A999" s="1"/>
      <c r="B999" s="1"/>
      <c r="C999" s="1"/>
      <c r="D999" s="1"/>
      <c r="E999" s="1"/>
      <c r="F999" s="3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</row>
    <row r="1000" spans="1:63" ht="12" customHeight="1">
      <c r="A1000" s="1"/>
      <c r="B1000" s="1"/>
      <c r="C1000" s="1"/>
      <c r="D1000" s="1"/>
      <c r="E1000" s="1"/>
      <c r="F1000" s="3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</row>
  </sheetData>
  <mergeCells count="19">
    <mergeCell ref="F154:H154"/>
    <mergeCell ref="I154:R154"/>
    <mergeCell ref="S154:X154"/>
    <mergeCell ref="Y154:AD154"/>
    <mergeCell ref="F34:O35"/>
    <mergeCell ref="Y42:AD42"/>
    <mergeCell ref="F98:H98"/>
    <mergeCell ref="I98:R98"/>
    <mergeCell ref="S98:X98"/>
    <mergeCell ref="Y98:AD98"/>
    <mergeCell ref="F22:O23"/>
    <mergeCell ref="F20:O21"/>
    <mergeCell ref="S42:X42"/>
    <mergeCell ref="F42:H42"/>
    <mergeCell ref="I42:R42"/>
    <mergeCell ref="F32:O33"/>
    <mergeCell ref="F30:O31"/>
    <mergeCell ref="F24:O25"/>
    <mergeCell ref="F26:O27"/>
  </mergeCells>
  <phoneticPr fontId="15" type="noConversion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77"/>
  <sheetViews>
    <sheetView topLeftCell="A61" workbookViewId="0">
      <selection activeCell="I158" sqref="I158"/>
    </sheetView>
  </sheetViews>
  <sheetFormatPr defaultColWidth="12.625" defaultRowHeight="15" customHeight="1"/>
  <cols>
    <col min="1" max="6" width="7.875" customWidth="1"/>
    <col min="7" max="7" width="11.625" customWidth="1"/>
    <col min="8" max="71" width="7.875" customWidth="1"/>
  </cols>
  <sheetData>
    <row r="1" spans="2:5" s="146" customFormat="1" ht="12" customHeight="1"/>
    <row r="2" spans="2:5" s="146" customFormat="1" ht="12" customHeight="1">
      <c r="B2" s="195" t="s">
        <v>190</v>
      </c>
      <c r="C2" s="195"/>
      <c r="D2" s="147"/>
      <c r="E2" s="147"/>
    </row>
    <row r="3" spans="2:5" s="146" customFormat="1" ht="12" customHeight="1">
      <c r="B3" s="148" t="s">
        <v>188</v>
      </c>
      <c r="C3" s="149">
        <v>533</v>
      </c>
      <c r="D3" s="147"/>
      <c r="E3" s="147"/>
    </row>
    <row r="4" spans="2:5" s="146" customFormat="1" ht="12" customHeight="1">
      <c r="B4" s="148" t="s">
        <v>209</v>
      </c>
      <c r="C4" s="149">
        <v>640</v>
      </c>
      <c r="D4" s="147"/>
      <c r="E4" s="147"/>
    </row>
    <row r="5" spans="2:5" s="146" customFormat="1" ht="12" customHeight="1">
      <c r="B5" s="148" t="s">
        <v>210</v>
      </c>
      <c r="C5" s="149">
        <v>12</v>
      </c>
      <c r="D5" s="147"/>
      <c r="E5" s="147"/>
    </row>
    <row r="6" spans="2:5" s="146" customFormat="1" ht="12" customHeight="1">
      <c r="B6" s="150" t="s">
        <v>191</v>
      </c>
      <c r="C6" s="151">
        <v>358.5</v>
      </c>
      <c r="D6" s="152"/>
      <c r="E6" s="147"/>
    </row>
    <row r="7" spans="2:5" s="146" customFormat="1" ht="12" customHeight="1">
      <c r="B7" s="150" t="s">
        <v>192</v>
      </c>
      <c r="C7" s="153">
        <v>2333</v>
      </c>
    </row>
    <row r="8" spans="2:5" s="146" customFormat="1" ht="12" customHeight="1">
      <c r="B8" s="150" t="s">
        <v>193</v>
      </c>
      <c r="C8" s="149">
        <v>68</v>
      </c>
      <c r="D8" s="152"/>
    </row>
    <row r="9" spans="2:5" s="146" customFormat="1" ht="27.75" customHeight="1">
      <c r="B9" s="154" t="s">
        <v>194</v>
      </c>
      <c r="C9" s="155"/>
      <c r="D9" s="147"/>
      <c r="E9" s="147"/>
    </row>
    <row r="10" spans="2:5" s="146" customFormat="1" ht="12" customHeight="1">
      <c r="B10" s="196" t="s">
        <v>195</v>
      </c>
      <c r="C10" s="196"/>
      <c r="D10" s="156"/>
      <c r="E10" s="156"/>
    </row>
    <row r="11" spans="2:5" s="146" customFormat="1" ht="12" customHeight="1">
      <c r="B11" s="196" t="s">
        <v>196</v>
      </c>
      <c r="C11" s="196"/>
      <c r="D11" s="156"/>
      <c r="E11" s="156"/>
    </row>
    <row r="12" spans="2:5" s="146" customFormat="1" ht="12" customHeight="1">
      <c r="B12" s="157"/>
      <c r="C12" s="156"/>
      <c r="D12" s="156"/>
      <c r="E12" s="156"/>
    </row>
    <row r="13" spans="2:5" s="146" customFormat="1" ht="12" customHeight="1">
      <c r="B13" s="157"/>
      <c r="C13" s="156"/>
      <c r="D13" s="156"/>
      <c r="E13" s="156"/>
    </row>
    <row r="14" spans="2:5" s="146" customFormat="1" ht="12" customHeight="1">
      <c r="B14" s="157"/>
      <c r="C14" s="156"/>
      <c r="D14" s="156"/>
      <c r="E14" s="156"/>
    </row>
    <row r="15" spans="2:5" s="146" customFormat="1" ht="12" customHeight="1">
      <c r="B15" s="157"/>
      <c r="C15" s="147"/>
      <c r="D15" s="147"/>
      <c r="E15" s="147"/>
    </row>
    <row r="16" spans="2:5" s="146" customFormat="1" ht="12" customHeight="1">
      <c r="B16" s="158" t="s">
        <v>189</v>
      </c>
      <c r="C16" s="158" t="s">
        <v>197</v>
      </c>
      <c r="D16" s="158" t="s">
        <v>198</v>
      </c>
      <c r="E16" s="159" t="s">
        <v>199</v>
      </c>
    </row>
    <row r="17" spans="2:5" s="146" customFormat="1" ht="12" customHeight="1">
      <c r="B17" s="160">
        <f>(C3*0.0357)-0.0268</f>
        <v>19.001300000000001</v>
      </c>
      <c r="C17" s="160">
        <f>(+C5*0.0172)-0.0611</f>
        <v>0.14529999999999998</v>
      </c>
      <c r="D17" s="160">
        <f>(+C5*0.0214)-0.0186</f>
        <v>0.23819999999999997</v>
      </c>
      <c r="E17" s="160">
        <v>200</v>
      </c>
    </row>
    <row r="18" spans="2:5" s="146" customFormat="1" ht="12" customHeight="1">
      <c r="B18" s="161"/>
      <c r="C18" s="161"/>
      <c r="D18" s="161"/>
      <c r="E18" s="161"/>
    </row>
    <row r="19" spans="2:5" s="146" customFormat="1" ht="12" customHeight="1">
      <c r="B19" s="197" t="s">
        <v>200</v>
      </c>
      <c r="C19" s="162" t="s">
        <v>201</v>
      </c>
      <c r="D19" s="163">
        <f>(0.1073*$C$4)-0.0612</f>
        <v>68.610799999999998</v>
      </c>
      <c r="E19" s="161"/>
    </row>
    <row r="20" spans="2:5" s="146" customFormat="1" ht="12" customHeight="1">
      <c r="B20" s="198"/>
      <c r="C20" s="162" t="s">
        <v>202</v>
      </c>
      <c r="D20" s="163">
        <f>($C$4*0.0357)-0.0518</f>
        <v>22.796200000000002</v>
      </c>
      <c r="E20" s="161"/>
    </row>
    <row r="21" spans="2:5" s="146" customFormat="1" ht="12" customHeight="1">
      <c r="B21" s="198"/>
      <c r="C21" s="162" t="s">
        <v>203</v>
      </c>
      <c r="D21" s="163">
        <f>($C$4*0.0287)-0.0552</f>
        <v>18.312799999999999</v>
      </c>
      <c r="E21" s="161"/>
    </row>
    <row r="22" spans="2:5" s="146" customFormat="1" ht="12" customHeight="1">
      <c r="B22" s="199"/>
      <c r="C22" s="162" t="s">
        <v>204</v>
      </c>
      <c r="D22" s="163">
        <f>(D21*6)/10</f>
        <v>10.987680000000001</v>
      </c>
      <c r="E22" s="161"/>
    </row>
    <row r="23" spans="2:5" s="146" customFormat="1" ht="12" customHeight="1">
      <c r="B23" s="164"/>
      <c r="C23" s="161"/>
      <c r="D23" s="161"/>
      <c r="E23" s="161"/>
    </row>
    <row r="24" spans="2:5" s="146" customFormat="1" ht="12" customHeight="1">
      <c r="B24" s="162" t="s">
        <v>205</v>
      </c>
      <c r="C24" s="163">
        <v>1.2</v>
      </c>
      <c r="D24" s="161"/>
      <c r="E24" s="161"/>
    </row>
    <row r="25" spans="2:5" s="146" customFormat="1" ht="12" customHeight="1">
      <c r="B25" s="162" t="s">
        <v>206</v>
      </c>
      <c r="C25" s="163">
        <v>8</v>
      </c>
      <c r="D25" s="161"/>
      <c r="E25" s="161"/>
    </row>
    <row r="26" spans="2:5" s="146" customFormat="1" ht="12" customHeight="1">
      <c r="B26" s="161"/>
      <c r="C26" s="161"/>
      <c r="D26" s="161"/>
      <c r="E26" s="161"/>
    </row>
    <row r="27" spans="2:5" s="146" customFormat="1" ht="12" customHeight="1">
      <c r="B27" s="162" t="s">
        <v>207</v>
      </c>
      <c r="C27" s="163">
        <v>1.5</v>
      </c>
      <c r="D27" s="161"/>
      <c r="E27" s="161"/>
    </row>
    <row r="28" spans="2:5" s="146" customFormat="1" ht="12" customHeight="1">
      <c r="B28" s="161"/>
      <c r="C28" s="161"/>
      <c r="D28" s="161"/>
      <c r="E28" s="161"/>
    </row>
    <row r="29" spans="2:5" s="146" customFormat="1" ht="12" customHeight="1">
      <c r="B29" s="162" t="s">
        <v>208</v>
      </c>
      <c r="C29" s="163">
        <f>(C6*C7*0.001526)+C8</f>
        <v>1344.3166430000001</v>
      </c>
      <c r="D29" s="161"/>
      <c r="E29" s="161"/>
    </row>
    <row r="30" spans="2:5" ht="12" customHeight="1"/>
    <row r="31" spans="2:5" ht="12" customHeight="1"/>
    <row r="32" spans="2:5" ht="12" customHeight="1"/>
    <row r="33" spans="1:71" ht="12" customHeight="1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</row>
    <row r="34" spans="1:71" ht="12" customHeight="1">
      <c r="A34" s="2"/>
      <c r="B34" s="5" t="s">
        <v>1</v>
      </c>
      <c r="C34" s="6" t="s">
        <v>2</v>
      </c>
      <c r="D34" s="6" t="s">
        <v>3</v>
      </c>
      <c r="E34" s="6" t="s">
        <v>4</v>
      </c>
      <c r="F34" s="6"/>
      <c r="G34" s="6" t="s">
        <v>5</v>
      </c>
      <c r="H34" s="6" t="s">
        <v>6</v>
      </c>
      <c r="I34" s="6" t="s">
        <v>7</v>
      </c>
      <c r="J34" s="6" t="s">
        <v>8</v>
      </c>
      <c r="K34" s="6"/>
      <c r="L34" s="6" t="s">
        <v>9</v>
      </c>
      <c r="M34" s="6"/>
      <c r="N34" s="6" t="s">
        <v>10</v>
      </c>
      <c r="O34" s="6" t="s">
        <v>11</v>
      </c>
      <c r="P34" s="6"/>
      <c r="Q34" s="6" t="s">
        <v>12</v>
      </c>
      <c r="R34" s="6" t="s">
        <v>13</v>
      </c>
      <c r="S34" s="6"/>
      <c r="T34" s="6" t="s">
        <v>14</v>
      </c>
      <c r="U34" s="6"/>
      <c r="V34" s="6"/>
      <c r="W34" s="6" t="s">
        <v>15</v>
      </c>
      <c r="X34" s="6" t="s">
        <v>16</v>
      </c>
      <c r="Y34" s="6" t="s">
        <v>17</v>
      </c>
      <c r="Z34" s="6" t="s">
        <v>18</v>
      </c>
      <c r="AA34" s="6"/>
      <c r="AB34" s="6" t="s">
        <v>19</v>
      </c>
      <c r="AC34" s="6"/>
      <c r="AD34" s="6" t="s">
        <v>20</v>
      </c>
      <c r="AE34" s="6"/>
      <c r="AF34" s="6" t="s">
        <v>21</v>
      </c>
      <c r="AG34" s="9" t="s">
        <v>22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</row>
    <row r="35" spans="1:71" ht="12" customHeight="1">
      <c r="A35" s="2"/>
      <c r="B35" s="10" t="s">
        <v>24</v>
      </c>
      <c r="C35" s="1">
        <v>8</v>
      </c>
      <c r="D35" s="1">
        <v>6</v>
      </c>
      <c r="E35" s="1">
        <v>12</v>
      </c>
      <c r="F35" s="1"/>
      <c r="G35" s="1">
        <v>8</v>
      </c>
      <c r="H35" s="1">
        <v>20</v>
      </c>
      <c r="I35" s="1">
        <v>9</v>
      </c>
      <c r="J35" s="1">
        <v>24</v>
      </c>
      <c r="K35" s="1"/>
      <c r="L35" s="1">
        <v>36</v>
      </c>
      <c r="M35" s="1"/>
      <c r="N35" s="1">
        <v>16</v>
      </c>
      <c r="O35" s="1">
        <v>30</v>
      </c>
      <c r="P35" s="1"/>
      <c r="Q35" s="1">
        <v>24</v>
      </c>
      <c r="R35" s="1">
        <v>24</v>
      </c>
      <c r="S35" s="1"/>
      <c r="T35" s="1">
        <v>36</v>
      </c>
      <c r="U35" s="1"/>
      <c r="V35" s="1"/>
      <c r="W35" s="1">
        <v>30</v>
      </c>
      <c r="X35" s="1">
        <v>6</v>
      </c>
      <c r="Y35" s="1">
        <v>8</v>
      </c>
      <c r="Z35" s="1">
        <v>24</v>
      </c>
      <c r="AA35" s="1"/>
      <c r="AB35" s="1">
        <v>24</v>
      </c>
      <c r="AC35" s="1"/>
      <c r="AD35" s="1">
        <v>18</v>
      </c>
      <c r="AE35" s="1"/>
      <c r="AF35" s="1">
        <v>36</v>
      </c>
      <c r="AG35" s="11">
        <v>30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</row>
    <row r="36" spans="1:71" ht="12" customHeight="1">
      <c r="A36" s="2"/>
      <c r="B36" s="10">
        <v>1</v>
      </c>
      <c r="C36" s="1">
        <v>209</v>
      </c>
      <c r="D36" s="1">
        <v>123</v>
      </c>
      <c r="E36" s="1">
        <v>40</v>
      </c>
      <c r="F36" s="1">
        <v>159</v>
      </c>
      <c r="G36" s="1">
        <v>18</v>
      </c>
      <c r="H36" s="1">
        <v>403</v>
      </c>
      <c r="I36" s="1">
        <v>78</v>
      </c>
      <c r="J36" s="1">
        <v>152</v>
      </c>
      <c r="K36" s="1">
        <v>193</v>
      </c>
      <c r="L36" s="1">
        <v>489</v>
      </c>
      <c r="M36" s="1">
        <v>41</v>
      </c>
      <c r="N36" s="1">
        <v>574</v>
      </c>
      <c r="O36" s="1">
        <v>116</v>
      </c>
      <c r="P36" s="1">
        <v>46</v>
      </c>
      <c r="Q36" s="1">
        <v>491</v>
      </c>
      <c r="R36" s="1">
        <v>385</v>
      </c>
      <c r="S36" s="1">
        <v>215</v>
      </c>
      <c r="T36" s="1">
        <v>171</v>
      </c>
      <c r="U36" s="1">
        <v>171</v>
      </c>
      <c r="V36" s="1">
        <v>231</v>
      </c>
      <c r="W36" s="1">
        <v>161</v>
      </c>
      <c r="X36" s="1">
        <v>72</v>
      </c>
      <c r="Y36" s="1">
        <v>67</v>
      </c>
      <c r="Z36" s="1">
        <v>230</v>
      </c>
      <c r="AA36" s="1">
        <v>156</v>
      </c>
      <c r="AB36" s="1">
        <v>120</v>
      </c>
      <c r="AC36" s="1">
        <v>203</v>
      </c>
      <c r="AD36" s="1">
        <v>174</v>
      </c>
      <c r="AE36" s="1">
        <v>173</v>
      </c>
      <c r="AF36" s="1">
        <v>705</v>
      </c>
      <c r="AG36" s="11">
        <v>740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</row>
    <row r="37" spans="1:71" ht="12" customHeight="1">
      <c r="A37" s="2"/>
      <c r="B37" s="10">
        <v>4</v>
      </c>
      <c r="C37" s="1">
        <v>599</v>
      </c>
      <c r="D37" s="1">
        <v>326</v>
      </c>
      <c r="E37" s="1">
        <v>104</v>
      </c>
      <c r="F37" s="1">
        <v>417</v>
      </c>
      <c r="G37" s="1">
        <v>48</v>
      </c>
      <c r="H37" s="1">
        <v>1070</v>
      </c>
      <c r="I37" s="1">
        <v>207</v>
      </c>
      <c r="J37" s="1">
        <v>403</v>
      </c>
      <c r="K37" s="1">
        <v>514</v>
      </c>
      <c r="L37" s="1">
        <v>1298</v>
      </c>
      <c r="M37" s="1">
        <v>107</v>
      </c>
      <c r="N37" s="1">
        <v>1524</v>
      </c>
      <c r="O37" s="1">
        <v>307</v>
      </c>
      <c r="P37" s="1">
        <v>122</v>
      </c>
      <c r="Q37" s="1">
        <v>1305</v>
      </c>
      <c r="R37" s="1">
        <v>1030</v>
      </c>
      <c r="S37" s="1">
        <v>571</v>
      </c>
      <c r="T37" s="1">
        <v>453</v>
      </c>
      <c r="U37" s="1">
        <v>453</v>
      </c>
      <c r="V37" s="1">
        <v>614</v>
      </c>
      <c r="W37" s="1">
        <v>427</v>
      </c>
      <c r="X37" s="1">
        <v>193</v>
      </c>
      <c r="Y37" s="1">
        <v>176</v>
      </c>
      <c r="Z37" s="1">
        <v>613</v>
      </c>
      <c r="AA37" s="1">
        <v>414</v>
      </c>
      <c r="AB37" s="1">
        <v>318</v>
      </c>
      <c r="AC37" s="1">
        <v>536</v>
      </c>
      <c r="AD37" s="1">
        <v>462</v>
      </c>
      <c r="AE37" s="1">
        <v>460</v>
      </c>
      <c r="AF37" s="1">
        <v>1872</v>
      </c>
      <c r="AG37" s="11">
        <v>1996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</row>
    <row r="38" spans="1:71" ht="12" customHeight="1">
      <c r="A38" s="2"/>
      <c r="B38" s="10">
        <v>7</v>
      </c>
      <c r="C38" s="1">
        <v>722</v>
      </c>
      <c r="D38" s="1">
        <v>419</v>
      </c>
      <c r="E38" s="1">
        <v>135</v>
      </c>
      <c r="F38" s="1">
        <v>542</v>
      </c>
      <c r="G38" s="1">
        <v>61</v>
      </c>
      <c r="H38" s="1">
        <v>1380</v>
      </c>
      <c r="I38" s="1">
        <v>267</v>
      </c>
      <c r="J38" s="1">
        <v>520</v>
      </c>
      <c r="K38" s="1">
        <v>663</v>
      </c>
      <c r="L38" s="1">
        <v>1676</v>
      </c>
      <c r="M38" s="1">
        <v>139</v>
      </c>
      <c r="N38" s="1">
        <v>1965</v>
      </c>
      <c r="O38" s="1">
        <v>396</v>
      </c>
      <c r="P38" s="1">
        <v>158</v>
      </c>
      <c r="Q38" s="1">
        <v>1683</v>
      </c>
      <c r="R38" s="1">
        <v>1327</v>
      </c>
      <c r="S38" s="1">
        <v>737</v>
      </c>
      <c r="T38" s="1">
        <v>585</v>
      </c>
      <c r="U38" s="1">
        <v>585</v>
      </c>
      <c r="V38" s="1">
        <v>792</v>
      </c>
      <c r="W38" s="1">
        <v>552</v>
      </c>
      <c r="X38" s="1">
        <v>249</v>
      </c>
      <c r="Y38" s="1">
        <v>228</v>
      </c>
      <c r="Z38" s="1">
        <v>791</v>
      </c>
      <c r="AA38" s="1">
        <v>536</v>
      </c>
      <c r="AB38" s="1">
        <v>412</v>
      </c>
      <c r="AC38" s="1">
        <v>694</v>
      </c>
      <c r="AD38" s="1">
        <v>595</v>
      </c>
      <c r="AE38" s="1">
        <v>594</v>
      </c>
      <c r="AF38" s="1">
        <v>2415</v>
      </c>
      <c r="AG38" s="11">
        <v>2537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</row>
    <row r="39" spans="1:71" ht="12" customHeight="1">
      <c r="A39" s="2"/>
      <c r="B39" s="10">
        <v>10</v>
      </c>
      <c r="C39" s="1">
        <v>827</v>
      </c>
      <c r="D39" s="1">
        <v>479</v>
      </c>
      <c r="E39" s="1">
        <v>154</v>
      </c>
      <c r="F39" s="1">
        <v>618</v>
      </c>
      <c r="G39" s="1">
        <v>69</v>
      </c>
      <c r="H39" s="1">
        <v>1577</v>
      </c>
      <c r="I39" s="1">
        <v>305</v>
      </c>
      <c r="J39" s="1">
        <v>595</v>
      </c>
      <c r="K39" s="1">
        <v>759</v>
      </c>
      <c r="L39" s="1">
        <v>1916</v>
      </c>
      <c r="M39" s="1">
        <v>157</v>
      </c>
      <c r="N39" s="1">
        <v>2245</v>
      </c>
      <c r="O39" s="1">
        <v>452</v>
      </c>
      <c r="P39" s="1">
        <v>180</v>
      </c>
      <c r="Q39" s="1">
        <v>1925</v>
      </c>
      <c r="R39" s="1">
        <v>1530</v>
      </c>
      <c r="S39" s="1">
        <v>844</v>
      </c>
      <c r="T39" s="1">
        <v>670</v>
      </c>
      <c r="U39" s="1">
        <v>670</v>
      </c>
      <c r="V39" s="1">
        <v>906</v>
      </c>
      <c r="W39" s="1">
        <v>629</v>
      </c>
      <c r="X39" s="1">
        <v>284</v>
      </c>
      <c r="Y39" s="1">
        <v>262</v>
      </c>
      <c r="Z39" s="1">
        <v>907</v>
      </c>
      <c r="AA39" s="1">
        <v>614</v>
      </c>
      <c r="AB39" s="1">
        <v>471</v>
      </c>
      <c r="AC39" s="1">
        <v>794</v>
      </c>
      <c r="AD39" s="1">
        <v>677</v>
      </c>
      <c r="AE39" s="1">
        <v>680</v>
      </c>
      <c r="AF39" s="1">
        <v>2761</v>
      </c>
      <c r="AG39" s="11">
        <v>2901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</row>
    <row r="40" spans="1:71" ht="12" customHeight="1">
      <c r="A40" s="2"/>
      <c r="B40" s="10">
        <v>1</v>
      </c>
      <c r="C40" s="13">
        <v>3.7225609756097562</v>
      </c>
      <c r="D40" s="13">
        <v>2.1981707317073171</v>
      </c>
      <c r="E40" s="13">
        <v>0.69817073170731703</v>
      </c>
      <c r="F40" s="13">
        <v>2.7957317073170733</v>
      </c>
      <c r="G40" s="13">
        <v>0.31707317073170732</v>
      </c>
      <c r="H40" s="13">
        <v>7.2164634146341466</v>
      </c>
      <c r="I40" s="13">
        <v>1.3932926829268293</v>
      </c>
      <c r="J40" s="13">
        <v>2.7134146341463414</v>
      </c>
      <c r="K40" s="13">
        <v>3.4664634146341462</v>
      </c>
      <c r="L40" s="13">
        <v>8.75</v>
      </c>
      <c r="M40" s="13">
        <v>0.72865853658536583</v>
      </c>
      <c r="N40" s="13">
        <v>10.301829268292684</v>
      </c>
      <c r="O40" s="13">
        <v>2.0731707317073171</v>
      </c>
      <c r="P40" s="13">
        <v>0.82926829268292679</v>
      </c>
      <c r="Q40" s="13">
        <v>8.7896341463414629</v>
      </c>
      <c r="R40" s="13">
        <v>6.8414634146341466</v>
      </c>
      <c r="S40" s="13">
        <v>3.8475609756097562</v>
      </c>
      <c r="T40" s="13">
        <v>2.8841463414634148</v>
      </c>
      <c r="U40" s="13">
        <v>2.8841463414634148</v>
      </c>
      <c r="V40" s="13">
        <v>4.1371951219512191</v>
      </c>
      <c r="W40" s="13">
        <v>2.8689024390243905</v>
      </c>
      <c r="X40" s="13">
        <v>1.2896341463414633</v>
      </c>
      <c r="Y40" s="13">
        <v>1.1890243902439024</v>
      </c>
      <c r="Z40" s="13">
        <v>4.1463414634146343</v>
      </c>
      <c r="AA40" s="13">
        <v>2.7987804878048781</v>
      </c>
      <c r="AB40" s="13">
        <v>2.1402439024390243</v>
      </c>
      <c r="AC40" s="13">
        <v>3.6128048780487805</v>
      </c>
      <c r="AD40" s="13">
        <v>3.100609756097561</v>
      </c>
      <c r="AE40" s="13">
        <v>3.100609756097561</v>
      </c>
      <c r="AF40" s="13">
        <v>12.609756097560975</v>
      </c>
      <c r="AG40" s="15">
        <v>13.25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</row>
    <row r="41" spans="1:71" ht="12" customHeight="1">
      <c r="A41" s="2"/>
      <c r="B41" s="10">
        <v>4</v>
      </c>
      <c r="C41" s="13">
        <v>4.2987804878048781</v>
      </c>
      <c r="D41" s="13">
        <v>2.6097560975609757</v>
      </c>
      <c r="E41" s="13">
        <v>0.83231707317073167</v>
      </c>
      <c r="F41" s="13">
        <v>3.3201219512195124</v>
      </c>
      <c r="G41" s="13">
        <v>0.37804878048780488</v>
      </c>
      <c r="H41" s="13">
        <v>8.5640243902439028</v>
      </c>
      <c r="I41" s="13">
        <v>1.6554878048780488</v>
      </c>
      <c r="J41" s="13">
        <v>3.225609756097561</v>
      </c>
      <c r="K41" s="13">
        <v>4.1128048780487809</v>
      </c>
      <c r="L41" s="13">
        <v>10.390243902439025</v>
      </c>
      <c r="M41" s="13">
        <v>0.86585365853658536</v>
      </c>
      <c r="N41" s="13">
        <v>12.228658536585366</v>
      </c>
      <c r="O41" s="13">
        <v>2.4603658536585367</v>
      </c>
      <c r="P41" s="13">
        <v>0.9847560975609756</v>
      </c>
      <c r="Q41" s="13">
        <v>10.435975609756097</v>
      </c>
      <c r="R41" s="13">
        <v>8.1219512195121943</v>
      </c>
      <c r="S41" s="13">
        <v>4.5701219512195124</v>
      </c>
      <c r="T41" s="13">
        <v>3.6402439024390243</v>
      </c>
      <c r="U41" s="13">
        <v>3.6402439024390243</v>
      </c>
      <c r="V41" s="13">
        <v>4.9146341463414638</v>
      </c>
      <c r="W41" s="13">
        <v>3.4054878048780486</v>
      </c>
      <c r="X41" s="13">
        <v>1.5304878048780488</v>
      </c>
      <c r="Y41" s="13">
        <v>1.4115853658536586</v>
      </c>
      <c r="Z41" s="13">
        <v>4.9207317073170733</v>
      </c>
      <c r="AA41" s="13">
        <v>3.3231707317073171</v>
      </c>
      <c r="AB41" s="13">
        <v>2.5426829268292681</v>
      </c>
      <c r="AC41" s="13">
        <v>4.2896341463414638</v>
      </c>
      <c r="AD41" s="13">
        <v>3.6798780487804876</v>
      </c>
      <c r="AE41" s="13">
        <v>3.6798780487804876</v>
      </c>
      <c r="AF41" s="13">
        <v>14.972560975609756</v>
      </c>
      <c r="AG41" s="15">
        <v>15.640243902439025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</row>
    <row r="42" spans="1:71" ht="12" customHeight="1">
      <c r="A42" s="2"/>
      <c r="B42" s="10">
        <v>7</v>
      </c>
      <c r="C42" s="13">
        <v>4.6768292682926829</v>
      </c>
      <c r="D42" s="13">
        <v>2.7652439024390243</v>
      </c>
      <c r="E42" s="13">
        <v>0.88109756097560976</v>
      </c>
      <c r="F42" s="13">
        <v>3.5121951219512195</v>
      </c>
      <c r="G42" s="13">
        <v>0.39939024390243905</v>
      </c>
      <c r="H42" s="13">
        <v>8.7713414634146343</v>
      </c>
      <c r="I42" s="13">
        <v>1.7530487804878048</v>
      </c>
      <c r="J42" s="13">
        <v>3.4146341463414633</v>
      </c>
      <c r="K42" s="13">
        <v>4.3628048780487809</v>
      </c>
      <c r="L42" s="13">
        <v>11.009146341463415</v>
      </c>
      <c r="M42" s="13">
        <v>0.91768292682926833</v>
      </c>
      <c r="N42" s="13">
        <v>12.957317073170731</v>
      </c>
      <c r="O42" s="13">
        <v>2.6097560975609757</v>
      </c>
      <c r="P42" s="13">
        <v>1.0426829268292683</v>
      </c>
      <c r="Q42" s="13">
        <v>11.060975609756097</v>
      </c>
      <c r="R42" s="13">
        <v>8.6158536585365848</v>
      </c>
      <c r="S42" s="13">
        <v>4.8414634146341466</v>
      </c>
      <c r="T42" s="13">
        <v>3.8567073170731709</v>
      </c>
      <c r="U42" s="13">
        <v>3.8567073170731709</v>
      </c>
      <c r="V42" s="13">
        <v>5.2073170731707314</v>
      </c>
      <c r="W42" s="13">
        <v>3.6097560975609757</v>
      </c>
      <c r="X42" s="13">
        <v>1.6219512195121952</v>
      </c>
      <c r="Y42" s="13">
        <v>1.4939024390243902</v>
      </c>
      <c r="Z42" s="13">
        <v>5.2164634146341466</v>
      </c>
      <c r="AA42" s="13">
        <v>3.5213414634146343</v>
      </c>
      <c r="AB42" s="13">
        <v>2.6920731707317072</v>
      </c>
      <c r="AC42" s="13">
        <v>4.5426829268292686</v>
      </c>
      <c r="AD42" s="13">
        <v>3.899390243902439</v>
      </c>
      <c r="AE42" s="13">
        <v>3.899390243902439</v>
      </c>
      <c r="AF42" s="13">
        <v>15.865853658536585</v>
      </c>
      <c r="AG42" s="15">
        <v>16.670731707317074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</row>
    <row r="43" spans="1:71" ht="12" customHeight="1">
      <c r="A43" s="2"/>
      <c r="B43" s="10">
        <v>10</v>
      </c>
      <c r="C43" s="13">
        <v>4.8323170731707314</v>
      </c>
      <c r="D43" s="13">
        <v>2.8597560975609757</v>
      </c>
      <c r="E43" s="13">
        <v>0.90853658536585369</v>
      </c>
      <c r="F43" s="13">
        <v>3.6280487804878048</v>
      </c>
      <c r="G43" s="13">
        <v>0.41158536585365851</v>
      </c>
      <c r="H43" s="13">
        <v>9.3810975609756095</v>
      </c>
      <c r="I43" s="13">
        <v>1.8140243902439024</v>
      </c>
      <c r="J43" s="13">
        <v>3.5304878048780486</v>
      </c>
      <c r="K43" s="13">
        <v>4.5060975609756095</v>
      </c>
      <c r="L43" s="13">
        <v>11.378048780487806</v>
      </c>
      <c r="M43" s="13">
        <v>0.94817073170731703</v>
      </c>
      <c r="N43" s="13">
        <v>13.390243902439025</v>
      </c>
      <c r="O43" s="13">
        <v>2.6951219512195124</v>
      </c>
      <c r="P43" s="13">
        <v>1.0762195121951219</v>
      </c>
      <c r="Q43" s="13">
        <v>11.426829268292684</v>
      </c>
      <c r="R43" s="13">
        <v>8.8993902439024382</v>
      </c>
      <c r="S43" s="13">
        <v>5.0030487804878048</v>
      </c>
      <c r="T43" s="13">
        <v>3.9847560975609757</v>
      </c>
      <c r="U43" s="13">
        <v>3.9847560975609757</v>
      </c>
      <c r="V43" s="13">
        <v>5.3841463414634143</v>
      </c>
      <c r="W43" s="13">
        <v>3.7317073170731709</v>
      </c>
      <c r="X43" s="13">
        <v>1.6737804878048781</v>
      </c>
      <c r="Y43" s="13">
        <v>1.5426829268292683</v>
      </c>
      <c r="Z43" s="13">
        <v>5.3932926829268295</v>
      </c>
      <c r="AA43" s="13">
        <v>3.6371951219512195</v>
      </c>
      <c r="AB43" s="13">
        <v>2.7835365853658538</v>
      </c>
      <c r="AC43" s="13">
        <v>4.6951219512195124</v>
      </c>
      <c r="AD43" s="13">
        <v>4.0304878048780486</v>
      </c>
      <c r="AE43" s="13">
        <v>4.0274390243902438</v>
      </c>
      <c r="AF43" s="13">
        <v>16.39329268292683</v>
      </c>
      <c r="AG43" s="15">
        <v>17.225609756097562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</row>
    <row r="44" spans="1:71" ht="12" customHeight="1">
      <c r="A44" s="2"/>
      <c r="B44" s="10" t="s">
        <v>33</v>
      </c>
      <c r="C44" s="1" t="s">
        <v>34</v>
      </c>
      <c r="D44" s="1" t="s">
        <v>34</v>
      </c>
      <c r="E44" s="1" t="s">
        <v>34</v>
      </c>
      <c r="F44" s="1"/>
      <c r="G44" s="1" t="s">
        <v>34</v>
      </c>
      <c r="H44" s="1" t="s">
        <v>34</v>
      </c>
      <c r="I44" s="1" t="s">
        <v>34</v>
      </c>
      <c r="J44" s="1" t="s">
        <v>35</v>
      </c>
      <c r="K44" s="1"/>
      <c r="L44" s="1" t="s">
        <v>36</v>
      </c>
      <c r="M44" s="1"/>
      <c r="N44" s="1" t="s">
        <v>34</v>
      </c>
      <c r="O44" s="1" t="s">
        <v>35</v>
      </c>
      <c r="P44" s="1"/>
      <c r="Q44" s="1" t="s">
        <v>36</v>
      </c>
      <c r="R44" s="1" t="s">
        <v>34</v>
      </c>
      <c r="S44" s="1"/>
      <c r="T44" s="1" t="s">
        <v>35</v>
      </c>
      <c r="U44" s="1"/>
      <c r="V44" s="1"/>
      <c r="W44" s="1" t="s">
        <v>36</v>
      </c>
      <c r="X44" s="1" t="s">
        <v>34</v>
      </c>
      <c r="Y44" s="1" t="s">
        <v>34</v>
      </c>
      <c r="Z44" s="1" t="s">
        <v>35</v>
      </c>
      <c r="AA44" s="1"/>
      <c r="AB44" s="1" t="s">
        <v>36</v>
      </c>
      <c r="AC44" s="1"/>
      <c r="AD44" s="1" t="s">
        <v>34</v>
      </c>
      <c r="AE44" s="1"/>
      <c r="AF44" s="1" t="s">
        <v>35</v>
      </c>
      <c r="AG44" s="11" t="s">
        <v>36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</row>
    <row r="45" spans="1:71" ht="12" customHeight="1">
      <c r="A45" s="2"/>
      <c r="B45" s="10">
        <v>1</v>
      </c>
      <c r="C45" s="1">
        <v>53</v>
      </c>
      <c r="D45" s="1">
        <v>45</v>
      </c>
      <c r="E45" s="1">
        <v>67</v>
      </c>
      <c r="F45" s="1"/>
      <c r="G45" s="1">
        <v>53</v>
      </c>
      <c r="H45" s="1">
        <v>91</v>
      </c>
      <c r="I45" s="1">
        <v>57</v>
      </c>
      <c r="J45" s="1">
        <v>101</v>
      </c>
      <c r="K45" s="1"/>
      <c r="L45" s="1">
        <v>127</v>
      </c>
      <c r="M45" s="1"/>
      <c r="N45" s="1">
        <v>80</v>
      </c>
      <c r="O45" s="1">
        <v>114</v>
      </c>
      <c r="P45" s="1"/>
      <c r="Q45" s="1">
        <v>101</v>
      </c>
      <c r="R45" s="1">
        <v>101</v>
      </c>
      <c r="S45" s="1"/>
      <c r="T45" s="1">
        <v>127</v>
      </c>
      <c r="U45" s="1"/>
      <c r="V45" s="1"/>
      <c r="W45" s="1">
        <v>114</v>
      </c>
      <c r="X45" s="1">
        <v>45</v>
      </c>
      <c r="Y45" s="1">
        <v>53</v>
      </c>
      <c r="Z45" s="1">
        <v>101</v>
      </c>
      <c r="AA45" s="1"/>
      <c r="AB45" s="1">
        <v>101</v>
      </c>
      <c r="AC45" s="1"/>
      <c r="AD45" s="1">
        <v>85</v>
      </c>
      <c r="AE45" s="1"/>
      <c r="AF45" s="1">
        <v>127</v>
      </c>
      <c r="AG45" s="11">
        <v>114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</row>
    <row r="46" spans="1:71" ht="12" customHeight="1">
      <c r="A46" s="2"/>
      <c r="B46" s="10">
        <v>4</v>
      </c>
      <c r="C46" s="1">
        <v>106</v>
      </c>
      <c r="D46" s="1">
        <v>90</v>
      </c>
      <c r="E46" s="1">
        <v>134</v>
      </c>
      <c r="F46" s="1"/>
      <c r="G46" s="1">
        <v>106</v>
      </c>
      <c r="H46" s="1">
        <v>179</v>
      </c>
      <c r="I46" s="1">
        <v>113</v>
      </c>
      <c r="J46" s="1">
        <v>199</v>
      </c>
      <c r="K46" s="1"/>
      <c r="L46" s="1">
        <v>252</v>
      </c>
      <c r="M46" s="1"/>
      <c r="N46" s="1">
        <v>158</v>
      </c>
      <c r="O46" s="1">
        <v>227</v>
      </c>
      <c r="P46" s="1"/>
      <c r="Q46" s="1">
        <v>199</v>
      </c>
      <c r="R46" s="1">
        <v>199</v>
      </c>
      <c r="S46" s="1"/>
      <c r="T46" s="1">
        <v>252</v>
      </c>
      <c r="U46" s="1"/>
      <c r="V46" s="1"/>
      <c r="W46" s="1">
        <v>227</v>
      </c>
      <c r="X46" s="1">
        <v>90</v>
      </c>
      <c r="Y46" s="1">
        <v>106</v>
      </c>
      <c r="Z46" s="1">
        <v>199</v>
      </c>
      <c r="AA46" s="1"/>
      <c r="AB46" s="1">
        <v>199</v>
      </c>
      <c r="AC46" s="1"/>
      <c r="AD46" s="1">
        <v>169</v>
      </c>
      <c r="AE46" s="1"/>
      <c r="AF46" s="1">
        <v>252</v>
      </c>
      <c r="AG46" s="11">
        <v>227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</row>
    <row r="47" spans="1:71" ht="12" customHeight="1">
      <c r="A47" s="2"/>
      <c r="B47" s="10">
        <v>7</v>
      </c>
      <c r="C47" s="1">
        <v>193</v>
      </c>
      <c r="D47" s="1">
        <v>163</v>
      </c>
      <c r="E47" s="1">
        <v>243</v>
      </c>
      <c r="F47" s="1"/>
      <c r="G47" s="1">
        <v>193</v>
      </c>
      <c r="H47" s="1">
        <v>326</v>
      </c>
      <c r="I47" s="1">
        <v>206</v>
      </c>
      <c r="J47" s="1">
        <v>363</v>
      </c>
      <c r="K47" s="1"/>
      <c r="L47" s="1">
        <v>458</v>
      </c>
      <c r="M47" s="1"/>
      <c r="N47" s="1">
        <v>287</v>
      </c>
      <c r="O47" s="1">
        <v>412</v>
      </c>
      <c r="P47" s="1"/>
      <c r="Q47" s="1">
        <v>363</v>
      </c>
      <c r="R47" s="1">
        <v>363</v>
      </c>
      <c r="S47" s="1"/>
      <c r="T47" s="1">
        <v>458</v>
      </c>
      <c r="U47" s="1"/>
      <c r="V47" s="1"/>
      <c r="W47" s="1">
        <v>412</v>
      </c>
      <c r="X47" s="1">
        <v>163</v>
      </c>
      <c r="Y47" s="1">
        <v>193</v>
      </c>
      <c r="Z47" s="1">
        <v>363</v>
      </c>
      <c r="AA47" s="1"/>
      <c r="AB47" s="1">
        <v>363</v>
      </c>
      <c r="AC47" s="1"/>
      <c r="AD47" s="1">
        <v>307</v>
      </c>
      <c r="AE47" s="1"/>
      <c r="AF47" s="1">
        <v>458</v>
      </c>
      <c r="AG47" s="11">
        <v>412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</row>
    <row r="48" spans="1:71" ht="12" customHeight="1">
      <c r="A48" s="2"/>
      <c r="B48" s="10">
        <v>10</v>
      </c>
      <c r="C48" s="1">
        <v>277</v>
      </c>
      <c r="D48" s="1">
        <v>235</v>
      </c>
      <c r="E48" s="1">
        <v>349</v>
      </c>
      <c r="F48" s="1"/>
      <c r="G48" s="1">
        <v>277</v>
      </c>
      <c r="H48" s="1">
        <v>469</v>
      </c>
      <c r="I48" s="1">
        <v>296</v>
      </c>
      <c r="J48" s="1">
        <v>521</v>
      </c>
      <c r="K48" s="1"/>
      <c r="L48" s="1">
        <v>657</v>
      </c>
      <c r="M48" s="1"/>
      <c r="N48" s="1">
        <v>412</v>
      </c>
      <c r="O48" s="1">
        <v>592</v>
      </c>
      <c r="P48" s="1"/>
      <c r="Q48" s="1">
        <v>521</v>
      </c>
      <c r="R48" s="1">
        <v>521</v>
      </c>
      <c r="S48" s="1"/>
      <c r="T48" s="1">
        <v>657</v>
      </c>
      <c r="U48" s="1"/>
      <c r="V48" s="1"/>
      <c r="W48" s="1">
        <v>592</v>
      </c>
      <c r="X48" s="1">
        <v>235</v>
      </c>
      <c r="Y48" s="1">
        <v>277</v>
      </c>
      <c r="Z48" s="1">
        <v>521</v>
      </c>
      <c r="AA48" s="1"/>
      <c r="AB48" s="1">
        <v>521</v>
      </c>
      <c r="AC48" s="1"/>
      <c r="AD48" s="1">
        <v>441</v>
      </c>
      <c r="AE48" s="1"/>
      <c r="AF48" s="1">
        <v>657</v>
      </c>
      <c r="AG48" s="11">
        <v>592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</row>
    <row r="49" spans="1:71" ht="12" customHeight="1">
      <c r="A49" s="2"/>
      <c r="B49" s="16">
        <v>1</v>
      </c>
      <c r="C49" s="17">
        <v>2</v>
      </c>
      <c r="D49" s="17">
        <v>3</v>
      </c>
      <c r="E49" s="17">
        <v>4</v>
      </c>
      <c r="F49" s="17">
        <v>5</v>
      </c>
      <c r="G49" s="17">
        <v>6</v>
      </c>
      <c r="H49" s="17">
        <v>7</v>
      </c>
      <c r="I49" s="17">
        <v>8</v>
      </c>
      <c r="J49" s="17">
        <v>9</v>
      </c>
      <c r="K49" s="17">
        <v>10</v>
      </c>
      <c r="L49" s="17">
        <v>11</v>
      </c>
      <c r="M49" s="17">
        <v>12</v>
      </c>
      <c r="N49" s="17">
        <v>13</v>
      </c>
      <c r="O49" s="17">
        <v>14</v>
      </c>
      <c r="P49" s="17">
        <v>15</v>
      </c>
      <c r="Q49" s="17">
        <v>16</v>
      </c>
      <c r="R49" s="17">
        <v>17</v>
      </c>
      <c r="S49" s="17">
        <v>18</v>
      </c>
      <c r="T49" s="17">
        <v>19</v>
      </c>
      <c r="U49" s="17">
        <v>20</v>
      </c>
      <c r="V49" s="17">
        <v>21</v>
      </c>
      <c r="W49" s="17">
        <v>22</v>
      </c>
      <c r="X49" s="17">
        <v>23</v>
      </c>
      <c r="Y49" s="17">
        <v>24</v>
      </c>
      <c r="Z49" s="17">
        <v>25</v>
      </c>
      <c r="AA49" s="17">
        <v>26</v>
      </c>
      <c r="AB49" s="17">
        <v>27</v>
      </c>
      <c r="AC49" s="17">
        <v>28</v>
      </c>
      <c r="AD49" s="17">
        <v>29</v>
      </c>
      <c r="AE49" s="17">
        <v>30</v>
      </c>
      <c r="AF49" s="17">
        <v>31</v>
      </c>
      <c r="AG49" s="21">
        <v>32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</row>
    <row r="50" spans="1:71" ht="12" customHeight="1">
      <c r="A50" s="2"/>
      <c r="B50" s="20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4"/>
      <c r="Q50" s="25" t="s">
        <v>53</v>
      </c>
      <c r="R50" s="26" t="s">
        <v>54</v>
      </c>
      <c r="S50" s="27"/>
      <c r="T50" s="27"/>
      <c r="U50" s="27"/>
      <c r="V50" s="27"/>
      <c r="W50" s="29"/>
      <c r="X50" s="26" t="s">
        <v>55</v>
      </c>
      <c r="Y50" s="27"/>
      <c r="Z50" s="27"/>
      <c r="AA50" s="27"/>
      <c r="AB50" s="27"/>
      <c r="AC50" s="29"/>
      <c r="AD50" s="26" t="s">
        <v>56</v>
      </c>
      <c r="AE50" s="27"/>
      <c r="AF50" s="27"/>
      <c r="AG50" s="29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2"/>
      <c r="AX50" s="2"/>
      <c r="AY50" s="2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</row>
    <row r="51" spans="1:71" ht="12" customHeight="1">
      <c r="A51" s="2"/>
      <c r="B51" s="3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33"/>
      <c r="Q51" s="35" t="s">
        <v>49</v>
      </c>
      <c r="R51" s="37">
        <v>1</v>
      </c>
      <c r="S51" s="39"/>
      <c r="T51" s="37">
        <v>2</v>
      </c>
      <c r="U51" s="39"/>
      <c r="V51" s="37">
        <v>3</v>
      </c>
      <c r="W51" s="39"/>
      <c r="X51" s="37">
        <v>1</v>
      </c>
      <c r="Y51" s="39"/>
      <c r="Z51" s="37">
        <v>2</v>
      </c>
      <c r="AA51" s="39"/>
      <c r="AB51" s="43">
        <v>3</v>
      </c>
      <c r="AC51" s="39"/>
      <c r="AD51" s="37">
        <v>1</v>
      </c>
      <c r="AE51" s="39"/>
      <c r="AF51" s="43">
        <v>2</v>
      </c>
      <c r="AG51" s="39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2"/>
      <c r="AX51" s="2"/>
      <c r="AY51" s="2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</row>
    <row r="52" spans="1:71" ht="12" customHeight="1">
      <c r="A52" s="2"/>
      <c r="B52" s="31"/>
      <c r="C52" s="2"/>
      <c r="D52" s="2"/>
      <c r="E52" s="2"/>
      <c r="F52" s="185" t="s">
        <v>66</v>
      </c>
      <c r="G52" s="186"/>
      <c r="H52" s="186"/>
      <c r="I52" s="186"/>
      <c r="J52" s="186"/>
      <c r="K52" s="186"/>
      <c r="L52" s="186"/>
      <c r="M52" s="186"/>
      <c r="N52" s="186"/>
      <c r="O52" s="186"/>
      <c r="P52" s="33"/>
      <c r="Q52" s="45" t="s">
        <v>2</v>
      </c>
      <c r="R52" s="20"/>
      <c r="S52" s="24"/>
      <c r="T52" s="20">
        <v>0</v>
      </c>
      <c r="U52" s="24">
        <v>1</v>
      </c>
      <c r="V52" s="20">
        <v>0</v>
      </c>
      <c r="W52" s="24">
        <v>15</v>
      </c>
      <c r="X52" s="20"/>
      <c r="Y52" s="24"/>
      <c r="Z52" s="20">
        <v>1</v>
      </c>
      <c r="AA52" s="24">
        <v>1.18</v>
      </c>
      <c r="AB52" s="20">
        <v>1</v>
      </c>
      <c r="AC52" s="24">
        <v>1.3</v>
      </c>
      <c r="AD52" s="20"/>
      <c r="AE52" s="24"/>
      <c r="AF52" s="22">
        <v>1</v>
      </c>
      <c r="AG52" s="24">
        <v>1</v>
      </c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2"/>
      <c r="AX52" s="2"/>
      <c r="AY52" s="2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</row>
    <row r="53" spans="1:71" ht="12" customHeight="1">
      <c r="A53" s="2"/>
      <c r="B53" s="31"/>
      <c r="C53" s="2"/>
      <c r="D53" s="2"/>
      <c r="E53" s="2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33"/>
      <c r="Q53" s="47" t="s">
        <v>3</v>
      </c>
      <c r="R53" s="31"/>
      <c r="S53" s="33"/>
      <c r="T53" s="31"/>
      <c r="U53" s="33"/>
      <c r="V53" s="31"/>
      <c r="W53" s="33"/>
      <c r="X53" s="31">
        <v>1</v>
      </c>
      <c r="Y53" s="33">
        <v>1.5</v>
      </c>
      <c r="Z53" s="31">
        <v>1</v>
      </c>
      <c r="AA53" s="33">
        <v>0.5</v>
      </c>
      <c r="AB53" s="31">
        <v>1</v>
      </c>
      <c r="AC53" s="33">
        <f>0.25*0.25</f>
        <v>6.25E-2</v>
      </c>
      <c r="AD53" s="31">
        <v>1</v>
      </c>
      <c r="AE53" s="33">
        <v>1.2</v>
      </c>
      <c r="AF53" s="2">
        <v>0</v>
      </c>
      <c r="AG53" s="33">
        <v>1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2"/>
      <c r="AX53" s="2"/>
      <c r="AY53" s="2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</row>
    <row r="54" spans="1:71" ht="12" customHeight="1">
      <c r="A54" s="2"/>
      <c r="B54" s="31"/>
      <c r="C54" s="54" t="s">
        <v>68</v>
      </c>
      <c r="D54" s="56">
        <f>C29</f>
        <v>1344.3166430000001</v>
      </c>
      <c r="E54" s="2"/>
      <c r="F54" s="185" t="s">
        <v>69</v>
      </c>
      <c r="G54" s="186"/>
      <c r="H54" s="186"/>
      <c r="I54" s="186"/>
      <c r="J54" s="186"/>
      <c r="K54" s="186"/>
      <c r="L54" s="186"/>
      <c r="M54" s="186"/>
      <c r="N54" s="186"/>
      <c r="O54" s="186"/>
      <c r="P54" s="33"/>
      <c r="Q54" s="47" t="s">
        <v>4</v>
      </c>
      <c r="R54" s="31"/>
      <c r="S54" s="33"/>
      <c r="T54" s="31"/>
      <c r="U54" s="33"/>
      <c r="V54" s="31">
        <v>1</v>
      </c>
      <c r="W54" s="33">
        <v>1.5</v>
      </c>
      <c r="X54" s="31"/>
      <c r="Y54" s="33"/>
      <c r="Z54" s="31"/>
      <c r="AA54" s="33"/>
      <c r="AB54" s="31">
        <v>1</v>
      </c>
      <c r="AC54" s="33">
        <v>1.4</v>
      </c>
      <c r="AD54" s="31">
        <v>1</v>
      </c>
      <c r="AE54" s="33">
        <v>2</v>
      </c>
      <c r="AF54" s="2">
        <v>1</v>
      </c>
      <c r="AG54" s="33">
        <v>1.7250000000000001</v>
      </c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2"/>
      <c r="AX54" s="2"/>
      <c r="AY54" s="2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</row>
    <row r="55" spans="1:71" ht="12" customHeight="1">
      <c r="A55" s="2"/>
      <c r="B55" s="31"/>
      <c r="C55" s="25" t="s">
        <v>70</v>
      </c>
      <c r="D55" s="50">
        <v>101</v>
      </c>
      <c r="E55" s="2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33"/>
      <c r="Q55" s="47" t="s">
        <v>5</v>
      </c>
      <c r="R55" s="31"/>
      <c r="S55" s="33"/>
      <c r="T55" s="31">
        <v>1</v>
      </c>
      <c r="U55" s="33">
        <v>0.8</v>
      </c>
      <c r="V55" s="31"/>
      <c r="W55" s="33"/>
      <c r="X55" s="31">
        <v>1</v>
      </c>
      <c r="Y55" s="33">
        <v>1.25</v>
      </c>
      <c r="Z55" s="31"/>
      <c r="AA55" s="33"/>
      <c r="AB55" s="31">
        <v>1</v>
      </c>
      <c r="AC55" s="60">
        <v>1.2133333333333334</v>
      </c>
      <c r="AD55" s="31">
        <v>1</v>
      </c>
      <c r="AE55" s="33">
        <v>1.5</v>
      </c>
      <c r="AF55" s="2">
        <v>1</v>
      </c>
      <c r="AG55" s="33">
        <v>2.4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2"/>
      <c r="AX55" s="2"/>
      <c r="AY55" s="2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</row>
    <row r="56" spans="1:71" ht="12" customHeight="1">
      <c r="A56" s="2"/>
      <c r="B56" s="31"/>
      <c r="C56" s="25" t="s">
        <v>72</v>
      </c>
      <c r="D56" s="50">
        <v>2817</v>
      </c>
      <c r="E56" s="2"/>
      <c r="F56" s="185" t="s">
        <v>74</v>
      </c>
      <c r="G56" s="186"/>
      <c r="H56" s="186"/>
      <c r="I56" s="186"/>
      <c r="J56" s="186"/>
      <c r="K56" s="186"/>
      <c r="L56" s="186"/>
      <c r="M56" s="186"/>
      <c r="N56" s="186"/>
      <c r="O56" s="186"/>
      <c r="P56" s="33"/>
      <c r="Q56" s="47" t="s">
        <v>6</v>
      </c>
      <c r="R56" s="31">
        <v>1</v>
      </c>
      <c r="S56" s="33">
        <v>0.5</v>
      </c>
      <c r="T56" s="31"/>
      <c r="U56" s="33"/>
      <c r="V56" s="31">
        <v>1</v>
      </c>
      <c r="W56" s="33">
        <v>1.2</v>
      </c>
      <c r="X56" s="31"/>
      <c r="Y56" s="33"/>
      <c r="Z56" s="31">
        <v>0</v>
      </c>
      <c r="AA56" s="33">
        <v>60</v>
      </c>
      <c r="AB56" s="31">
        <v>1</v>
      </c>
      <c r="AC56" s="33">
        <v>1.24</v>
      </c>
      <c r="AD56" s="31">
        <v>1</v>
      </c>
      <c r="AE56" s="33">
        <v>1.6</v>
      </c>
      <c r="AF56" s="2">
        <v>1</v>
      </c>
      <c r="AG56" s="33">
        <v>1.4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2"/>
      <c r="AX56" s="2"/>
      <c r="AY56" s="2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</row>
    <row r="57" spans="1:71" ht="12" customHeight="1">
      <c r="A57" s="2"/>
      <c r="B57" s="31"/>
      <c r="C57" s="25" t="s">
        <v>75</v>
      </c>
      <c r="D57" s="165">
        <f>B17</f>
        <v>19.001300000000001</v>
      </c>
      <c r="E57" s="2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33"/>
      <c r="Q57" s="47" t="s">
        <v>7</v>
      </c>
      <c r="R57" s="31">
        <v>1</v>
      </c>
      <c r="S57" s="33">
        <v>0.5</v>
      </c>
      <c r="T57" s="31">
        <v>0</v>
      </c>
      <c r="U57" s="33">
        <v>0.625</v>
      </c>
      <c r="V57" s="31"/>
      <c r="W57" s="33"/>
      <c r="X57" s="31">
        <v>1</v>
      </c>
      <c r="Y57" s="33">
        <v>0.8</v>
      </c>
      <c r="Z57" s="31">
        <v>1</v>
      </c>
      <c r="AA57" s="33">
        <v>1.5</v>
      </c>
      <c r="AB57" s="31"/>
      <c r="AC57" s="33"/>
      <c r="AD57" s="31">
        <v>1</v>
      </c>
      <c r="AE57" s="33">
        <v>2</v>
      </c>
      <c r="AF57" s="2">
        <v>0</v>
      </c>
      <c r="AG57" s="33">
        <v>3</v>
      </c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2"/>
      <c r="AX57" s="2"/>
      <c r="AY57" s="2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</row>
    <row r="58" spans="1:71" ht="12" customHeight="1">
      <c r="A58" s="2"/>
      <c r="B58" s="31"/>
      <c r="C58" s="25" t="s">
        <v>76</v>
      </c>
      <c r="D58" s="63">
        <v>200</v>
      </c>
      <c r="E58" s="2"/>
      <c r="F58" s="185" t="s">
        <v>77</v>
      </c>
      <c r="G58" s="186"/>
      <c r="H58" s="186"/>
      <c r="I58" s="186"/>
      <c r="J58" s="186"/>
      <c r="K58" s="186"/>
      <c r="L58" s="186"/>
      <c r="M58" s="186"/>
      <c r="N58" s="186"/>
      <c r="O58" s="186"/>
      <c r="P58" s="33"/>
      <c r="Q58" s="47" t="s">
        <v>8</v>
      </c>
      <c r="R58" s="31">
        <v>1</v>
      </c>
      <c r="S58" s="33">
        <v>1.2</v>
      </c>
      <c r="T58" s="31"/>
      <c r="U58" s="33"/>
      <c r="V58" s="31"/>
      <c r="W58" s="33"/>
      <c r="X58" s="31">
        <v>0</v>
      </c>
      <c r="Y58" s="33">
        <v>25</v>
      </c>
      <c r="Z58" s="31"/>
      <c r="AA58" s="33"/>
      <c r="AB58" s="31">
        <v>1</v>
      </c>
      <c r="AC58" s="33">
        <v>1.24</v>
      </c>
      <c r="AD58" s="31">
        <v>1</v>
      </c>
      <c r="AE58" s="33">
        <v>1.5</v>
      </c>
      <c r="AF58" s="2">
        <v>1</v>
      </c>
      <c r="AG58" s="33">
        <v>1.2</v>
      </c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2"/>
      <c r="AX58" s="2"/>
      <c r="AY58" s="2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</row>
    <row r="59" spans="1:71" ht="12" customHeight="1">
      <c r="A59" s="2"/>
      <c r="B59" s="31"/>
      <c r="C59" s="67" t="s">
        <v>78</v>
      </c>
      <c r="D59" s="68">
        <v>40</v>
      </c>
      <c r="E59" s="2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33"/>
      <c r="Q59" s="47" t="s">
        <v>9</v>
      </c>
      <c r="R59" s="31"/>
      <c r="S59" s="33"/>
      <c r="T59" s="31">
        <v>0</v>
      </c>
      <c r="U59" s="33">
        <v>1</v>
      </c>
      <c r="V59" s="31">
        <v>0</v>
      </c>
      <c r="W59" s="33">
        <v>1</v>
      </c>
      <c r="X59" s="31">
        <v>1</v>
      </c>
      <c r="Y59" s="33">
        <v>1.5</v>
      </c>
      <c r="Z59" s="31"/>
      <c r="AA59" s="33"/>
      <c r="AB59" s="31">
        <v>0</v>
      </c>
      <c r="AC59" s="33">
        <v>60</v>
      </c>
      <c r="AD59" s="31">
        <v>1</v>
      </c>
      <c r="AE59" s="33">
        <v>3</v>
      </c>
      <c r="AF59" s="2">
        <v>1</v>
      </c>
      <c r="AG59" s="33">
        <v>1.3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2"/>
      <c r="AX59" s="2"/>
      <c r="AY59" s="2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</row>
    <row r="60" spans="1:71" ht="12" customHeight="1">
      <c r="A60" s="2"/>
      <c r="B60" s="31"/>
      <c r="C60" s="54" t="s">
        <v>80</v>
      </c>
      <c r="D60" s="23">
        <v>1</v>
      </c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33"/>
      <c r="Q60" s="47" t="s">
        <v>10</v>
      </c>
      <c r="R60" s="31">
        <v>1</v>
      </c>
      <c r="S60" s="33">
        <v>0.85</v>
      </c>
      <c r="T60" s="31">
        <v>1</v>
      </c>
      <c r="U60" s="33">
        <v>1.18</v>
      </c>
      <c r="V60" s="31"/>
      <c r="W60" s="33"/>
      <c r="X60" s="31">
        <v>1</v>
      </c>
      <c r="Y60" s="33">
        <v>1.25</v>
      </c>
      <c r="Z60" s="31">
        <v>0</v>
      </c>
      <c r="AA60" s="33">
        <v>30</v>
      </c>
      <c r="AB60" s="31"/>
      <c r="AC60" s="33"/>
      <c r="AD60" s="31">
        <v>1</v>
      </c>
      <c r="AE60" s="33">
        <v>1</v>
      </c>
      <c r="AF60" s="2">
        <v>0</v>
      </c>
      <c r="AG60" s="33">
        <v>100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2"/>
      <c r="AX60" s="2"/>
      <c r="AY60" s="2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</row>
    <row r="61" spans="1:71" ht="12" customHeight="1">
      <c r="A61" s="2"/>
      <c r="B61" s="31"/>
      <c r="C61" s="67" t="s">
        <v>81</v>
      </c>
      <c r="D61" s="68">
        <v>1.5</v>
      </c>
      <c r="E61" s="2"/>
      <c r="F61" s="1"/>
      <c r="G61" s="1"/>
      <c r="H61" s="1"/>
      <c r="I61" s="1"/>
      <c r="J61" s="1"/>
      <c r="K61" s="1"/>
      <c r="L61" s="1"/>
      <c r="M61" s="1"/>
      <c r="N61" s="1"/>
      <c r="O61" s="1"/>
      <c r="P61" s="33"/>
      <c r="Q61" s="47" t="s">
        <v>11</v>
      </c>
      <c r="R61" s="31">
        <v>0</v>
      </c>
      <c r="S61" s="33">
        <v>5</v>
      </c>
      <c r="T61" s="31">
        <v>0</v>
      </c>
      <c r="U61" s="33">
        <v>15</v>
      </c>
      <c r="V61" s="31"/>
      <c r="W61" s="33"/>
      <c r="X61" s="31"/>
      <c r="Y61" s="33"/>
      <c r="Z61" s="31">
        <v>1</v>
      </c>
      <c r="AA61" s="33">
        <v>1.5</v>
      </c>
      <c r="AB61" s="31"/>
      <c r="AC61" s="33"/>
      <c r="AD61" s="31">
        <v>1</v>
      </c>
      <c r="AE61" s="33">
        <v>6</v>
      </c>
      <c r="AF61" s="2"/>
      <c r="AG61" s="33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2"/>
      <c r="AX61" s="2"/>
      <c r="AY61" s="2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</row>
    <row r="62" spans="1:71" ht="12" customHeight="1">
      <c r="A62" s="2"/>
      <c r="B62" s="31"/>
      <c r="C62" s="2"/>
      <c r="D62" s="1"/>
      <c r="E62" s="2"/>
      <c r="F62" s="185" t="s">
        <v>85</v>
      </c>
      <c r="G62" s="186"/>
      <c r="H62" s="186"/>
      <c r="I62" s="186"/>
      <c r="J62" s="186"/>
      <c r="K62" s="186"/>
      <c r="L62" s="186"/>
      <c r="M62" s="186"/>
      <c r="N62" s="186"/>
      <c r="O62" s="186"/>
      <c r="P62" s="33"/>
      <c r="Q62" s="47" t="s">
        <v>12</v>
      </c>
      <c r="R62" s="31"/>
      <c r="S62" s="33"/>
      <c r="T62" s="31"/>
      <c r="U62" s="33"/>
      <c r="V62" s="31"/>
      <c r="W62" s="33"/>
      <c r="X62" s="31">
        <v>1</v>
      </c>
      <c r="Y62" s="33">
        <v>1.3</v>
      </c>
      <c r="Z62" s="31">
        <v>0</v>
      </c>
      <c r="AA62" s="33">
        <v>40</v>
      </c>
      <c r="AB62" s="31">
        <v>1</v>
      </c>
      <c r="AC62" s="33">
        <v>1.4</v>
      </c>
      <c r="AD62" s="31">
        <v>0</v>
      </c>
      <c r="AE62" s="33">
        <v>0.5</v>
      </c>
      <c r="AF62" s="2">
        <v>0</v>
      </c>
      <c r="AG62" s="33">
        <v>0.6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2"/>
      <c r="AX62" s="2"/>
      <c r="AY62" s="2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</row>
    <row r="63" spans="1:71" ht="12" customHeight="1">
      <c r="A63" s="2"/>
      <c r="B63" s="31"/>
      <c r="C63" s="2"/>
      <c r="D63" s="1"/>
      <c r="E63" s="2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33"/>
      <c r="Q63" s="47" t="s">
        <v>13</v>
      </c>
      <c r="R63" s="31"/>
      <c r="S63" s="33"/>
      <c r="T63" s="31"/>
      <c r="U63" s="33"/>
      <c r="V63" s="31">
        <v>0</v>
      </c>
      <c r="W63" s="33">
        <v>40</v>
      </c>
      <c r="X63" s="31">
        <v>1</v>
      </c>
      <c r="Y63" s="33">
        <v>1.3</v>
      </c>
      <c r="Z63" s="31"/>
      <c r="AA63" s="33"/>
      <c r="AB63" s="31">
        <v>1</v>
      </c>
      <c r="AC63" s="33">
        <v>2</v>
      </c>
      <c r="AD63" s="31"/>
      <c r="AE63" s="33"/>
      <c r="AF63" s="2">
        <v>1</v>
      </c>
      <c r="AG63" s="33">
        <v>1.33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2"/>
      <c r="AX63" s="2"/>
      <c r="AY63" s="2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</row>
    <row r="64" spans="1:71" ht="12" customHeight="1">
      <c r="A64" s="2"/>
      <c r="B64" s="31"/>
      <c r="C64" s="2"/>
      <c r="D64" s="2"/>
      <c r="E64" s="2"/>
      <c r="F64" s="185" t="s">
        <v>88</v>
      </c>
      <c r="G64" s="186"/>
      <c r="H64" s="186"/>
      <c r="I64" s="186"/>
      <c r="J64" s="186"/>
      <c r="K64" s="186"/>
      <c r="L64" s="186"/>
      <c r="M64" s="186"/>
      <c r="N64" s="186"/>
      <c r="O64" s="186"/>
      <c r="P64" s="33"/>
      <c r="Q64" s="47" t="s">
        <v>14</v>
      </c>
      <c r="R64" s="31">
        <v>0</v>
      </c>
      <c r="S64" s="33">
        <v>50</v>
      </c>
      <c r="T64" s="31">
        <v>1</v>
      </c>
      <c r="U64" s="33">
        <v>0.5</v>
      </c>
      <c r="V64" s="31"/>
      <c r="W64" s="33"/>
      <c r="X64" s="31">
        <v>0</v>
      </c>
      <c r="Y64" s="33">
        <v>25</v>
      </c>
      <c r="Z64" s="31"/>
      <c r="AA64" s="33"/>
      <c r="AB64" s="31">
        <v>1</v>
      </c>
      <c r="AC64" s="33">
        <v>1.36</v>
      </c>
      <c r="AD64" s="31">
        <v>1</v>
      </c>
      <c r="AE64" s="33">
        <v>0.6</v>
      </c>
      <c r="AF64" s="2">
        <v>1</v>
      </c>
      <c r="AG64" s="33">
        <v>1.2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2"/>
      <c r="AX64" s="2"/>
      <c r="AY64" s="2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</row>
    <row r="65" spans="1:71" ht="12" customHeight="1">
      <c r="A65" s="2"/>
      <c r="B65" s="31"/>
      <c r="C65" s="2"/>
      <c r="D65" s="2"/>
      <c r="E65" s="2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33"/>
      <c r="Q65" s="47" t="s">
        <v>15</v>
      </c>
      <c r="R65" s="31"/>
      <c r="S65" s="33"/>
      <c r="T65" s="31">
        <v>1</v>
      </c>
      <c r="U65" s="33">
        <v>1.25</v>
      </c>
      <c r="V65" s="31">
        <v>0</v>
      </c>
      <c r="W65" s="74">
        <v>1</v>
      </c>
      <c r="X65" s="31">
        <v>1</v>
      </c>
      <c r="Y65" s="33">
        <v>0.8</v>
      </c>
      <c r="Z65" s="31"/>
      <c r="AA65" s="33"/>
      <c r="AB65" s="31">
        <v>1</v>
      </c>
      <c r="AC65" s="33">
        <v>0.2</v>
      </c>
      <c r="AD65" s="31">
        <v>0</v>
      </c>
      <c r="AE65" s="33">
        <v>40</v>
      </c>
      <c r="AF65" s="2">
        <v>1</v>
      </c>
      <c r="AG65" s="33">
        <v>1.3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2"/>
      <c r="AX65" s="2"/>
      <c r="AY65" s="2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ht="12" customHeight="1">
      <c r="A66" s="2"/>
      <c r="B66" s="31"/>
      <c r="C66" s="2"/>
      <c r="D66" s="2"/>
      <c r="E66" s="2"/>
      <c r="F66" s="194" t="s">
        <v>90</v>
      </c>
      <c r="G66" s="186"/>
      <c r="H66" s="186"/>
      <c r="I66" s="186"/>
      <c r="J66" s="186"/>
      <c r="K66" s="186"/>
      <c r="L66" s="186"/>
      <c r="M66" s="186"/>
      <c r="N66" s="186"/>
      <c r="O66" s="186"/>
      <c r="P66" s="33"/>
      <c r="Q66" s="47" t="s">
        <v>16</v>
      </c>
      <c r="R66" s="31">
        <v>1</v>
      </c>
      <c r="S66" s="33">
        <v>0.5</v>
      </c>
      <c r="T66" s="31">
        <v>1</v>
      </c>
      <c r="U66" s="33">
        <v>0.9</v>
      </c>
      <c r="V66" s="31">
        <v>0</v>
      </c>
      <c r="W66" s="33">
        <v>15</v>
      </c>
      <c r="X66" s="31">
        <v>1</v>
      </c>
      <c r="Y66" s="33">
        <v>1.4</v>
      </c>
      <c r="Z66" s="31"/>
      <c r="AA66" s="33"/>
      <c r="AB66" s="31"/>
      <c r="AC66" s="33"/>
      <c r="AD66" s="31">
        <v>1</v>
      </c>
      <c r="AE66" s="33">
        <v>1.5</v>
      </c>
      <c r="AF66" s="2">
        <v>1</v>
      </c>
      <c r="AG66" s="33">
        <v>1.5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2"/>
      <c r="AX66" s="2"/>
      <c r="AY66" s="2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ht="12" customHeight="1">
      <c r="A67" s="2"/>
      <c r="B67" s="31"/>
      <c r="C67" s="2"/>
      <c r="D67" s="2"/>
      <c r="E67" s="2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33"/>
      <c r="Q67" s="47" t="s">
        <v>17</v>
      </c>
      <c r="R67" s="31">
        <v>1</v>
      </c>
      <c r="S67" s="33">
        <v>0.8</v>
      </c>
      <c r="T67" s="31"/>
      <c r="U67" s="33"/>
      <c r="V67" s="31">
        <v>0</v>
      </c>
      <c r="W67" s="33">
        <v>1</v>
      </c>
      <c r="X67" s="31"/>
      <c r="Y67" s="33"/>
      <c r="Z67" s="31">
        <v>1</v>
      </c>
      <c r="AA67" s="33">
        <v>1.5</v>
      </c>
      <c r="AB67" s="31">
        <v>1</v>
      </c>
      <c r="AC67" s="33">
        <v>1.4</v>
      </c>
      <c r="AD67" s="31">
        <v>0</v>
      </c>
      <c r="AE67" s="33">
        <v>150</v>
      </c>
      <c r="AF67" s="2">
        <v>0</v>
      </c>
      <c r="AG67" s="33">
        <v>1</v>
      </c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2"/>
      <c r="AX67" s="2"/>
      <c r="AY67" s="2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ht="12" customHeight="1">
      <c r="A68" s="2"/>
      <c r="B68" s="31"/>
      <c r="C68" s="2"/>
      <c r="D68" s="2"/>
      <c r="E68" s="2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33"/>
      <c r="Q68" s="47" t="s">
        <v>18</v>
      </c>
      <c r="R68" s="31">
        <v>0</v>
      </c>
      <c r="S68" s="33">
        <v>4</v>
      </c>
      <c r="T68" s="31">
        <v>1</v>
      </c>
      <c r="U68" s="33">
        <v>0.8</v>
      </c>
      <c r="V68" s="31">
        <v>1</v>
      </c>
      <c r="W68" s="33">
        <v>1.2</v>
      </c>
      <c r="X68" s="31">
        <v>0</v>
      </c>
      <c r="Y68" s="33">
        <v>40</v>
      </c>
      <c r="Z68" s="31">
        <v>0</v>
      </c>
      <c r="AA68" s="33">
        <v>1</v>
      </c>
      <c r="AB68" s="31" t="s">
        <v>86</v>
      </c>
      <c r="AC68" s="33">
        <v>5</v>
      </c>
      <c r="AD68" s="31">
        <v>1</v>
      </c>
      <c r="AE68" s="33">
        <v>2.8</v>
      </c>
      <c r="AF68" s="2">
        <v>1</v>
      </c>
      <c r="AG68" s="33">
        <v>3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2"/>
      <c r="AX68" s="2"/>
      <c r="AY68" s="2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ht="12" customHeight="1">
      <c r="A69" s="2"/>
      <c r="B69" s="31"/>
      <c r="C69" s="2"/>
      <c r="D69" s="2"/>
      <c r="E69" s="2"/>
      <c r="F69" s="194" t="s">
        <v>94</v>
      </c>
      <c r="G69" s="186"/>
      <c r="H69" s="186"/>
      <c r="I69" s="186"/>
      <c r="J69" s="186"/>
      <c r="K69" s="186"/>
      <c r="L69" s="186"/>
      <c r="M69" s="186"/>
      <c r="N69" s="186"/>
      <c r="O69" s="186"/>
      <c r="P69" s="33"/>
      <c r="Q69" s="47" t="s">
        <v>19</v>
      </c>
      <c r="R69" s="31"/>
      <c r="S69" s="33"/>
      <c r="T69" s="31"/>
      <c r="U69" s="33"/>
      <c r="V69" s="31">
        <v>0</v>
      </c>
      <c r="W69" s="33">
        <v>100</v>
      </c>
      <c r="X69" s="31">
        <v>1</v>
      </c>
      <c r="Y69" s="33">
        <v>1.25</v>
      </c>
      <c r="Z69" s="31"/>
      <c r="AA69" s="33"/>
      <c r="AB69" s="31"/>
      <c r="AC69" s="33"/>
      <c r="AD69" s="31">
        <v>0</v>
      </c>
      <c r="AE69" s="33">
        <v>1</v>
      </c>
      <c r="AF69" s="2">
        <v>1</v>
      </c>
      <c r="AG69" s="33">
        <v>2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2"/>
      <c r="AX69" s="2"/>
      <c r="AY69" s="2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12" customHeight="1">
      <c r="A70" s="2"/>
      <c r="B70" s="31"/>
      <c r="C70" s="2"/>
      <c r="D70" s="2"/>
      <c r="E70" s="2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33"/>
      <c r="Q70" s="47" t="s">
        <v>20</v>
      </c>
      <c r="R70" s="31">
        <v>0</v>
      </c>
      <c r="S70" s="33">
        <v>3</v>
      </c>
      <c r="T70" s="31">
        <v>1</v>
      </c>
      <c r="U70" s="33">
        <v>0.5</v>
      </c>
      <c r="V70" s="31"/>
      <c r="W70" s="33"/>
      <c r="X70" s="31">
        <v>0</v>
      </c>
      <c r="Y70" s="33">
        <v>60</v>
      </c>
      <c r="Z70" s="31">
        <v>1</v>
      </c>
      <c r="AA70" s="33">
        <v>1.5</v>
      </c>
      <c r="AB70" s="31"/>
      <c r="AC70" s="33"/>
      <c r="AD70" s="31">
        <v>1</v>
      </c>
      <c r="AE70" s="33">
        <v>2</v>
      </c>
      <c r="AF70" s="2">
        <v>1</v>
      </c>
      <c r="AG70" s="33">
        <v>2</v>
      </c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2"/>
      <c r="AX70" s="2"/>
      <c r="AY70" s="2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ht="12" customHeight="1">
      <c r="A71" s="2"/>
      <c r="B71" s="3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33"/>
      <c r="Q71" s="47" t="s">
        <v>21</v>
      </c>
      <c r="R71" s="31">
        <v>0</v>
      </c>
      <c r="S71" s="33">
        <v>6</v>
      </c>
      <c r="T71" s="31">
        <v>0</v>
      </c>
      <c r="U71" s="33">
        <v>0.2</v>
      </c>
      <c r="V71" s="31"/>
      <c r="W71" s="33"/>
      <c r="X71" s="31">
        <v>0</v>
      </c>
      <c r="Y71" s="33">
        <v>0.3</v>
      </c>
      <c r="Z71" s="31"/>
      <c r="AA71" s="33"/>
      <c r="AB71" s="31">
        <v>1</v>
      </c>
      <c r="AC71" s="33">
        <v>1.5</v>
      </c>
      <c r="AD71" s="31">
        <v>1</v>
      </c>
      <c r="AE71" s="33">
        <v>1.4</v>
      </c>
      <c r="AF71" s="2">
        <v>1</v>
      </c>
      <c r="AG71" s="33">
        <v>1.6</v>
      </c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2"/>
      <c r="AX71" s="2"/>
      <c r="AY71" s="2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ht="12" customHeight="1">
      <c r="A72" s="2"/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3"/>
      <c r="Q72" s="84" t="s">
        <v>22</v>
      </c>
      <c r="R72" s="81">
        <v>1</v>
      </c>
      <c r="S72" s="83">
        <v>0.5</v>
      </c>
      <c r="T72" s="81"/>
      <c r="U72" s="83"/>
      <c r="V72" s="81"/>
      <c r="W72" s="83"/>
      <c r="X72" s="81">
        <v>1</v>
      </c>
      <c r="Y72" s="83">
        <v>1.3</v>
      </c>
      <c r="Z72" s="81"/>
      <c r="AA72" s="83"/>
      <c r="AB72" s="81">
        <v>0</v>
      </c>
      <c r="AC72" s="83">
        <v>0.4</v>
      </c>
      <c r="AD72" s="81"/>
      <c r="AE72" s="83"/>
      <c r="AF72" s="82">
        <v>0</v>
      </c>
      <c r="AG72" s="83">
        <v>100</v>
      </c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</row>
    <row r="73" spans="1:71" ht="12" customHeight="1">
      <c r="A73" s="2"/>
      <c r="B73" s="8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</row>
    <row r="74" spans="1:71" ht="12" customHeight="1">
      <c r="A74" s="2"/>
      <c r="B74" s="2"/>
      <c r="C74" s="2"/>
      <c r="D74" s="2"/>
      <c r="E74" s="1"/>
      <c r="F74" s="190" t="s">
        <v>93</v>
      </c>
      <c r="G74" s="191"/>
      <c r="H74" s="192"/>
      <c r="I74" s="190" t="s">
        <v>96</v>
      </c>
      <c r="J74" s="191"/>
      <c r="K74" s="191"/>
      <c r="L74" s="191"/>
      <c r="M74" s="191"/>
      <c r="N74" s="191"/>
      <c r="O74" s="191"/>
      <c r="P74" s="191"/>
      <c r="Q74" s="191"/>
      <c r="R74" s="192"/>
      <c r="S74" s="187" t="s">
        <v>97</v>
      </c>
      <c r="T74" s="188"/>
      <c r="U74" s="188"/>
      <c r="V74" s="188"/>
      <c r="W74" s="188"/>
      <c r="X74" s="189"/>
      <c r="Y74" s="187" t="s">
        <v>100</v>
      </c>
      <c r="Z74" s="188"/>
      <c r="AA74" s="188"/>
      <c r="AB74" s="188"/>
      <c r="AC74" s="188"/>
      <c r="AD74" s="189"/>
      <c r="AE74" s="1"/>
      <c r="AF74" s="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87" t="s">
        <v>54</v>
      </c>
      <c r="AS74" s="88"/>
      <c r="AT74" s="88"/>
      <c r="AU74" s="87" t="s">
        <v>55</v>
      </c>
      <c r="AV74" s="88"/>
      <c r="AW74" s="88"/>
      <c r="AX74" s="87" t="s">
        <v>56</v>
      </c>
      <c r="AY74" s="9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</row>
    <row r="75" spans="1:71" ht="12" customHeight="1">
      <c r="A75" s="1"/>
      <c r="B75" s="18" t="s">
        <v>47</v>
      </c>
      <c r="C75" s="20" t="s">
        <v>48</v>
      </c>
      <c r="D75" s="8" t="s">
        <v>49</v>
      </c>
      <c r="E75" s="22" t="s">
        <v>50</v>
      </c>
      <c r="F75" s="22" t="s">
        <v>104</v>
      </c>
      <c r="G75" s="22" t="s">
        <v>105</v>
      </c>
      <c r="H75" s="8" t="s">
        <v>51</v>
      </c>
      <c r="I75" s="38" t="s">
        <v>106</v>
      </c>
      <c r="J75" s="40" t="s">
        <v>107</v>
      </c>
      <c r="K75" s="40" t="s">
        <v>109</v>
      </c>
      <c r="L75" s="41" t="s">
        <v>110</v>
      </c>
      <c r="M75" s="6" t="s">
        <v>112</v>
      </c>
      <c r="N75" s="6" t="s">
        <v>113</v>
      </c>
      <c r="O75" s="6" t="s">
        <v>114</v>
      </c>
      <c r="P75" s="6" t="s">
        <v>115</v>
      </c>
      <c r="Q75" s="6" t="s">
        <v>116</v>
      </c>
      <c r="R75" s="9" t="s">
        <v>118</v>
      </c>
      <c r="S75" s="5" t="s">
        <v>52</v>
      </c>
      <c r="T75" s="6" t="s">
        <v>31</v>
      </c>
      <c r="U75" s="6" t="s">
        <v>32</v>
      </c>
      <c r="V75" s="6" t="s">
        <v>37</v>
      </c>
      <c r="W75" s="6" t="s">
        <v>38</v>
      </c>
      <c r="X75" s="9" t="s">
        <v>39</v>
      </c>
      <c r="Y75" s="5" t="s">
        <v>57</v>
      </c>
      <c r="Z75" s="6" t="s">
        <v>31</v>
      </c>
      <c r="AA75" s="6" t="s">
        <v>32</v>
      </c>
      <c r="AB75" s="6" t="s">
        <v>37</v>
      </c>
      <c r="AC75" s="6" t="s">
        <v>38</v>
      </c>
      <c r="AD75" s="9" t="s">
        <v>39</v>
      </c>
      <c r="AE75" s="95" t="s">
        <v>119</v>
      </c>
      <c r="AF75" s="96" t="s">
        <v>120</v>
      </c>
      <c r="AG75" s="96" t="s">
        <v>121</v>
      </c>
      <c r="AH75" s="96" t="s">
        <v>122</v>
      </c>
      <c r="AI75" s="96" t="s">
        <v>123</v>
      </c>
      <c r="AJ75" s="96" t="s">
        <v>124</v>
      </c>
      <c r="AK75" s="8" t="s">
        <v>125</v>
      </c>
      <c r="AL75" s="8" t="s">
        <v>126</v>
      </c>
      <c r="AM75" s="8" t="s">
        <v>127</v>
      </c>
      <c r="AN75" s="8" t="s">
        <v>128</v>
      </c>
      <c r="AO75" s="8" t="s">
        <v>129</v>
      </c>
      <c r="AP75" s="8" t="s">
        <v>130</v>
      </c>
      <c r="AQ75" s="8" t="s">
        <v>131</v>
      </c>
      <c r="AR75" s="37">
        <v>1</v>
      </c>
      <c r="AS75" s="43">
        <v>2</v>
      </c>
      <c r="AT75" s="43">
        <v>3</v>
      </c>
      <c r="AU75" s="43">
        <v>1</v>
      </c>
      <c r="AV75" s="43">
        <v>2</v>
      </c>
      <c r="AW75" s="43">
        <v>3</v>
      </c>
      <c r="AX75" s="43">
        <v>1</v>
      </c>
      <c r="AY75" s="39">
        <v>2</v>
      </c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</row>
    <row r="76" spans="1:71" ht="12" customHeight="1">
      <c r="A76" s="2"/>
      <c r="B76" s="97">
        <v>1</v>
      </c>
      <c r="C76" s="20">
        <v>10</v>
      </c>
      <c r="D76" s="98" t="s">
        <v>2</v>
      </c>
      <c r="E76" s="22" t="s">
        <v>67</v>
      </c>
      <c r="F76" s="22"/>
      <c r="G76" s="22"/>
      <c r="H76" s="24"/>
      <c r="I76" s="100">
        <f t="shared" ref="I76:I977" si="0">M76/AE76</f>
        <v>483.46887486614537</v>
      </c>
      <c r="J76" s="102">
        <f t="shared" ref="J76:J977" si="1">AH76/AE76</f>
        <v>34.625</v>
      </c>
      <c r="K76" s="102">
        <f t="shared" ref="K76:K977" si="2">RANK(I76,$I$76:$I$977)</f>
        <v>626</v>
      </c>
      <c r="L76" s="102">
        <f t="shared" ref="L76:L450" si="3">RANK(I76,$I$76:$I$450)</f>
        <v>220</v>
      </c>
      <c r="M76" s="100">
        <f t="shared" ref="M76:M199" si="4">SUM(N76:R76)</f>
        <v>3867.750998929163</v>
      </c>
      <c r="N76" s="103">
        <f t="shared" ref="N76:N117" si="5">T76*(1+(AG76/100)*(AI76/100-1))</f>
        <v>3867.750998929163</v>
      </c>
      <c r="O76" s="103"/>
      <c r="P76" s="103"/>
      <c r="Q76" s="103"/>
      <c r="R76" s="104"/>
      <c r="S76" s="100">
        <f t="shared" ref="S76:S313" si="6">SUM(T76:X76)</f>
        <v>2929.2657062865856</v>
      </c>
      <c r="T76" s="103">
        <f t="shared" ref="T76:T106" si="7">AL76*AV76*AW76*AY76</f>
        <v>2929.2657062865856</v>
      </c>
      <c r="U76" s="103"/>
      <c r="V76" s="103"/>
      <c r="W76" s="103"/>
      <c r="X76" s="104"/>
      <c r="Y76" s="100">
        <f t="shared" ref="Y76:Y977" si="8">SUM(Z76:AD76)</f>
        <v>5858.5314125731711</v>
      </c>
      <c r="Z76" s="103">
        <f t="shared" ref="Z76:Z230" si="9">T76*$D$58/100</f>
        <v>5858.5314125731711</v>
      </c>
      <c r="AA76" s="103"/>
      <c r="AB76" s="103"/>
      <c r="AC76" s="103"/>
      <c r="AD76" s="104"/>
      <c r="AE76" s="100">
        <f t="shared" ref="AE76:AE106" si="10">AO76-AS76</f>
        <v>8</v>
      </c>
      <c r="AF76" s="102"/>
      <c r="AG76" s="102">
        <f t="shared" ref="AG76:AG106" si="11">IF($D$57+AT76&gt;100,100,$D$57+AT76)</f>
        <v>19.001300000000001</v>
      </c>
      <c r="AH76" s="102">
        <f t="shared" ref="AH76:AH168" si="12">AQ76</f>
        <v>277</v>
      </c>
      <c r="AI76" s="102">
        <f t="shared" ref="AI76:AI139" si="13">$D$58+$D$19</f>
        <v>268.61079999999998</v>
      </c>
      <c r="AJ76" s="103">
        <f t="shared" ref="AJ76:AJ106" si="14">10*AY76/12</f>
        <v>0.83333333333333337</v>
      </c>
      <c r="AK76" s="102">
        <f t="shared" ref="AK76:AK357" si="15">SUM(AL76:AN76)</f>
        <v>2929.2657062865856</v>
      </c>
      <c r="AL76" s="102">
        <f t="shared" ref="AL76:AL106" si="16">(VLOOKUP(C76,$B$36:$AA$39,2,FALSE)+VLOOKUP(C76,$B$40:$AA$43,2,FALSE)*$D$54)*$D$59/100</f>
        <v>2929.2657062865856</v>
      </c>
      <c r="AM76" s="102"/>
      <c r="AN76" s="102"/>
      <c r="AO76" s="6">
        <v>8</v>
      </c>
      <c r="AP76" s="22">
        <v>15</v>
      </c>
      <c r="AQ76" s="105">
        <f t="shared" ref="AQ76:AQ106" si="17">VLOOKUP(C76,$B$45:$AA$48,2,FALSE)</f>
        <v>277</v>
      </c>
      <c r="AR76" s="31">
        <f t="shared" ref="AR76:AR106" si="18">IF(LEFT(E76,1)*1=1,$S$52,$R$52)</f>
        <v>0</v>
      </c>
      <c r="AS76" s="2">
        <f t="shared" ref="AS76:AS106" si="19">IF(LEFT(E76,1)*1=2,$U$52,$T$52)</f>
        <v>0</v>
      </c>
      <c r="AT76" s="33">
        <f t="shared" ref="AT76:AT106" si="20">IF(LEFT(E76,1)*1=3,$W$52,$V$52)</f>
        <v>0</v>
      </c>
      <c r="AU76" s="31">
        <f t="shared" ref="AU76:AU106" si="21">IF(MID(E76,3,1)*1=1,$Y$52,$X$52)</f>
        <v>0</v>
      </c>
      <c r="AV76" s="2">
        <f t="shared" ref="AV76:AV106" si="22">IF(MID(E76,3,1)*1=2,$AA$52,$Z$52)</f>
        <v>1</v>
      </c>
      <c r="AW76" s="33">
        <f t="shared" ref="AW76:AW106" si="23">IF(MID(E76,3,1)*1=3,$AC$52,$AB$52)</f>
        <v>1</v>
      </c>
      <c r="AX76" s="31">
        <f t="shared" ref="AX76:AX106" si="24">IF(MID(E76,5,1)*1=1,$AE$52,$AD$52)</f>
        <v>0</v>
      </c>
      <c r="AY76" s="33">
        <f t="shared" ref="AY76:AY106" si="25">IF(MID(E76,5,1)*1=2,$AG$52,$AF$52)</f>
        <v>1</v>
      </c>
      <c r="AZ76" s="2"/>
      <c r="BA76" s="101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 ht="12" customHeight="1">
      <c r="A77" s="2"/>
      <c r="B77" s="107">
        <v>2</v>
      </c>
      <c r="C77" s="31">
        <v>10</v>
      </c>
      <c r="D77" s="106" t="s">
        <v>2</v>
      </c>
      <c r="E77" s="2" t="s">
        <v>89</v>
      </c>
      <c r="F77" s="2"/>
      <c r="G77" s="2"/>
      <c r="H77" s="33"/>
      <c r="I77" s="99">
        <f t="shared" si="0"/>
        <v>570.49327234205157</v>
      </c>
      <c r="J77" s="101">
        <f t="shared" si="1"/>
        <v>34.625</v>
      </c>
      <c r="K77" s="101">
        <f t="shared" si="2"/>
        <v>507</v>
      </c>
      <c r="L77" s="74">
        <f t="shared" si="3"/>
        <v>177</v>
      </c>
      <c r="M77" s="99">
        <f t="shared" si="4"/>
        <v>4563.9461787364125</v>
      </c>
      <c r="N77" s="108">
        <f t="shared" si="5"/>
        <v>4563.9461787364125</v>
      </c>
      <c r="O77" s="108"/>
      <c r="P77" s="108"/>
      <c r="Q77" s="108"/>
      <c r="R77" s="109"/>
      <c r="S77" s="99">
        <f t="shared" si="6"/>
        <v>3456.5335334181709</v>
      </c>
      <c r="T77" s="108">
        <f t="shared" si="7"/>
        <v>3456.5335334181709</v>
      </c>
      <c r="U77" s="108"/>
      <c r="V77" s="108"/>
      <c r="W77" s="108"/>
      <c r="X77" s="109"/>
      <c r="Y77" s="99">
        <f t="shared" si="8"/>
        <v>6913.0670668363418</v>
      </c>
      <c r="Z77" s="108">
        <f t="shared" si="9"/>
        <v>6913.0670668363418</v>
      </c>
      <c r="AA77" s="108"/>
      <c r="AB77" s="108"/>
      <c r="AC77" s="108"/>
      <c r="AD77" s="109"/>
      <c r="AE77" s="99">
        <f t="shared" si="10"/>
        <v>8</v>
      </c>
      <c r="AF77" s="101"/>
      <c r="AG77" s="101">
        <f t="shared" si="11"/>
        <v>19.001300000000001</v>
      </c>
      <c r="AH77" s="101">
        <f t="shared" si="12"/>
        <v>277</v>
      </c>
      <c r="AI77" s="101">
        <f t="shared" si="13"/>
        <v>268.61079999999998</v>
      </c>
      <c r="AJ77" s="108">
        <f t="shared" si="14"/>
        <v>0.83333333333333337</v>
      </c>
      <c r="AK77" s="101">
        <f t="shared" si="15"/>
        <v>2929.2657062865856</v>
      </c>
      <c r="AL77" s="101">
        <f t="shared" si="16"/>
        <v>2929.2657062865856</v>
      </c>
      <c r="AM77" s="101"/>
      <c r="AN77" s="101"/>
      <c r="AO77" s="1">
        <v>8</v>
      </c>
      <c r="AP77" s="2">
        <v>15</v>
      </c>
      <c r="AQ77" s="74">
        <f t="shared" si="17"/>
        <v>277</v>
      </c>
      <c r="AR77" s="31">
        <f t="shared" si="18"/>
        <v>0</v>
      </c>
      <c r="AS77" s="2">
        <f t="shared" si="19"/>
        <v>0</v>
      </c>
      <c r="AT77" s="33">
        <f t="shared" si="20"/>
        <v>0</v>
      </c>
      <c r="AU77" s="31">
        <f t="shared" si="21"/>
        <v>0</v>
      </c>
      <c r="AV77" s="2">
        <f t="shared" si="22"/>
        <v>1.18</v>
      </c>
      <c r="AW77" s="33">
        <f t="shared" si="23"/>
        <v>1</v>
      </c>
      <c r="AX77" s="31">
        <f t="shared" si="24"/>
        <v>0</v>
      </c>
      <c r="AY77" s="33">
        <f t="shared" si="25"/>
        <v>1</v>
      </c>
      <c r="AZ77" s="2"/>
      <c r="BA77" s="101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 ht="12" customHeight="1">
      <c r="A78" s="2"/>
      <c r="B78" s="107">
        <v>3</v>
      </c>
      <c r="C78" s="31">
        <v>10</v>
      </c>
      <c r="D78" s="106" t="s">
        <v>2</v>
      </c>
      <c r="E78" s="2" t="s">
        <v>91</v>
      </c>
      <c r="F78" s="2"/>
      <c r="G78" s="2" t="s">
        <v>133</v>
      </c>
      <c r="H78" s="33"/>
      <c r="I78" s="99">
        <f t="shared" si="0"/>
        <v>628.50953732598896</v>
      </c>
      <c r="J78" s="101">
        <f t="shared" si="1"/>
        <v>34.625</v>
      </c>
      <c r="K78" s="101">
        <f t="shared" si="2"/>
        <v>435</v>
      </c>
      <c r="L78" s="74">
        <f t="shared" si="3"/>
        <v>145</v>
      </c>
      <c r="M78" s="99">
        <f t="shared" si="4"/>
        <v>5028.0762986079117</v>
      </c>
      <c r="N78" s="108">
        <f t="shared" si="5"/>
        <v>5028.0762986079117</v>
      </c>
      <c r="O78" s="108"/>
      <c r="P78" s="108"/>
      <c r="Q78" s="108"/>
      <c r="R78" s="109"/>
      <c r="S78" s="99">
        <f t="shared" si="6"/>
        <v>3808.0454181725613</v>
      </c>
      <c r="T78" s="108">
        <f t="shared" si="7"/>
        <v>3808.0454181725613</v>
      </c>
      <c r="U78" s="108"/>
      <c r="V78" s="108"/>
      <c r="W78" s="108"/>
      <c r="X78" s="109"/>
      <c r="Y78" s="99">
        <f t="shared" si="8"/>
        <v>7616.0908363451226</v>
      </c>
      <c r="Z78" s="108">
        <f t="shared" si="9"/>
        <v>7616.0908363451226</v>
      </c>
      <c r="AA78" s="108"/>
      <c r="AB78" s="108"/>
      <c r="AC78" s="108"/>
      <c r="AD78" s="109"/>
      <c r="AE78" s="99">
        <f t="shared" si="10"/>
        <v>8</v>
      </c>
      <c r="AF78" s="101"/>
      <c r="AG78" s="101">
        <f t="shared" si="11"/>
        <v>19.001300000000001</v>
      </c>
      <c r="AH78" s="101">
        <f t="shared" si="12"/>
        <v>277</v>
      </c>
      <c r="AI78" s="101">
        <f t="shared" si="13"/>
        <v>268.61079999999998</v>
      </c>
      <c r="AJ78" s="108">
        <f t="shared" si="14"/>
        <v>0.83333333333333337</v>
      </c>
      <c r="AK78" s="101">
        <f t="shared" si="15"/>
        <v>2929.2657062865856</v>
      </c>
      <c r="AL78" s="101">
        <f t="shared" si="16"/>
        <v>2929.2657062865856</v>
      </c>
      <c r="AM78" s="101"/>
      <c r="AN78" s="101"/>
      <c r="AO78" s="1">
        <v>8</v>
      </c>
      <c r="AP78" s="2">
        <v>15</v>
      </c>
      <c r="AQ78" s="74">
        <f t="shared" si="17"/>
        <v>277</v>
      </c>
      <c r="AR78" s="31">
        <f t="shared" si="18"/>
        <v>0</v>
      </c>
      <c r="AS78" s="2">
        <f t="shared" si="19"/>
        <v>0</v>
      </c>
      <c r="AT78" s="33">
        <f t="shared" si="20"/>
        <v>0</v>
      </c>
      <c r="AU78" s="31">
        <f t="shared" si="21"/>
        <v>0</v>
      </c>
      <c r="AV78" s="2">
        <f t="shared" si="22"/>
        <v>1</v>
      </c>
      <c r="AW78" s="33">
        <f t="shared" si="23"/>
        <v>1.3</v>
      </c>
      <c r="AX78" s="31">
        <f t="shared" si="24"/>
        <v>0</v>
      </c>
      <c r="AY78" s="33">
        <f t="shared" si="25"/>
        <v>1</v>
      </c>
      <c r="AZ78" s="2"/>
      <c r="BA78" s="101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 ht="12" customHeight="1">
      <c r="A79" s="2"/>
      <c r="B79" s="107">
        <v>4</v>
      </c>
      <c r="C79" s="31">
        <v>10</v>
      </c>
      <c r="D79" s="106" t="s">
        <v>2</v>
      </c>
      <c r="E79" s="2" t="s">
        <v>79</v>
      </c>
      <c r="F79" s="2"/>
      <c r="G79" s="2"/>
      <c r="H79" s="33"/>
      <c r="I79" s="99">
        <f t="shared" si="0"/>
        <v>552.53585698988047</v>
      </c>
      <c r="J79" s="101">
        <f t="shared" si="1"/>
        <v>39.571428571428569</v>
      </c>
      <c r="K79" s="101">
        <f t="shared" si="2"/>
        <v>534</v>
      </c>
      <c r="L79" s="74">
        <f t="shared" si="3"/>
        <v>184</v>
      </c>
      <c r="M79" s="99">
        <f t="shared" si="4"/>
        <v>3867.750998929163</v>
      </c>
      <c r="N79" s="108">
        <f t="shared" si="5"/>
        <v>3867.750998929163</v>
      </c>
      <c r="O79" s="108"/>
      <c r="P79" s="108"/>
      <c r="Q79" s="108"/>
      <c r="R79" s="109"/>
      <c r="S79" s="99">
        <f t="shared" si="6"/>
        <v>2929.2657062865856</v>
      </c>
      <c r="T79" s="108">
        <f t="shared" si="7"/>
        <v>2929.2657062865856</v>
      </c>
      <c r="U79" s="108"/>
      <c r="V79" s="108"/>
      <c r="W79" s="108"/>
      <c r="X79" s="109"/>
      <c r="Y79" s="99">
        <f t="shared" si="8"/>
        <v>5858.5314125731711</v>
      </c>
      <c r="Z79" s="108">
        <f t="shared" si="9"/>
        <v>5858.5314125731711</v>
      </c>
      <c r="AA79" s="108"/>
      <c r="AB79" s="108"/>
      <c r="AC79" s="108"/>
      <c r="AD79" s="109"/>
      <c r="AE79" s="99">
        <f t="shared" si="10"/>
        <v>7</v>
      </c>
      <c r="AF79" s="101"/>
      <c r="AG79" s="101">
        <f t="shared" si="11"/>
        <v>19.001300000000001</v>
      </c>
      <c r="AH79" s="101">
        <f t="shared" si="12"/>
        <v>277</v>
      </c>
      <c r="AI79" s="101">
        <f t="shared" si="13"/>
        <v>268.61079999999998</v>
      </c>
      <c r="AJ79" s="108">
        <f t="shared" si="14"/>
        <v>0.83333333333333337</v>
      </c>
      <c r="AK79" s="101">
        <f t="shared" si="15"/>
        <v>2929.2657062865856</v>
      </c>
      <c r="AL79" s="101">
        <f t="shared" si="16"/>
        <v>2929.2657062865856</v>
      </c>
      <c r="AM79" s="101"/>
      <c r="AN79" s="101"/>
      <c r="AO79" s="1">
        <v>8</v>
      </c>
      <c r="AP79" s="2">
        <v>15</v>
      </c>
      <c r="AQ79" s="74">
        <f t="shared" si="17"/>
        <v>277</v>
      </c>
      <c r="AR79" s="31">
        <f t="shared" si="18"/>
        <v>0</v>
      </c>
      <c r="AS79" s="2">
        <f t="shared" si="19"/>
        <v>1</v>
      </c>
      <c r="AT79" s="33">
        <f t="shared" si="20"/>
        <v>0</v>
      </c>
      <c r="AU79" s="31">
        <f t="shared" si="21"/>
        <v>0</v>
      </c>
      <c r="AV79" s="2">
        <f t="shared" si="22"/>
        <v>1</v>
      </c>
      <c r="AW79" s="33">
        <f t="shared" si="23"/>
        <v>1</v>
      </c>
      <c r="AX79" s="31">
        <f t="shared" si="24"/>
        <v>0</v>
      </c>
      <c r="AY79" s="33">
        <f t="shared" si="25"/>
        <v>1</v>
      </c>
      <c r="AZ79" s="2"/>
      <c r="BA79" s="101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 ht="12" customHeight="1">
      <c r="A80" s="2"/>
      <c r="B80" s="107">
        <v>5</v>
      </c>
      <c r="C80" s="31">
        <v>10</v>
      </c>
      <c r="D80" s="106" t="s">
        <v>2</v>
      </c>
      <c r="E80" s="2" t="s">
        <v>101</v>
      </c>
      <c r="F80" s="2"/>
      <c r="G80" s="2"/>
      <c r="H80" s="33"/>
      <c r="I80" s="99">
        <f t="shared" si="0"/>
        <v>651.99231124805897</v>
      </c>
      <c r="J80" s="101">
        <f t="shared" si="1"/>
        <v>39.571428571428569</v>
      </c>
      <c r="K80" s="101">
        <f t="shared" si="2"/>
        <v>402</v>
      </c>
      <c r="L80" s="74">
        <f t="shared" si="3"/>
        <v>125</v>
      </c>
      <c r="M80" s="99">
        <f t="shared" si="4"/>
        <v>4563.9461787364125</v>
      </c>
      <c r="N80" s="108">
        <f t="shared" si="5"/>
        <v>4563.9461787364125</v>
      </c>
      <c r="O80" s="108"/>
      <c r="P80" s="108"/>
      <c r="Q80" s="108"/>
      <c r="R80" s="109"/>
      <c r="S80" s="99">
        <f t="shared" si="6"/>
        <v>3456.5335334181709</v>
      </c>
      <c r="T80" s="108">
        <f t="shared" si="7"/>
        <v>3456.5335334181709</v>
      </c>
      <c r="U80" s="108"/>
      <c r="V80" s="108"/>
      <c r="W80" s="108"/>
      <c r="X80" s="109"/>
      <c r="Y80" s="99">
        <f t="shared" si="8"/>
        <v>6913.0670668363418</v>
      </c>
      <c r="Z80" s="108">
        <f t="shared" si="9"/>
        <v>6913.0670668363418</v>
      </c>
      <c r="AA80" s="108"/>
      <c r="AB80" s="108"/>
      <c r="AC80" s="108"/>
      <c r="AD80" s="109"/>
      <c r="AE80" s="99">
        <f t="shared" si="10"/>
        <v>7</v>
      </c>
      <c r="AF80" s="101"/>
      <c r="AG80" s="101">
        <f t="shared" si="11"/>
        <v>19.001300000000001</v>
      </c>
      <c r="AH80" s="101">
        <f t="shared" si="12"/>
        <v>277</v>
      </c>
      <c r="AI80" s="101">
        <f t="shared" si="13"/>
        <v>268.61079999999998</v>
      </c>
      <c r="AJ80" s="108">
        <f t="shared" si="14"/>
        <v>0.83333333333333337</v>
      </c>
      <c r="AK80" s="101">
        <f t="shared" si="15"/>
        <v>2929.2657062865856</v>
      </c>
      <c r="AL80" s="101">
        <f t="shared" si="16"/>
        <v>2929.2657062865856</v>
      </c>
      <c r="AM80" s="101"/>
      <c r="AN80" s="101"/>
      <c r="AO80" s="1">
        <v>8</v>
      </c>
      <c r="AP80" s="2">
        <v>15</v>
      </c>
      <c r="AQ80" s="74">
        <f t="shared" si="17"/>
        <v>277</v>
      </c>
      <c r="AR80" s="31">
        <f t="shared" si="18"/>
        <v>0</v>
      </c>
      <c r="AS80" s="2">
        <f t="shared" si="19"/>
        <v>1</v>
      </c>
      <c r="AT80" s="33">
        <f t="shared" si="20"/>
        <v>0</v>
      </c>
      <c r="AU80" s="31">
        <f t="shared" si="21"/>
        <v>0</v>
      </c>
      <c r="AV80" s="2">
        <f t="shared" si="22"/>
        <v>1.18</v>
      </c>
      <c r="AW80" s="33">
        <f t="shared" si="23"/>
        <v>1</v>
      </c>
      <c r="AX80" s="31">
        <f t="shared" si="24"/>
        <v>0</v>
      </c>
      <c r="AY80" s="33">
        <f t="shared" si="25"/>
        <v>1</v>
      </c>
      <c r="AZ80" s="2"/>
      <c r="BA80" s="101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 ht="12" customHeight="1">
      <c r="A81" s="2"/>
      <c r="B81" s="107">
        <v>6</v>
      </c>
      <c r="C81" s="31">
        <v>10</v>
      </c>
      <c r="D81" s="106" t="s">
        <v>2</v>
      </c>
      <c r="E81" s="2" t="s">
        <v>103</v>
      </c>
      <c r="F81" s="2"/>
      <c r="G81" s="2" t="s">
        <v>133</v>
      </c>
      <c r="H81" s="33"/>
      <c r="I81" s="99">
        <f t="shared" si="0"/>
        <v>718.29661408684456</v>
      </c>
      <c r="J81" s="101">
        <f t="shared" si="1"/>
        <v>39.571428571428569</v>
      </c>
      <c r="K81" s="101">
        <f t="shared" si="2"/>
        <v>337</v>
      </c>
      <c r="L81" s="74">
        <f t="shared" si="3"/>
        <v>99</v>
      </c>
      <c r="M81" s="99">
        <f t="shared" si="4"/>
        <v>5028.0762986079117</v>
      </c>
      <c r="N81" s="108">
        <f t="shared" si="5"/>
        <v>5028.0762986079117</v>
      </c>
      <c r="O81" s="108"/>
      <c r="P81" s="108"/>
      <c r="Q81" s="108"/>
      <c r="R81" s="109"/>
      <c r="S81" s="99">
        <f t="shared" si="6"/>
        <v>3808.0454181725613</v>
      </c>
      <c r="T81" s="108">
        <f t="shared" si="7"/>
        <v>3808.0454181725613</v>
      </c>
      <c r="U81" s="108"/>
      <c r="V81" s="108"/>
      <c r="W81" s="108"/>
      <c r="X81" s="109"/>
      <c r="Y81" s="99">
        <f t="shared" si="8"/>
        <v>7616.0908363451226</v>
      </c>
      <c r="Z81" s="108">
        <f t="shared" si="9"/>
        <v>7616.0908363451226</v>
      </c>
      <c r="AA81" s="108"/>
      <c r="AB81" s="108"/>
      <c r="AC81" s="108"/>
      <c r="AD81" s="109"/>
      <c r="AE81" s="99">
        <f t="shared" si="10"/>
        <v>7</v>
      </c>
      <c r="AF81" s="101"/>
      <c r="AG81" s="101">
        <f t="shared" si="11"/>
        <v>19.001300000000001</v>
      </c>
      <c r="AH81" s="101">
        <f t="shared" si="12"/>
        <v>277</v>
      </c>
      <c r="AI81" s="101">
        <f t="shared" si="13"/>
        <v>268.61079999999998</v>
      </c>
      <c r="AJ81" s="108">
        <f t="shared" si="14"/>
        <v>0.83333333333333337</v>
      </c>
      <c r="AK81" s="101">
        <f t="shared" si="15"/>
        <v>2929.2657062865856</v>
      </c>
      <c r="AL81" s="101">
        <f t="shared" si="16"/>
        <v>2929.2657062865856</v>
      </c>
      <c r="AM81" s="101"/>
      <c r="AN81" s="101"/>
      <c r="AO81" s="1">
        <v>8</v>
      </c>
      <c r="AP81" s="2">
        <v>15</v>
      </c>
      <c r="AQ81" s="74">
        <f t="shared" si="17"/>
        <v>277</v>
      </c>
      <c r="AR81" s="31">
        <f t="shared" si="18"/>
        <v>0</v>
      </c>
      <c r="AS81" s="2">
        <f t="shared" si="19"/>
        <v>1</v>
      </c>
      <c r="AT81" s="33">
        <f t="shared" si="20"/>
        <v>0</v>
      </c>
      <c r="AU81" s="31">
        <f t="shared" si="21"/>
        <v>0</v>
      </c>
      <c r="AV81" s="2">
        <f t="shared" si="22"/>
        <v>1</v>
      </c>
      <c r="AW81" s="33">
        <f t="shared" si="23"/>
        <v>1.3</v>
      </c>
      <c r="AX81" s="31">
        <f t="shared" si="24"/>
        <v>0</v>
      </c>
      <c r="AY81" s="33">
        <f t="shared" si="25"/>
        <v>1</v>
      </c>
      <c r="AZ81" s="2"/>
      <c r="BA81" s="101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 ht="12" customHeight="1">
      <c r="A82" s="2"/>
      <c r="B82" s="107">
        <v>7</v>
      </c>
      <c r="C82" s="31">
        <v>10</v>
      </c>
      <c r="D82" s="106" t="s">
        <v>2</v>
      </c>
      <c r="E82" s="2" t="s">
        <v>87</v>
      </c>
      <c r="F82" s="2"/>
      <c r="G82" s="2"/>
      <c r="H82" s="33"/>
      <c r="I82" s="99">
        <f t="shared" si="0"/>
        <v>576.07621876918518</v>
      </c>
      <c r="J82" s="101">
        <f t="shared" si="1"/>
        <v>34.625</v>
      </c>
      <c r="K82" s="101">
        <f t="shared" si="2"/>
        <v>497</v>
      </c>
      <c r="L82" s="74">
        <f t="shared" si="3"/>
        <v>172</v>
      </c>
      <c r="M82" s="99">
        <f t="shared" si="4"/>
        <v>4608.6097501534814</v>
      </c>
      <c r="N82" s="108">
        <f t="shared" si="5"/>
        <v>4608.6097501534814</v>
      </c>
      <c r="O82" s="108"/>
      <c r="P82" s="108"/>
      <c r="Q82" s="108"/>
      <c r="R82" s="109"/>
      <c r="S82" s="99">
        <f t="shared" si="6"/>
        <v>2929.2657062865856</v>
      </c>
      <c r="T82" s="108">
        <f t="shared" si="7"/>
        <v>2929.2657062865856</v>
      </c>
      <c r="U82" s="108"/>
      <c r="V82" s="108"/>
      <c r="W82" s="108"/>
      <c r="X82" s="109"/>
      <c r="Y82" s="99">
        <f t="shared" si="8"/>
        <v>5858.5314125731711</v>
      </c>
      <c r="Z82" s="108">
        <f t="shared" si="9"/>
        <v>5858.5314125731711</v>
      </c>
      <c r="AA82" s="108"/>
      <c r="AB82" s="108"/>
      <c r="AC82" s="108"/>
      <c r="AD82" s="109"/>
      <c r="AE82" s="99">
        <f t="shared" si="10"/>
        <v>8</v>
      </c>
      <c r="AF82" s="101"/>
      <c r="AG82" s="101">
        <f t="shared" si="11"/>
        <v>34.001300000000001</v>
      </c>
      <c r="AH82" s="101">
        <f t="shared" si="12"/>
        <v>277</v>
      </c>
      <c r="AI82" s="101">
        <f t="shared" si="13"/>
        <v>268.61079999999998</v>
      </c>
      <c r="AJ82" s="108">
        <f t="shared" si="14"/>
        <v>0.83333333333333337</v>
      </c>
      <c r="AK82" s="101">
        <f t="shared" si="15"/>
        <v>2929.2657062865856</v>
      </c>
      <c r="AL82" s="101">
        <f t="shared" si="16"/>
        <v>2929.2657062865856</v>
      </c>
      <c r="AM82" s="101"/>
      <c r="AN82" s="101"/>
      <c r="AO82" s="1">
        <v>8</v>
      </c>
      <c r="AP82" s="2">
        <v>15</v>
      </c>
      <c r="AQ82" s="74">
        <f t="shared" si="17"/>
        <v>277</v>
      </c>
      <c r="AR82" s="31">
        <f t="shared" si="18"/>
        <v>0</v>
      </c>
      <c r="AS82" s="2">
        <f t="shared" si="19"/>
        <v>0</v>
      </c>
      <c r="AT82" s="33">
        <f t="shared" si="20"/>
        <v>15</v>
      </c>
      <c r="AU82" s="31">
        <f t="shared" si="21"/>
        <v>0</v>
      </c>
      <c r="AV82" s="2">
        <f t="shared" si="22"/>
        <v>1</v>
      </c>
      <c r="AW82" s="33">
        <f t="shared" si="23"/>
        <v>1</v>
      </c>
      <c r="AX82" s="31">
        <f t="shared" si="24"/>
        <v>0</v>
      </c>
      <c r="AY82" s="33">
        <f t="shared" si="25"/>
        <v>1</v>
      </c>
      <c r="AZ82" s="2"/>
      <c r="BA82" s="101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 ht="12" customHeight="1">
      <c r="A83" s="2"/>
      <c r="B83" s="107">
        <v>8</v>
      </c>
      <c r="C83" s="31">
        <v>10</v>
      </c>
      <c r="D83" s="106" t="s">
        <v>2</v>
      </c>
      <c r="E83" s="2" t="s">
        <v>117</v>
      </c>
      <c r="F83" s="2"/>
      <c r="G83" s="2"/>
      <c r="H83" s="33"/>
      <c r="I83" s="99">
        <f t="shared" si="0"/>
        <v>679.76993814763853</v>
      </c>
      <c r="J83" s="101">
        <f t="shared" si="1"/>
        <v>34.625</v>
      </c>
      <c r="K83" s="101">
        <f t="shared" si="2"/>
        <v>374</v>
      </c>
      <c r="L83" s="74">
        <f t="shared" si="3"/>
        <v>115</v>
      </c>
      <c r="M83" s="99">
        <f t="shared" si="4"/>
        <v>5438.1595051811082</v>
      </c>
      <c r="N83" s="108">
        <f t="shared" si="5"/>
        <v>5438.1595051811082</v>
      </c>
      <c r="O83" s="108"/>
      <c r="P83" s="108"/>
      <c r="Q83" s="108"/>
      <c r="R83" s="109"/>
      <c r="S83" s="99">
        <f t="shared" si="6"/>
        <v>3456.5335334181709</v>
      </c>
      <c r="T83" s="108">
        <f t="shared" si="7"/>
        <v>3456.5335334181709</v>
      </c>
      <c r="U83" s="108"/>
      <c r="V83" s="108"/>
      <c r="W83" s="108"/>
      <c r="X83" s="109"/>
      <c r="Y83" s="99">
        <f t="shared" si="8"/>
        <v>6913.0670668363418</v>
      </c>
      <c r="Z83" s="108">
        <f t="shared" si="9"/>
        <v>6913.0670668363418</v>
      </c>
      <c r="AA83" s="108"/>
      <c r="AB83" s="108"/>
      <c r="AC83" s="108"/>
      <c r="AD83" s="109"/>
      <c r="AE83" s="99">
        <f t="shared" si="10"/>
        <v>8</v>
      </c>
      <c r="AF83" s="101"/>
      <c r="AG83" s="101">
        <f t="shared" si="11"/>
        <v>34.001300000000001</v>
      </c>
      <c r="AH83" s="101">
        <f t="shared" si="12"/>
        <v>277</v>
      </c>
      <c r="AI83" s="101">
        <f t="shared" si="13"/>
        <v>268.61079999999998</v>
      </c>
      <c r="AJ83" s="108">
        <f t="shared" si="14"/>
        <v>0.83333333333333337</v>
      </c>
      <c r="AK83" s="101">
        <f t="shared" si="15"/>
        <v>2929.2657062865856</v>
      </c>
      <c r="AL83" s="101">
        <f t="shared" si="16"/>
        <v>2929.2657062865856</v>
      </c>
      <c r="AM83" s="101"/>
      <c r="AN83" s="101"/>
      <c r="AO83" s="1">
        <v>8</v>
      </c>
      <c r="AP83" s="2">
        <v>15</v>
      </c>
      <c r="AQ83" s="74">
        <f t="shared" si="17"/>
        <v>277</v>
      </c>
      <c r="AR83" s="31">
        <f t="shared" si="18"/>
        <v>0</v>
      </c>
      <c r="AS83" s="2">
        <f t="shared" si="19"/>
        <v>0</v>
      </c>
      <c r="AT83" s="33">
        <f t="shared" si="20"/>
        <v>15</v>
      </c>
      <c r="AU83" s="31">
        <f t="shared" si="21"/>
        <v>0</v>
      </c>
      <c r="AV83" s="2">
        <f t="shared" si="22"/>
        <v>1.18</v>
      </c>
      <c r="AW83" s="33">
        <f t="shared" si="23"/>
        <v>1</v>
      </c>
      <c r="AX83" s="31">
        <f t="shared" si="24"/>
        <v>0</v>
      </c>
      <c r="AY83" s="33">
        <f t="shared" si="25"/>
        <v>1</v>
      </c>
      <c r="AZ83" s="2"/>
      <c r="BA83" s="101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 ht="12" customHeight="1">
      <c r="A84" s="2"/>
      <c r="B84" s="107">
        <v>9</v>
      </c>
      <c r="C84" s="31">
        <v>10</v>
      </c>
      <c r="D84" s="106" t="s">
        <v>2</v>
      </c>
      <c r="E84" s="2" t="s">
        <v>134</v>
      </c>
      <c r="F84" s="2"/>
      <c r="G84" s="2" t="s">
        <v>133</v>
      </c>
      <c r="H84" s="33"/>
      <c r="I84" s="99">
        <f t="shared" si="0"/>
        <v>748.89908439994076</v>
      </c>
      <c r="J84" s="101">
        <f t="shared" si="1"/>
        <v>34.625</v>
      </c>
      <c r="K84" s="101">
        <f t="shared" si="2"/>
        <v>305</v>
      </c>
      <c r="L84" s="74">
        <f t="shared" si="3"/>
        <v>83</v>
      </c>
      <c r="M84" s="99">
        <f t="shared" si="4"/>
        <v>5991.1926751995261</v>
      </c>
      <c r="N84" s="108">
        <f t="shared" si="5"/>
        <v>5991.1926751995261</v>
      </c>
      <c r="O84" s="108"/>
      <c r="P84" s="108"/>
      <c r="Q84" s="108"/>
      <c r="R84" s="109"/>
      <c r="S84" s="99">
        <f t="shared" si="6"/>
        <v>3808.0454181725613</v>
      </c>
      <c r="T84" s="108">
        <f t="shared" si="7"/>
        <v>3808.0454181725613</v>
      </c>
      <c r="U84" s="108"/>
      <c r="V84" s="108"/>
      <c r="W84" s="108"/>
      <c r="X84" s="109"/>
      <c r="Y84" s="99">
        <f t="shared" si="8"/>
        <v>7616.0908363451226</v>
      </c>
      <c r="Z84" s="108">
        <f t="shared" si="9"/>
        <v>7616.0908363451226</v>
      </c>
      <c r="AA84" s="108"/>
      <c r="AB84" s="108"/>
      <c r="AC84" s="108"/>
      <c r="AD84" s="109"/>
      <c r="AE84" s="99">
        <f t="shared" si="10"/>
        <v>8</v>
      </c>
      <c r="AF84" s="101"/>
      <c r="AG84" s="101">
        <f t="shared" si="11"/>
        <v>34.001300000000001</v>
      </c>
      <c r="AH84" s="101">
        <f t="shared" si="12"/>
        <v>277</v>
      </c>
      <c r="AI84" s="101">
        <f t="shared" si="13"/>
        <v>268.61079999999998</v>
      </c>
      <c r="AJ84" s="108">
        <f t="shared" si="14"/>
        <v>0.83333333333333337</v>
      </c>
      <c r="AK84" s="101">
        <f t="shared" si="15"/>
        <v>2929.2657062865856</v>
      </c>
      <c r="AL84" s="101">
        <f t="shared" si="16"/>
        <v>2929.2657062865856</v>
      </c>
      <c r="AM84" s="101"/>
      <c r="AN84" s="101"/>
      <c r="AO84" s="1">
        <v>8</v>
      </c>
      <c r="AP84" s="2">
        <v>15</v>
      </c>
      <c r="AQ84" s="74">
        <f t="shared" si="17"/>
        <v>277</v>
      </c>
      <c r="AR84" s="31">
        <f t="shared" si="18"/>
        <v>0</v>
      </c>
      <c r="AS84" s="2">
        <f t="shared" si="19"/>
        <v>0</v>
      </c>
      <c r="AT84" s="33">
        <f t="shared" si="20"/>
        <v>15</v>
      </c>
      <c r="AU84" s="31">
        <f t="shared" si="21"/>
        <v>0</v>
      </c>
      <c r="AV84" s="2">
        <f t="shared" si="22"/>
        <v>1</v>
      </c>
      <c r="AW84" s="33">
        <f t="shared" si="23"/>
        <v>1.3</v>
      </c>
      <c r="AX84" s="31">
        <f t="shared" si="24"/>
        <v>0</v>
      </c>
      <c r="AY84" s="33">
        <f t="shared" si="25"/>
        <v>1</v>
      </c>
      <c r="AZ84" s="2"/>
      <c r="BA84" s="101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 ht="12" customHeight="1">
      <c r="A85" s="2"/>
      <c r="B85" s="107">
        <v>10</v>
      </c>
      <c r="C85" s="31">
        <v>10</v>
      </c>
      <c r="D85" s="106" t="s">
        <v>2</v>
      </c>
      <c r="E85" s="2" t="s">
        <v>92</v>
      </c>
      <c r="F85" s="2"/>
      <c r="G85" s="2"/>
      <c r="H85" s="33"/>
      <c r="I85" s="99">
        <f t="shared" si="0"/>
        <v>483.46887486614537</v>
      </c>
      <c r="J85" s="101">
        <f t="shared" si="1"/>
        <v>34.625</v>
      </c>
      <c r="K85" s="101">
        <f t="shared" si="2"/>
        <v>626</v>
      </c>
      <c r="L85" s="74">
        <f t="shared" si="3"/>
        <v>220</v>
      </c>
      <c r="M85" s="99">
        <f t="shared" si="4"/>
        <v>3867.750998929163</v>
      </c>
      <c r="N85" s="108">
        <f t="shared" si="5"/>
        <v>3867.750998929163</v>
      </c>
      <c r="O85" s="108"/>
      <c r="P85" s="108"/>
      <c r="Q85" s="108"/>
      <c r="R85" s="109"/>
      <c r="S85" s="99">
        <f t="shared" si="6"/>
        <v>2929.2657062865856</v>
      </c>
      <c r="T85" s="108">
        <f t="shared" si="7"/>
        <v>2929.2657062865856</v>
      </c>
      <c r="U85" s="108"/>
      <c r="V85" s="108"/>
      <c r="W85" s="108"/>
      <c r="X85" s="109"/>
      <c r="Y85" s="99">
        <f t="shared" si="8"/>
        <v>5858.5314125731711</v>
      </c>
      <c r="Z85" s="108">
        <f t="shared" si="9"/>
        <v>5858.5314125731711</v>
      </c>
      <c r="AA85" s="108"/>
      <c r="AB85" s="108"/>
      <c r="AC85" s="108"/>
      <c r="AD85" s="109"/>
      <c r="AE85" s="99">
        <f t="shared" si="10"/>
        <v>8</v>
      </c>
      <c r="AF85" s="101"/>
      <c r="AG85" s="101">
        <f t="shared" si="11"/>
        <v>19.001300000000001</v>
      </c>
      <c r="AH85" s="101">
        <f t="shared" si="12"/>
        <v>277</v>
      </c>
      <c r="AI85" s="101">
        <f t="shared" si="13"/>
        <v>268.61079999999998</v>
      </c>
      <c r="AJ85" s="108">
        <f t="shared" si="14"/>
        <v>0.83333333333333337</v>
      </c>
      <c r="AK85" s="101">
        <f t="shared" si="15"/>
        <v>2929.2657062865856</v>
      </c>
      <c r="AL85" s="101">
        <f t="shared" si="16"/>
        <v>2929.2657062865856</v>
      </c>
      <c r="AM85" s="101"/>
      <c r="AN85" s="101"/>
      <c r="AO85" s="1">
        <v>8</v>
      </c>
      <c r="AP85" s="2">
        <v>15</v>
      </c>
      <c r="AQ85" s="74">
        <f t="shared" si="17"/>
        <v>277</v>
      </c>
      <c r="AR85" s="31">
        <f t="shared" si="18"/>
        <v>0</v>
      </c>
      <c r="AS85" s="2">
        <f t="shared" si="19"/>
        <v>0</v>
      </c>
      <c r="AT85" s="33">
        <f t="shared" si="20"/>
        <v>0</v>
      </c>
      <c r="AU85" s="31">
        <f t="shared" si="21"/>
        <v>0</v>
      </c>
      <c r="AV85" s="2">
        <f t="shared" si="22"/>
        <v>1</v>
      </c>
      <c r="AW85" s="33">
        <f t="shared" si="23"/>
        <v>1</v>
      </c>
      <c r="AX85" s="31">
        <f t="shared" si="24"/>
        <v>0</v>
      </c>
      <c r="AY85" s="33">
        <f t="shared" si="25"/>
        <v>1</v>
      </c>
      <c r="AZ85" s="2"/>
      <c r="BA85" s="101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 ht="12" customHeight="1">
      <c r="A86" s="2"/>
      <c r="B86" s="107">
        <v>11</v>
      </c>
      <c r="C86" s="31">
        <v>10</v>
      </c>
      <c r="D86" s="106" t="s">
        <v>2</v>
      </c>
      <c r="E86" s="2" t="s">
        <v>95</v>
      </c>
      <c r="F86" s="2"/>
      <c r="G86" s="2"/>
      <c r="H86" s="33"/>
      <c r="I86" s="99">
        <f t="shared" si="0"/>
        <v>570.49327234205157</v>
      </c>
      <c r="J86" s="101">
        <f t="shared" si="1"/>
        <v>34.625</v>
      </c>
      <c r="K86" s="101">
        <f t="shared" si="2"/>
        <v>507</v>
      </c>
      <c r="L86" s="74">
        <f t="shared" si="3"/>
        <v>177</v>
      </c>
      <c r="M86" s="99">
        <f t="shared" si="4"/>
        <v>4563.9461787364125</v>
      </c>
      <c r="N86" s="108">
        <f t="shared" si="5"/>
        <v>4563.9461787364125</v>
      </c>
      <c r="O86" s="108"/>
      <c r="P86" s="108"/>
      <c r="Q86" s="108"/>
      <c r="R86" s="109"/>
      <c r="S86" s="99">
        <f t="shared" si="6"/>
        <v>3456.5335334181709</v>
      </c>
      <c r="T86" s="108">
        <f t="shared" si="7"/>
        <v>3456.5335334181709</v>
      </c>
      <c r="U86" s="108"/>
      <c r="V86" s="108"/>
      <c r="W86" s="108"/>
      <c r="X86" s="109"/>
      <c r="Y86" s="99">
        <f t="shared" si="8"/>
        <v>6913.0670668363418</v>
      </c>
      <c r="Z86" s="108">
        <f t="shared" si="9"/>
        <v>6913.0670668363418</v>
      </c>
      <c r="AA86" s="108"/>
      <c r="AB86" s="108"/>
      <c r="AC86" s="108"/>
      <c r="AD86" s="109"/>
      <c r="AE86" s="99">
        <f t="shared" si="10"/>
        <v>8</v>
      </c>
      <c r="AF86" s="101"/>
      <c r="AG86" s="101">
        <f t="shared" si="11"/>
        <v>19.001300000000001</v>
      </c>
      <c r="AH86" s="101">
        <f t="shared" si="12"/>
        <v>277</v>
      </c>
      <c r="AI86" s="101">
        <f t="shared" si="13"/>
        <v>268.61079999999998</v>
      </c>
      <c r="AJ86" s="108">
        <f t="shared" si="14"/>
        <v>0.83333333333333337</v>
      </c>
      <c r="AK86" s="101">
        <f t="shared" si="15"/>
        <v>2929.2657062865856</v>
      </c>
      <c r="AL86" s="101">
        <f t="shared" si="16"/>
        <v>2929.2657062865856</v>
      </c>
      <c r="AM86" s="101"/>
      <c r="AN86" s="101"/>
      <c r="AO86" s="1">
        <v>8</v>
      </c>
      <c r="AP86" s="2">
        <v>15</v>
      </c>
      <c r="AQ86" s="74">
        <f t="shared" si="17"/>
        <v>277</v>
      </c>
      <c r="AR86" s="31">
        <f t="shared" si="18"/>
        <v>0</v>
      </c>
      <c r="AS86" s="2">
        <f t="shared" si="19"/>
        <v>0</v>
      </c>
      <c r="AT86" s="33">
        <f t="shared" si="20"/>
        <v>0</v>
      </c>
      <c r="AU86" s="31">
        <f t="shared" si="21"/>
        <v>0</v>
      </c>
      <c r="AV86" s="2">
        <f t="shared" si="22"/>
        <v>1.18</v>
      </c>
      <c r="AW86" s="33">
        <f t="shared" si="23"/>
        <v>1</v>
      </c>
      <c r="AX86" s="31">
        <f t="shared" si="24"/>
        <v>0</v>
      </c>
      <c r="AY86" s="33">
        <f t="shared" si="25"/>
        <v>1</v>
      </c>
      <c r="AZ86" s="2"/>
      <c r="BA86" s="101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 ht="12" customHeight="1">
      <c r="A87" s="2"/>
      <c r="B87" s="107">
        <v>12</v>
      </c>
      <c r="C87" s="31">
        <v>10</v>
      </c>
      <c r="D87" s="106" t="s">
        <v>2</v>
      </c>
      <c r="E87" s="2" t="s">
        <v>98</v>
      </c>
      <c r="F87" s="2"/>
      <c r="G87" s="2" t="s">
        <v>133</v>
      </c>
      <c r="H87" s="33"/>
      <c r="I87" s="99">
        <f t="shared" si="0"/>
        <v>628.50953732598896</v>
      </c>
      <c r="J87" s="101">
        <f t="shared" si="1"/>
        <v>34.625</v>
      </c>
      <c r="K87" s="101">
        <f t="shared" si="2"/>
        <v>435</v>
      </c>
      <c r="L87" s="74">
        <f t="shared" si="3"/>
        <v>145</v>
      </c>
      <c r="M87" s="99">
        <f t="shared" si="4"/>
        <v>5028.0762986079117</v>
      </c>
      <c r="N87" s="108">
        <f t="shared" si="5"/>
        <v>5028.0762986079117</v>
      </c>
      <c r="O87" s="108"/>
      <c r="P87" s="108"/>
      <c r="Q87" s="108"/>
      <c r="R87" s="109"/>
      <c r="S87" s="99">
        <f t="shared" si="6"/>
        <v>3808.0454181725613</v>
      </c>
      <c r="T87" s="108">
        <f t="shared" si="7"/>
        <v>3808.0454181725613</v>
      </c>
      <c r="U87" s="108"/>
      <c r="V87" s="108"/>
      <c r="W87" s="108"/>
      <c r="X87" s="109"/>
      <c r="Y87" s="99">
        <f t="shared" si="8"/>
        <v>7616.0908363451226</v>
      </c>
      <c r="Z87" s="108">
        <f t="shared" si="9"/>
        <v>7616.0908363451226</v>
      </c>
      <c r="AA87" s="108"/>
      <c r="AB87" s="108"/>
      <c r="AC87" s="108"/>
      <c r="AD87" s="109"/>
      <c r="AE87" s="99">
        <f t="shared" si="10"/>
        <v>8</v>
      </c>
      <c r="AF87" s="101"/>
      <c r="AG87" s="101">
        <f t="shared" si="11"/>
        <v>19.001300000000001</v>
      </c>
      <c r="AH87" s="101">
        <f t="shared" si="12"/>
        <v>277</v>
      </c>
      <c r="AI87" s="101">
        <f t="shared" si="13"/>
        <v>268.61079999999998</v>
      </c>
      <c r="AJ87" s="108">
        <f t="shared" si="14"/>
        <v>0.83333333333333337</v>
      </c>
      <c r="AK87" s="101">
        <f t="shared" si="15"/>
        <v>2929.2657062865856</v>
      </c>
      <c r="AL87" s="101">
        <f t="shared" si="16"/>
        <v>2929.2657062865856</v>
      </c>
      <c r="AM87" s="101"/>
      <c r="AN87" s="101"/>
      <c r="AO87" s="1">
        <v>8</v>
      </c>
      <c r="AP87" s="2">
        <v>15</v>
      </c>
      <c r="AQ87" s="74">
        <f t="shared" si="17"/>
        <v>277</v>
      </c>
      <c r="AR87" s="31">
        <f t="shared" si="18"/>
        <v>0</v>
      </c>
      <c r="AS87" s="2">
        <f t="shared" si="19"/>
        <v>0</v>
      </c>
      <c r="AT87" s="33">
        <f t="shared" si="20"/>
        <v>0</v>
      </c>
      <c r="AU87" s="31">
        <f t="shared" si="21"/>
        <v>0</v>
      </c>
      <c r="AV87" s="2">
        <f t="shared" si="22"/>
        <v>1</v>
      </c>
      <c r="AW87" s="33">
        <f t="shared" si="23"/>
        <v>1.3</v>
      </c>
      <c r="AX87" s="31">
        <f t="shared" si="24"/>
        <v>0</v>
      </c>
      <c r="AY87" s="33">
        <f t="shared" si="25"/>
        <v>1</v>
      </c>
      <c r="AZ87" s="2"/>
      <c r="BA87" s="101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 ht="12" customHeight="1">
      <c r="A88" s="2"/>
      <c r="B88" s="107">
        <v>13</v>
      </c>
      <c r="C88" s="31">
        <v>10</v>
      </c>
      <c r="D88" s="106" t="s">
        <v>2</v>
      </c>
      <c r="E88" s="2" t="s">
        <v>99</v>
      </c>
      <c r="F88" s="2"/>
      <c r="G88" s="2"/>
      <c r="H88" s="33"/>
      <c r="I88" s="99">
        <f t="shared" si="0"/>
        <v>552.53585698988047</v>
      </c>
      <c r="J88" s="101">
        <f t="shared" si="1"/>
        <v>39.571428571428569</v>
      </c>
      <c r="K88" s="101">
        <f t="shared" si="2"/>
        <v>534</v>
      </c>
      <c r="L88" s="74">
        <f t="shared" si="3"/>
        <v>184</v>
      </c>
      <c r="M88" s="99">
        <f t="shared" si="4"/>
        <v>3867.750998929163</v>
      </c>
      <c r="N88" s="108">
        <f t="shared" si="5"/>
        <v>3867.750998929163</v>
      </c>
      <c r="O88" s="108"/>
      <c r="P88" s="108"/>
      <c r="Q88" s="108"/>
      <c r="R88" s="109"/>
      <c r="S88" s="99">
        <f t="shared" si="6"/>
        <v>2929.2657062865856</v>
      </c>
      <c r="T88" s="108">
        <f t="shared" si="7"/>
        <v>2929.2657062865856</v>
      </c>
      <c r="U88" s="108"/>
      <c r="V88" s="108"/>
      <c r="W88" s="108"/>
      <c r="X88" s="109"/>
      <c r="Y88" s="99">
        <f t="shared" si="8"/>
        <v>5858.5314125731711</v>
      </c>
      <c r="Z88" s="108">
        <f t="shared" si="9"/>
        <v>5858.5314125731711</v>
      </c>
      <c r="AA88" s="108"/>
      <c r="AB88" s="108"/>
      <c r="AC88" s="108"/>
      <c r="AD88" s="109"/>
      <c r="AE88" s="99">
        <f t="shared" si="10"/>
        <v>7</v>
      </c>
      <c r="AF88" s="101"/>
      <c r="AG88" s="101">
        <f t="shared" si="11"/>
        <v>19.001300000000001</v>
      </c>
      <c r="AH88" s="101">
        <f t="shared" si="12"/>
        <v>277</v>
      </c>
      <c r="AI88" s="101">
        <f t="shared" si="13"/>
        <v>268.61079999999998</v>
      </c>
      <c r="AJ88" s="108">
        <f t="shared" si="14"/>
        <v>0.83333333333333337</v>
      </c>
      <c r="AK88" s="101">
        <f t="shared" si="15"/>
        <v>2929.2657062865856</v>
      </c>
      <c r="AL88" s="101">
        <f t="shared" si="16"/>
        <v>2929.2657062865856</v>
      </c>
      <c r="AM88" s="101"/>
      <c r="AN88" s="101"/>
      <c r="AO88" s="1">
        <v>8</v>
      </c>
      <c r="AP88" s="2">
        <v>15</v>
      </c>
      <c r="AQ88" s="74">
        <f t="shared" si="17"/>
        <v>277</v>
      </c>
      <c r="AR88" s="31">
        <f t="shared" si="18"/>
        <v>0</v>
      </c>
      <c r="AS88" s="2">
        <f t="shared" si="19"/>
        <v>1</v>
      </c>
      <c r="AT88" s="33">
        <f t="shared" si="20"/>
        <v>0</v>
      </c>
      <c r="AU88" s="31">
        <f t="shared" si="21"/>
        <v>0</v>
      </c>
      <c r="AV88" s="2">
        <f t="shared" si="22"/>
        <v>1</v>
      </c>
      <c r="AW88" s="33">
        <f t="shared" si="23"/>
        <v>1</v>
      </c>
      <c r="AX88" s="31">
        <f t="shared" si="24"/>
        <v>0</v>
      </c>
      <c r="AY88" s="33">
        <f t="shared" si="25"/>
        <v>1</v>
      </c>
      <c r="AZ88" s="2"/>
      <c r="BA88" s="101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 ht="12" customHeight="1">
      <c r="A89" s="2"/>
      <c r="B89" s="107">
        <v>14</v>
      </c>
      <c r="C89" s="31">
        <v>10</v>
      </c>
      <c r="D89" s="106" t="s">
        <v>2</v>
      </c>
      <c r="E89" s="2" t="s">
        <v>102</v>
      </c>
      <c r="F89" s="2"/>
      <c r="G89" s="2"/>
      <c r="H89" s="33"/>
      <c r="I89" s="99">
        <f t="shared" si="0"/>
        <v>651.99231124805897</v>
      </c>
      <c r="J89" s="101">
        <f t="shared" si="1"/>
        <v>39.571428571428569</v>
      </c>
      <c r="K89" s="101">
        <f t="shared" si="2"/>
        <v>402</v>
      </c>
      <c r="L89" s="74">
        <f t="shared" si="3"/>
        <v>125</v>
      </c>
      <c r="M89" s="99">
        <f t="shared" si="4"/>
        <v>4563.9461787364125</v>
      </c>
      <c r="N89" s="108">
        <f t="shared" si="5"/>
        <v>4563.9461787364125</v>
      </c>
      <c r="O89" s="108"/>
      <c r="P89" s="108"/>
      <c r="Q89" s="108"/>
      <c r="R89" s="109"/>
      <c r="S89" s="99">
        <f t="shared" si="6"/>
        <v>3456.5335334181709</v>
      </c>
      <c r="T89" s="108">
        <f t="shared" si="7"/>
        <v>3456.5335334181709</v>
      </c>
      <c r="U89" s="108"/>
      <c r="V89" s="108"/>
      <c r="W89" s="108"/>
      <c r="X89" s="109"/>
      <c r="Y89" s="99">
        <f t="shared" si="8"/>
        <v>6913.0670668363418</v>
      </c>
      <c r="Z89" s="108">
        <f t="shared" si="9"/>
        <v>6913.0670668363418</v>
      </c>
      <c r="AA89" s="108"/>
      <c r="AB89" s="108"/>
      <c r="AC89" s="108"/>
      <c r="AD89" s="109"/>
      <c r="AE89" s="99">
        <f t="shared" si="10"/>
        <v>7</v>
      </c>
      <c r="AF89" s="101"/>
      <c r="AG89" s="101">
        <f t="shared" si="11"/>
        <v>19.001300000000001</v>
      </c>
      <c r="AH89" s="101">
        <f t="shared" si="12"/>
        <v>277</v>
      </c>
      <c r="AI89" s="101">
        <f t="shared" si="13"/>
        <v>268.61079999999998</v>
      </c>
      <c r="AJ89" s="108">
        <f t="shared" si="14"/>
        <v>0.83333333333333337</v>
      </c>
      <c r="AK89" s="101">
        <f t="shared" si="15"/>
        <v>2929.2657062865856</v>
      </c>
      <c r="AL89" s="101">
        <f t="shared" si="16"/>
        <v>2929.2657062865856</v>
      </c>
      <c r="AM89" s="101"/>
      <c r="AN89" s="101"/>
      <c r="AO89" s="1">
        <v>8</v>
      </c>
      <c r="AP89" s="2">
        <v>15</v>
      </c>
      <c r="AQ89" s="74">
        <f t="shared" si="17"/>
        <v>277</v>
      </c>
      <c r="AR89" s="31">
        <f t="shared" si="18"/>
        <v>0</v>
      </c>
      <c r="AS89" s="2">
        <f t="shared" si="19"/>
        <v>1</v>
      </c>
      <c r="AT89" s="33">
        <f t="shared" si="20"/>
        <v>0</v>
      </c>
      <c r="AU89" s="31">
        <f t="shared" si="21"/>
        <v>0</v>
      </c>
      <c r="AV89" s="2">
        <f t="shared" si="22"/>
        <v>1.18</v>
      </c>
      <c r="AW89" s="33">
        <f t="shared" si="23"/>
        <v>1</v>
      </c>
      <c r="AX89" s="31">
        <f t="shared" si="24"/>
        <v>0</v>
      </c>
      <c r="AY89" s="33">
        <f t="shared" si="25"/>
        <v>1</v>
      </c>
      <c r="AZ89" s="2"/>
      <c r="BA89" s="101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 ht="12" customHeight="1">
      <c r="A90" s="2"/>
      <c r="B90" s="107">
        <v>15</v>
      </c>
      <c r="C90" s="31">
        <v>10</v>
      </c>
      <c r="D90" s="106" t="s">
        <v>2</v>
      </c>
      <c r="E90" s="2" t="s">
        <v>108</v>
      </c>
      <c r="F90" s="2"/>
      <c r="G90" s="2" t="s">
        <v>133</v>
      </c>
      <c r="H90" s="33"/>
      <c r="I90" s="99">
        <f t="shared" si="0"/>
        <v>718.29661408684456</v>
      </c>
      <c r="J90" s="101">
        <f t="shared" si="1"/>
        <v>39.571428571428569</v>
      </c>
      <c r="K90" s="101">
        <f t="shared" si="2"/>
        <v>337</v>
      </c>
      <c r="L90" s="74">
        <f t="shared" si="3"/>
        <v>99</v>
      </c>
      <c r="M90" s="99">
        <f t="shared" si="4"/>
        <v>5028.0762986079117</v>
      </c>
      <c r="N90" s="108">
        <f t="shared" si="5"/>
        <v>5028.0762986079117</v>
      </c>
      <c r="O90" s="108"/>
      <c r="P90" s="108"/>
      <c r="Q90" s="108"/>
      <c r="R90" s="109"/>
      <c r="S90" s="99">
        <f t="shared" si="6"/>
        <v>3808.0454181725613</v>
      </c>
      <c r="T90" s="108">
        <f t="shared" si="7"/>
        <v>3808.0454181725613</v>
      </c>
      <c r="U90" s="108"/>
      <c r="V90" s="108"/>
      <c r="W90" s="108"/>
      <c r="X90" s="109"/>
      <c r="Y90" s="99">
        <f t="shared" si="8"/>
        <v>7616.0908363451226</v>
      </c>
      <c r="Z90" s="108">
        <f t="shared" si="9"/>
        <v>7616.0908363451226</v>
      </c>
      <c r="AA90" s="108"/>
      <c r="AB90" s="108"/>
      <c r="AC90" s="108"/>
      <c r="AD90" s="109"/>
      <c r="AE90" s="99">
        <f t="shared" si="10"/>
        <v>7</v>
      </c>
      <c r="AF90" s="101"/>
      <c r="AG90" s="101">
        <f t="shared" si="11"/>
        <v>19.001300000000001</v>
      </c>
      <c r="AH90" s="101">
        <f t="shared" si="12"/>
        <v>277</v>
      </c>
      <c r="AI90" s="101">
        <f t="shared" si="13"/>
        <v>268.61079999999998</v>
      </c>
      <c r="AJ90" s="108">
        <f t="shared" si="14"/>
        <v>0.83333333333333337</v>
      </c>
      <c r="AK90" s="101">
        <f t="shared" si="15"/>
        <v>2929.2657062865856</v>
      </c>
      <c r="AL90" s="101">
        <f t="shared" si="16"/>
        <v>2929.2657062865856</v>
      </c>
      <c r="AM90" s="101"/>
      <c r="AN90" s="101"/>
      <c r="AO90" s="1">
        <v>8</v>
      </c>
      <c r="AP90" s="2">
        <v>15</v>
      </c>
      <c r="AQ90" s="74">
        <f t="shared" si="17"/>
        <v>277</v>
      </c>
      <c r="AR90" s="31">
        <f t="shared" si="18"/>
        <v>0</v>
      </c>
      <c r="AS90" s="2">
        <f t="shared" si="19"/>
        <v>1</v>
      </c>
      <c r="AT90" s="33">
        <f t="shared" si="20"/>
        <v>0</v>
      </c>
      <c r="AU90" s="31">
        <f t="shared" si="21"/>
        <v>0</v>
      </c>
      <c r="AV90" s="2">
        <f t="shared" si="22"/>
        <v>1</v>
      </c>
      <c r="AW90" s="33">
        <f t="shared" si="23"/>
        <v>1.3</v>
      </c>
      <c r="AX90" s="31">
        <f t="shared" si="24"/>
        <v>0</v>
      </c>
      <c r="AY90" s="33">
        <f t="shared" si="25"/>
        <v>1</v>
      </c>
      <c r="AZ90" s="2"/>
      <c r="BA90" s="101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 ht="12" customHeight="1">
      <c r="A91" s="2"/>
      <c r="B91" s="107">
        <v>16</v>
      </c>
      <c r="C91" s="31">
        <v>10</v>
      </c>
      <c r="D91" s="106" t="s">
        <v>2</v>
      </c>
      <c r="E91" s="2" t="s">
        <v>111</v>
      </c>
      <c r="F91" s="2"/>
      <c r="G91" s="2"/>
      <c r="H91" s="33"/>
      <c r="I91" s="99">
        <f t="shared" si="0"/>
        <v>576.07621876918518</v>
      </c>
      <c r="J91" s="101">
        <f t="shared" si="1"/>
        <v>34.625</v>
      </c>
      <c r="K91" s="101">
        <f t="shared" si="2"/>
        <v>497</v>
      </c>
      <c r="L91" s="74">
        <f t="shared" si="3"/>
        <v>172</v>
      </c>
      <c r="M91" s="99">
        <f t="shared" si="4"/>
        <v>4608.6097501534814</v>
      </c>
      <c r="N91" s="108">
        <f t="shared" si="5"/>
        <v>4608.6097501534814</v>
      </c>
      <c r="O91" s="108"/>
      <c r="P91" s="108"/>
      <c r="Q91" s="108"/>
      <c r="R91" s="109"/>
      <c r="S91" s="99">
        <f t="shared" si="6"/>
        <v>2929.2657062865856</v>
      </c>
      <c r="T91" s="108">
        <f t="shared" si="7"/>
        <v>2929.2657062865856</v>
      </c>
      <c r="U91" s="108"/>
      <c r="V91" s="108"/>
      <c r="W91" s="108"/>
      <c r="X91" s="109"/>
      <c r="Y91" s="99">
        <f t="shared" si="8"/>
        <v>5858.5314125731711</v>
      </c>
      <c r="Z91" s="108">
        <f t="shared" si="9"/>
        <v>5858.5314125731711</v>
      </c>
      <c r="AA91" s="108"/>
      <c r="AB91" s="108"/>
      <c r="AC91" s="108"/>
      <c r="AD91" s="109"/>
      <c r="AE91" s="99">
        <f t="shared" si="10"/>
        <v>8</v>
      </c>
      <c r="AF91" s="101"/>
      <c r="AG91" s="101">
        <f t="shared" si="11"/>
        <v>34.001300000000001</v>
      </c>
      <c r="AH91" s="101">
        <f t="shared" si="12"/>
        <v>277</v>
      </c>
      <c r="AI91" s="101">
        <f t="shared" si="13"/>
        <v>268.61079999999998</v>
      </c>
      <c r="AJ91" s="108">
        <f t="shared" si="14"/>
        <v>0.83333333333333337</v>
      </c>
      <c r="AK91" s="101">
        <f t="shared" si="15"/>
        <v>2929.2657062865856</v>
      </c>
      <c r="AL91" s="101">
        <f t="shared" si="16"/>
        <v>2929.2657062865856</v>
      </c>
      <c r="AM91" s="101"/>
      <c r="AN91" s="101"/>
      <c r="AO91" s="1">
        <v>8</v>
      </c>
      <c r="AP91" s="2">
        <v>15</v>
      </c>
      <c r="AQ91" s="74">
        <f t="shared" si="17"/>
        <v>277</v>
      </c>
      <c r="AR91" s="31">
        <f t="shared" si="18"/>
        <v>0</v>
      </c>
      <c r="AS91" s="2">
        <f t="shared" si="19"/>
        <v>0</v>
      </c>
      <c r="AT91" s="33">
        <f t="shared" si="20"/>
        <v>15</v>
      </c>
      <c r="AU91" s="31">
        <f t="shared" si="21"/>
        <v>0</v>
      </c>
      <c r="AV91" s="2">
        <f t="shared" si="22"/>
        <v>1</v>
      </c>
      <c r="AW91" s="33">
        <f t="shared" si="23"/>
        <v>1</v>
      </c>
      <c r="AX91" s="31">
        <f t="shared" si="24"/>
        <v>0</v>
      </c>
      <c r="AY91" s="33">
        <f t="shared" si="25"/>
        <v>1</v>
      </c>
      <c r="AZ91" s="2"/>
      <c r="BA91" s="101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 ht="12" customHeight="1">
      <c r="A92" s="2"/>
      <c r="B92" s="107">
        <v>17</v>
      </c>
      <c r="C92" s="31">
        <v>10</v>
      </c>
      <c r="D92" s="106" t="s">
        <v>2</v>
      </c>
      <c r="E92" s="2" t="s">
        <v>132</v>
      </c>
      <c r="F92" s="2"/>
      <c r="G92" s="2"/>
      <c r="H92" s="33"/>
      <c r="I92" s="99">
        <f t="shared" si="0"/>
        <v>679.76993814763853</v>
      </c>
      <c r="J92" s="101">
        <f t="shared" si="1"/>
        <v>34.625</v>
      </c>
      <c r="K92" s="101">
        <f t="shared" si="2"/>
        <v>374</v>
      </c>
      <c r="L92" s="74">
        <f t="shared" si="3"/>
        <v>115</v>
      </c>
      <c r="M92" s="99">
        <f t="shared" si="4"/>
        <v>5438.1595051811082</v>
      </c>
      <c r="N92" s="108">
        <f t="shared" si="5"/>
        <v>5438.1595051811082</v>
      </c>
      <c r="O92" s="108"/>
      <c r="P92" s="108"/>
      <c r="Q92" s="108"/>
      <c r="R92" s="109"/>
      <c r="S92" s="99">
        <f t="shared" si="6"/>
        <v>3456.5335334181709</v>
      </c>
      <c r="T92" s="108">
        <f t="shared" si="7"/>
        <v>3456.5335334181709</v>
      </c>
      <c r="U92" s="108"/>
      <c r="V92" s="108"/>
      <c r="W92" s="108"/>
      <c r="X92" s="109"/>
      <c r="Y92" s="99">
        <f t="shared" si="8"/>
        <v>6913.0670668363418</v>
      </c>
      <c r="Z92" s="108">
        <f t="shared" si="9"/>
        <v>6913.0670668363418</v>
      </c>
      <c r="AA92" s="108"/>
      <c r="AB92" s="108"/>
      <c r="AC92" s="108"/>
      <c r="AD92" s="109"/>
      <c r="AE92" s="99">
        <f t="shared" si="10"/>
        <v>8</v>
      </c>
      <c r="AF92" s="101"/>
      <c r="AG92" s="101">
        <f t="shared" si="11"/>
        <v>34.001300000000001</v>
      </c>
      <c r="AH92" s="101">
        <f t="shared" si="12"/>
        <v>277</v>
      </c>
      <c r="AI92" s="101">
        <f t="shared" si="13"/>
        <v>268.61079999999998</v>
      </c>
      <c r="AJ92" s="108">
        <f t="shared" si="14"/>
        <v>0.83333333333333337</v>
      </c>
      <c r="AK92" s="101">
        <f t="shared" si="15"/>
        <v>2929.2657062865856</v>
      </c>
      <c r="AL92" s="101">
        <f t="shared" si="16"/>
        <v>2929.2657062865856</v>
      </c>
      <c r="AM92" s="101"/>
      <c r="AN92" s="101"/>
      <c r="AO92" s="1">
        <v>8</v>
      </c>
      <c r="AP92" s="2">
        <v>15</v>
      </c>
      <c r="AQ92" s="74">
        <f t="shared" si="17"/>
        <v>277</v>
      </c>
      <c r="AR92" s="31">
        <f t="shared" si="18"/>
        <v>0</v>
      </c>
      <c r="AS92" s="2">
        <f t="shared" si="19"/>
        <v>0</v>
      </c>
      <c r="AT92" s="33">
        <f t="shared" si="20"/>
        <v>15</v>
      </c>
      <c r="AU92" s="31">
        <f t="shared" si="21"/>
        <v>0</v>
      </c>
      <c r="AV92" s="2">
        <f t="shared" si="22"/>
        <v>1.18</v>
      </c>
      <c r="AW92" s="33">
        <f t="shared" si="23"/>
        <v>1</v>
      </c>
      <c r="AX92" s="31">
        <f t="shared" si="24"/>
        <v>0</v>
      </c>
      <c r="AY92" s="33">
        <f t="shared" si="25"/>
        <v>1</v>
      </c>
      <c r="AZ92" s="2"/>
      <c r="BA92" s="101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 ht="12" customHeight="1">
      <c r="A93" s="2"/>
      <c r="B93" s="107">
        <v>18</v>
      </c>
      <c r="C93" s="31">
        <v>10</v>
      </c>
      <c r="D93" s="106" t="s">
        <v>2</v>
      </c>
      <c r="E93" s="2" t="s">
        <v>135</v>
      </c>
      <c r="F93" s="2"/>
      <c r="G93" s="2" t="s">
        <v>133</v>
      </c>
      <c r="H93" s="33"/>
      <c r="I93" s="99">
        <f t="shared" si="0"/>
        <v>748.89908439994076</v>
      </c>
      <c r="J93" s="101">
        <f t="shared" si="1"/>
        <v>34.625</v>
      </c>
      <c r="K93" s="101">
        <f t="shared" si="2"/>
        <v>305</v>
      </c>
      <c r="L93" s="74">
        <f t="shared" si="3"/>
        <v>83</v>
      </c>
      <c r="M93" s="99">
        <f t="shared" si="4"/>
        <v>5991.1926751995261</v>
      </c>
      <c r="N93" s="108">
        <f t="shared" si="5"/>
        <v>5991.1926751995261</v>
      </c>
      <c r="O93" s="108"/>
      <c r="P93" s="108"/>
      <c r="Q93" s="108"/>
      <c r="R93" s="109"/>
      <c r="S93" s="99">
        <f t="shared" si="6"/>
        <v>3808.0454181725613</v>
      </c>
      <c r="T93" s="108">
        <f t="shared" si="7"/>
        <v>3808.0454181725613</v>
      </c>
      <c r="U93" s="108"/>
      <c r="V93" s="108"/>
      <c r="W93" s="108"/>
      <c r="X93" s="109"/>
      <c r="Y93" s="99">
        <f t="shared" si="8"/>
        <v>7616.0908363451226</v>
      </c>
      <c r="Z93" s="108">
        <f t="shared" si="9"/>
        <v>7616.0908363451226</v>
      </c>
      <c r="AA93" s="108"/>
      <c r="AB93" s="108"/>
      <c r="AC93" s="108"/>
      <c r="AD93" s="109"/>
      <c r="AE93" s="99">
        <f t="shared" si="10"/>
        <v>8</v>
      </c>
      <c r="AF93" s="101"/>
      <c r="AG93" s="101">
        <f t="shared" si="11"/>
        <v>34.001300000000001</v>
      </c>
      <c r="AH93" s="101">
        <f t="shared" si="12"/>
        <v>277</v>
      </c>
      <c r="AI93" s="101">
        <f t="shared" si="13"/>
        <v>268.61079999999998</v>
      </c>
      <c r="AJ93" s="108">
        <f t="shared" si="14"/>
        <v>0.83333333333333337</v>
      </c>
      <c r="AK93" s="101">
        <f t="shared" si="15"/>
        <v>2929.2657062865856</v>
      </c>
      <c r="AL93" s="101">
        <f t="shared" si="16"/>
        <v>2929.2657062865856</v>
      </c>
      <c r="AM93" s="101"/>
      <c r="AN93" s="101"/>
      <c r="AO93" s="1">
        <v>8</v>
      </c>
      <c r="AP93" s="2">
        <v>15</v>
      </c>
      <c r="AQ93" s="74">
        <f t="shared" si="17"/>
        <v>277</v>
      </c>
      <c r="AR93" s="31">
        <f t="shared" si="18"/>
        <v>0</v>
      </c>
      <c r="AS93" s="2">
        <f t="shared" si="19"/>
        <v>0</v>
      </c>
      <c r="AT93" s="33">
        <f t="shared" si="20"/>
        <v>15</v>
      </c>
      <c r="AU93" s="31">
        <f t="shared" si="21"/>
        <v>0</v>
      </c>
      <c r="AV93" s="2">
        <f t="shared" si="22"/>
        <v>1</v>
      </c>
      <c r="AW93" s="33">
        <f t="shared" si="23"/>
        <v>1.3</v>
      </c>
      <c r="AX93" s="31">
        <f t="shared" si="24"/>
        <v>0</v>
      </c>
      <c r="AY93" s="33">
        <f t="shared" si="25"/>
        <v>1</v>
      </c>
      <c r="AZ93" s="2"/>
      <c r="BA93" s="101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 ht="12" customHeight="1">
      <c r="A94" s="2"/>
      <c r="B94" s="107">
        <v>19</v>
      </c>
      <c r="C94" s="31">
        <v>7</v>
      </c>
      <c r="D94" s="106" t="s">
        <v>2</v>
      </c>
      <c r="E94" s="2" t="s">
        <v>67</v>
      </c>
      <c r="F94" s="2"/>
      <c r="G94" s="2"/>
      <c r="H94" s="33"/>
      <c r="I94" s="99">
        <f t="shared" si="0"/>
        <v>462.73723039628618</v>
      </c>
      <c r="J94" s="101">
        <f t="shared" si="1"/>
        <v>24.125</v>
      </c>
      <c r="K94" s="101">
        <f t="shared" si="2"/>
        <v>652</v>
      </c>
      <c r="L94" s="74">
        <f t="shared" si="3"/>
        <v>233</v>
      </c>
      <c r="M94" s="99">
        <f t="shared" si="4"/>
        <v>3701.8978431702894</v>
      </c>
      <c r="N94" s="108">
        <f t="shared" si="5"/>
        <v>3701.8978431702894</v>
      </c>
      <c r="O94" s="108"/>
      <c r="P94" s="108"/>
      <c r="Q94" s="108"/>
      <c r="R94" s="109"/>
      <c r="S94" s="99">
        <f t="shared" si="6"/>
        <v>2803.6557687341465</v>
      </c>
      <c r="T94" s="108">
        <f t="shared" si="7"/>
        <v>2803.6557687341465</v>
      </c>
      <c r="U94" s="108"/>
      <c r="V94" s="108"/>
      <c r="W94" s="108"/>
      <c r="X94" s="109"/>
      <c r="Y94" s="99">
        <f t="shared" si="8"/>
        <v>5607.311537468293</v>
      </c>
      <c r="Z94" s="108">
        <f t="shared" si="9"/>
        <v>5607.311537468293</v>
      </c>
      <c r="AA94" s="108"/>
      <c r="AB94" s="108"/>
      <c r="AC94" s="108"/>
      <c r="AD94" s="109"/>
      <c r="AE94" s="99">
        <f t="shared" si="10"/>
        <v>8</v>
      </c>
      <c r="AF94" s="101"/>
      <c r="AG94" s="101">
        <f t="shared" si="11"/>
        <v>19.001300000000001</v>
      </c>
      <c r="AH94" s="101">
        <f t="shared" si="12"/>
        <v>193</v>
      </c>
      <c r="AI94" s="101">
        <f t="shared" si="13"/>
        <v>268.61079999999998</v>
      </c>
      <c r="AJ94" s="108">
        <f t="shared" si="14"/>
        <v>0.83333333333333337</v>
      </c>
      <c r="AK94" s="101">
        <f t="shared" si="15"/>
        <v>2803.6557687341465</v>
      </c>
      <c r="AL94" s="101">
        <f t="shared" si="16"/>
        <v>2803.6557687341465</v>
      </c>
      <c r="AM94" s="101"/>
      <c r="AN94" s="101"/>
      <c r="AO94" s="1">
        <v>8</v>
      </c>
      <c r="AP94" s="2">
        <v>15</v>
      </c>
      <c r="AQ94" s="74">
        <f t="shared" si="17"/>
        <v>193</v>
      </c>
      <c r="AR94" s="31">
        <f t="shared" si="18"/>
        <v>0</v>
      </c>
      <c r="AS94" s="2">
        <f t="shared" si="19"/>
        <v>0</v>
      </c>
      <c r="AT94" s="33">
        <f t="shared" si="20"/>
        <v>0</v>
      </c>
      <c r="AU94" s="31">
        <f t="shared" si="21"/>
        <v>0</v>
      </c>
      <c r="AV94" s="2">
        <f t="shared" si="22"/>
        <v>1</v>
      </c>
      <c r="AW94" s="33">
        <f t="shared" si="23"/>
        <v>1</v>
      </c>
      <c r="AX94" s="31">
        <f t="shared" si="24"/>
        <v>0</v>
      </c>
      <c r="AY94" s="33">
        <f t="shared" si="25"/>
        <v>1</v>
      </c>
      <c r="AZ94" s="2"/>
      <c r="BA94" s="101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 ht="12" customHeight="1">
      <c r="A95" s="2"/>
      <c r="B95" s="107">
        <v>20</v>
      </c>
      <c r="C95" s="31">
        <v>7</v>
      </c>
      <c r="D95" s="106" t="s">
        <v>2</v>
      </c>
      <c r="E95" s="2" t="s">
        <v>89</v>
      </c>
      <c r="F95" s="2"/>
      <c r="G95" s="2"/>
      <c r="H95" s="33"/>
      <c r="I95" s="99">
        <f t="shared" si="0"/>
        <v>546.02993186761762</v>
      </c>
      <c r="J95" s="101">
        <f t="shared" si="1"/>
        <v>24.125</v>
      </c>
      <c r="K95" s="101">
        <f t="shared" si="2"/>
        <v>542</v>
      </c>
      <c r="L95" s="74">
        <f t="shared" si="3"/>
        <v>189</v>
      </c>
      <c r="M95" s="99">
        <f t="shared" si="4"/>
        <v>4368.239454940941</v>
      </c>
      <c r="N95" s="108">
        <f t="shared" si="5"/>
        <v>4368.239454940941</v>
      </c>
      <c r="O95" s="108"/>
      <c r="P95" s="108"/>
      <c r="Q95" s="108"/>
      <c r="R95" s="109"/>
      <c r="S95" s="99">
        <f t="shared" si="6"/>
        <v>3308.3138071062926</v>
      </c>
      <c r="T95" s="108">
        <f t="shared" si="7"/>
        <v>3308.3138071062926</v>
      </c>
      <c r="U95" s="108"/>
      <c r="V95" s="108"/>
      <c r="W95" s="108"/>
      <c r="X95" s="109"/>
      <c r="Y95" s="99">
        <f t="shared" si="8"/>
        <v>6616.6276142125853</v>
      </c>
      <c r="Z95" s="108">
        <f t="shared" si="9"/>
        <v>6616.6276142125853</v>
      </c>
      <c r="AA95" s="108"/>
      <c r="AB95" s="108"/>
      <c r="AC95" s="108"/>
      <c r="AD95" s="109"/>
      <c r="AE95" s="99">
        <f t="shared" si="10"/>
        <v>8</v>
      </c>
      <c r="AF95" s="101"/>
      <c r="AG95" s="101">
        <f t="shared" si="11"/>
        <v>19.001300000000001</v>
      </c>
      <c r="AH95" s="101">
        <f t="shared" si="12"/>
        <v>193</v>
      </c>
      <c r="AI95" s="101">
        <f t="shared" si="13"/>
        <v>268.61079999999998</v>
      </c>
      <c r="AJ95" s="108">
        <f t="shared" si="14"/>
        <v>0.83333333333333337</v>
      </c>
      <c r="AK95" s="101">
        <f t="shared" si="15"/>
        <v>2803.6557687341465</v>
      </c>
      <c r="AL95" s="101">
        <f t="shared" si="16"/>
        <v>2803.6557687341465</v>
      </c>
      <c r="AM95" s="101"/>
      <c r="AN95" s="101"/>
      <c r="AO95" s="1">
        <v>8</v>
      </c>
      <c r="AP95" s="2">
        <v>15</v>
      </c>
      <c r="AQ95" s="74">
        <f t="shared" si="17"/>
        <v>193</v>
      </c>
      <c r="AR95" s="31">
        <f t="shared" si="18"/>
        <v>0</v>
      </c>
      <c r="AS95" s="2">
        <f t="shared" si="19"/>
        <v>0</v>
      </c>
      <c r="AT95" s="33">
        <f t="shared" si="20"/>
        <v>0</v>
      </c>
      <c r="AU95" s="31">
        <f t="shared" si="21"/>
        <v>0</v>
      </c>
      <c r="AV95" s="2">
        <f t="shared" si="22"/>
        <v>1.18</v>
      </c>
      <c r="AW95" s="33">
        <f t="shared" si="23"/>
        <v>1</v>
      </c>
      <c r="AX95" s="31">
        <f t="shared" si="24"/>
        <v>0</v>
      </c>
      <c r="AY95" s="33">
        <f t="shared" si="25"/>
        <v>1</v>
      </c>
      <c r="AZ95" s="2"/>
      <c r="BA95" s="101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 ht="12" customHeight="1">
      <c r="A96" s="2"/>
      <c r="B96" s="107">
        <v>21</v>
      </c>
      <c r="C96" s="31">
        <v>7</v>
      </c>
      <c r="D96" s="106" t="s">
        <v>2</v>
      </c>
      <c r="E96" s="2" t="s">
        <v>91</v>
      </c>
      <c r="F96" s="2"/>
      <c r="G96" s="2" t="s">
        <v>133</v>
      </c>
      <c r="H96" s="33"/>
      <c r="I96" s="99">
        <f t="shared" si="0"/>
        <v>601.55839951517203</v>
      </c>
      <c r="J96" s="101">
        <f t="shared" si="1"/>
        <v>24.125</v>
      </c>
      <c r="K96" s="101">
        <f t="shared" si="2"/>
        <v>464</v>
      </c>
      <c r="L96" s="74">
        <f t="shared" si="3"/>
        <v>156</v>
      </c>
      <c r="M96" s="99">
        <f t="shared" si="4"/>
        <v>4812.4671961213762</v>
      </c>
      <c r="N96" s="108">
        <f t="shared" si="5"/>
        <v>4812.4671961213762</v>
      </c>
      <c r="O96" s="108"/>
      <c r="P96" s="108"/>
      <c r="Q96" s="108"/>
      <c r="R96" s="109"/>
      <c r="S96" s="99">
        <f t="shared" si="6"/>
        <v>3644.7524993543907</v>
      </c>
      <c r="T96" s="108">
        <f t="shared" si="7"/>
        <v>3644.7524993543907</v>
      </c>
      <c r="U96" s="108"/>
      <c r="V96" s="108"/>
      <c r="W96" s="108"/>
      <c r="X96" s="109"/>
      <c r="Y96" s="99">
        <f t="shared" si="8"/>
        <v>7289.5049987087814</v>
      </c>
      <c r="Z96" s="108">
        <f t="shared" si="9"/>
        <v>7289.5049987087814</v>
      </c>
      <c r="AA96" s="108"/>
      <c r="AB96" s="108"/>
      <c r="AC96" s="108"/>
      <c r="AD96" s="109"/>
      <c r="AE96" s="99">
        <f t="shared" si="10"/>
        <v>8</v>
      </c>
      <c r="AF96" s="101"/>
      <c r="AG96" s="101">
        <f t="shared" si="11"/>
        <v>19.001300000000001</v>
      </c>
      <c r="AH96" s="101">
        <f t="shared" si="12"/>
        <v>193</v>
      </c>
      <c r="AI96" s="101">
        <f t="shared" si="13"/>
        <v>268.61079999999998</v>
      </c>
      <c r="AJ96" s="108">
        <f t="shared" si="14"/>
        <v>0.83333333333333337</v>
      </c>
      <c r="AK96" s="101">
        <f t="shared" si="15"/>
        <v>2803.6557687341465</v>
      </c>
      <c r="AL96" s="101">
        <f t="shared" si="16"/>
        <v>2803.6557687341465</v>
      </c>
      <c r="AM96" s="101"/>
      <c r="AN96" s="101"/>
      <c r="AO96" s="1">
        <v>8</v>
      </c>
      <c r="AP96" s="2">
        <v>15</v>
      </c>
      <c r="AQ96" s="74">
        <f t="shared" si="17"/>
        <v>193</v>
      </c>
      <c r="AR96" s="31">
        <f t="shared" si="18"/>
        <v>0</v>
      </c>
      <c r="AS96" s="2">
        <f t="shared" si="19"/>
        <v>0</v>
      </c>
      <c r="AT96" s="33">
        <f t="shared" si="20"/>
        <v>0</v>
      </c>
      <c r="AU96" s="31">
        <f t="shared" si="21"/>
        <v>0</v>
      </c>
      <c r="AV96" s="2">
        <f t="shared" si="22"/>
        <v>1</v>
      </c>
      <c r="AW96" s="33">
        <f t="shared" si="23"/>
        <v>1.3</v>
      </c>
      <c r="AX96" s="31">
        <f t="shared" si="24"/>
        <v>0</v>
      </c>
      <c r="AY96" s="33">
        <f t="shared" si="25"/>
        <v>1</v>
      </c>
      <c r="AZ96" s="2"/>
      <c r="BA96" s="101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 ht="12" customHeight="1">
      <c r="A97" s="2"/>
      <c r="B97" s="107">
        <v>22</v>
      </c>
      <c r="C97" s="31">
        <v>7</v>
      </c>
      <c r="D97" s="106" t="s">
        <v>2</v>
      </c>
      <c r="E97" s="2" t="s">
        <v>79</v>
      </c>
      <c r="F97" s="2"/>
      <c r="G97" s="2"/>
      <c r="H97" s="33"/>
      <c r="I97" s="99">
        <f t="shared" si="0"/>
        <v>528.84254902432701</v>
      </c>
      <c r="J97" s="101">
        <f t="shared" si="1"/>
        <v>27.571428571428573</v>
      </c>
      <c r="K97" s="101">
        <f t="shared" si="2"/>
        <v>566</v>
      </c>
      <c r="L97" s="74">
        <f t="shared" si="3"/>
        <v>200</v>
      </c>
      <c r="M97" s="99">
        <f t="shared" si="4"/>
        <v>3701.8978431702894</v>
      </c>
      <c r="N97" s="108">
        <f t="shared" si="5"/>
        <v>3701.8978431702894</v>
      </c>
      <c r="O97" s="108"/>
      <c r="P97" s="108"/>
      <c r="Q97" s="108"/>
      <c r="R97" s="109"/>
      <c r="S97" s="99">
        <f t="shared" si="6"/>
        <v>2803.6557687341465</v>
      </c>
      <c r="T97" s="108">
        <f t="shared" si="7"/>
        <v>2803.6557687341465</v>
      </c>
      <c r="U97" s="108"/>
      <c r="V97" s="108"/>
      <c r="W97" s="108"/>
      <c r="X97" s="109"/>
      <c r="Y97" s="99">
        <f t="shared" si="8"/>
        <v>5607.311537468293</v>
      </c>
      <c r="Z97" s="108">
        <f t="shared" si="9"/>
        <v>5607.311537468293</v>
      </c>
      <c r="AA97" s="108"/>
      <c r="AB97" s="108"/>
      <c r="AC97" s="108"/>
      <c r="AD97" s="109"/>
      <c r="AE97" s="99">
        <f t="shared" si="10"/>
        <v>7</v>
      </c>
      <c r="AF97" s="101"/>
      <c r="AG97" s="101">
        <f t="shared" si="11"/>
        <v>19.001300000000001</v>
      </c>
      <c r="AH97" s="101">
        <f t="shared" si="12"/>
        <v>193</v>
      </c>
      <c r="AI97" s="101">
        <f t="shared" si="13"/>
        <v>268.61079999999998</v>
      </c>
      <c r="AJ97" s="108">
        <f t="shared" si="14"/>
        <v>0.83333333333333337</v>
      </c>
      <c r="AK97" s="101">
        <f t="shared" si="15"/>
        <v>2803.6557687341465</v>
      </c>
      <c r="AL97" s="101">
        <f t="shared" si="16"/>
        <v>2803.6557687341465</v>
      </c>
      <c r="AM97" s="101"/>
      <c r="AN97" s="101"/>
      <c r="AO97" s="1">
        <v>8</v>
      </c>
      <c r="AP97" s="2">
        <v>15</v>
      </c>
      <c r="AQ97" s="74">
        <f t="shared" si="17"/>
        <v>193</v>
      </c>
      <c r="AR97" s="31">
        <f t="shared" si="18"/>
        <v>0</v>
      </c>
      <c r="AS97" s="2">
        <f t="shared" si="19"/>
        <v>1</v>
      </c>
      <c r="AT97" s="33">
        <f t="shared" si="20"/>
        <v>0</v>
      </c>
      <c r="AU97" s="31">
        <f t="shared" si="21"/>
        <v>0</v>
      </c>
      <c r="AV97" s="2">
        <f t="shared" si="22"/>
        <v>1</v>
      </c>
      <c r="AW97" s="33">
        <f t="shared" si="23"/>
        <v>1</v>
      </c>
      <c r="AX97" s="31">
        <f t="shared" si="24"/>
        <v>0</v>
      </c>
      <c r="AY97" s="33">
        <f t="shared" si="25"/>
        <v>1</v>
      </c>
      <c r="AZ97" s="2"/>
      <c r="BA97" s="101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12" customHeight="1">
      <c r="A98" s="2"/>
      <c r="B98" s="107">
        <v>23</v>
      </c>
      <c r="C98" s="31">
        <v>7</v>
      </c>
      <c r="D98" s="106" t="s">
        <v>2</v>
      </c>
      <c r="E98" s="2" t="s">
        <v>101</v>
      </c>
      <c r="F98" s="2"/>
      <c r="G98" s="2"/>
      <c r="H98" s="33"/>
      <c r="I98" s="99">
        <f t="shared" si="0"/>
        <v>624.03420784870582</v>
      </c>
      <c r="J98" s="101">
        <f t="shared" si="1"/>
        <v>27.571428571428573</v>
      </c>
      <c r="K98" s="101">
        <f t="shared" si="2"/>
        <v>437</v>
      </c>
      <c r="L98" s="74">
        <f t="shared" si="3"/>
        <v>147</v>
      </c>
      <c r="M98" s="99">
        <f t="shared" si="4"/>
        <v>4368.239454940941</v>
      </c>
      <c r="N98" s="108">
        <f t="shared" si="5"/>
        <v>4368.239454940941</v>
      </c>
      <c r="O98" s="108"/>
      <c r="P98" s="108"/>
      <c r="Q98" s="108"/>
      <c r="R98" s="109"/>
      <c r="S98" s="99">
        <f t="shared" si="6"/>
        <v>3308.3138071062926</v>
      </c>
      <c r="T98" s="108">
        <f t="shared" si="7"/>
        <v>3308.3138071062926</v>
      </c>
      <c r="U98" s="108"/>
      <c r="V98" s="108"/>
      <c r="W98" s="108"/>
      <c r="X98" s="109"/>
      <c r="Y98" s="99">
        <f t="shared" si="8"/>
        <v>6616.6276142125853</v>
      </c>
      <c r="Z98" s="108">
        <f t="shared" si="9"/>
        <v>6616.6276142125853</v>
      </c>
      <c r="AA98" s="108"/>
      <c r="AB98" s="108"/>
      <c r="AC98" s="108"/>
      <c r="AD98" s="109"/>
      <c r="AE98" s="99">
        <f t="shared" si="10"/>
        <v>7</v>
      </c>
      <c r="AF98" s="101"/>
      <c r="AG98" s="101">
        <f t="shared" si="11"/>
        <v>19.001300000000001</v>
      </c>
      <c r="AH98" s="101">
        <f t="shared" si="12"/>
        <v>193</v>
      </c>
      <c r="AI98" s="101">
        <f t="shared" si="13"/>
        <v>268.61079999999998</v>
      </c>
      <c r="AJ98" s="108">
        <f t="shared" si="14"/>
        <v>0.83333333333333337</v>
      </c>
      <c r="AK98" s="101">
        <f t="shared" si="15"/>
        <v>2803.6557687341465</v>
      </c>
      <c r="AL98" s="101">
        <f t="shared" si="16"/>
        <v>2803.6557687341465</v>
      </c>
      <c r="AM98" s="101"/>
      <c r="AN98" s="101"/>
      <c r="AO98" s="1">
        <v>8</v>
      </c>
      <c r="AP98" s="2">
        <v>15</v>
      </c>
      <c r="AQ98" s="74">
        <f t="shared" si="17"/>
        <v>193</v>
      </c>
      <c r="AR98" s="31">
        <f t="shared" si="18"/>
        <v>0</v>
      </c>
      <c r="AS98" s="2">
        <f t="shared" si="19"/>
        <v>1</v>
      </c>
      <c r="AT98" s="33">
        <f t="shared" si="20"/>
        <v>0</v>
      </c>
      <c r="AU98" s="31">
        <f t="shared" si="21"/>
        <v>0</v>
      </c>
      <c r="AV98" s="2">
        <f t="shared" si="22"/>
        <v>1.18</v>
      </c>
      <c r="AW98" s="33">
        <f t="shared" si="23"/>
        <v>1</v>
      </c>
      <c r="AX98" s="31">
        <f t="shared" si="24"/>
        <v>0</v>
      </c>
      <c r="AY98" s="33">
        <f t="shared" si="25"/>
        <v>1</v>
      </c>
      <c r="AZ98" s="2"/>
      <c r="BA98" s="101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 ht="12" customHeight="1">
      <c r="A99" s="2"/>
      <c r="B99" s="107">
        <v>24</v>
      </c>
      <c r="C99" s="31">
        <v>7</v>
      </c>
      <c r="D99" s="106" t="s">
        <v>2</v>
      </c>
      <c r="E99" s="2" t="s">
        <v>103</v>
      </c>
      <c r="F99" s="2"/>
      <c r="G99" s="2" t="s">
        <v>133</v>
      </c>
      <c r="H99" s="33"/>
      <c r="I99" s="99">
        <f t="shared" si="0"/>
        <v>687.49531373162517</v>
      </c>
      <c r="J99" s="101">
        <f t="shared" si="1"/>
        <v>27.571428571428573</v>
      </c>
      <c r="K99" s="101">
        <f t="shared" si="2"/>
        <v>367</v>
      </c>
      <c r="L99" s="74">
        <f t="shared" si="3"/>
        <v>113</v>
      </c>
      <c r="M99" s="99">
        <f t="shared" si="4"/>
        <v>4812.4671961213762</v>
      </c>
      <c r="N99" s="108">
        <f t="shared" si="5"/>
        <v>4812.4671961213762</v>
      </c>
      <c r="O99" s="108"/>
      <c r="P99" s="108"/>
      <c r="Q99" s="108"/>
      <c r="R99" s="109"/>
      <c r="S99" s="99">
        <f t="shared" si="6"/>
        <v>3644.7524993543907</v>
      </c>
      <c r="T99" s="108">
        <f t="shared" si="7"/>
        <v>3644.7524993543907</v>
      </c>
      <c r="U99" s="108"/>
      <c r="V99" s="108"/>
      <c r="W99" s="108"/>
      <c r="X99" s="109"/>
      <c r="Y99" s="99">
        <f t="shared" si="8"/>
        <v>7289.5049987087814</v>
      </c>
      <c r="Z99" s="108">
        <f t="shared" si="9"/>
        <v>7289.5049987087814</v>
      </c>
      <c r="AA99" s="108"/>
      <c r="AB99" s="108"/>
      <c r="AC99" s="108"/>
      <c r="AD99" s="109"/>
      <c r="AE99" s="99">
        <f t="shared" si="10"/>
        <v>7</v>
      </c>
      <c r="AF99" s="101"/>
      <c r="AG99" s="101">
        <f t="shared" si="11"/>
        <v>19.001300000000001</v>
      </c>
      <c r="AH99" s="101">
        <f t="shared" si="12"/>
        <v>193</v>
      </c>
      <c r="AI99" s="101">
        <f t="shared" si="13"/>
        <v>268.61079999999998</v>
      </c>
      <c r="AJ99" s="108">
        <f t="shared" si="14"/>
        <v>0.83333333333333337</v>
      </c>
      <c r="AK99" s="101">
        <f t="shared" si="15"/>
        <v>2803.6557687341465</v>
      </c>
      <c r="AL99" s="101">
        <f t="shared" si="16"/>
        <v>2803.6557687341465</v>
      </c>
      <c r="AM99" s="101"/>
      <c r="AN99" s="101"/>
      <c r="AO99" s="1">
        <v>8</v>
      </c>
      <c r="AP99" s="2">
        <v>15</v>
      </c>
      <c r="AQ99" s="74">
        <f t="shared" si="17"/>
        <v>193</v>
      </c>
      <c r="AR99" s="31">
        <f t="shared" si="18"/>
        <v>0</v>
      </c>
      <c r="AS99" s="2">
        <f t="shared" si="19"/>
        <v>1</v>
      </c>
      <c r="AT99" s="33">
        <f t="shared" si="20"/>
        <v>0</v>
      </c>
      <c r="AU99" s="31">
        <f t="shared" si="21"/>
        <v>0</v>
      </c>
      <c r="AV99" s="2">
        <f t="shared" si="22"/>
        <v>1</v>
      </c>
      <c r="AW99" s="33">
        <f t="shared" si="23"/>
        <v>1.3</v>
      </c>
      <c r="AX99" s="31">
        <f t="shared" si="24"/>
        <v>0</v>
      </c>
      <c r="AY99" s="33">
        <f t="shared" si="25"/>
        <v>1</v>
      </c>
      <c r="AZ99" s="2"/>
      <c r="BA99" s="101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 ht="12" customHeight="1">
      <c r="A100" s="2"/>
      <c r="B100" s="107">
        <v>25</v>
      </c>
      <c r="C100" s="31">
        <v>7</v>
      </c>
      <c r="D100" s="106" t="s">
        <v>2</v>
      </c>
      <c r="E100" s="2" t="s">
        <v>87</v>
      </c>
      <c r="F100" s="2"/>
      <c r="G100" s="2"/>
      <c r="H100" s="33"/>
      <c r="I100" s="99">
        <f t="shared" si="0"/>
        <v>551.373475788326</v>
      </c>
      <c r="J100" s="101">
        <f t="shared" si="1"/>
        <v>24.125</v>
      </c>
      <c r="K100" s="101">
        <f t="shared" si="2"/>
        <v>536</v>
      </c>
      <c r="L100" s="74">
        <f t="shared" si="3"/>
        <v>186</v>
      </c>
      <c r="M100" s="99">
        <f t="shared" si="4"/>
        <v>4410.987806306608</v>
      </c>
      <c r="N100" s="108">
        <f t="shared" si="5"/>
        <v>4410.987806306608</v>
      </c>
      <c r="O100" s="108"/>
      <c r="P100" s="108"/>
      <c r="Q100" s="108"/>
      <c r="R100" s="109"/>
      <c r="S100" s="99">
        <f t="shared" si="6"/>
        <v>2803.6557687341465</v>
      </c>
      <c r="T100" s="108">
        <f t="shared" si="7"/>
        <v>2803.6557687341465</v>
      </c>
      <c r="U100" s="108"/>
      <c r="V100" s="108"/>
      <c r="W100" s="108"/>
      <c r="X100" s="109"/>
      <c r="Y100" s="99">
        <f t="shared" si="8"/>
        <v>5607.311537468293</v>
      </c>
      <c r="Z100" s="108">
        <f t="shared" si="9"/>
        <v>5607.311537468293</v>
      </c>
      <c r="AA100" s="108"/>
      <c r="AB100" s="108"/>
      <c r="AC100" s="108"/>
      <c r="AD100" s="109"/>
      <c r="AE100" s="99">
        <f t="shared" si="10"/>
        <v>8</v>
      </c>
      <c r="AF100" s="101"/>
      <c r="AG100" s="101">
        <f t="shared" si="11"/>
        <v>34.001300000000001</v>
      </c>
      <c r="AH100" s="101">
        <f t="shared" si="12"/>
        <v>193</v>
      </c>
      <c r="AI100" s="101">
        <f t="shared" si="13"/>
        <v>268.61079999999998</v>
      </c>
      <c r="AJ100" s="108">
        <f t="shared" si="14"/>
        <v>0.83333333333333337</v>
      </c>
      <c r="AK100" s="101">
        <f t="shared" si="15"/>
        <v>2803.6557687341465</v>
      </c>
      <c r="AL100" s="101">
        <f t="shared" si="16"/>
        <v>2803.6557687341465</v>
      </c>
      <c r="AM100" s="101"/>
      <c r="AN100" s="101"/>
      <c r="AO100" s="1">
        <v>8</v>
      </c>
      <c r="AP100" s="2">
        <v>15</v>
      </c>
      <c r="AQ100" s="74">
        <f t="shared" si="17"/>
        <v>193</v>
      </c>
      <c r="AR100" s="31">
        <f t="shared" si="18"/>
        <v>0</v>
      </c>
      <c r="AS100" s="2">
        <f t="shared" si="19"/>
        <v>0</v>
      </c>
      <c r="AT100" s="33">
        <f t="shared" si="20"/>
        <v>15</v>
      </c>
      <c r="AU100" s="31">
        <f t="shared" si="21"/>
        <v>0</v>
      </c>
      <c r="AV100" s="2">
        <f t="shared" si="22"/>
        <v>1</v>
      </c>
      <c r="AW100" s="33">
        <f t="shared" si="23"/>
        <v>1</v>
      </c>
      <c r="AX100" s="31">
        <f t="shared" si="24"/>
        <v>0</v>
      </c>
      <c r="AY100" s="33">
        <f t="shared" si="25"/>
        <v>1</v>
      </c>
      <c r="AZ100" s="2"/>
      <c r="BA100" s="101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 ht="12" customHeight="1">
      <c r="A101" s="2"/>
      <c r="B101" s="107">
        <v>26</v>
      </c>
      <c r="C101" s="31">
        <v>7</v>
      </c>
      <c r="D101" s="106" t="s">
        <v>2</v>
      </c>
      <c r="E101" s="2" t="s">
        <v>117</v>
      </c>
      <c r="F101" s="2"/>
      <c r="G101" s="2"/>
      <c r="H101" s="33"/>
      <c r="I101" s="99">
        <f t="shared" si="0"/>
        <v>650.62070143022459</v>
      </c>
      <c r="J101" s="101">
        <f t="shared" si="1"/>
        <v>24.125</v>
      </c>
      <c r="K101" s="101">
        <f t="shared" si="2"/>
        <v>404</v>
      </c>
      <c r="L101" s="74">
        <f t="shared" si="3"/>
        <v>127</v>
      </c>
      <c r="M101" s="99">
        <f t="shared" si="4"/>
        <v>5204.9656114417967</v>
      </c>
      <c r="N101" s="108">
        <f t="shared" si="5"/>
        <v>5204.9656114417967</v>
      </c>
      <c r="O101" s="108"/>
      <c r="P101" s="108"/>
      <c r="Q101" s="108"/>
      <c r="R101" s="109"/>
      <c r="S101" s="99">
        <f t="shared" si="6"/>
        <v>3308.3138071062926</v>
      </c>
      <c r="T101" s="108">
        <f t="shared" si="7"/>
        <v>3308.3138071062926</v>
      </c>
      <c r="U101" s="108"/>
      <c r="V101" s="108"/>
      <c r="W101" s="108"/>
      <c r="X101" s="109"/>
      <c r="Y101" s="99">
        <f t="shared" si="8"/>
        <v>6616.6276142125853</v>
      </c>
      <c r="Z101" s="108">
        <f t="shared" si="9"/>
        <v>6616.6276142125853</v>
      </c>
      <c r="AA101" s="108"/>
      <c r="AB101" s="108"/>
      <c r="AC101" s="108"/>
      <c r="AD101" s="109"/>
      <c r="AE101" s="99">
        <f t="shared" si="10"/>
        <v>8</v>
      </c>
      <c r="AF101" s="101"/>
      <c r="AG101" s="101">
        <f t="shared" si="11"/>
        <v>34.001300000000001</v>
      </c>
      <c r="AH101" s="101">
        <f t="shared" si="12"/>
        <v>193</v>
      </c>
      <c r="AI101" s="101">
        <f t="shared" si="13"/>
        <v>268.61079999999998</v>
      </c>
      <c r="AJ101" s="108">
        <f t="shared" si="14"/>
        <v>0.83333333333333337</v>
      </c>
      <c r="AK101" s="101">
        <f t="shared" si="15"/>
        <v>2803.6557687341465</v>
      </c>
      <c r="AL101" s="101">
        <f t="shared" si="16"/>
        <v>2803.6557687341465</v>
      </c>
      <c r="AM101" s="101"/>
      <c r="AN101" s="101"/>
      <c r="AO101" s="1">
        <v>8</v>
      </c>
      <c r="AP101" s="2">
        <v>15</v>
      </c>
      <c r="AQ101" s="74">
        <f t="shared" si="17"/>
        <v>193</v>
      </c>
      <c r="AR101" s="31">
        <f t="shared" si="18"/>
        <v>0</v>
      </c>
      <c r="AS101" s="2">
        <f t="shared" si="19"/>
        <v>0</v>
      </c>
      <c r="AT101" s="33">
        <f t="shared" si="20"/>
        <v>15</v>
      </c>
      <c r="AU101" s="31">
        <f t="shared" si="21"/>
        <v>0</v>
      </c>
      <c r="AV101" s="2">
        <f t="shared" si="22"/>
        <v>1.18</v>
      </c>
      <c r="AW101" s="33">
        <f t="shared" si="23"/>
        <v>1</v>
      </c>
      <c r="AX101" s="31">
        <f t="shared" si="24"/>
        <v>0</v>
      </c>
      <c r="AY101" s="33">
        <f t="shared" si="25"/>
        <v>1</v>
      </c>
      <c r="AZ101" s="2"/>
      <c r="BA101" s="101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 ht="12" customHeight="1">
      <c r="A102" s="2"/>
      <c r="B102" s="107">
        <v>27</v>
      </c>
      <c r="C102" s="31">
        <v>7</v>
      </c>
      <c r="D102" s="106" t="s">
        <v>2</v>
      </c>
      <c r="E102" s="2" t="s">
        <v>134</v>
      </c>
      <c r="F102" s="2"/>
      <c r="G102" s="2" t="s">
        <v>133</v>
      </c>
      <c r="H102" s="33"/>
      <c r="I102" s="99">
        <f t="shared" si="0"/>
        <v>716.78551852482383</v>
      </c>
      <c r="J102" s="101">
        <f t="shared" si="1"/>
        <v>24.125</v>
      </c>
      <c r="K102" s="101">
        <f t="shared" si="2"/>
        <v>340</v>
      </c>
      <c r="L102" s="74">
        <f t="shared" si="3"/>
        <v>102</v>
      </c>
      <c r="M102" s="99">
        <f t="shared" si="4"/>
        <v>5734.2841481985906</v>
      </c>
      <c r="N102" s="108">
        <f t="shared" si="5"/>
        <v>5734.2841481985906</v>
      </c>
      <c r="O102" s="108"/>
      <c r="P102" s="108"/>
      <c r="Q102" s="108"/>
      <c r="R102" s="109"/>
      <c r="S102" s="99">
        <f t="shared" si="6"/>
        <v>3644.7524993543907</v>
      </c>
      <c r="T102" s="108">
        <f t="shared" si="7"/>
        <v>3644.7524993543907</v>
      </c>
      <c r="U102" s="108"/>
      <c r="V102" s="108"/>
      <c r="W102" s="108"/>
      <c r="X102" s="109"/>
      <c r="Y102" s="99">
        <f t="shared" si="8"/>
        <v>7289.5049987087814</v>
      </c>
      <c r="Z102" s="108">
        <f t="shared" si="9"/>
        <v>7289.5049987087814</v>
      </c>
      <c r="AA102" s="108"/>
      <c r="AB102" s="108"/>
      <c r="AC102" s="108"/>
      <c r="AD102" s="109"/>
      <c r="AE102" s="99">
        <f t="shared" si="10"/>
        <v>8</v>
      </c>
      <c r="AF102" s="101"/>
      <c r="AG102" s="101">
        <f t="shared" si="11"/>
        <v>34.001300000000001</v>
      </c>
      <c r="AH102" s="101">
        <f t="shared" si="12"/>
        <v>193</v>
      </c>
      <c r="AI102" s="101">
        <f t="shared" si="13"/>
        <v>268.61079999999998</v>
      </c>
      <c r="AJ102" s="108">
        <f t="shared" si="14"/>
        <v>0.83333333333333337</v>
      </c>
      <c r="AK102" s="101">
        <f t="shared" si="15"/>
        <v>2803.6557687341465</v>
      </c>
      <c r="AL102" s="101">
        <f t="shared" si="16"/>
        <v>2803.6557687341465</v>
      </c>
      <c r="AM102" s="101"/>
      <c r="AN102" s="101"/>
      <c r="AO102" s="1">
        <v>8</v>
      </c>
      <c r="AP102" s="2">
        <v>15</v>
      </c>
      <c r="AQ102" s="74">
        <f t="shared" si="17"/>
        <v>193</v>
      </c>
      <c r="AR102" s="31">
        <f t="shared" si="18"/>
        <v>0</v>
      </c>
      <c r="AS102" s="2">
        <f t="shared" si="19"/>
        <v>0</v>
      </c>
      <c r="AT102" s="33">
        <f t="shared" si="20"/>
        <v>15</v>
      </c>
      <c r="AU102" s="31">
        <f t="shared" si="21"/>
        <v>0</v>
      </c>
      <c r="AV102" s="2">
        <f t="shared" si="22"/>
        <v>1</v>
      </c>
      <c r="AW102" s="33">
        <f t="shared" si="23"/>
        <v>1.3</v>
      </c>
      <c r="AX102" s="31">
        <f t="shared" si="24"/>
        <v>0</v>
      </c>
      <c r="AY102" s="33">
        <f t="shared" si="25"/>
        <v>1</v>
      </c>
      <c r="AZ102" s="2"/>
      <c r="BA102" s="101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 ht="12" customHeight="1">
      <c r="A103" s="2"/>
      <c r="B103" s="107">
        <v>28</v>
      </c>
      <c r="C103" s="31">
        <v>4</v>
      </c>
      <c r="D103" s="106" t="s">
        <v>2</v>
      </c>
      <c r="E103" s="2" t="s">
        <v>67</v>
      </c>
      <c r="F103" s="2"/>
      <c r="G103" s="2"/>
      <c r="H103" s="33"/>
      <c r="I103" s="99">
        <f t="shared" si="0"/>
        <v>421.06482062511753</v>
      </c>
      <c r="J103" s="101">
        <f t="shared" si="1"/>
        <v>13.25</v>
      </c>
      <c r="K103" s="101">
        <f t="shared" si="2"/>
        <v>710</v>
      </c>
      <c r="L103" s="74">
        <f t="shared" si="3"/>
        <v>258</v>
      </c>
      <c r="M103" s="99">
        <f t="shared" si="4"/>
        <v>3368.5185650009403</v>
      </c>
      <c r="N103" s="108">
        <f t="shared" si="5"/>
        <v>3368.5185650009403</v>
      </c>
      <c r="O103" s="108"/>
      <c r="P103" s="108"/>
      <c r="Q103" s="108"/>
      <c r="R103" s="109"/>
      <c r="S103" s="99">
        <f t="shared" si="6"/>
        <v>2551.1688617439027</v>
      </c>
      <c r="T103" s="108">
        <f t="shared" si="7"/>
        <v>2551.1688617439027</v>
      </c>
      <c r="U103" s="108"/>
      <c r="V103" s="108"/>
      <c r="W103" s="108"/>
      <c r="X103" s="109"/>
      <c r="Y103" s="99">
        <f t="shared" si="8"/>
        <v>5102.3377234878053</v>
      </c>
      <c r="Z103" s="108">
        <f t="shared" si="9"/>
        <v>5102.3377234878053</v>
      </c>
      <c r="AA103" s="108"/>
      <c r="AB103" s="108"/>
      <c r="AC103" s="108"/>
      <c r="AD103" s="109"/>
      <c r="AE103" s="99">
        <f t="shared" si="10"/>
        <v>8</v>
      </c>
      <c r="AF103" s="101"/>
      <c r="AG103" s="101">
        <f t="shared" si="11"/>
        <v>19.001300000000001</v>
      </c>
      <c r="AH103" s="101">
        <f t="shared" si="12"/>
        <v>106</v>
      </c>
      <c r="AI103" s="101">
        <f t="shared" si="13"/>
        <v>268.61079999999998</v>
      </c>
      <c r="AJ103" s="108">
        <f t="shared" si="14"/>
        <v>0.83333333333333337</v>
      </c>
      <c r="AK103" s="101">
        <f t="shared" si="15"/>
        <v>2551.1688617439027</v>
      </c>
      <c r="AL103" s="101">
        <f t="shared" si="16"/>
        <v>2551.1688617439027</v>
      </c>
      <c r="AM103" s="101"/>
      <c r="AN103" s="101"/>
      <c r="AO103" s="1">
        <v>8</v>
      </c>
      <c r="AP103" s="2">
        <v>15</v>
      </c>
      <c r="AQ103" s="74">
        <f t="shared" si="17"/>
        <v>106</v>
      </c>
      <c r="AR103" s="31">
        <f t="shared" si="18"/>
        <v>0</v>
      </c>
      <c r="AS103" s="2">
        <f t="shared" si="19"/>
        <v>0</v>
      </c>
      <c r="AT103" s="33">
        <f t="shared" si="20"/>
        <v>0</v>
      </c>
      <c r="AU103" s="31">
        <f t="shared" si="21"/>
        <v>0</v>
      </c>
      <c r="AV103" s="2">
        <f t="shared" si="22"/>
        <v>1</v>
      </c>
      <c r="AW103" s="33">
        <f t="shared" si="23"/>
        <v>1</v>
      </c>
      <c r="AX103" s="31">
        <f t="shared" si="24"/>
        <v>0</v>
      </c>
      <c r="AY103" s="33">
        <f t="shared" si="25"/>
        <v>1</v>
      </c>
      <c r="AZ103" s="2"/>
      <c r="BA103" s="101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 ht="12" customHeight="1">
      <c r="A104" s="2"/>
      <c r="B104" s="107">
        <v>29</v>
      </c>
      <c r="C104" s="31">
        <v>4</v>
      </c>
      <c r="D104" s="106" t="s">
        <v>2</v>
      </c>
      <c r="E104" s="2" t="s">
        <v>79</v>
      </c>
      <c r="F104" s="2"/>
      <c r="G104" s="2"/>
      <c r="H104" s="33"/>
      <c r="I104" s="99">
        <f t="shared" si="0"/>
        <v>481.21693785727717</v>
      </c>
      <c r="J104" s="101">
        <f t="shared" si="1"/>
        <v>15.142857142857142</v>
      </c>
      <c r="K104" s="101">
        <f t="shared" si="2"/>
        <v>631</v>
      </c>
      <c r="L104" s="74">
        <f t="shared" si="3"/>
        <v>224</v>
      </c>
      <c r="M104" s="99">
        <f t="shared" si="4"/>
        <v>3368.5185650009403</v>
      </c>
      <c r="N104" s="108">
        <f t="shared" si="5"/>
        <v>3368.5185650009403</v>
      </c>
      <c r="O104" s="108"/>
      <c r="P104" s="108"/>
      <c r="Q104" s="108"/>
      <c r="R104" s="109"/>
      <c r="S104" s="99">
        <f t="shared" si="6"/>
        <v>2551.1688617439027</v>
      </c>
      <c r="T104" s="108">
        <f t="shared" si="7"/>
        <v>2551.1688617439027</v>
      </c>
      <c r="U104" s="108"/>
      <c r="V104" s="108"/>
      <c r="W104" s="108"/>
      <c r="X104" s="109"/>
      <c r="Y104" s="99">
        <f t="shared" si="8"/>
        <v>5102.3377234878053</v>
      </c>
      <c r="Z104" s="108">
        <f t="shared" si="9"/>
        <v>5102.3377234878053</v>
      </c>
      <c r="AA104" s="108"/>
      <c r="AB104" s="108"/>
      <c r="AC104" s="108"/>
      <c r="AD104" s="109"/>
      <c r="AE104" s="99">
        <f t="shared" si="10"/>
        <v>7</v>
      </c>
      <c r="AF104" s="101"/>
      <c r="AG104" s="101">
        <f t="shared" si="11"/>
        <v>19.001300000000001</v>
      </c>
      <c r="AH104" s="101">
        <f t="shared" si="12"/>
        <v>106</v>
      </c>
      <c r="AI104" s="101">
        <f t="shared" si="13"/>
        <v>268.61079999999998</v>
      </c>
      <c r="AJ104" s="108">
        <f t="shared" si="14"/>
        <v>0.83333333333333337</v>
      </c>
      <c r="AK104" s="101">
        <f t="shared" si="15"/>
        <v>2551.1688617439027</v>
      </c>
      <c r="AL104" s="101">
        <f t="shared" si="16"/>
        <v>2551.1688617439027</v>
      </c>
      <c r="AM104" s="101"/>
      <c r="AN104" s="101"/>
      <c r="AO104" s="1">
        <v>8</v>
      </c>
      <c r="AP104" s="2">
        <v>15</v>
      </c>
      <c r="AQ104" s="74">
        <f t="shared" si="17"/>
        <v>106</v>
      </c>
      <c r="AR104" s="31">
        <f t="shared" si="18"/>
        <v>0</v>
      </c>
      <c r="AS104" s="2">
        <f t="shared" si="19"/>
        <v>1</v>
      </c>
      <c r="AT104" s="33">
        <f t="shared" si="20"/>
        <v>0</v>
      </c>
      <c r="AU104" s="31">
        <f t="shared" si="21"/>
        <v>0</v>
      </c>
      <c r="AV104" s="2">
        <f t="shared" si="22"/>
        <v>1</v>
      </c>
      <c r="AW104" s="33">
        <f t="shared" si="23"/>
        <v>1</v>
      </c>
      <c r="AX104" s="31">
        <f t="shared" si="24"/>
        <v>0</v>
      </c>
      <c r="AY104" s="33">
        <f t="shared" si="25"/>
        <v>1</v>
      </c>
      <c r="AZ104" s="2"/>
      <c r="BA104" s="101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 ht="12" customHeight="1">
      <c r="A105" s="2"/>
      <c r="B105" s="107">
        <v>30</v>
      </c>
      <c r="C105" s="31">
        <v>4</v>
      </c>
      <c r="D105" s="106" t="s">
        <v>2</v>
      </c>
      <c r="E105" s="2" t="s">
        <v>87</v>
      </c>
      <c r="F105" s="2"/>
      <c r="G105" s="2"/>
      <c r="H105" s="33"/>
      <c r="I105" s="99">
        <f t="shared" si="0"/>
        <v>501.71881238394161</v>
      </c>
      <c r="J105" s="101">
        <f t="shared" si="1"/>
        <v>13.25</v>
      </c>
      <c r="K105" s="101">
        <f t="shared" si="2"/>
        <v>599</v>
      </c>
      <c r="L105" s="74">
        <f t="shared" si="3"/>
        <v>212</v>
      </c>
      <c r="M105" s="99">
        <f t="shared" si="4"/>
        <v>4013.7504990715329</v>
      </c>
      <c r="N105" s="108">
        <f t="shared" si="5"/>
        <v>4013.7504990715329</v>
      </c>
      <c r="O105" s="108"/>
      <c r="P105" s="108"/>
      <c r="Q105" s="108"/>
      <c r="R105" s="109"/>
      <c r="S105" s="99">
        <f t="shared" si="6"/>
        <v>2551.1688617439027</v>
      </c>
      <c r="T105" s="108">
        <f t="shared" si="7"/>
        <v>2551.1688617439027</v>
      </c>
      <c r="U105" s="108"/>
      <c r="V105" s="108"/>
      <c r="W105" s="108"/>
      <c r="X105" s="109"/>
      <c r="Y105" s="99">
        <f t="shared" si="8"/>
        <v>5102.3377234878053</v>
      </c>
      <c r="Z105" s="108">
        <f t="shared" si="9"/>
        <v>5102.3377234878053</v>
      </c>
      <c r="AA105" s="108"/>
      <c r="AB105" s="108"/>
      <c r="AC105" s="108"/>
      <c r="AD105" s="109"/>
      <c r="AE105" s="99">
        <f t="shared" si="10"/>
        <v>8</v>
      </c>
      <c r="AF105" s="101"/>
      <c r="AG105" s="101">
        <f t="shared" si="11"/>
        <v>34.001300000000001</v>
      </c>
      <c r="AH105" s="101">
        <f t="shared" si="12"/>
        <v>106</v>
      </c>
      <c r="AI105" s="101">
        <f t="shared" si="13"/>
        <v>268.61079999999998</v>
      </c>
      <c r="AJ105" s="108">
        <f t="shared" si="14"/>
        <v>0.83333333333333337</v>
      </c>
      <c r="AK105" s="101">
        <f t="shared" si="15"/>
        <v>2551.1688617439027</v>
      </c>
      <c r="AL105" s="101">
        <f t="shared" si="16"/>
        <v>2551.1688617439027</v>
      </c>
      <c r="AM105" s="101"/>
      <c r="AN105" s="101"/>
      <c r="AO105" s="1">
        <v>8</v>
      </c>
      <c r="AP105" s="2">
        <v>15</v>
      </c>
      <c r="AQ105" s="74">
        <f t="shared" si="17"/>
        <v>106</v>
      </c>
      <c r="AR105" s="31">
        <f t="shared" si="18"/>
        <v>0</v>
      </c>
      <c r="AS105" s="2">
        <f t="shared" si="19"/>
        <v>0</v>
      </c>
      <c r="AT105" s="33">
        <f t="shared" si="20"/>
        <v>15</v>
      </c>
      <c r="AU105" s="31">
        <f t="shared" si="21"/>
        <v>0</v>
      </c>
      <c r="AV105" s="2">
        <f t="shared" si="22"/>
        <v>1</v>
      </c>
      <c r="AW105" s="33">
        <f t="shared" si="23"/>
        <v>1</v>
      </c>
      <c r="AX105" s="31">
        <f t="shared" si="24"/>
        <v>0</v>
      </c>
      <c r="AY105" s="33">
        <f t="shared" si="25"/>
        <v>1</v>
      </c>
      <c r="AZ105" s="2"/>
      <c r="BA105" s="101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 ht="12" customHeight="1">
      <c r="A106" s="2"/>
      <c r="B106" s="107">
        <v>31</v>
      </c>
      <c r="C106" s="31">
        <v>1</v>
      </c>
      <c r="D106" s="106" t="s">
        <v>2</v>
      </c>
      <c r="E106" s="2" t="s">
        <v>67</v>
      </c>
      <c r="F106" s="2"/>
      <c r="G106" s="2"/>
      <c r="H106" s="33"/>
      <c r="I106" s="99">
        <f t="shared" si="0"/>
        <v>344.17753307037157</v>
      </c>
      <c r="J106" s="101">
        <f t="shared" si="1"/>
        <v>6.625</v>
      </c>
      <c r="K106" s="101">
        <f t="shared" si="2"/>
        <v>785</v>
      </c>
      <c r="L106" s="74">
        <f t="shared" si="3"/>
        <v>295</v>
      </c>
      <c r="M106" s="99">
        <f t="shared" si="4"/>
        <v>2753.4202645629725</v>
      </c>
      <c r="N106" s="108">
        <f t="shared" si="5"/>
        <v>2753.4202645629725</v>
      </c>
      <c r="O106" s="108"/>
      <c r="P106" s="108"/>
      <c r="Q106" s="108"/>
      <c r="R106" s="109"/>
      <c r="S106" s="99">
        <f t="shared" si="6"/>
        <v>2085.3202696378053</v>
      </c>
      <c r="T106" s="108">
        <f t="shared" si="7"/>
        <v>2085.3202696378053</v>
      </c>
      <c r="U106" s="108"/>
      <c r="V106" s="108"/>
      <c r="W106" s="108"/>
      <c r="X106" s="109"/>
      <c r="Y106" s="99">
        <f t="shared" si="8"/>
        <v>4170.6405392756105</v>
      </c>
      <c r="Z106" s="108">
        <f t="shared" si="9"/>
        <v>4170.6405392756105</v>
      </c>
      <c r="AA106" s="108"/>
      <c r="AB106" s="108"/>
      <c r="AC106" s="108"/>
      <c r="AD106" s="109"/>
      <c r="AE106" s="99">
        <f t="shared" si="10"/>
        <v>8</v>
      </c>
      <c r="AF106" s="101"/>
      <c r="AG106" s="101">
        <f t="shared" si="11"/>
        <v>19.001300000000001</v>
      </c>
      <c r="AH106" s="101">
        <f t="shared" si="12"/>
        <v>53</v>
      </c>
      <c r="AI106" s="101">
        <f t="shared" si="13"/>
        <v>268.61079999999998</v>
      </c>
      <c r="AJ106" s="108">
        <f t="shared" si="14"/>
        <v>0.83333333333333337</v>
      </c>
      <c r="AK106" s="101">
        <f t="shared" si="15"/>
        <v>2085.3202696378053</v>
      </c>
      <c r="AL106" s="101">
        <f t="shared" si="16"/>
        <v>2085.3202696378053</v>
      </c>
      <c r="AM106" s="101"/>
      <c r="AN106" s="101"/>
      <c r="AO106" s="1">
        <v>8</v>
      </c>
      <c r="AP106" s="2">
        <v>15</v>
      </c>
      <c r="AQ106" s="74">
        <f t="shared" si="17"/>
        <v>53</v>
      </c>
      <c r="AR106" s="31">
        <f t="shared" si="18"/>
        <v>0</v>
      </c>
      <c r="AS106" s="2">
        <f t="shared" si="19"/>
        <v>0</v>
      </c>
      <c r="AT106" s="33">
        <f t="shared" si="20"/>
        <v>0</v>
      </c>
      <c r="AU106" s="31">
        <f t="shared" si="21"/>
        <v>0</v>
      </c>
      <c r="AV106" s="2">
        <f t="shared" si="22"/>
        <v>1</v>
      </c>
      <c r="AW106" s="33">
        <f t="shared" si="23"/>
        <v>1</v>
      </c>
      <c r="AX106" s="31">
        <f t="shared" si="24"/>
        <v>0</v>
      </c>
      <c r="AY106" s="33">
        <f t="shared" si="25"/>
        <v>1</v>
      </c>
      <c r="AZ106" s="2"/>
      <c r="BA106" s="101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 ht="12" customHeight="1">
      <c r="A107" s="2"/>
      <c r="B107" s="107">
        <v>32</v>
      </c>
      <c r="C107" s="31">
        <v>10</v>
      </c>
      <c r="D107" s="106" t="s">
        <v>3</v>
      </c>
      <c r="E107" s="2" t="s">
        <v>138</v>
      </c>
      <c r="F107" s="2"/>
      <c r="G107" s="2"/>
      <c r="H107" s="33"/>
      <c r="I107" s="99">
        <f t="shared" si="0"/>
        <v>685.02777978790311</v>
      </c>
      <c r="J107" s="101">
        <f t="shared" si="1"/>
        <v>39.166666666666664</v>
      </c>
      <c r="K107" s="101">
        <f t="shared" si="2"/>
        <v>369</v>
      </c>
      <c r="L107" s="74">
        <f t="shared" si="3"/>
        <v>114</v>
      </c>
      <c r="M107" s="99">
        <f t="shared" si="4"/>
        <v>4110.1666787274189</v>
      </c>
      <c r="N107" s="108">
        <f t="shared" si="5"/>
        <v>4110.1666787274189</v>
      </c>
      <c r="O107" s="108"/>
      <c r="P107" s="108"/>
      <c r="Q107" s="108"/>
      <c r="R107" s="109">
        <f t="shared" ref="R107:R117" si="26">X107*(1+(AG107/100)*(AI107/100-1))</f>
        <v>0</v>
      </c>
      <c r="S107" s="99">
        <f t="shared" si="6"/>
        <v>3112.8607561478048</v>
      </c>
      <c r="T107" s="108">
        <f t="shared" ref="T107:T117" si="27">AL107*AU107*AV107*AW107*AX107</f>
        <v>3112.8607561478048</v>
      </c>
      <c r="U107" s="108"/>
      <c r="V107" s="108"/>
      <c r="W107" s="108"/>
      <c r="X107" s="109">
        <f t="shared" ref="X107:X117" si="28">AL107*AU107*AV107*IF(AW107=1,1,0.25)*AX107*AY107</f>
        <v>0</v>
      </c>
      <c r="Y107" s="99">
        <f t="shared" si="8"/>
        <v>6225.7215122956095</v>
      </c>
      <c r="Z107" s="108">
        <f t="shared" si="9"/>
        <v>6225.7215122956095</v>
      </c>
      <c r="AA107" s="108"/>
      <c r="AB107" s="108"/>
      <c r="AC107" s="108"/>
      <c r="AD107" s="109">
        <f t="shared" ref="AD107:AD117" si="29">X107*$D$58/100</f>
        <v>0</v>
      </c>
      <c r="AE107" s="99">
        <f t="shared" ref="AE107:AE117" si="30">IF(AV107=1,AO107,AO107+6)</f>
        <v>6</v>
      </c>
      <c r="AF107" s="101">
        <f t="shared" ref="AF107:AF117" si="31">AP107</f>
        <v>36</v>
      </c>
      <c r="AG107" s="101">
        <f t="shared" ref="AG107:AG168" si="32">IF($D$57&gt;100,100,$D$57)</f>
        <v>19.001300000000001</v>
      </c>
      <c r="AH107" s="101">
        <f t="shared" si="12"/>
        <v>235</v>
      </c>
      <c r="AI107" s="101">
        <f t="shared" si="13"/>
        <v>268.61079999999998</v>
      </c>
      <c r="AJ107" s="108">
        <f t="shared" ref="AJ107:AJ117" si="33">10/13</f>
        <v>0.76923076923076927</v>
      </c>
      <c r="AK107" s="101">
        <f t="shared" si="15"/>
        <v>1729.3670867487806</v>
      </c>
      <c r="AL107" s="101">
        <f t="shared" ref="AL107:AL117" si="34">(VLOOKUP(C107,$B$36:$AG$39,3,FALSE)+VLOOKUP(C107,$B$40:$AG$43,3,FALSE)*$D$54)*$D$59/100</f>
        <v>1729.3670867487806</v>
      </c>
      <c r="AM107" s="101"/>
      <c r="AN107" s="101"/>
      <c r="AO107" s="1">
        <v>6</v>
      </c>
      <c r="AP107" s="2">
        <v>36</v>
      </c>
      <c r="AQ107" s="74">
        <f t="shared" ref="AQ107:AQ117" si="35">VLOOKUP(C107,$B$45:$AA$48,3,FALSE)</f>
        <v>235</v>
      </c>
      <c r="AR107" s="31">
        <f t="shared" ref="AR107:AR117" si="36">IF(LEFT(E107,1)*1=1,$S$53,$R$53)</f>
        <v>0</v>
      </c>
      <c r="AS107" s="2">
        <f t="shared" ref="AS107:AS117" si="37">IF(LEFT(E107,1)*1=2,$U$53,$T$53)</f>
        <v>0</v>
      </c>
      <c r="AT107" s="33">
        <f t="shared" ref="AT107:AT117" si="38">IF(LEFT(E107,1)*1=3,$W$53,$V$53)</f>
        <v>0</v>
      </c>
      <c r="AU107" s="31">
        <f t="shared" ref="AU107:AU117" si="39">IF(MID(E107,3,1)*1=1,$Y$53,$X$53)</f>
        <v>1.5</v>
      </c>
      <c r="AV107" s="2">
        <f t="shared" ref="AV107:AV117" si="40">IF(MID(E107,3,1)*1=2,$AA$53,$Z$53)</f>
        <v>1</v>
      </c>
      <c r="AW107" s="33">
        <f t="shared" ref="AW107:AW117" si="41">IF(MID(E107,3,1)*1=3,$AC$53,$AB$53)</f>
        <v>1</v>
      </c>
      <c r="AX107" s="31">
        <f t="shared" ref="AX107:AX117" si="42">IF(MID(E107,5,1)*1=1,$AE$53,$AD$53)</f>
        <v>1.2</v>
      </c>
      <c r="AY107" s="33">
        <f t="shared" ref="AY107:AY117" si="43">IF(MID(E107,5,1)*1=2,$AG$53,$AF$53)</f>
        <v>0</v>
      </c>
      <c r="AZ107" s="2"/>
      <c r="BA107" s="101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 ht="12" customHeight="1">
      <c r="A108" s="2"/>
      <c r="B108" s="107">
        <v>33</v>
      </c>
      <c r="C108" s="31">
        <v>10</v>
      </c>
      <c r="D108" s="106" t="s">
        <v>3</v>
      </c>
      <c r="E108" s="2" t="s">
        <v>140</v>
      </c>
      <c r="F108" s="2"/>
      <c r="G108" s="2"/>
      <c r="H108" s="33"/>
      <c r="I108" s="99">
        <f t="shared" si="0"/>
        <v>114.1712966313172</v>
      </c>
      <c r="J108" s="101">
        <f t="shared" si="1"/>
        <v>19.583333333333332</v>
      </c>
      <c r="K108" s="101">
        <f t="shared" si="2"/>
        <v>899</v>
      </c>
      <c r="L108" s="74">
        <f t="shared" si="3"/>
        <v>372</v>
      </c>
      <c r="M108" s="99">
        <f t="shared" si="4"/>
        <v>1370.0555595758065</v>
      </c>
      <c r="N108" s="108">
        <f t="shared" si="5"/>
        <v>1370.0555595758065</v>
      </c>
      <c r="O108" s="108"/>
      <c r="P108" s="108"/>
      <c r="Q108" s="108"/>
      <c r="R108" s="109">
        <f t="shared" si="26"/>
        <v>0</v>
      </c>
      <c r="S108" s="99">
        <f t="shared" si="6"/>
        <v>1037.6202520492684</v>
      </c>
      <c r="T108" s="108">
        <f t="shared" si="27"/>
        <v>1037.6202520492684</v>
      </c>
      <c r="U108" s="108"/>
      <c r="V108" s="108"/>
      <c r="W108" s="108"/>
      <c r="X108" s="109">
        <f t="shared" si="28"/>
        <v>0</v>
      </c>
      <c r="Y108" s="99">
        <f t="shared" si="8"/>
        <v>2075.2405040985368</v>
      </c>
      <c r="Z108" s="108">
        <f t="shared" si="9"/>
        <v>2075.2405040985368</v>
      </c>
      <c r="AA108" s="108"/>
      <c r="AB108" s="108"/>
      <c r="AC108" s="108"/>
      <c r="AD108" s="109">
        <f t="shared" si="29"/>
        <v>0</v>
      </c>
      <c r="AE108" s="99">
        <f t="shared" si="30"/>
        <v>12</v>
      </c>
      <c r="AF108" s="101">
        <f t="shared" si="31"/>
        <v>36</v>
      </c>
      <c r="AG108" s="101">
        <f t="shared" si="32"/>
        <v>19.001300000000001</v>
      </c>
      <c r="AH108" s="101">
        <f t="shared" si="12"/>
        <v>235</v>
      </c>
      <c r="AI108" s="101">
        <f t="shared" si="13"/>
        <v>268.61079999999998</v>
      </c>
      <c r="AJ108" s="108">
        <f t="shared" si="33"/>
        <v>0.76923076923076927</v>
      </c>
      <c r="AK108" s="101">
        <f t="shared" si="15"/>
        <v>1729.3670867487806</v>
      </c>
      <c r="AL108" s="101">
        <f t="shared" si="34"/>
        <v>1729.3670867487806</v>
      </c>
      <c r="AM108" s="101"/>
      <c r="AN108" s="101"/>
      <c r="AO108" s="1">
        <v>6</v>
      </c>
      <c r="AP108" s="2">
        <v>36</v>
      </c>
      <c r="AQ108" s="74">
        <f t="shared" si="35"/>
        <v>235</v>
      </c>
      <c r="AR108" s="31">
        <f t="shared" si="36"/>
        <v>0</v>
      </c>
      <c r="AS108" s="2">
        <f t="shared" si="37"/>
        <v>0</v>
      </c>
      <c r="AT108" s="33">
        <f t="shared" si="38"/>
        <v>0</v>
      </c>
      <c r="AU108" s="31">
        <f t="shared" si="39"/>
        <v>1</v>
      </c>
      <c r="AV108" s="2">
        <f t="shared" si="40"/>
        <v>0.5</v>
      </c>
      <c r="AW108" s="33">
        <f t="shared" si="41"/>
        <v>1</v>
      </c>
      <c r="AX108" s="31">
        <f t="shared" si="42"/>
        <v>1.2</v>
      </c>
      <c r="AY108" s="33">
        <f t="shared" si="43"/>
        <v>0</v>
      </c>
      <c r="AZ108" s="2"/>
      <c r="BA108" s="101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 ht="12" customHeight="1">
      <c r="A109" s="2"/>
      <c r="B109" s="107">
        <v>34</v>
      </c>
      <c r="C109" s="31">
        <v>10</v>
      </c>
      <c r="D109" s="106" t="s">
        <v>3</v>
      </c>
      <c r="E109" s="2" t="s">
        <v>141</v>
      </c>
      <c r="F109" s="2"/>
      <c r="G109" s="2" t="s">
        <v>137</v>
      </c>
      <c r="H109" s="33"/>
      <c r="I109" s="99">
        <f t="shared" si="0"/>
        <v>28.542824157829301</v>
      </c>
      <c r="J109" s="101">
        <f t="shared" si="1"/>
        <v>39.166666666666664</v>
      </c>
      <c r="K109" s="101">
        <f t="shared" si="2"/>
        <v>901</v>
      </c>
      <c r="L109" s="74">
        <f t="shared" si="3"/>
        <v>374</v>
      </c>
      <c r="M109" s="99">
        <f t="shared" si="4"/>
        <v>171.25694494697581</v>
      </c>
      <c r="N109" s="108">
        <f t="shared" si="5"/>
        <v>171.25694494697581</v>
      </c>
      <c r="O109" s="108"/>
      <c r="P109" s="108"/>
      <c r="Q109" s="108"/>
      <c r="R109" s="109">
        <f t="shared" si="26"/>
        <v>0</v>
      </c>
      <c r="S109" s="99">
        <f t="shared" si="6"/>
        <v>129.70253150615855</v>
      </c>
      <c r="T109" s="108">
        <f t="shared" si="27"/>
        <v>129.70253150615855</v>
      </c>
      <c r="U109" s="108"/>
      <c r="V109" s="108"/>
      <c r="W109" s="108"/>
      <c r="X109" s="109">
        <f t="shared" si="28"/>
        <v>0</v>
      </c>
      <c r="Y109" s="99">
        <f t="shared" si="8"/>
        <v>259.4050630123171</v>
      </c>
      <c r="Z109" s="108">
        <f t="shared" si="9"/>
        <v>259.4050630123171</v>
      </c>
      <c r="AA109" s="108"/>
      <c r="AB109" s="108"/>
      <c r="AC109" s="108"/>
      <c r="AD109" s="109">
        <f t="shared" si="29"/>
        <v>0</v>
      </c>
      <c r="AE109" s="99">
        <f t="shared" si="30"/>
        <v>6</v>
      </c>
      <c r="AF109" s="101">
        <f t="shared" si="31"/>
        <v>36</v>
      </c>
      <c r="AG109" s="101">
        <f t="shared" si="32"/>
        <v>19.001300000000001</v>
      </c>
      <c r="AH109" s="101">
        <f t="shared" si="12"/>
        <v>235</v>
      </c>
      <c r="AI109" s="101">
        <f t="shared" si="13"/>
        <v>268.61079999999998</v>
      </c>
      <c r="AJ109" s="108">
        <f t="shared" si="33"/>
        <v>0.76923076923076927</v>
      </c>
      <c r="AK109" s="101">
        <f t="shared" si="15"/>
        <v>1729.3670867487806</v>
      </c>
      <c r="AL109" s="101">
        <f t="shared" si="34"/>
        <v>1729.3670867487806</v>
      </c>
      <c r="AM109" s="101"/>
      <c r="AN109" s="101"/>
      <c r="AO109" s="1">
        <v>6</v>
      </c>
      <c r="AP109" s="2">
        <v>36</v>
      </c>
      <c r="AQ109" s="74">
        <f t="shared" si="35"/>
        <v>235</v>
      </c>
      <c r="AR109" s="31">
        <f t="shared" si="36"/>
        <v>0</v>
      </c>
      <c r="AS109" s="2">
        <f t="shared" si="37"/>
        <v>0</v>
      </c>
      <c r="AT109" s="33">
        <f t="shared" si="38"/>
        <v>0</v>
      </c>
      <c r="AU109" s="31">
        <f t="shared" si="39"/>
        <v>1</v>
      </c>
      <c r="AV109" s="2">
        <f t="shared" si="40"/>
        <v>1</v>
      </c>
      <c r="AW109" s="33">
        <f t="shared" si="41"/>
        <v>6.25E-2</v>
      </c>
      <c r="AX109" s="31">
        <f t="shared" si="42"/>
        <v>1.2</v>
      </c>
      <c r="AY109" s="33">
        <f t="shared" si="43"/>
        <v>0</v>
      </c>
      <c r="AZ109" s="2"/>
      <c r="BA109" s="101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 ht="12" customHeight="1">
      <c r="A110" s="2"/>
      <c r="B110" s="107">
        <v>35</v>
      </c>
      <c r="C110" s="31">
        <v>10</v>
      </c>
      <c r="D110" s="106" t="s">
        <v>3</v>
      </c>
      <c r="E110" s="2" t="s">
        <v>139</v>
      </c>
      <c r="F110" s="2"/>
      <c r="G110" s="2"/>
      <c r="H110" s="33"/>
      <c r="I110" s="99">
        <f t="shared" si="0"/>
        <v>1141.7129663131718</v>
      </c>
      <c r="J110" s="101">
        <f t="shared" si="1"/>
        <v>39.166666666666664</v>
      </c>
      <c r="K110" s="101">
        <f t="shared" si="2"/>
        <v>108</v>
      </c>
      <c r="L110" s="74">
        <f t="shared" si="3"/>
        <v>17</v>
      </c>
      <c r="M110" s="99">
        <f t="shared" si="4"/>
        <v>6850.2777978790309</v>
      </c>
      <c r="N110" s="108">
        <f t="shared" si="5"/>
        <v>3425.1388989395155</v>
      </c>
      <c r="O110" s="108"/>
      <c r="P110" s="108"/>
      <c r="Q110" s="108"/>
      <c r="R110" s="109">
        <f t="shared" si="26"/>
        <v>3425.1388989395155</v>
      </c>
      <c r="S110" s="99">
        <f t="shared" si="6"/>
        <v>5188.1012602463416</v>
      </c>
      <c r="T110" s="108">
        <f t="shared" si="27"/>
        <v>2594.0506301231708</v>
      </c>
      <c r="U110" s="108"/>
      <c r="V110" s="108"/>
      <c r="W110" s="108"/>
      <c r="X110" s="109">
        <f t="shared" si="28"/>
        <v>2594.0506301231708</v>
      </c>
      <c r="Y110" s="99">
        <f t="shared" si="8"/>
        <v>10376.202520492683</v>
      </c>
      <c r="Z110" s="108">
        <f t="shared" si="9"/>
        <v>5188.1012602463416</v>
      </c>
      <c r="AA110" s="108"/>
      <c r="AB110" s="108"/>
      <c r="AC110" s="108"/>
      <c r="AD110" s="109">
        <f t="shared" si="29"/>
        <v>5188.1012602463416</v>
      </c>
      <c r="AE110" s="99">
        <f t="shared" si="30"/>
        <v>6</v>
      </c>
      <c r="AF110" s="101">
        <f t="shared" si="31"/>
        <v>36</v>
      </c>
      <c r="AG110" s="101">
        <f t="shared" si="32"/>
        <v>19.001300000000001</v>
      </c>
      <c r="AH110" s="101">
        <f t="shared" si="12"/>
        <v>235</v>
      </c>
      <c r="AI110" s="101">
        <f t="shared" si="13"/>
        <v>268.61079999999998</v>
      </c>
      <c r="AJ110" s="108">
        <f t="shared" si="33"/>
        <v>0.76923076923076927</v>
      </c>
      <c r="AK110" s="101">
        <f t="shared" si="15"/>
        <v>1729.3670867487806</v>
      </c>
      <c r="AL110" s="101">
        <f t="shared" si="34"/>
        <v>1729.3670867487806</v>
      </c>
      <c r="AM110" s="101"/>
      <c r="AN110" s="101"/>
      <c r="AO110" s="1">
        <v>6</v>
      </c>
      <c r="AP110" s="2">
        <v>36</v>
      </c>
      <c r="AQ110" s="74">
        <f t="shared" si="35"/>
        <v>235</v>
      </c>
      <c r="AR110" s="31">
        <f t="shared" si="36"/>
        <v>0</v>
      </c>
      <c r="AS110" s="2">
        <f t="shared" si="37"/>
        <v>0</v>
      </c>
      <c r="AT110" s="33">
        <f t="shared" si="38"/>
        <v>0</v>
      </c>
      <c r="AU110" s="31">
        <f t="shared" si="39"/>
        <v>1.5</v>
      </c>
      <c r="AV110" s="2">
        <f t="shared" si="40"/>
        <v>1</v>
      </c>
      <c r="AW110" s="33">
        <f t="shared" si="41"/>
        <v>1</v>
      </c>
      <c r="AX110" s="31">
        <f t="shared" si="42"/>
        <v>1</v>
      </c>
      <c r="AY110" s="33">
        <f t="shared" si="43"/>
        <v>1</v>
      </c>
      <c r="AZ110" s="2"/>
      <c r="BA110" s="101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 ht="12" customHeight="1">
      <c r="A111" s="2"/>
      <c r="B111" s="107">
        <v>36</v>
      </c>
      <c r="C111" s="31">
        <v>10</v>
      </c>
      <c r="D111" s="106" t="s">
        <v>3</v>
      </c>
      <c r="E111" s="2" t="s">
        <v>95</v>
      </c>
      <c r="F111" s="2"/>
      <c r="G111" s="2"/>
      <c r="H111" s="33"/>
      <c r="I111" s="99">
        <f t="shared" si="0"/>
        <v>190.28549438552864</v>
      </c>
      <c r="J111" s="101">
        <f t="shared" si="1"/>
        <v>19.583333333333332</v>
      </c>
      <c r="K111" s="101">
        <f t="shared" si="2"/>
        <v>888</v>
      </c>
      <c r="L111" s="74">
        <f t="shared" si="3"/>
        <v>361</v>
      </c>
      <c r="M111" s="99">
        <f t="shared" si="4"/>
        <v>2283.4259326263436</v>
      </c>
      <c r="N111" s="108">
        <f t="shared" si="5"/>
        <v>1141.7129663131718</v>
      </c>
      <c r="O111" s="108"/>
      <c r="P111" s="108"/>
      <c r="Q111" s="108"/>
      <c r="R111" s="109">
        <f t="shared" si="26"/>
        <v>1141.7129663131718</v>
      </c>
      <c r="S111" s="99">
        <f t="shared" si="6"/>
        <v>1729.3670867487806</v>
      </c>
      <c r="T111" s="108">
        <f t="shared" si="27"/>
        <v>864.6835433743903</v>
      </c>
      <c r="U111" s="108"/>
      <c r="V111" s="108"/>
      <c r="W111" s="108"/>
      <c r="X111" s="109">
        <f t="shared" si="28"/>
        <v>864.6835433743903</v>
      </c>
      <c r="Y111" s="99">
        <f t="shared" si="8"/>
        <v>3458.7341734975612</v>
      </c>
      <c r="Z111" s="108">
        <f t="shared" si="9"/>
        <v>1729.3670867487806</v>
      </c>
      <c r="AA111" s="108"/>
      <c r="AB111" s="108"/>
      <c r="AC111" s="108"/>
      <c r="AD111" s="109">
        <f t="shared" si="29"/>
        <v>1729.3670867487806</v>
      </c>
      <c r="AE111" s="99">
        <f t="shared" si="30"/>
        <v>12</v>
      </c>
      <c r="AF111" s="101">
        <f t="shared" si="31"/>
        <v>36</v>
      </c>
      <c r="AG111" s="101">
        <f t="shared" si="32"/>
        <v>19.001300000000001</v>
      </c>
      <c r="AH111" s="101">
        <f t="shared" si="12"/>
        <v>235</v>
      </c>
      <c r="AI111" s="101">
        <f t="shared" si="13"/>
        <v>268.61079999999998</v>
      </c>
      <c r="AJ111" s="108">
        <f t="shared" si="33"/>
        <v>0.76923076923076927</v>
      </c>
      <c r="AK111" s="101">
        <f t="shared" si="15"/>
        <v>1729.3670867487806</v>
      </c>
      <c r="AL111" s="101">
        <f t="shared" si="34"/>
        <v>1729.3670867487806</v>
      </c>
      <c r="AM111" s="101"/>
      <c r="AN111" s="101"/>
      <c r="AO111" s="1">
        <v>6</v>
      </c>
      <c r="AP111" s="2">
        <v>36</v>
      </c>
      <c r="AQ111" s="74">
        <f t="shared" si="35"/>
        <v>235</v>
      </c>
      <c r="AR111" s="31">
        <f t="shared" si="36"/>
        <v>0</v>
      </c>
      <c r="AS111" s="2">
        <f t="shared" si="37"/>
        <v>0</v>
      </c>
      <c r="AT111" s="33">
        <f t="shared" si="38"/>
        <v>0</v>
      </c>
      <c r="AU111" s="31">
        <f t="shared" si="39"/>
        <v>1</v>
      </c>
      <c r="AV111" s="2">
        <f t="shared" si="40"/>
        <v>0.5</v>
      </c>
      <c r="AW111" s="33">
        <f t="shared" si="41"/>
        <v>1</v>
      </c>
      <c r="AX111" s="31">
        <f t="shared" si="42"/>
        <v>1</v>
      </c>
      <c r="AY111" s="33">
        <f t="shared" si="43"/>
        <v>1</v>
      </c>
      <c r="AZ111" s="2"/>
      <c r="BA111" s="101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 ht="12" customHeight="1">
      <c r="A112" s="2"/>
      <c r="B112" s="107">
        <v>37</v>
      </c>
      <c r="C112" s="31">
        <v>10</v>
      </c>
      <c r="D112" s="106" t="s">
        <v>3</v>
      </c>
      <c r="E112" s="2" t="s">
        <v>98</v>
      </c>
      <c r="F112" s="2"/>
      <c r="G112" s="2" t="s">
        <v>137</v>
      </c>
      <c r="H112" s="33"/>
      <c r="I112" s="99">
        <f t="shared" si="0"/>
        <v>118.9284339909554</v>
      </c>
      <c r="J112" s="101">
        <f t="shared" si="1"/>
        <v>39.166666666666664</v>
      </c>
      <c r="K112" s="101">
        <f t="shared" si="2"/>
        <v>897</v>
      </c>
      <c r="L112" s="74">
        <f t="shared" si="3"/>
        <v>370</v>
      </c>
      <c r="M112" s="99">
        <f t="shared" si="4"/>
        <v>713.57060394573239</v>
      </c>
      <c r="N112" s="108">
        <f t="shared" si="5"/>
        <v>142.71412078914648</v>
      </c>
      <c r="O112" s="108"/>
      <c r="P112" s="108"/>
      <c r="Q112" s="108"/>
      <c r="R112" s="109">
        <f t="shared" si="26"/>
        <v>570.85648315658591</v>
      </c>
      <c r="S112" s="99">
        <f t="shared" si="6"/>
        <v>540.42721460899395</v>
      </c>
      <c r="T112" s="108">
        <f t="shared" si="27"/>
        <v>108.08544292179879</v>
      </c>
      <c r="U112" s="108"/>
      <c r="V112" s="108"/>
      <c r="W112" s="108"/>
      <c r="X112" s="109">
        <f t="shared" si="28"/>
        <v>432.34177168719515</v>
      </c>
      <c r="Y112" s="99">
        <f t="shared" si="8"/>
        <v>1080.8544292179879</v>
      </c>
      <c r="Z112" s="108">
        <f t="shared" si="9"/>
        <v>216.17088584359757</v>
      </c>
      <c r="AA112" s="108"/>
      <c r="AB112" s="108"/>
      <c r="AC112" s="108"/>
      <c r="AD112" s="109">
        <f t="shared" si="29"/>
        <v>864.6835433743903</v>
      </c>
      <c r="AE112" s="99">
        <f t="shared" si="30"/>
        <v>6</v>
      </c>
      <c r="AF112" s="101">
        <f t="shared" si="31"/>
        <v>36</v>
      </c>
      <c r="AG112" s="101">
        <f t="shared" si="32"/>
        <v>19.001300000000001</v>
      </c>
      <c r="AH112" s="101">
        <f t="shared" si="12"/>
        <v>235</v>
      </c>
      <c r="AI112" s="101">
        <f t="shared" si="13"/>
        <v>268.61079999999998</v>
      </c>
      <c r="AJ112" s="108">
        <f t="shared" si="33"/>
        <v>0.76923076923076927</v>
      </c>
      <c r="AK112" s="101">
        <f t="shared" si="15"/>
        <v>1729.3670867487806</v>
      </c>
      <c r="AL112" s="101">
        <f t="shared" si="34"/>
        <v>1729.3670867487806</v>
      </c>
      <c r="AM112" s="101"/>
      <c r="AN112" s="101"/>
      <c r="AO112" s="1">
        <v>6</v>
      </c>
      <c r="AP112" s="2">
        <v>36</v>
      </c>
      <c r="AQ112" s="74">
        <f t="shared" si="35"/>
        <v>235</v>
      </c>
      <c r="AR112" s="31">
        <f t="shared" si="36"/>
        <v>0</v>
      </c>
      <c r="AS112" s="2">
        <f t="shared" si="37"/>
        <v>0</v>
      </c>
      <c r="AT112" s="33">
        <f t="shared" si="38"/>
        <v>0</v>
      </c>
      <c r="AU112" s="31">
        <f t="shared" si="39"/>
        <v>1</v>
      </c>
      <c r="AV112" s="2">
        <f t="shared" si="40"/>
        <v>1</v>
      </c>
      <c r="AW112" s="33">
        <f t="shared" si="41"/>
        <v>6.25E-2</v>
      </c>
      <c r="AX112" s="31">
        <f t="shared" si="42"/>
        <v>1</v>
      </c>
      <c r="AY112" s="33">
        <f t="shared" si="43"/>
        <v>1</v>
      </c>
      <c r="AZ112" s="2"/>
      <c r="BA112" s="101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 ht="12" customHeight="1">
      <c r="A113" s="2"/>
      <c r="B113" s="107">
        <v>38</v>
      </c>
      <c r="C113" s="31">
        <v>7</v>
      </c>
      <c r="D113" s="106" t="s">
        <v>3</v>
      </c>
      <c r="E113" s="2" t="s">
        <v>136</v>
      </c>
      <c r="F113" s="2"/>
      <c r="G113" s="2"/>
      <c r="H113" s="33"/>
      <c r="I113" s="99">
        <f t="shared" si="0"/>
        <v>546.15815963574494</v>
      </c>
      <c r="J113" s="101">
        <f t="shared" si="1"/>
        <v>27.166666666666668</v>
      </c>
      <c r="K113" s="101">
        <f t="shared" si="2"/>
        <v>541</v>
      </c>
      <c r="L113" s="74">
        <f t="shared" si="3"/>
        <v>188</v>
      </c>
      <c r="M113" s="99">
        <f t="shared" si="4"/>
        <v>3276.9489578144698</v>
      </c>
      <c r="N113" s="108">
        <f t="shared" si="5"/>
        <v>3276.9489578144698</v>
      </c>
      <c r="O113" s="108"/>
      <c r="P113" s="108"/>
      <c r="Q113" s="108"/>
      <c r="R113" s="109">
        <f t="shared" si="26"/>
        <v>0</v>
      </c>
      <c r="S113" s="99">
        <f t="shared" si="6"/>
        <v>2481.8180400018296</v>
      </c>
      <c r="T113" s="108">
        <f t="shared" si="27"/>
        <v>2481.8180400018296</v>
      </c>
      <c r="U113" s="108"/>
      <c r="V113" s="108"/>
      <c r="W113" s="108"/>
      <c r="X113" s="109">
        <f t="shared" si="28"/>
        <v>0</v>
      </c>
      <c r="Y113" s="99">
        <f t="shared" si="8"/>
        <v>4963.6360800036591</v>
      </c>
      <c r="Z113" s="108">
        <f t="shared" si="9"/>
        <v>4963.6360800036591</v>
      </c>
      <c r="AA113" s="108"/>
      <c r="AB113" s="108"/>
      <c r="AC113" s="108"/>
      <c r="AD113" s="109">
        <f t="shared" si="29"/>
        <v>0</v>
      </c>
      <c r="AE113" s="99">
        <f t="shared" si="30"/>
        <v>6</v>
      </c>
      <c r="AF113" s="101">
        <f t="shared" si="31"/>
        <v>36</v>
      </c>
      <c r="AG113" s="101">
        <f t="shared" si="32"/>
        <v>19.001300000000001</v>
      </c>
      <c r="AH113" s="101">
        <f t="shared" si="12"/>
        <v>163</v>
      </c>
      <c r="AI113" s="101">
        <f t="shared" si="13"/>
        <v>268.61079999999998</v>
      </c>
      <c r="AJ113" s="108">
        <f t="shared" si="33"/>
        <v>0.76923076923076927</v>
      </c>
      <c r="AK113" s="101">
        <f t="shared" si="15"/>
        <v>1654.5453600012197</v>
      </c>
      <c r="AL113" s="101">
        <f t="shared" si="34"/>
        <v>1654.5453600012197</v>
      </c>
      <c r="AM113" s="101"/>
      <c r="AN113" s="101"/>
      <c r="AO113" s="1">
        <v>6</v>
      </c>
      <c r="AP113" s="2">
        <v>36</v>
      </c>
      <c r="AQ113" s="74">
        <f t="shared" si="35"/>
        <v>163</v>
      </c>
      <c r="AR113" s="31">
        <f t="shared" si="36"/>
        <v>0</v>
      </c>
      <c r="AS113" s="2">
        <f t="shared" si="37"/>
        <v>0</v>
      </c>
      <c r="AT113" s="33">
        <f t="shared" si="38"/>
        <v>0</v>
      </c>
      <c r="AU113" s="31">
        <f t="shared" si="39"/>
        <v>1.5</v>
      </c>
      <c r="AV113" s="2">
        <f t="shared" si="40"/>
        <v>1</v>
      </c>
      <c r="AW113" s="33">
        <f t="shared" si="41"/>
        <v>1</v>
      </c>
      <c r="AX113" s="31">
        <f t="shared" si="42"/>
        <v>1</v>
      </c>
      <c r="AY113" s="33">
        <f t="shared" si="43"/>
        <v>0</v>
      </c>
      <c r="AZ113" s="2"/>
      <c r="BA113" s="101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 ht="12" customHeight="1">
      <c r="A114" s="2"/>
      <c r="B114" s="107">
        <v>39</v>
      </c>
      <c r="C114" s="31">
        <v>7</v>
      </c>
      <c r="D114" s="106" t="s">
        <v>3</v>
      </c>
      <c r="E114" s="2" t="s">
        <v>89</v>
      </c>
      <c r="F114" s="2"/>
      <c r="G114" s="2"/>
      <c r="H114" s="33"/>
      <c r="I114" s="99">
        <f t="shared" si="0"/>
        <v>91.026359939290828</v>
      </c>
      <c r="J114" s="101">
        <f t="shared" si="1"/>
        <v>13.583333333333334</v>
      </c>
      <c r="K114" s="101">
        <f t="shared" si="2"/>
        <v>900</v>
      </c>
      <c r="L114" s="74">
        <f t="shared" si="3"/>
        <v>373</v>
      </c>
      <c r="M114" s="99">
        <f t="shared" si="4"/>
        <v>1092.3163192714899</v>
      </c>
      <c r="N114" s="108">
        <f t="shared" si="5"/>
        <v>1092.3163192714899</v>
      </c>
      <c r="O114" s="108"/>
      <c r="P114" s="108"/>
      <c r="Q114" s="108"/>
      <c r="R114" s="109">
        <f t="shared" si="26"/>
        <v>0</v>
      </c>
      <c r="S114" s="99">
        <f t="shared" si="6"/>
        <v>827.27268000060985</v>
      </c>
      <c r="T114" s="108">
        <f t="shared" si="27"/>
        <v>827.27268000060985</v>
      </c>
      <c r="U114" s="108"/>
      <c r="V114" s="108"/>
      <c r="W114" s="108"/>
      <c r="X114" s="109">
        <f t="shared" si="28"/>
        <v>0</v>
      </c>
      <c r="Y114" s="99">
        <f t="shared" si="8"/>
        <v>1654.5453600012197</v>
      </c>
      <c r="Z114" s="108">
        <f t="shared" si="9"/>
        <v>1654.5453600012197</v>
      </c>
      <c r="AA114" s="108"/>
      <c r="AB114" s="108"/>
      <c r="AC114" s="108"/>
      <c r="AD114" s="109">
        <f t="shared" si="29"/>
        <v>0</v>
      </c>
      <c r="AE114" s="99">
        <f t="shared" si="30"/>
        <v>12</v>
      </c>
      <c r="AF114" s="101">
        <f t="shared" si="31"/>
        <v>36</v>
      </c>
      <c r="AG114" s="101">
        <f t="shared" si="32"/>
        <v>19.001300000000001</v>
      </c>
      <c r="AH114" s="101">
        <f t="shared" si="12"/>
        <v>163</v>
      </c>
      <c r="AI114" s="101">
        <f t="shared" si="13"/>
        <v>268.61079999999998</v>
      </c>
      <c r="AJ114" s="108">
        <f t="shared" si="33"/>
        <v>0.76923076923076927</v>
      </c>
      <c r="AK114" s="101">
        <f t="shared" si="15"/>
        <v>1654.5453600012197</v>
      </c>
      <c r="AL114" s="101">
        <f t="shared" si="34"/>
        <v>1654.5453600012197</v>
      </c>
      <c r="AM114" s="101"/>
      <c r="AN114" s="101"/>
      <c r="AO114" s="1">
        <v>6</v>
      </c>
      <c r="AP114" s="2">
        <v>36</v>
      </c>
      <c r="AQ114" s="74">
        <f t="shared" si="35"/>
        <v>163</v>
      </c>
      <c r="AR114" s="31">
        <f t="shared" si="36"/>
        <v>0</v>
      </c>
      <c r="AS114" s="2">
        <f t="shared" si="37"/>
        <v>0</v>
      </c>
      <c r="AT114" s="33">
        <f t="shared" si="38"/>
        <v>0</v>
      </c>
      <c r="AU114" s="31">
        <f t="shared" si="39"/>
        <v>1</v>
      </c>
      <c r="AV114" s="2">
        <f t="shared" si="40"/>
        <v>0.5</v>
      </c>
      <c r="AW114" s="33">
        <f t="shared" si="41"/>
        <v>1</v>
      </c>
      <c r="AX114" s="31">
        <f t="shared" si="42"/>
        <v>1</v>
      </c>
      <c r="AY114" s="33">
        <f t="shared" si="43"/>
        <v>0</v>
      </c>
      <c r="AZ114" s="2"/>
      <c r="BA114" s="101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 ht="12" customHeight="1">
      <c r="A115" s="2"/>
      <c r="B115" s="107">
        <v>40</v>
      </c>
      <c r="C115" s="31">
        <v>7</v>
      </c>
      <c r="D115" s="106" t="s">
        <v>3</v>
      </c>
      <c r="E115" s="2" t="s">
        <v>91</v>
      </c>
      <c r="F115" s="2"/>
      <c r="G115" s="2" t="s">
        <v>137</v>
      </c>
      <c r="H115" s="33"/>
      <c r="I115" s="99">
        <f t="shared" si="0"/>
        <v>22.756589984822707</v>
      </c>
      <c r="J115" s="101">
        <f t="shared" si="1"/>
        <v>27.166666666666668</v>
      </c>
      <c r="K115" s="101">
        <f t="shared" si="2"/>
        <v>902</v>
      </c>
      <c r="L115" s="74">
        <f t="shared" si="3"/>
        <v>375</v>
      </c>
      <c r="M115" s="99">
        <f t="shared" si="4"/>
        <v>136.53953990893623</v>
      </c>
      <c r="N115" s="108">
        <f t="shared" si="5"/>
        <v>136.53953990893623</v>
      </c>
      <c r="O115" s="108"/>
      <c r="P115" s="108"/>
      <c r="Q115" s="108"/>
      <c r="R115" s="109">
        <f t="shared" si="26"/>
        <v>0</v>
      </c>
      <c r="S115" s="99">
        <f t="shared" si="6"/>
        <v>103.40908500007623</v>
      </c>
      <c r="T115" s="108">
        <f t="shared" si="27"/>
        <v>103.40908500007623</v>
      </c>
      <c r="U115" s="108"/>
      <c r="V115" s="108"/>
      <c r="W115" s="108"/>
      <c r="X115" s="109">
        <f t="shared" si="28"/>
        <v>0</v>
      </c>
      <c r="Y115" s="99">
        <f t="shared" si="8"/>
        <v>206.81817000015246</v>
      </c>
      <c r="Z115" s="108">
        <f t="shared" si="9"/>
        <v>206.81817000015246</v>
      </c>
      <c r="AA115" s="108"/>
      <c r="AB115" s="108"/>
      <c r="AC115" s="108"/>
      <c r="AD115" s="109">
        <f t="shared" si="29"/>
        <v>0</v>
      </c>
      <c r="AE115" s="99">
        <f t="shared" si="30"/>
        <v>6</v>
      </c>
      <c r="AF115" s="101">
        <f t="shared" si="31"/>
        <v>36</v>
      </c>
      <c r="AG115" s="101">
        <f t="shared" si="32"/>
        <v>19.001300000000001</v>
      </c>
      <c r="AH115" s="101">
        <f t="shared" si="12"/>
        <v>163</v>
      </c>
      <c r="AI115" s="101">
        <f t="shared" si="13"/>
        <v>268.61079999999998</v>
      </c>
      <c r="AJ115" s="108">
        <f t="shared" si="33"/>
        <v>0.76923076923076927</v>
      </c>
      <c r="AK115" s="101">
        <f t="shared" si="15"/>
        <v>1654.5453600012197</v>
      </c>
      <c r="AL115" s="101">
        <f t="shared" si="34"/>
        <v>1654.5453600012197</v>
      </c>
      <c r="AM115" s="101"/>
      <c r="AN115" s="101"/>
      <c r="AO115" s="1">
        <v>6</v>
      </c>
      <c r="AP115" s="2">
        <v>36</v>
      </c>
      <c r="AQ115" s="74">
        <f t="shared" si="35"/>
        <v>163</v>
      </c>
      <c r="AR115" s="31">
        <f t="shared" si="36"/>
        <v>0</v>
      </c>
      <c r="AS115" s="2">
        <f t="shared" si="37"/>
        <v>0</v>
      </c>
      <c r="AT115" s="33">
        <f t="shared" si="38"/>
        <v>0</v>
      </c>
      <c r="AU115" s="31">
        <f t="shared" si="39"/>
        <v>1</v>
      </c>
      <c r="AV115" s="2">
        <f t="shared" si="40"/>
        <v>1</v>
      </c>
      <c r="AW115" s="33">
        <f t="shared" si="41"/>
        <v>6.25E-2</v>
      </c>
      <c r="AX115" s="31">
        <f t="shared" si="42"/>
        <v>1</v>
      </c>
      <c r="AY115" s="33">
        <f t="shared" si="43"/>
        <v>0</v>
      </c>
      <c r="AZ115" s="2"/>
      <c r="BA115" s="101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 ht="12" customHeight="1">
      <c r="A116" s="2"/>
      <c r="B116" s="107">
        <v>41</v>
      </c>
      <c r="C116" s="31">
        <v>4</v>
      </c>
      <c r="D116" s="106" t="s">
        <v>3</v>
      </c>
      <c r="E116" s="2" t="s">
        <v>67</v>
      </c>
      <c r="F116" s="2"/>
      <c r="G116" s="2"/>
      <c r="H116" s="33"/>
      <c r="I116" s="99">
        <f t="shared" si="0"/>
        <v>337.51955308220761</v>
      </c>
      <c r="J116" s="101">
        <f t="shared" si="1"/>
        <v>15</v>
      </c>
      <c r="K116" s="101">
        <f t="shared" si="2"/>
        <v>788</v>
      </c>
      <c r="L116" s="74">
        <f t="shared" si="3"/>
        <v>297</v>
      </c>
      <c r="M116" s="99">
        <f t="shared" si="4"/>
        <v>2025.1173184932456</v>
      </c>
      <c r="N116" s="108">
        <f t="shared" si="5"/>
        <v>2025.1173184932456</v>
      </c>
      <c r="O116" s="108"/>
      <c r="P116" s="108"/>
      <c r="Q116" s="108"/>
      <c r="R116" s="109">
        <f t="shared" si="26"/>
        <v>0</v>
      </c>
      <c r="S116" s="99">
        <f t="shared" si="6"/>
        <v>1533.7354224487808</v>
      </c>
      <c r="T116" s="108">
        <f t="shared" si="27"/>
        <v>1533.7354224487808</v>
      </c>
      <c r="U116" s="108"/>
      <c r="V116" s="108"/>
      <c r="W116" s="108"/>
      <c r="X116" s="109">
        <f t="shared" si="28"/>
        <v>0</v>
      </c>
      <c r="Y116" s="99">
        <f t="shared" si="8"/>
        <v>3067.4708448975616</v>
      </c>
      <c r="Z116" s="108">
        <f t="shared" si="9"/>
        <v>3067.4708448975616</v>
      </c>
      <c r="AA116" s="108"/>
      <c r="AB116" s="108"/>
      <c r="AC116" s="108"/>
      <c r="AD116" s="109">
        <f t="shared" si="29"/>
        <v>0</v>
      </c>
      <c r="AE116" s="99">
        <f t="shared" si="30"/>
        <v>6</v>
      </c>
      <c r="AF116" s="101">
        <f t="shared" si="31"/>
        <v>36</v>
      </c>
      <c r="AG116" s="101">
        <f t="shared" si="32"/>
        <v>19.001300000000001</v>
      </c>
      <c r="AH116" s="101">
        <f t="shared" si="12"/>
        <v>90</v>
      </c>
      <c r="AI116" s="101">
        <f t="shared" si="13"/>
        <v>268.61079999999998</v>
      </c>
      <c r="AJ116" s="108">
        <f t="shared" si="33"/>
        <v>0.76923076923076927</v>
      </c>
      <c r="AK116" s="101">
        <f t="shared" si="15"/>
        <v>1533.7354224487808</v>
      </c>
      <c r="AL116" s="101">
        <f t="shared" si="34"/>
        <v>1533.7354224487808</v>
      </c>
      <c r="AM116" s="101"/>
      <c r="AN116" s="101"/>
      <c r="AO116" s="1">
        <v>6</v>
      </c>
      <c r="AP116" s="2">
        <v>36</v>
      </c>
      <c r="AQ116" s="74">
        <f t="shared" si="35"/>
        <v>90</v>
      </c>
      <c r="AR116" s="31">
        <f t="shared" si="36"/>
        <v>0</v>
      </c>
      <c r="AS116" s="2">
        <f t="shared" si="37"/>
        <v>0</v>
      </c>
      <c r="AT116" s="33">
        <f t="shared" si="38"/>
        <v>0</v>
      </c>
      <c r="AU116" s="31">
        <f t="shared" si="39"/>
        <v>1</v>
      </c>
      <c r="AV116" s="2">
        <f t="shared" si="40"/>
        <v>1</v>
      </c>
      <c r="AW116" s="33">
        <f t="shared" si="41"/>
        <v>1</v>
      </c>
      <c r="AX116" s="31">
        <f t="shared" si="42"/>
        <v>1</v>
      </c>
      <c r="AY116" s="33">
        <f t="shared" si="43"/>
        <v>0</v>
      </c>
      <c r="AZ116" s="2"/>
      <c r="BA116" s="101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 ht="12" customHeight="1">
      <c r="A117" s="2"/>
      <c r="B117" s="107">
        <v>42</v>
      </c>
      <c r="C117" s="31">
        <v>1</v>
      </c>
      <c r="D117" s="106" t="s">
        <v>3</v>
      </c>
      <c r="E117" s="2" t="s">
        <v>67</v>
      </c>
      <c r="F117" s="2"/>
      <c r="G117" s="2"/>
      <c r="H117" s="33"/>
      <c r="I117" s="99">
        <f t="shared" si="0"/>
        <v>270.94577741525626</v>
      </c>
      <c r="J117" s="101">
        <f t="shared" si="1"/>
        <v>7.5</v>
      </c>
      <c r="K117" s="101">
        <f t="shared" si="2"/>
        <v>857</v>
      </c>
      <c r="L117" s="74">
        <f t="shared" si="3"/>
        <v>337</v>
      </c>
      <c r="M117" s="99">
        <f t="shared" si="4"/>
        <v>1625.6746644915374</v>
      </c>
      <c r="N117" s="108">
        <f t="shared" si="5"/>
        <v>1625.6746644915374</v>
      </c>
      <c r="O117" s="108"/>
      <c r="P117" s="108"/>
      <c r="Q117" s="108"/>
      <c r="R117" s="109">
        <f t="shared" si="26"/>
        <v>0</v>
      </c>
      <c r="S117" s="99">
        <f t="shared" si="6"/>
        <v>1231.2149995158536</v>
      </c>
      <c r="T117" s="108">
        <f t="shared" si="27"/>
        <v>1231.2149995158536</v>
      </c>
      <c r="U117" s="108"/>
      <c r="V117" s="108"/>
      <c r="W117" s="108"/>
      <c r="X117" s="109">
        <f t="shared" si="28"/>
        <v>0</v>
      </c>
      <c r="Y117" s="99">
        <f t="shared" si="8"/>
        <v>2462.4299990317072</v>
      </c>
      <c r="Z117" s="108">
        <f t="shared" si="9"/>
        <v>2462.4299990317072</v>
      </c>
      <c r="AA117" s="108"/>
      <c r="AB117" s="108"/>
      <c r="AC117" s="108"/>
      <c r="AD117" s="109">
        <f t="shared" si="29"/>
        <v>0</v>
      </c>
      <c r="AE117" s="99">
        <f t="shared" si="30"/>
        <v>6</v>
      </c>
      <c r="AF117" s="101">
        <f t="shared" si="31"/>
        <v>36</v>
      </c>
      <c r="AG117" s="101">
        <f t="shared" si="32"/>
        <v>19.001300000000001</v>
      </c>
      <c r="AH117" s="101">
        <f t="shared" si="12"/>
        <v>45</v>
      </c>
      <c r="AI117" s="101">
        <f t="shared" si="13"/>
        <v>268.61079999999998</v>
      </c>
      <c r="AJ117" s="108">
        <f t="shared" si="33"/>
        <v>0.76923076923076927</v>
      </c>
      <c r="AK117" s="101">
        <f t="shared" si="15"/>
        <v>1231.2149995158536</v>
      </c>
      <c r="AL117" s="101">
        <f t="shared" si="34"/>
        <v>1231.2149995158536</v>
      </c>
      <c r="AM117" s="101"/>
      <c r="AN117" s="101"/>
      <c r="AO117" s="1">
        <v>6</v>
      </c>
      <c r="AP117" s="2">
        <v>36</v>
      </c>
      <c r="AQ117" s="74">
        <f t="shared" si="35"/>
        <v>45</v>
      </c>
      <c r="AR117" s="31">
        <f t="shared" si="36"/>
        <v>0</v>
      </c>
      <c r="AS117" s="2">
        <f t="shared" si="37"/>
        <v>0</v>
      </c>
      <c r="AT117" s="33">
        <f t="shared" si="38"/>
        <v>0</v>
      </c>
      <c r="AU117" s="31">
        <f t="shared" si="39"/>
        <v>1</v>
      </c>
      <c r="AV117" s="2">
        <f t="shared" si="40"/>
        <v>1</v>
      </c>
      <c r="AW117" s="33">
        <f t="shared" si="41"/>
        <v>1</v>
      </c>
      <c r="AX117" s="31">
        <f t="shared" si="42"/>
        <v>1</v>
      </c>
      <c r="AY117" s="33">
        <f t="shared" si="43"/>
        <v>0</v>
      </c>
      <c r="AZ117" s="2"/>
      <c r="BA117" s="101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 ht="12" customHeight="1">
      <c r="A118" s="2"/>
      <c r="B118" s="107">
        <v>43</v>
      </c>
      <c r="C118" s="31">
        <v>10</v>
      </c>
      <c r="D118" s="106" t="s">
        <v>4</v>
      </c>
      <c r="E118" s="2" t="s">
        <v>144</v>
      </c>
      <c r="F118" s="2" t="s">
        <v>149</v>
      </c>
      <c r="G118" s="2" t="s">
        <v>167</v>
      </c>
      <c r="H118" s="33"/>
      <c r="I118" s="99">
        <f t="shared" si="0"/>
        <v>857.65339628003619</v>
      </c>
      <c r="J118" s="101">
        <f t="shared" si="1"/>
        <v>29.083333333333332</v>
      </c>
      <c r="K118" s="101">
        <f t="shared" si="2"/>
        <v>236</v>
      </c>
      <c r="L118" s="74">
        <f t="shared" si="3"/>
        <v>61</v>
      </c>
      <c r="M118" s="99">
        <f t="shared" si="4"/>
        <v>10291.840755360434</v>
      </c>
      <c r="N118" s="108">
        <f t="shared" ref="N118:N147" si="44">T118*(1+((AG118+IF(F118="백어택",20,0))/100))*((AI118/100-1))</f>
        <v>1547.2558984734364</v>
      </c>
      <c r="O118" s="108">
        <f t="shared" ref="O118:O147" si="45">U118*(1+((AG118+IF(F118="백어택",20,0))/100)*(AI118/100-1))</f>
        <v>8744.5848568869969</v>
      </c>
      <c r="P118" s="108"/>
      <c r="Q118" s="108"/>
      <c r="R118" s="109"/>
      <c r="S118" s="99">
        <f t="shared" si="6"/>
        <v>5935.6097121278053</v>
      </c>
      <c r="T118" s="108">
        <f t="shared" ref="T118:T147" si="46">AT118*AL118*IF(F118="백어택",1.2,1)</f>
        <v>660.17320919121948</v>
      </c>
      <c r="U118" s="108">
        <f t="shared" ref="U118:U147" si="47">AM118*AW118*AX118*AY118*IF(F118="백어택",1.2,1)</f>
        <v>5275.4365029365854</v>
      </c>
      <c r="V118" s="108"/>
      <c r="W118" s="108"/>
      <c r="X118" s="109"/>
      <c r="Y118" s="99">
        <f t="shared" si="8"/>
        <v>11871.219424255607</v>
      </c>
      <c r="Z118" s="108">
        <f t="shared" si="9"/>
        <v>1320.346418382439</v>
      </c>
      <c r="AA118" s="108">
        <f t="shared" ref="AA118:AA147" si="48">U118*$D$58/100</f>
        <v>10550.873005873169</v>
      </c>
      <c r="AB118" s="108"/>
      <c r="AC118" s="108"/>
      <c r="AD118" s="109"/>
      <c r="AE118" s="99">
        <f t="shared" ref="AE118:AF118" si="49">AO118</f>
        <v>12</v>
      </c>
      <c r="AF118" s="101">
        <f t="shared" si="49"/>
        <v>36</v>
      </c>
      <c r="AG118" s="101">
        <f t="shared" si="32"/>
        <v>19.001300000000001</v>
      </c>
      <c r="AH118" s="101">
        <f t="shared" si="12"/>
        <v>349</v>
      </c>
      <c r="AI118" s="101">
        <f t="shared" si="13"/>
        <v>268.61079999999998</v>
      </c>
      <c r="AJ118" s="108">
        <f t="shared" ref="AJ118:AJ147" si="50">10/IF(AY118=1,5,4)</f>
        <v>2</v>
      </c>
      <c r="AK118" s="101">
        <f t="shared" si="15"/>
        <v>2748.2428838829269</v>
      </c>
      <c r="AL118" s="101">
        <f t="shared" ref="AL118:AL147" si="51">(VLOOKUP(C118,$B$36:$AG$39,4,FALSE)+VLOOKUP(C118,$B$40:$AG$43,4,FALSE)*$D$54)*$D$59/100</f>
        <v>550.14434099268294</v>
      </c>
      <c r="AM118" s="101">
        <f t="shared" ref="AM118:AM147" si="52">(VLOOKUP(C118,$B$36:$AG$39,5,FALSE)+VLOOKUP(C118,$B$40:$AG$43,5,FALSE)*$D$54)*$D$59/100</f>
        <v>2198.0985428902441</v>
      </c>
      <c r="AN118" s="101"/>
      <c r="AO118" s="1">
        <v>12</v>
      </c>
      <c r="AP118" s="2">
        <v>36</v>
      </c>
      <c r="AQ118" s="74">
        <f t="shared" ref="AQ118:AQ147" si="53">VLOOKUP(C118,$B$45:$AA$48,4,FALSE)</f>
        <v>349</v>
      </c>
      <c r="AR118" s="31">
        <f t="shared" ref="AR118:AR147" si="54">IF(LEFT(E118,1)*1=1,$S$54,$R$54)</f>
        <v>0</v>
      </c>
      <c r="AS118" s="2">
        <f t="shared" ref="AS118:AS147" si="55">IF(LEFT(E118,1)*1=2,$U$54,$T$54)</f>
        <v>0</v>
      </c>
      <c r="AT118" s="33">
        <f t="shared" ref="AT118:AT147" si="56">IF(LEFT(E118,1)*1=3,$W$54,$V$54)</f>
        <v>1</v>
      </c>
      <c r="AU118" s="31">
        <f t="shared" ref="AU118:AU147" si="57">IF(MID(E118,3,1)*1=1,$Y$54,$X$54)</f>
        <v>0</v>
      </c>
      <c r="AV118" s="2">
        <f t="shared" ref="AV118:AV147" si="58">IF(MID(E118,3,1)*1=2,$AA$54,$Z$54)</f>
        <v>0</v>
      </c>
      <c r="AW118" s="33">
        <f t="shared" ref="AW118:AW147" si="59">IF(MID(E118,3,1)*1=3,$AC$54,$AB$54)</f>
        <v>1</v>
      </c>
      <c r="AX118" s="31">
        <f t="shared" ref="AX118:AX147" si="60">IF(MID(E118,5,1)*1=1,$AE$54,$AD$54)</f>
        <v>2</v>
      </c>
      <c r="AY118" s="33">
        <f t="shared" ref="AY118:AY147" si="61">IF(MID(E118,5,1)*1=2,$AG$54,$AF$54)</f>
        <v>1</v>
      </c>
      <c r="AZ118" s="2"/>
      <c r="BA118" s="101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 ht="12" customHeight="1">
      <c r="A119" s="2"/>
      <c r="B119" s="107">
        <v>44</v>
      </c>
      <c r="C119" s="31">
        <v>10</v>
      </c>
      <c r="D119" s="106" t="s">
        <v>4</v>
      </c>
      <c r="E119" s="2" t="s">
        <v>141</v>
      </c>
      <c r="F119" s="2" t="s">
        <v>149</v>
      </c>
      <c r="G119" s="2" t="s">
        <v>172</v>
      </c>
      <c r="H119" s="33"/>
      <c r="I119" s="99">
        <f t="shared" si="0"/>
        <v>1149.1395581762692</v>
      </c>
      <c r="J119" s="101">
        <f t="shared" si="1"/>
        <v>29.083333333333332</v>
      </c>
      <c r="K119" s="101">
        <f t="shared" si="2"/>
        <v>105</v>
      </c>
      <c r="L119" s="74">
        <f t="shared" si="3"/>
        <v>16</v>
      </c>
      <c r="M119" s="99">
        <f t="shared" si="4"/>
        <v>13789.67469811523</v>
      </c>
      <c r="N119" s="108">
        <f t="shared" si="44"/>
        <v>1547.2558984734364</v>
      </c>
      <c r="O119" s="108">
        <f t="shared" si="45"/>
        <v>12242.418799641793</v>
      </c>
      <c r="P119" s="108"/>
      <c r="Q119" s="108"/>
      <c r="R119" s="109"/>
      <c r="S119" s="99">
        <f t="shared" si="6"/>
        <v>8045.784313302438</v>
      </c>
      <c r="T119" s="108">
        <f t="shared" si="46"/>
        <v>660.17320919121948</v>
      </c>
      <c r="U119" s="108">
        <f t="shared" si="47"/>
        <v>7385.611104111219</v>
      </c>
      <c r="V119" s="108"/>
      <c r="W119" s="108"/>
      <c r="X119" s="109"/>
      <c r="Y119" s="99">
        <f t="shared" si="8"/>
        <v>16091.568626604876</v>
      </c>
      <c r="Z119" s="108">
        <f t="shared" si="9"/>
        <v>1320.346418382439</v>
      </c>
      <c r="AA119" s="108">
        <f t="shared" si="48"/>
        <v>14771.222208222438</v>
      </c>
      <c r="AB119" s="108"/>
      <c r="AC119" s="108"/>
      <c r="AD119" s="109"/>
      <c r="AE119" s="99">
        <f t="shared" ref="AE119:AF119" si="62">AO119</f>
        <v>12</v>
      </c>
      <c r="AF119" s="101">
        <f t="shared" si="62"/>
        <v>36</v>
      </c>
      <c r="AG119" s="101">
        <f t="shared" si="32"/>
        <v>19.001300000000001</v>
      </c>
      <c r="AH119" s="101">
        <f t="shared" si="12"/>
        <v>349</v>
      </c>
      <c r="AI119" s="101">
        <f t="shared" si="13"/>
        <v>268.61079999999998</v>
      </c>
      <c r="AJ119" s="108">
        <f t="shared" si="50"/>
        <v>2</v>
      </c>
      <c r="AK119" s="101">
        <f t="shared" si="15"/>
        <v>2748.2428838829269</v>
      </c>
      <c r="AL119" s="101">
        <f t="shared" si="51"/>
        <v>550.14434099268294</v>
      </c>
      <c r="AM119" s="101">
        <f t="shared" si="52"/>
        <v>2198.0985428902441</v>
      </c>
      <c r="AN119" s="101"/>
      <c r="AO119" s="1">
        <v>12</v>
      </c>
      <c r="AP119" s="2">
        <v>36</v>
      </c>
      <c r="AQ119" s="74">
        <f t="shared" si="53"/>
        <v>349</v>
      </c>
      <c r="AR119" s="31">
        <f t="shared" si="54"/>
        <v>0</v>
      </c>
      <c r="AS119" s="2">
        <f t="shared" si="55"/>
        <v>0</v>
      </c>
      <c r="AT119" s="33">
        <f t="shared" si="56"/>
        <v>1</v>
      </c>
      <c r="AU119" s="31">
        <f t="shared" si="57"/>
        <v>0</v>
      </c>
      <c r="AV119" s="2">
        <f t="shared" si="58"/>
        <v>0</v>
      </c>
      <c r="AW119" s="33">
        <f t="shared" si="59"/>
        <v>1.4</v>
      </c>
      <c r="AX119" s="31">
        <f t="shared" si="60"/>
        <v>2</v>
      </c>
      <c r="AY119" s="33">
        <f t="shared" si="61"/>
        <v>1</v>
      </c>
      <c r="AZ119" s="2"/>
      <c r="BA119" s="101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 ht="12" customHeight="1">
      <c r="A120" s="2"/>
      <c r="B120" s="107">
        <v>45</v>
      </c>
      <c r="C120" s="31">
        <v>10</v>
      </c>
      <c r="D120" s="106" t="s">
        <v>4</v>
      </c>
      <c r="E120" s="2" t="s">
        <v>146</v>
      </c>
      <c r="F120" s="2" t="s">
        <v>149</v>
      </c>
      <c r="G120" s="2" t="s">
        <v>167</v>
      </c>
      <c r="H120" s="33"/>
      <c r="I120" s="99">
        <f t="shared" si="0"/>
        <v>922.12239204976265</v>
      </c>
      <c r="J120" s="101">
        <f t="shared" si="1"/>
        <v>29.083333333333332</v>
      </c>
      <c r="K120" s="101">
        <f t="shared" si="2"/>
        <v>195</v>
      </c>
      <c r="L120" s="74">
        <f t="shared" si="3"/>
        <v>45</v>
      </c>
      <c r="M120" s="99">
        <f t="shared" si="4"/>
        <v>11065.468704597151</v>
      </c>
      <c r="N120" s="108">
        <f t="shared" si="44"/>
        <v>2320.8838477101549</v>
      </c>
      <c r="O120" s="108">
        <f t="shared" si="45"/>
        <v>8744.5848568869969</v>
      </c>
      <c r="P120" s="108"/>
      <c r="Q120" s="108"/>
      <c r="R120" s="109"/>
      <c r="S120" s="99">
        <f t="shared" si="6"/>
        <v>6265.6963167234144</v>
      </c>
      <c r="T120" s="108">
        <f t="shared" si="46"/>
        <v>990.25981378682934</v>
      </c>
      <c r="U120" s="108">
        <f t="shared" si="47"/>
        <v>5275.4365029365854</v>
      </c>
      <c r="V120" s="108"/>
      <c r="W120" s="108"/>
      <c r="X120" s="109"/>
      <c r="Y120" s="99">
        <f t="shared" si="8"/>
        <v>12531.392633446827</v>
      </c>
      <c r="Z120" s="108">
        <f t="shared" si="9"/>
        <v>1980.5196275736587</v>
      </c>
      <c r="AA120" s="108">
        <f t="shared" si="48"/>
        <v>10550.873005873169</v>
      </c>
      <c r="AB120" s="108"/>
      <c r="AC120" s="108"/>
      <c r="AD120" s="109"/>
      <c r="AE120" s="99">
        <f t="shared" ref="AE120:AF120" si="63">AO120</f>
        <v>12</v>
      </c>
      <c r="AF120" s="101">
        <f t="shared" si="63"/>
        <v>36</v>
      </c>
      <c r="AG120" s="101">
        <f t="shared" si="32"/>
        <v>19.001300000000001</v>
      </c>
      <c r="AH120" s="101">
        <f t="shared" si="12"/>
        <v>349</v>
      </c>
      <c r="AI120" s="101">
        <f t="shared" si="13"/>
        <v>268.61079999999998</v>
      </c>
      <c r="AJ120" s="108">
        <f t="shared" si="50"/>
        <v>2</v>
      </c>
      <c r="AK120" s="101">
        <f t="shared" si="15"/>
        <v>2748.2428838829269</v>
      </c>
      <c r="AL120" s="101">
        <f t="shared" si="51"/>
        <v>550.14434099268294</v>
      </c>
      <c r="AM120" s="101">
        <f t="shared" si="52"/>
        <v>2198.0985428902441</v>
      </c>
      <c r="AN120" s="101"/>
      <c r="AO120" s="1">
        <v>12</v>
      </c>
      <c r="AP120" s="2">
        <v>36</v>
      </c>
      <c r="AQ120" s="74">
        <f t="shared" si="53"/>
        <v>349</v>
      </c>
      <c r="AR120" s="31">
        <f t="shared" si="54"/>
        <v>0</v>
      </c>
      <c r="AS120" s="2">
        <f t="shared" si="55"/>
        <v>0</v>
      </c>
      <c r="AT120" s="33">
        <f t="shared" si="56"/>
        <v>1.5</v>
      </c>
      <c r="AU120" s="31">
        <f t="shared" si="57"/>
        <v>0</v>
      </c>
      <c r="AV120" s="2">
        <f t="shared" si="58"/>
        <v>0</v>
      </c>
      <c r="AW120" s="33">
        <f t="shared" si="59"/>
        <v>1</v>
      </c>
      <c r="AX120" s="31">
        <f t="shared" si="60"/>
        <v>2</v>
      </c>
      <c r="AY120" s="33">
        <f t="shared" si="61"/>
        <v>1</v>
      </c>
      <c r="AZ120" s="2"/>
      <c r="BA120" s="101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 ht="12" customHeight="1">
      <c r="A121" s="2"/>
      <c r="B121" s="107">
        <v>46</v>
      </c>
      <c r="C121" s="31">
        <v>10</v>
      </c>
      <c r="D121" s="106" t="s">
        <v>4</v>
      </c>
      <c r="E121" s="2" t="s">
        <v>147</v>
      </c>
      <c r="F121" s="2" t="s">
        <v>149</v>
      </c>
      <c r="G121" s="2" t="s">
        <v>172</v>
      </c>
      <c r="H121" s="33"/>
      <c r="I121" s="99">
        <f t="shared" si="0"/>
        <v>1213.6085539459957</v>
      </c>
      <c r="J121" s="101">
        <f t="shared" si="1"/>
        <v>29.083333333333332</v>
      </c>
      <c r="K121" s="101">
        <f t="shared" si="2"/>
        <v>95</v>
      </c>
      <c r="L121" s="74">
        <f t="shared" si="3"/>
        <v>12</v>
      </c>
      <c r="M121" s="99">
        <f t="shared" si="4"/>
        <v>14563.302647351948</v>
      </c>
      <c r="N121" s="108">
        <f t="shared" si="44"/>
        <v>2320.8838477101549</v>
      </c>
      <c r="O121" s="108">
        <f t="shared" si="45"/>
        <v>12242.418799641793</v>
      </c>
      <c r="P121" s="108"/>
      <c r="Q121" s="108"/>
      <c r="R121" s="109"/>
      <c r="S121" s="99">
        <f t="shared" si="6"/>
        <v>8375.870917898048</v>
      </c>
      <c r="T121" s="108">
        <f t="shared" si="46"/>
        <v>990.25981378682934</v>
      </c>
      <c r="U121" s="108">
        <f t="shared" si="47"/>
        <v>7385.611104111219</v>
      </c>
      <c r="V121" s="108"/>
      <c r="W121" s="108"/>
      <c r="X121" s="109"/>
      <c r="Y121" s="99">
        <f t="shared" si="8"/>
        <v>16751.741835796096</v>
      </c>
      <c r="Z121" s="108">
        <f t="shared" si="9"/>
        <v>1980.5196275736587</v>
      </c>
      <c r="AA121" s="108">
        <f t="shared" si="48"/>
        <v>14771.222208222438</v>
      </c>
      <c r="AB121" s="108"/>
      <c r="AC121" s="108"/>
      <c r="AD121" s="109"/>
      <c r="AE121" s="99">
        <f t="shared" ref="AE121:AF121" si="64">AO121</f>
        <v>12</v>
      </c>
      <c r="AF121" s="101">
        <f t="shared" si="64"/>
        <v>36</v>
      </c>
      <c r="AG121" s="101">
        <f t="shared" si="32"/>
        <v>19.001300000000001</v>
      </c>
      <c r="AH121" s="101">
        <f t="shared" si="12"/>
        <v>349</v>
      </c>
      <c r="AI121" s="101">
        <f t="shared" si="13"/>
        <v>268.61079999999998</v>
      </c>
      <c r="AJ121" s="108">
        <f t="shared" si="50"/>
        <v>2</v>
      </c>
      <c r="AK121" s="101">
        <f t="shared" si="15"/>
        <v>2748.2428838829269</v>
      </c>
      <c r="AL121" s="101">
        <f t="shared" si="51"/>
        <v>550.14434099268294</v>
      </c>
      <c r="AM121" s="101">
        <f t="shared" si="52"/>
        <v>2198.0985428902441</v>
      </c>
      <c r="AN121" s="101"/>
      <c r="AO121" s="1">
        <v>12</v>
      </c>
      <c r="AP121" s="2">
        <v>36</v>
      </c>
      <c r="AQ121" s="74">
        <f t="shared" si="53"/>
        <v>349</v>
      </c>
      <c r="AR121" s="31">
        <f t="shared" si="54"/>
        <v>0</v>
      </c>
      <c r="AS121" s="2">
        <f t="shared" si="55"/>
        <v>0</v>
      </c>
      <c r="AT121" s="33">
        <f t="shared" si="56"/>
        <v>1.5</v>
      </c>
      <c r="AU121" s="31">
        <f t="shared" si="57"/>
        <v>0</v>
      </c>
      <c r="AV121" s="2">
        <f t="shared" si="58"/>
        <v>0</v>
      </c>
      <c r="AW121" s="33">
        <f t="shared" si="59"/>
        <v>1.4</v>
      </c>
      <c r="AX121" s="31">
        <f t="shared" si="60"/>
        <v>2</v>
      </c>
      <c r="AY121" s="33">
        <f t="shared" si="61"/>
        <v>1</v>
      </c>
      <c r="AZ121" s="2"/>
      <c r="BA121" s="101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 ht="15.75" customHeight="1">
      <c r="A122" s="2"/>
      <c r="B122" s="107">
        <v>47</v>
      </c>
      <c r="C122" s="31">
        <v>10</v>
      </c>
      <c r="D122" s="106" t="s">
        <v>4</v>
      </c>
      <c r="E122" s="2" t="s">
        <v>92</v>
      </c>
      <c r="F122" s="2" t="s">
        <v>149</v>
      </c>
      <c r="G122" s="2"/>
      <c r="H122" s="33"/>
      <c r="I122" s="99">
        <f t="shared" si="0"/>
        <v>757.45502812820587</v>
      </c>
      <c r="J122" s="101">
        <f t="shared" si="1"/>
        <v>29.083333333333332</v>
      </c>
      <c r="K122" s="101">
        <f t="shared" si="2"/>
        <v>298</v>
      </c>
      <c r="L122" s="74">
        <f t="shared" si="3"/>
        <v>81</v>
      </c>
      <c r="M122" s="99">
        <f t="shared" si="4"/>
        <v>9089.4603375384704</v>
      </c>
      <c r="N122" s="108">
        <f t="shared" si="44"/>
        <v>1547.2558984734364</v>
      </c>
      <c r="O122" s="108">
        <f t="shared" si="45"/>
        <v>7542.2044390650344</v>
      </c>
      <c r="P122" s="108"/>
      <c r="Q122" s="108"/>
      <c r="R122" s="109"/>
      <c r="S122" s="99">
        <f t="shared" si="6"/>
        <v>5210.2371929740239</v>
      </c>
      <c r="T122" s="108">
        <f t="shared" si="46"/>
        <v>660.17320919121948</v>
      </c>
      <c r="U122" s="108">
        <f t="shared" si="47"/>
        <v>4550.0639837828048</v>
      </c>
      <c r="V122" s="108"/>
      <c r="W122" s="108"/>
      <c r="X122" s="109"/>
      <c r="Y122" s="99">
        <f t="shared" si="8"/>
        <v>10420.474385948048</v>
      </c>
      <c r="Z122" s="108">
        <f t="shared" si="9"/>
        <v>1320.346418382439</v>
      </c>
      <c r="AA122" s="108">
        <f t="shared" si="48"/>
        <v>9100.1279675656097</v>
      </c>
      <c r="AB122" s="108"/>
      <c r="AC122" s="108"/>
      <c r="AD122" s="109"/>
      <c r="AE122" s="99">
        <f t="shared" ref="AE122:AF122" si="65">AO122</f>
        <v>12</v>
      </c>
      <c r="AF122" s="101">
        <f t="shared" si="65"/>
        <v>36</v>
      </c>
      <c r="AG122" s="101">
        <f t="shared" si="32"/>
        <v>19.001300000000001</v>
      </c>
      <c r="AH122" s="101">
        <f t="shared" si="12"/>
        <v>349</v>
      </c>
      <c r="AI122" s="101">
        <f t="shared" si="13"/>
        <v>268.61079999999998</v>
      </c>
      <c r="AJ122" s="108">
        <f t="shared" si="50"/>
        <v>2.5</v>
      </c>
      <c r="AK122" s="101">
        <f t="shared" si="15"/>
        <v>2748.2428838829269</v>
      </c>
      <c r="AL122" s="101">
        <f t="shared" si="51"/>
        <v>550.14434099268294</v>
      </c>
      <c r="AM122" s="101">
        <f t="shared" si="52"/>
        <v>2198.0985428902441</v>
      </c>
      <c r="AN122" s="101"/>
      <c r="AO122" s="1">
        <v>12</v>
      </c>
      <c r="AP122" s="2">
        <v>36</v>
      </c>
      <c r="AQ122" s="74">
        <f t="shared" si="53"/>
        <v>349</v>
      </c>
      <c r="AR122" s="31">
        <f t="shared" si="54"/>
        <v>0</v>
      </c>
      <c r="AS122" s="2">
        <f t="shared" si="55"/>
        <v>0</v>
      </c>
      <c r="AT122" s="33">
        <f t="shared" si="56"/>
        <v>1</v>
      </c>
      <c r="AU122" s="31">
        <f t="shared" si="57"/>
        <v>0</v>
      </c>
      <c r="AV122" s="2">
        <f t="shared" si="58"/>
        <v>0</v>
      </c>
      <c r="AW122" s="33">
        <f t="shared" si="59"/>
        <v>1</v>
      </c>
      <c r="AX122" s="31">
        <f t="shared" si="60"/>
        <v>1</v>
      </c>
      <c r="AY122" s="33">
        <f t="shared" si="61"/>
        <v>1.7250000000000001</v>
      </c>
      <c r="AZ122" s="2"/>
      <c r="BA122" s="101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 ht="12" customHeight="1">
      <c r="A123" s="2"/>
      <c r="B123" s="107">
        <v>48</v>
      </c>
      <c r="C123" s="31">
        <v>10</v>
      </c>
      <c r="D123" s="106" t="s">
        <v>4</v>
      </c>
      <c r="E123" s="2" t="s">
        <v>98</v>
      </c>
      <c r="F123" s="2" t="s">
        <v>149</v>
      </c>
      <c r="G123" s="2" t="s">
        <v>143</v>
      </c>
      <c r="H123" s="33"/>
      <c r="I123" s="99">
        <f t="shared" si="0"/>
        <v>1008.8618427637072</v>
      </c>
      <c r="J123" s="101">
        <f t="shared" si="1"/>
        <v>29.083333333333332</v>
      </c>
      <c r="K123" s="101">
        <f t="shared" si="2"/>
        <v>155</v>
      </c>
      <c r="L123" s="74">
        <f t="shared" si="3"/>
        <v>34</v>
      </c>
      <c r="M123" s="99">
        <f t="shared" si="4"/>
        <v>12106.342113164486</v>
      </c>
      <c r="N123" s="108">
        <f t="shared" si="44"/>
        <v>1547.2558984734364</v>
      </c>
      <c r="O123" s="108">
        <f t="shared" si="45"/>
        <v>10559.086214691049</v>
      </c>
      <c r="P123" s="108"/>
      <c r="Q123" s="108"/>
      <c r="R123" s="109"/>
      <c r="S123" s="99">
        <f t="shared" si="6"/>
        <v>7030.2627864871465</v>
      </c>
      <c r="T123" s="108">
        <f t="shared" si="46"/>
        <v>660.17320919121948</v>
      </c>
      <c r="U123" s="108">
        <f t="shared" si="47"/>
        <v>6370.0895772959275</v>
      </c>
      <c r="V123" s="108"/>
      <c r="W123" s="108"/>
      <c r="X123" s="109"/>
      <c r="Y123" s="99">
        <f t="shared" si="8"/>
        <v>14060.525572974297</v>
      </c>
      <c r="Z123" s="108">
        <f t="shared" si="9"/>
        <v>1320.346418382439</v>
      </c>
      <c r="AA123" s="108">
        <f t="shared" si="48"/>
        <v>12740.179154591857</v>
      </c>
      <c r="AB123" s="108"/>
      <c r="AC123" s="108"/>
      <c r="AD123" s="109"/>
      <c r="AE123" s="99">
        <f t="shared" ref="AE123:AF123" si="66">AO123</f>
        <v>12</v>
      </c>
      <c r="AF123" s="101">
        <f t="shared" si="66"/>
        <v>36</v>
      </c>
      <c r="AG123" s="101">
        <f t="shared" si="32"/>
        <v>19.001300000000001</v>
      </c>
      <c r="AH123" s="101">
        <f t="shared" si="12"/>
        <v>349</v>
      </c>
      <c r="AI123" s="101">
        <f t="shared" si="13"/>
        <v>268.61079999999998</v>
      </c>
      <c r="AJ123" s="108">
        <f t="shared" si="50"/>
        <v>2.5</v>
      </c>
      <c r="AK123" s="101">
        <f t="shared" si="15"/>
        <v>2748.2428838829269</v>
      </c>
      <c r="AL123" s="101">
        <f t="shared" si="51"/>
        <v>550.14434099268294</v>
      </c>
      <c r="AM123" s="101">
        <f t="shared" si="52"/>
        <v>2198.0985428902441</v>
      </c>
      <c r="AN123" s="101"/>
      <c r="AO123" s="1">
        <v>12</v>
      </c>
      <c r="AP123" s="2">
        <v>36</v>
      </c>
      <c r="AQ123" s="74">
        <f t="shared" si="53"/>
        <v>349</v>
      </c>
      <c r="AR123" s="31">
        <f t="shared" si="54"/>
        <v>0</v>
      </c>
      <c r="AS123" s="2">
        <f t="shared" si="55"/>
        <v>0</v>
      </c>
      <c r="AT123" s="33">
        <f t="shared" si="56"/>
        <v>1</v>
      </c>
      <c r="AU123" s="31">
        <f t="shared" si="57"/>
        <v>0</v>
      </c>
      <c r="AV123" s="2">
        <f t="shared" si="58"/>
        <v>0</v>
      </c>
      <c r="AW123" s="33">
        <f t="shared" si="59"/>
        <v>1.4</v>
      </c>
      <c r="AX123" s="31">
        <f t="shared" si="60"/>
        <v>1</v>
      </c>
      <c r="AY123" s="33">
        <f t="shared" si="61"/>
        <v>1.7250000000000001</v>
      </c>
      <c r="AZ123" s="2"/>
      <c r="BA123" s="101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 ht="12" customHeight="1">
      <c r="A124" s="2"/>
      <c r="B124" s="107">
        <v>49</v>
      </c>
      <c r="C124" s="31">
        <v>10</v>
      </c>
      <c r="D124" s="106" t="s">
        <v>4</v>
      </c>
      <c r="E124" s="2" t="s">
        <v>111</v>
      </c>
      <c r="F124" s="2" t="s">
        <v>149</v>
      </c>
      <c r="G124" s="2"/>
      <c r="H124" s="33"/>
      <c r="I124" s="99">
        <f t="shared" si="0"/>
        <v>821.92402389793244</v>
      </c>
      <c r="J124" s="101">
        <f t="shared" si="1"/>
        <v>29.083333333333332</v>
      </c>
      <c r="K124" s="101">
        <f t="shared" si="2"/>
        <v>260</v>
      </c>
      <c r="L124" s="74">
        <f t="shared" si="3"/>
        <v>68</v>
      </c>
      <c r="M124" s="99">
        <f t="shared" si="4"/>
        <v>9863.0882867751898</v>
      </c>
      <c r="N124" s="108">
        <f t="shared" si="44"/>
        <v>2320.8838477101549</v>
      </c>
      <c r="O124" s="108">
        <f t="shared" si="45"/>
        <v>7542.2044390650344</v>
      </c>
      <c r="P124" s="108"/>
      <c r="Q124" s="108"/>
      <c r="R124" s="109"/>
      <c r="S124" s="99">
        <f t="shared" si="6"/>
        <v>5540.3237975696338</v>
      </c>
      <c r="T124" s="108">
        <f t="shared" si="46"/>
        <v>990.25981378682934</v>
      </c>
      <c r="U124" s="108">
        <f t="shared" si="47"/>
        <v>4550.0639837828048</v>
      </c>
      <c r="V124" s="108"/>
      <c r="W124" s="108"/>
      <c r="X124" s="109"/>
      <c r="Y124" s="99">
        <f t="shared" si="8"/>
        <v>11080.647595139268</v>
      </c>
      <c r="Z124" s="108">
        <f t="shared" si="9"/>
        <v>1980.5196275736587</v>
      </c>
      <c r="AA124" s="108">
        <f t="shared" si="48"/>
        <v>9100.1279675656097</v>
      </c>
      <c r="AB124" s="108"/>
      <c r="AC124" s="108"/>
      <c r="AD124" s="109"/>
      <c r="AE124" s="99">
        <f t="shared" ref="AE124:AF124" si="67">AO124</f>
        <v>12</v>
      </c>
      <c r="AF124" s="101">
        <f t="shared" si="67"/>
        <v>36</v>
      </c>
      <c r="AG124" s="101">
        <f t="shared" si="32"/>
        <v>19.001300000000001</v>
      </c>
      <c r="AH124" s="101">
        <f t="shared" si="12"/>
        <v>349</v>
      </c>
      <c r="AI124" s="101">
        <f t="shared" si="13"/>
        <v>268.61079999999998</v>
      </c>
      <c r="AJ124" s="108">
        <f t="shared" si="50"/>
        <v>2.5</v>
      </c>
      <c r="AK124" s="101">
        <f t="shared" si="15"/>
        <v>2748.2428838829269</v>
      </c>
      <c r="AL124" s="101">
        <f t="shared" si="51"/>
        <v>550.14434099268294</v>
      </c>
      <c r="AM124" s="101">
        <f t="shared" si="52"/>
        <v>2198.0985428902441</v>
      </c>
      <c r="AN124" s="101"/>
      <c r="AO124" s="1">
        <v>12</v>
      </c>
      <c r="AP124" s="2">
        <v>36</v>
      </c>
      <c r="AQ124" s="74">
        <f t="shared" si="53"/>
        <v>349</v>
      </c>
      <c r="AR124" s="31">
        <f t="shared" si="54"/>
        <v>0</v>
      </c>
      <c r="AS124" s="2">
        <f t="shared" si="55"/>
        <v>0</v>
      </c>
      <c r="AT124" s="33">
        <f t="shared" si="56"/>
        <v>1.5</v>
      </c>
      <c r="AU124" s="31">
        <f t="shared" si="57"/>
        <v>0</v>
      </c>
      <c r="AV124" s="2">
        <f t="shared" si="58"/>
        <v>0</v>
      </c>
      <c r="AW124" s="33">
        <f t="shared" si="59"/>
        <v>1</v>
      </c>
      <c r="AX124" s="31">
        <f t="shared" si="60"/>
        <v>1</v>
      </c>
      <c r="AY124" s="33">
        <f t="shared" si="61"/>
        <v>1.7250000000000001</v>
      </c>
      <c r="AZ124" s="2"/>
      <c r="BA124" s="101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 ht="12" customHeight="1">
      <c r="A125" s="2"/>
      <c r="B125" s="107">
        <v>50</v>
      </c>
      <c r="C125" s="31">
        <v>10</v>
      </c>
      <c r="D125" s="106" t="s">
        <v>4</v>
      </c>
      <c r="E125" s="2" t="s">
        <v>135</v>
      </c>
      <c r="F125" s="2" t="s">
        <v>149</v>
      </c>
      <c r="G125" s="2" t="s">
        <v>143</v>
      </c>
      <c r="H125" s="33"/>
      <c r="I125" s="99">
        <f t="shared" si="0"/>
        <v>1073.3308385334337</v>
      </c>
      <c r="J125" s="101">
        <f t="shared" si="1"/>
        <v>29.083333333333332</v>
      </c>
      <c r="K125" s="101">
        <f t="shared" si="2"/>
        <v>131</v>
      </c>
      <c r="L125" s="74">
        <f t="shared" si="3"/>
        <v>25</v>
      </c>
      <c r="M125" s="99">
        <f t="shared" si="4"/>
        <v>12879.970062401204</v>
      </c>
      <c r="N125" s="108">
        <f t="shared" si="44"/>
        <v>2320.8838477101549</v>
      </c>
      <c r="O125" s="108">
        <f t="shared" si="45"/>
        <v>10559.086214691049</v>
      </c>
      <c r="P125" s="108"/>
      <c r="Q125" s="108"/>
      <c r="R125" s="109"/>
      <c r="S125" s="99">
        <f t="shared" si="6"/>
        <v>7360.3493910827565</v>
      </c>
      <c r="T125" s="108">
        <f t="shared" si="46"/>
        <v>990.25981378682934</v>
      </c>
      <c r="U125" s="108">
        <f t="shared" si="47"/>
        <v>6370.0895772959275</v>
      </c>
      <c r="V125" s="108"/>
      <c r="W125" s="108"/>
      <c r="X125" s="109"/>
      <c r="Y125" s="99">
        <f t="shared" si="8"/>
        <v>14720.698782165515</v>
      </c>
      <c r="Z125" s="108">
        <f t="shared" si="9"/>
        <v>1980.5196275736587</v>
      </c>
      <c r="AA125" s="108">
        <f t="shared" si="48"/>
        <v>12740.179154591857</v>
      </c>
      <c r="AB125" s="108"/>
      <c r="AC125" s="108"/>
      <c r="AD125" s="109"/>
      <c r="AE125" s="99">
        <f t="shared" ref="AE125:AF125" si="68">AO125</f>
        <v>12</v>
      </c>
      <c r="AF125" s="101">
        <f t="shared" si="68"/>
        <v>36</v>
      </c>
      <c r="AG125" s="101">
        <f t="shared" si="32"/>
        <v>19.001300000000001</v>
      </c>
      <c r="AH125" s="101">
        <f t="shared" si="12"/>
        <v>349</v>
      </c>
      <c r="AI125" s="101">
        <f t="shared" si="13"/>
        <v>268.61079999999998</v>
      </c>
      <c r="AJ125" s="108">
        <f t="shared" si="50"/>
        <v>2.5</v>
      </c>
      <c r="AK125" s="101">
        <f t="shared" si="15"/>
        <v>2748.2428838829269</v>
      </c>
      <c r="AL125" s="101">
        <f t="shared" si="51"/>
        <v>550.14434099268294</v>
      </c>
      <c r="AM125" s="101">
        <f t="shared" si="52"/>
        <v>2198.0985428902441</v>
      </c>
      <c r="AN125" s="101"/>
      <c r="AO125" s="1">
        <v>12</v>
      </c>
      <c r="AP125" s="2">
        <v>36</v>
      </c>
      <c r="AQ125" s="74">
        <f t="shared" si="53"/>
        <v>349</v>
      </c>
      <c r="AR125" s="31">
        <f t="shared" si="54"/>
        <v>0</v>
      </c>
      <c r="AS125" s="2">
        <f t="shared" si="55"/>
        <v>0</v>
      </c>
      <c r="AT125" s="33">
        <f t="shared" si="56"/>
        <v>1.5</v>
      </c>
      <c r="AU125" s="31">
        <f t="shared" si="57"/>
        <v>0</v>
      </c>
      <c r="AV125" s="2">
        <f t="shared" si="58"/>
        <v>0</v>
      </c>
      <c r="AW125" s="33">
        <f t="shared" si="59"/>
        <v>1.4</v>
      </c>
      <c r="AX125" s="31">
        <f t="shared" si="60"/>
        <v>1</v>
      </c>
      <c r="AY125" s="33">
        <f t="shared" si="61"/>
        <v>1.7250000000000001</v>
      </c>
      <c r="AZ125" s="2"/>
      <c r="BA125" s="101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 ht="12" customHeight="1">
      <c r="A126" s="2"/>
      <c r="B126" s="107">
        <v>51</v>
      </c>
      <c r="C126" s="31">
        <v>7</v>
      </c>
      <c r="D126" s="106" t="s">
        <v>4</v>
      </c>
      <c r="E126" s="2" t="s">
        <v>67</v>
      </c>
      <c r="F126" s="2" t="s">
        <v>149</v>
      </c>
      <c r="G126" s="2"/>
      <c r="H126" s="33"/>
      <c r="I126" s="99">
        <f t="shared" si="0"/>
        <v>472.69080545313426</v>
      </c>
      <c r="J126" s="101">
        <f t="shared" si="1"/>
        <v>20.25</v>
      </c>
      <c r="K126" s="101">
        <f t="shared" si="2"/>
        <v>640</v>
      </c>
      <c r="L126" s="74">
        <f t="shared" si="3"/>
        <v>228</v>
      </c>
      <c r="M126" s="99">
        <f t="shared" si="4"/>
        <v>5672.2896654376109</v>
      </c>
      <c r="N126" s="108">
        <f t="shared" si="44"/>
        <v>1484.3843374905607</v>
      </c>
      <c r="O126" s="108">
        <f t="shared" si="45"/>
        <v>4187.90532794705</v>
      </c>
      <c r="P126" s="108"/>
      <c r="Q126" s="108"/>
      <c r="R126" s="109"/>
      <c r="S126" s="99">
        <f t="shared" si="6"/>
        <v>3159.8287061897563</v>
      </c>
      <c r="T126" s="108">
        <f t="shared" si="46"/>
        <v>633.34757535658525</v>
      </c>
      <c r="U126" s="108">
        <f t="shared" si="47"/>
        <v>2526.4811308331709</v>
      </c>
      <c r="V126" s="108"/>
      <c r="W126" s="108"/>
      <c r="X126" s="109"/>
      <c r="Y126" s="99">
        <f t="shared" si="8"/>
        <v>6319.6574123795126</v>
      </c>
      <c r="Z126" s="108">
        <f t="shared" si="9"/>
        <v>1266.6951507131705</v>
      </c>
      <c r="AA126" s="108">
        <f t="shared" si="48"/>
        <v>5052.9622616663419</v>
      </c>
      <c r="AB126" s="108"/>
      <c r="AC126" s="108"/>
      <c r="AD126" s="109"/>
      <c r="AE126" s="99">
        <f t="shared" ref="AE126:AF126" si="69">AO126</f>
        <v>12</v>
      </c>
      <c r="AF126" s="101">
        <f t="shared" si="69"/>
        <v>36</v>
      </c>
      <c r="AG126" s="101">
        <f t="shared" si="32"/>
        <v>19.001300000000001</v>
      </c>
      <c r="AH126" s="101">
        <f t="shared" si="12"/>
        <v>243</v>
      </c>
      <c r="AI126" s="101">
        <f t="shared" si="13"/>
        <v>268.61079999999998</v>
      </c>
      <c r="AJ126" s="108">
        <f t="shared" si="50"/>
        <v>2</v>
      </c>
      <c r="AK126" s="101">
        <f t="shared" si="15"/>
        <v>2633.1905884914636</v>
      </c>
      <c r="AL126" s="101">
        <f t="shared" si="51"/>
        <v>527.78964613048777</v>
      </c>
      <c r="AM126" s="101">
        <f t="shared" si="52"/>
        <v>2105.4009423609759</v>
      </c>
      <c r="AN126" s="101"/>
      <c r="AO126" s="1">
        <v>12</v>
      </c>
      <c r="AP126" s="2">
        <v>36</v>
      </c>
      <c r="AQ126" s="74">
        <f t="shared" si="53"/>
        <v>243</v>
      </c>
      <c r="AR126" s="31">
        <f t="shared" si="54"/>
        <v>0</v>
      </c>
      <c r="AS126" s="2">
        <f t="shared" si="55"/>
        <v>0</v>
      </c>
      <c r="AT126" s="33">
        <f t="shared" si="56"/>
        <v>1</v>
      </c>
      <c r="AU126" s="31">
        <f t="shared" si="57"/>
        <v>0</v>
      </c>
      <c r="AV126" s="2">
        <f t="shared" si="58"/>
        <v>0</v>
      </c>
      <c r="AW126" s="33">
        <f t="shared" si="59"/>
        <v>1</v>
      </c>
      <c r="AX126" s="31">
        <f t="shared" si="60"/>
        <v>1</v>
      </c>
      <c r="AY126" s="33">
        <f t="shared" si="61"/>
        <v>1</v>
      </c>
      <c r="AZ126" s="2"/>
      <c r="BA126" s="101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 ht="12" customHeight="1">
      <c r="A127" s="2"/>
      <c r="B127" s="107">
        <v>52</v>
      </c>
      <c r="C127" s="31">
        <v>7</v>
      </c>
      <c r="D127" s="106" t="s">
        <v>4</v>
      </c>
      <c r="E127" s="2" t="s">
        <v>91</v>
      </c>
      <c r="F127" s="2" t="s">
        <v>149</v>
      </c>
      <c r="G127" s="2" t="s">
        <v>143</v>
      </c>
      <c r="H127" s="33"/>
      <c r="I127" s="99">
        <f t="shared" si="0"/>
        <v>612.28764971803594</v>
      </c>
      <c r="J127" s="101">
        <f t="shared" si="1"/>
        <v>20.25</v>
      </c>
      <c r="K127" s="101">
        <f t="shared" si="2"/>
        <v>449</v>
      </c>
      <c r="L127" s="74">
        <f t="shared" si="3"/>
        <v>153</v>
      </c>
      <c r="M127" s="99">
        <f t="shared" si="4"/>
        <v>7347.4517966164312</v>
      </c>
      <c r="N127" s="108">
        <f t="shared" si="44"/>
        <v>1484.3843374905607</v>
      </c>
      <c r="O127" s="108">
        <f t="shared" si="45"/>
        <v>5863.0674591258703</v>
      </c>
      <c r="P127" s="108"/>
      <c r="Q127" s="108"/>
      <c r="R127" s="109"/>
      <c r="S127" s="99">
        <f t="shared" si="6"/>
        <v>4170.4211585230241</v>
      </c>
      <c r="T127" s="108">
        <f t="shared" si="46"/>
        <v>633.34757535658525</v>
      </c>
      <c r="U127" s="108">
        <f t="shared" si="47"/>
        <v>3537.0735831664392</v>
      </c>
      <c r="V127" s="108"/>
      <c r="W127" s="108"/>
      <c r="X127" s="109"/>
      <c r="Y127" s="99">
        <f t="shared" si="8"/>
        <v>8340.8423170460483</v>
      </c>
      <c r="Z127" s="108">
        <f t="shared" si="9"/>
        <v>1266.6951507131705</v>
      </c>
      <c r="AA127" s="108">
        <f t="shared" si="48"/>
        <v>7074.1471663328784</v>
      </c>
      <c r="AB127" s="108"/>
      <c r="AC127" s="108"/>
      <c r="AD127" s="109"/>
      <c r="AE127" s="99">
        <f t="shared" ref="AE127:AF127" si="70">AO127</f>
        <v>12</v>
      </c>
      <c r="AF127" s="101">
        <f t="shared" si="70"/>
        <v>36</v>
      </c>
      <c r="AG127" s="101">
        <f t="shared" si="32"/>
        <v>19.001300000000001</v>
      </c>
      <c r="AH127" s="101">
        <f t="shared" si="12"/>
        <v>243</v>
      </c>
      <c r="AI127" s="101">
        <f t="shared" si="13"/>
        <v>268.61079999999998</v>
      </c>
      <c r="AJ127" s="108">
        <f t="shared" si="50"/>
        <v>2</v>
      </c>
      <c r="AK127" s="101">
        <f t="shared" si="15"/>
        <v>2633.1905884914636</v>
      </c>
      <c r="AL127" s="101">
        <f t="shared" si="51"/>
        <v>527.78964613048777</v>
      </c>
      <c r="AM127" s="101">
        <f t="shared" si="52"/>
        <v>2105.4009423609759</v>
      </c>
      <c r="AN127" s="101"/>
      <c r="AO127" s="1">
        <v>12</v>
      </c>
      <c r="AP127" s="2">
        <v>36</v>
      </c>
      <c r="AQ127" s="74">
        <f t="shared" si="53"/>
        <v>243</v>
      </c>
      <c r="AR127" s="31">
        <f t="shared" si="54"/>
        <v>0</v>
      </c>
      <c r="AS127" s="2">
        <f t="shared" si="55"/>
        <v>0</v>
      </c>
      <c r="AT127" s="33">
        <f t="shared" si="56"/>
        <v>1</v>
      </c>
      <c r="AU127" s="31">
        <f t="shared" si="57"/>
        <v>0</v>
      </c>
      <c r="AV127" s="2">
        <f t="shared" si="58"/>
        <v>0</v>
      </c>
      <c r="AW127" s="33">
        <f t="shared" si="59"/>
        <v>1.4</v>
      </c>
      <c r="AX127" s="31">
        <f t="shared" si="60"/>
        <v>1</v>
      </c>
      <c r="AY127" s="33">
        <f t="shared" si="61"/>
        <v>1</v>
      </c>
      <c r="AZ127" s="2"/>
      <c r="BA127" s="101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 ht="12" customHeight="1">
      <c r="A128" s="2"/>
      <c r="B128" s="107">
        <v>53</v>
      </c>
      <c r="C128" s="31">
        <v>7</v>
      </c>
      <c r="D128" s="106" t="s">
        <v>4</v>
      </c>
      <c r="E128" s="2" t="s">
        <v>87</v>
      </c>
      <c r="F128" s="2" t="s">
        <v>149</v>
      </c>
      <c r="G128" s="2"/>
      <c r="H128" s="33"/>
      <c r="I128" s="99">
        <f t="shared" si="0"/>
        <v>534.54015284857439</v>
      </c>
      <c r="J128" s="101">
        <f t="shared" si="1"/>
        <v>20.25</v>
      </c>
      <c r="K128" s="101">
        <f t="shared" si="2"/>
        <v>556</v>
      </c>
      <c r="L128" s="74">
        <f t="shared" si="3"/>
        <v>197</v>
      </c>
      <c r="M128" s="99">
        <f t="shared" si="4"/>
        <v>6414.4818341828923</v>
      </c>
      <c r="N128" s="108">
        <f t="shared" si="44"/>
        <v>2226.5765062358419</v>
      </c>
      <c r="O128" s="108">
        <f t="shared" si="45"/>
        <v>4187.90532794705</v>
      </c>
      <c r="P128" s="108"/>
      <c r="Q128" s="108"/>
      <c r="R128" s="109"/>
      <c r="S128" s="99">
        <f t="shared" si="6"/>
        <v>3476.502493868049</v>
      </c>
      <c r="T128" s="108">
        <f t="shared" si="46"/>
        <v>950.02136303487805</v>
      </c>
      <c r="U128" s="108">
        <f t="shared" si="47"/>
        <v>2526.4811308331709</v>
      </c>
      <c r="V128" s="108"/>
      <c r="W128" s="108"/>
      <c r="X128" s="109"/>
      <c r="Y128" s="99">
        <f t="shared" si="8"/>
        <v>6953.004987736098</v>
      </c>
      <c r="Z128" s="108">
        <f t="shared" si="9"/>
        <v>1900.0427260697561</v>
      </c>
      <c r="AA128" s="108">
        <f t="shared" si="48"/>
        <v>5052.9622616663419</v>
      </c>
      <c r="AB128" s="108"/>
      <c r="AC128" s="108"/>
      <c r="AD128" s="109"/>
      <c r="AE128" s="99">
        <f t="shared" ref="AE128:AF128" si="71">AO128</f>
        <v>12</v>
      </c>
      <c r="AF128" s="101">
        <f t="shared" si="71"/>
        <v>36</v>
      </c>
      <c r="AG128" s="101">
        <f t="shared" si="32"/>
        <v>19.001300000000001</v>
      </c>
      <c r="AH128" s="101">
        <f t="shared" si="12"/>
        <v>243</v>
      </c>
      <c r="AI128" s="101">
        <f t="shared" si="13"/>
        <v>268.61079999999998</v>
      </c>
      <c r="AJ128" s="108">
        <f t="shared" si="50"/>
        <v>2</v>
      </c>
      <c r="AK128" s="101">
        <f t="shared" si="15"/>
        <v>2633.1905884914636</v>
      </c>
      <c r="AL128" s="101">
        <f t="shared" si="51"/>
        <v>527.78964613048777</v>
      </c>
      <c r="AM128" s="101">
        <f t="shared" si="52"/>
        <v>2105.4009423609759</v>
      </c>
      <c r="AN128" s="101"/>
      <c r="AO128" s="1">
        <v>12</v>
      </c>
      <c r="AP128" s="2">
        <v>36</v>
      </c>
      <c r="AQ128" s="74">
        <f t="shared" si="53"/>
        <v>243</v>
      </c>
      <c r="AR128" s="31">
        <f t="shared" si="54"/>
        <v>0</v>
      </c>
      <c r="AS128" s="2">
        <f t="shared" si="55"/>
        <v>0</v>
      </c>
      <c r="AT128" s="33">
        <f t="shared" si="56"/>
        <v>1.5</v>
      </c>
      <c r="AU128" s="31">
        <f t="shared" si="57"/>
        <v>0</v>
      </c>
      <c r="AV128" s="2">
        <f t="shared" si="58"/>
        <v>0</v>
      </c>
      <c r="AW128" s="33">
        <f t="shared" si="59"/>
        <v>1</v>
      </c>
      <c r="AX128" s="31">
        <f t="shared" si="60"/>
        <v>1</v>
      </c>
      <c r="AY128" s="33">
        <f t="shared" si="61"/>
        <v>1</v>
      </c>
      <c r="AZ128" s="2"/>
      <c r="BA128" s="101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 ht="12" customHeight="1">
      <c r="A129" s="2"/>
      <c r="B129" s="107">
        <v>54</v>
      </c>
      <c r="C129" s="31">
        <v>7</v>
      </c>
      <c r="D129" s="106" t="s">
        <v>4</v>
      </c>
      <c r="E129" s="2" t="s">
        <v>134</v>
      </c>
      <c r="F129" s="2" t="s">
        <v>149</v>
      </c>
      <c r="G129" s="2" t="s">
        <v>143</v>
      </c>
      <c r="H129" s="33"/>
      <c r="I129" s="99">
        <f t="shared" si="0"/>
        <v>674.13699711347601</v>
      </c>
      <c r="J129" s="101">
        <f t="shared" si="1"/>
        <v>20.25</v>
      </c>
      <c r="K129" s="101">
        <f t="shared" si="2"/>
        <v>381</v>
      </c>
      <c r="L129" s="74">
        <f t="shared" si="3"/>
        <v>118</v>
      </c>
      <c r="M129" s="99">
        <f t="shared" si="4"/>
        <v>8089.6439653617126</v>
      </c>
      <c r="N129" s="108">
        <f t="shared" si="44"/>
        <v>2226.5765062358419</v>
      </c>
      <c r="O129" s="108">
        <f t="shared" si="45"/>
        <v>5863.0674591258703</v>
      </c>
      <c r="P129" s="108"/>
      <c r="Q129" s="108"/>
      <c r="R129" s="109"/>
      <c r="S129" s="99">
        <f t="shared" si="6"/>
        <v>4487.0949462013177</v>
      </c>
      <c r="T129" s="108">
        <f t="shared" si="46"/>
        <v>950.02136303487805</v>
      </c>
      <c r="U129" s="108">
        <f t="shared" si="47"/>
        <v>3537.0735831664392</v>
      </c>
      <c r="V129" s="108"/>
      <c r="W129" s="108"/>
      <c r="X129" s="109"/>
      <c r="Y129" s="99">
        <f t="shared" si="8"/>
        <v>8974.1898924026355</v>
      </c>
      <c r="Z129" s="108">
        <f t="shared" si="9"/>
        <v>1900.0427260697561</v>
      </c>
      <c r="AA129" s="108">
        <f t="shared" si="48"/>
        <v>7074.1471663328784</v>
      </c>
      <c r="AB129" s="108"/>
      <c r="AC129" s="108"/>
      <c r="AD129" s="109"/>
      <c r="AE129" s="99">
        <f t="shared" ref="AE129:AF129" si="72">AO129</f>
        <v>12</v>
      </c>
      <c r="AF129" s="101">
        <f t="shared" si="72"/>
        <v>36</v>
      </c>
      <c r="AG129" s="101">
        <f t="shared" si="32"/>
        <v>19.001300000000001</v>
      </c>
      <c r="AH129" s="101">
        <f t="shared" si="12"/>
        <v>243</v>
      </c>
      <c r="AI129" s="101">
        <f t="shared" si="13"/>
        <v>268.61079999999998</v>
      </c>
      <c r="AJ129" s="108">
        <f t="shared" si="50"/>
        <v>2</v>
      </c>
      <c r="AK129" s="101">
        <f t="shared" si="15"/>
        <v>2633.1905884914636</v>
      </c>
      <c r="AL129" s="101">
        <f t="shared" si="51"/>
        <v>527.78964613048777</v>
      </c>
      <c r="AM129" s="101">
        <f t="shared" si="52"/>
        <v>2105.4009423609759</v>
      </c>
      <c r="AN129" s="101"/>
      <c r="AO129" s="1">
        <v>12</v>
      </c>
      <c r="AP129" s="2">
        <v>36</v>
      </c>
      <c r="AQ129" s="74">
        <f t="shared" si="53"/>
        <v>243</v>
      </c>
      <c r="AR129" s="31">
        <f t="shared" si="54"/>
        <v>0</v>
      </c>
      <c r="AS129" s="2">
        <f t="shared" si="55"/>
        <v>0</v>
      </c>
      <c r="AT129" s="33">
        <f t="shared" si="56"/>
        <v>1.5</v>
      </c>
      <c r="AU129" s="31">
        <f t="shared" si="57"/>
        <v>0</v>
      </c>
      <c r="AV129" s="2">
        <f t="shared" si="58"/>
        <v>0</v>
      </c>
      <c r="AW129" s="33">
        <f t="shared" si="59"/>
        <v>1.4</v>
      </c>
      <c r="AX129" s="31">
        <f t="shared" si="60"/>
        <v>1</v>
      </c>
      <c r="AY129" s="33">
        <f t="shared" si="61"/>
        <v>1</v>
      </c>
      <c r="AZ129" s="2"/>
      <c r="BA129" s="101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 ht="12" customHeight="1">
      <c r="A130" s="2"/>
      <c r="B130" s="107">
        <v>55</v>
      </c>
      <c r="C130" s="31">
        <v>4</v>
      </c>
      <c r="D130" s="106" t="s">
        <v>4</v>
      </c>
      <c r="E130" s="2" t="s">
        <v>67</v>
      </c>
      <c r="F130" s="2" t="s">
        <v>149</v>
      </c>
      <c r="G130" s="2"/>
      <c r="H130" s="33"/>
      <c r="I130" s="99">
        <f t="shared" si="0"/>
        <v>438.22868311151689</v>
      </c>
      <c r="J130" s="101">
        <f t="shared" si="1"/>
        <v>11.166666666666666</v>
      </c>
      <c r="K130" s="101">
        <f t="shared" si="2"/>
        <v>689</v>
      </c>
      <c r="L130" s="74">
        <f t="shared" si="3"/>
        <v>251</v>
      </c>
      <c r="M130" s="99">
        <f t="shared" si="4"/>
        <v>5258.7441973382029</v>
      </c>
      <c r="N130" s="108">
        <f t="shared" si="44"/>
        <v>1375.7376229068768</v>
      </c>
      <c r="O130" s="108">
        <f t="shared" si="45"/>
        <v>3883.006574431326</v>
      </c>
      <c r="P130" s="108"/>
      <c r="Q130" s="108"/>
      <c r="R130" s="109"/>
      <c r="S130" s="99">
        <f t="shared" si="6"/>
        <v>2929.5325869746343</v>
      </c>
      <c r="T130" s="108">
        <f t="shared" si="46"/>
        <v>586.99089298390243</v>
      </c>
      <c r="U130" s="108">
        <f t="shared" si="47"/>
        <v>2342.5416939907318</v>
      </c>
      <c r="V130" s="108"/>
      <c r="W130" s="108"/>
      <c r="X130" s="109"/>
      <c r="Y130" s="99">
        <f t="shared" si="8"/>
        <v>5859.0651739492687</v>
      </c>
      <c r="Z130" s="108">
        <f t="shared" si="9"/>
        <v>1173.9817859678049</v>
      </c>
      <c r="AA130" s="108">
        <f t="shared" si="48"/>
        <v>4685.0833879814636</v>
      </c>
      <c r="AB130" s="108"/>
      <c r="AC130" s="108"/>
      <c r="AD130" s="109"/>
      <c r="AE130" s="99">
        <f t="shared" ref="AE130:AF130" si="73">AO130</f>
        <v>12</v>
      </c>
      <c r="AF130" s="101">
        <f t="shared" si="73"/>
        <v>36</v>
      </c>
      <c r="AG130" s="101">
        <f t="shared" si="32"/>
        <v>19.001300000000001</v>
      </c>
      <c r="AH130" s="101">
        <f t="shared" si="12"/>
        <v>134</v>
      </c>
      <c r="AI130" s="101">
        <f t="shared" si="13"/>
        <v>268.61079999999998</v>
      </c>
      <c r="AJ130" s="108">
        <f t="shared" si="50"/>
        <v>2</v>
      </c>
      <c r="AK130" s="101">
        <f t="shared" si="15"/>
        <v>2441.2771558121954</v>
      </c>
      <c r="AL130" s="101">
        <f t="shared" si="51"/>
        <v>489.15907748658537</v>
      </c>
      <c r="AM130" s="101">
        <f t="shared" si="52"/>
        <v>1952.11807832561</v>
      </c>
      <c r="AN130" s="101"/>
      <c r="AO130" s="1">
        <v>12</v>
      </c>
      <c r="AP130" s="2">
        <v>36</v>
      </c>
      <c r="AQ130" s="74">
        <f t="shared" si="53"/>
        <v>134</v>
      </c>
      <c r="AR130" s="31">
        <f t="shared" si="54"/>
        <v>0</v>
      </c>
      <c r="AS130" s="2">
        <f t="shared" si="55"/>
        <v>0</v>
      </c>
      <c r="AT130" s="33">
        <f t="shared" si="56"/>
        <v>1</v>
      </c>
      <c r="AU130" s="31">
        <f t="shared" si="57"/>
        <v>0</v>
      </c>
      <c r="AV130" s="2">
        <f t="shared" si="58"/>
        <v>0</v>
      </c>
      <c r="AW130" s="33">
        <f t="shared" si="59"/>
        <v>1</v>
      </c>
      <c r="AX130" s="31">
        <f t="shared" si="60"/>
        <v>1</v>
      </c>
      <c r="AY130" s="33">
        <f t="shared" si="61"/>
        <v>1</v>
      </c>
      <c r="AZ130" s="2"/>
      <c r="BA130" s="101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 ht="12" customHeight="1">
      <c r="A131" s="2"/>
      <c r="B131" s="107">
        <v>56</v>
      </c>
      <c r="C131" s="31">
        <v>4</v>
      </c>
      <c r="D131" s="106" t="s">
        <v>4</v>
      </c>
      <c r="E131" s="2" t="s">
        <v>87</v>
      </c>
      <c r="F131" s="2" t="s">
        <v>149</v>
      </c>
      <c r="G131" s="2"/>
      <c r="H131" s="33"/>
      <c r="I131" s="99">
        <f t="shared" si="0"/>
        <v>495.55108406597014</v>
      </c>
      <c r="J131" s="101">
        <f t="shared" si="1"/>
        <v>11.166666666666666</v>
      </c>
      <c r="K131" s="101">
        <f t="shared" si="2"/>
        <v>611</v>
      </c>
      <c r="L131" s="74">
        <f t="shared" si="3"/>
        <v>217</v>
      </c>
      <c r="M131" s="99">
        <f t="shared" si="4"/>
        <v>5946.6130087916417</v>
      </c>
      <c r="N131" s="108">
        <f t="shared" si="44"/>
        <v>2063.6064343603157</v>
      </c>
      <c r="O131" s="108">
        <f t="shared" si="45"/>
        <v>3883.006574431326</v>
      </c>
      <c r="P131" s="108"/>
      <c r="Q131" s="108"/>
      <c r="R131" s="109"/>
      <c r="S131" s="99">
        <f t="shared" si="6"/>
        <v>3223.0280334665854</v>
      </c>
      <c r="T131" s="108">
        <f t="shared" si="46"/>
        <v>880.4863394758537</v>
      </c>
      <c r="U131" s="108">
        <f t="shared" si="47"/>
        <v>2342.5416939907318</v>
      </c>
      <c r="V131" s="108"/>
      <c r="W131" s="108"/>
      <c r="X131" s="109"/>
      <c r="Y131" s="99">
        <f t="shared" si="8"/>
        <v>6446.0560669331708</v>
      </c>
      <c r="Z131" s="108">
        <f t="shared" si="9"/>
        <v>1760.9726789517074</v>
      </c>
      <c r="AA131" s="108">
        <f t="shared" si="48"/>
        <v>4685.0833879814636</v>
      </c>
      <c r="AB131" s="108"/>
      <c r="AC131" s="108"/>
      <c r="AD131" s="109"/>
      <c r="AE131" s="99">
        <f t="shared" ref="AE131:AF131" si="74">AO131</f>
        <v>12</v>
      </c>
      <c r="AF131" s="101">
        <f t="shared" si="74"/>
        <v>36</v>
      </c>
      <c r="AG131" s="101">
        <f t="shared" si="32"/>
        <v>19.001300000000001</v>
      </c>
      <c r="AH131" s="101">
        <f t="shared" si="12"/>
        <v>134</v>
      </c>
      <c r="AI131" s="101">
        <f t="shared" si="13"/>
        <v>268.61079999999998</v>
      </c>
      <c r="AJ131" s="108">
        <f t="shared" si="50"/>
        <v>2</v>
      </c>
      <c r="AK131" s="101">
        <f t="shared" si="15"/>
        <v>2441.2771558121954</v>
      </c>
      <c r="AL131" s="101">
        <f t="shared" si="51"/>
        <v>489.15907748658537</v>
      </c>
      <c r="AM131" s="101">
        <f t="shared" si="52"/>
        <v>1952.11807832561</v>
      </c>
      <c r="AN131" s="101"/>
      <c r="AO131" s="1">
        <v>12</v>
      </c>
      <c r="AP131" s="2">
        <v>36</v>
      </c>
      <c r="AQ131" s="74">
        <f t="shared" si="53"/>
        <v>134</v>
      </c>
      <c r="AR131" s="31">
        <f t="shared" si="54"/>
        <v>0</v>
      </c>
      <c r="AS131" s="2">
        <f t="shared" si="55"/>
        <v>0</v>
      </c>
      <c r="AT131" s="33">
        <f t="shared" si="56"/>
        <v>1.5</v>
      </c>
      <c r="AU131" s="31">
        <f t="shared" si="57"/>
        <v>0</v>
      </c>
      <c r="AV131" s="2">
        <f t="shared" si="58"/>
        <v>0</v>
      </c>
      <c r="AW131" s="33">
        <f t="shared" si="59"/>
        <v>1</v>
      </c>
      <c r="AX131" s="31">
        <f t="shared" si="60"/>
        <v>1</v>
      </c>
      <c r="AY131" s="33">
        <f t="shared" si="61"/>
        <v>1</v>
      </c>
      <c r="AZ131" s="2"/>
      <c r="BA131" s="101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 ht="12" customHeight="1">
      <c r="A132" s="2"/>
      <c r="B132" s="107">
        <v>57</v>
      </c>
      <c r="C132" s="31">
        <v>1</v>
      </c>
      <c r="D132" s="106" t="s">
        <v>4</v>
      </c>
      <c r="E132" s="2" t="s">
        <v>67</v>
      </c>
      <c r="F132" s="2" t="s">
        <v>149</v>
      </c>
      <c r="G132" s="2"/>
      <c r="H132" s="33"/>
      <c r="I132" s="99">
        <f t="shared" si="0"/>
        <v>351.47527045243714</v>
      </c>
      <c r="J132" s="101">
        <f t="shared" si="1"/>
        <v>5.583333333333333</v>
      </c>
      <c r="K132" s="101">
        <f t="shared" si="2"/>
        <v>778</v>
      </c>
      <c r="L132" s="74">
        <f t="shared" si="3"/>
        <v>292</v>
      </c>
      <c r="M132" s="99">
        <f t="shared" si="4"/>
        <v>4217.7032454292457</v>
      </c>
      <c r="N132" s="108">
        <f t="shared" si="44"/>
        <v>1100.8650206036664</v>
      </c>
      <c r="O132" s="108">
        <f t="shared" si="45"/>
        <v>3116.8382248255789</v>
      </c>
      <c r="P132" s="108"/>
      <c r="Q132" s="108"/>
      <c r="R132" s="109"/>
      <c r="S132" s="99">
        <f t="shared" si="6"/>
        <v>2350.0373749434148</v>
      </c>
      <c r="T132" s="108">
        <f t="shared" si="46"/>
        <v>469.71001645902442</v>
      </c>
      <c r="U132" s="108">
        <f t="shared" si="47"/>
        <v>1880.3273584843903</v>
      </c>
      <c r="V132" s="108"/>
      <c r="W132" s="108"/>
      <c r="X132" s="109"/>
      <c r="Y132" s="99">
        <f t="shared" si="8"/>
        <v>4700.0747498868295</v>
      </c>
      <c r="Z132" s="108">
        <f t="shared" si="9"/>
        <v>939.42003291804883</v>
      </c>
      <c r="AA132" s="108">
        <f t="shared" si="48"/>
        <v>3760.654716968781</v>
      </c>
      <c r="AB132" s="108"/>
      <c r="AC132" s="108"/>
      <c r="AD132" s="109"/>
      <c r="AE132" s="99">
        <f t="shared" ref="AE132:AF132" si="75">AO132</f>
        <v>12</v>
      </c>
      <c r="AF132" s="101">
        <f t="shared" si="75"/>
        <v>36</v>
      </c>
      <c r="AG132" s="101">
        <f t="shared" si="32"/>
        <v>19.001300000000001</v>
      </c>
      <c r="AH132" s="101">
        <f t="shared" si="12"/>
        <v>67</v>
      </c>
      <c r="AI132" s="101">
        <f t="shared" si="13"/>
        <v>268.61079999999998</v>
      </c>
      <c r="AJ132" s="108">
        <f t="shared" si="50"/>
        <v>2</v>
      </c>
      <c r="AK132" s="101">
        <f t="shared" si="15"/>
        <v>1958.3644791195125</v>
      </c>
      <c r="AL132" s="101">
        <f t="shared" si="51"/>
        <v>391.42501371585371</v>
      </c>
      <c r="AM132" s="101">
        <f t="shared" si="52"/>
        <v>1566.9394654036587</v>
      </c>
      <c r="AN132" s="101"/>
      <c r="AO132" s="1">
        <v>12</v>
      </c>
      <c r="AP132" s="2">
        <v>36</v>
      </c>
      <c r="AQ132" s="74">
        <f t="shared" si="53"/>
        <v>67</v>
      </c>
      <c r="AR132" s="31">
        <f t="shared" si="54"/>
        <v>0</v>
      </c>
      <c r="AS132" s="2">
        <f t="shared" si="55"/>
        <v>0</v>
      </c>
      <c r="AT132" s="33">
        <f t="shared" si="56"/>
        <v>1</v>
      </c>
      <c r="AU132" s="31">
        <f t="shared" si="57"/>
        <v>0</v>
      </c>
      <c r="AV132" s="2">
        <f t="shared" si="58"/>
        <v>0</v>
      </c>
      <c r="AW132" s="33">
        <f t="shared" si="59"/>
        <v>1</v>
      </c>
      <c r="AX132" s="31">
        <f t="shared" si="60"/>
        <v>1</v>
      </c>
      <c r="AY132" s="33">
        <f t="shared" si="61"/>
        <v>1</v>
      </c>
      <c r="AZ132" s="2"/>
      <c r="BA132" s="101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 ht="12" customHeight="1">
      <c r="A133" s="2"/>
      <c r="B133" s="107">
        <v>58</v>
      </c>
      <c r="C133" s="31">
        <v>10</v>
      </c>
      <c r="D133" s="106" t="s">
        <v>4</v>
      </c>
      <c r="E133" s="2" t="s">
        <v>144</v>
      </c>
      <c r="F133" s="2"/>
      <c r="G133" s="2" t="s">
        <v>167</v>
      </c>
      <c r="H133" s="33"/>
      <c r="I133" s="99">
        <f t="shared" si="0"/>
        <v>575.71006605980244</v>
      </c>
      <c r="J133" s="101">
        <f t="shared" si="1"/>
        <v>29.083333333333332</v>
      </c>
      <c r="K133" s="101">
        <f t="shared" si="2"/>
        <v>499</v>
      </c>
      <c r="L133" s="74">
        <f t="shared" si="3"/>
        <v>174</v>
      </c>
      <c r="M133" s="99">
        <f t="shared" si="4"/>
        <v>6908.5207927176289</v>
      </c>
      <c r="N133" s="108">
        <f t="shared" si="44"/>
        <v>1103.8593604940324</v>
      </c>
      <c r="O133" s="108">
        <f t="shared" si="45"/>
        <v>5804.6614322235964</v>
      </c>
      <c r="P133" s="108"/>
      <c r="Q133" s="108"/>
      <c r="R133" s="109"/>
      <c r="S133" s="99">
        <f t="shared" si="6"/>
        <v>4946.3414267731714</v>
      </c>
      <c r="T133" s="108">
        <f t="shared" si="46"/>
        <v>550.14434099268294</v>
      </c>
      <c r="U133" s="108">
        <f t="shared" si="47"/>
        <v>4396.1970857804881</v>
      </c>
      <c r="V133" s="108"/>
      <c r="W133" s="108"/>
      <c r="X133" s="109"/>
      <c r="Y133" s="99">
        <f t="shared" si="8"/>
        <v>9892.6828535463428</v>
      </c>
      <c r="Z133" s="108">
        <f t="shared" si="9"/>
        <v>1100.2886819853659</v>
      </c>
      <c r="AA133" s="108">
        <f t="shared" si="48"/>
        <v>8792.3941715609762</v>
      </c>
      <c r="AB133" s="108"/>
      <c r="AC133" s="108"/>
      <c r="AD133" s="109"/>
      <c r="AE133" s="99">
        <f t="shared" ref="AE133:AF133" si="76">AO133</f>
        <v>12</v>
      </c>
      <c r="AF133" s="101">
        <f t="shared" si="76"/>
        <v>36</v>
      </c>
      <c r="AG133" s="101">
        <f t="shared" si="32"/>
        <v>19.001300000000001</v>
      </c>
      <c r="AH133" s="101">
        <f t="shared" si="12"/>
        <v>349</v>
      </c>
      <c r="AI133" s="101">
        <f t="shared" si="13"/>
        <v>268.61079999999998</v>
      </c>
      <c r="AJ133" s="108">
        <f t="shared" si="50"/>
        <v>2</v>
      </c>
      <c r="AK133" s="101">
        <f t="shared" si="15"/>
        <v>2748.2428838829269</v>
      </c>
      <c r="AL133" s="101">
        <f t="shared" si="51"/>
        <v>550.14434099268294</v>
      </c>
      <c r="AM133" s="101">
        <f t="shared" si="52"/>
        <v>2198.0985428902441</v>
      </c>
      <c r="AN133" s="101"/>
      <c r="AO133" s="1">
        <v>12</v>
      </c>
      <c r="AP133" s="2">
        <v>36</v>
      </c>
      <c r="AQ133" s="74">
        <f t="shared" si="53"/>
        <v>349</v>
      </c>
      <c r="AR133" s="31">
        <f t="shared" si="54"/>
        <v>0</v>
      </c>
      <c r="AS133" s="2">
        <f t="shared" si="55"/>
        <v>0</v>
      </c>
      <c r="AT133" s="33">
        <f t="shared" si="56"/>
        <v>1</v>
      </c>
      <c r="AU133" s="31">
        <f t="shared" si="57"/>
        <v>0</v>
      </c>
      <c r="AV133" s="2">
        <f t="shared" si="58"/>
        <v>0</v>
      </c>
      <c r="AW133" s="33">
        <f t="shared" si="59"/>
        <v>1</v>
      </c>
      <c r="AX133" s="31">
        <f t="shared" si="60"/>
        <v>2</v>
      </c>
      <c r="AY133" s="33">
        <f t="shared" si="61"/>
        <v>1</v>
      </c>
      <c r="AZ133" s="2"/>
      <c r="BA133" s="101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 ht="12" customHeight="1">
      <c r="A134" s="2"/>
      <c r="B134" s="107">
        <v>59</v>
      </c>
      <c r="C134" s="31">
        <v>10</v>
      </c>
      <c r="D134" s="106" t="s">
        <v>4</v>
      </c>
      <c r="E134" s="2" t="s">
        <v>141</v>
      </c>
      <c r="F134" s="2"/>
      <c r="G134" s="2" t="s">
        <v>172</v>
      </c>
      <c r="H134" s="33"/>
      <c r="I134" s="99">
        <f t="shared" si="0"/>
        <v>769.19878046725569</v>
      </c>
      <c r="J134" s="101">
        <f t="shared" si="1"/>
        <v>29.083333333333332</v>
      </c>
      <c r="K134" s="101">
        <f t="shared" si="2"/>
        <v>286</v>
      </c>
      <c r="L134" s="74">
        <f t="shared" si="3"/>
        <v>76</v>
      </c>
      <c r="M134" s="99">
        <f t="shared" si="4"/>
        <v>9230.3853656070678</v>
      </c>
      <c r="N134" s="108">
        <f t="shared" si="44"/>
        <v>1103.8593604940324</v>
      </c>
      <c r="O134" s="108">
        <f t="shared" si="45"/>
        <v>8126.5260051130344</v>
      </c>
      <c r="P134" s="108"/>
      <c r="Q134" s="108"/>
      <c r="R134" s="109"/>
      <c r="S134" s="99">
        <f t="shared" si="6"/>
        <v>6704.8202610853659</v>
      </c>
      <c r="T134" s="108">
        <f t="shared" si="46"/>
        <v>550.14434099268294</v>
      </c>
      <c r="U134" s="108">
        <f t="shared" si="47"/>
        <v>6154.6759200926826</v>
      </c>
      <c r="V134" s="108"/>
      <c r="W134" s="108"/>
      <c r="X134" s="109"/>
      <c r="Y134" s="99">
        <f t="shared" si="8"/>
        <v>13409.640522170732</v>
      </c>
      <c r="Z134" s="108">
        <f t="shared" si="9"/>
        <v>1100.2886819853659</v>
      </c>
      <c r="AA134" s="108">
        <f t="shared" si="48"/>
        <v>12309.351840185365</v>
      </c>
      <c r="AB134" s="108"/>
      <c r="AC134" s="108"/>
      <c r="AD134" s="109"/>
      <c r="AE134" s="99">
        <f t="shared" ref="AE134:AF134" si="77">AO134</f>
        <v>12</v>
      </c>
      <c r="AF134" s="101">
        <f t="shared" si="77"/>
        <v>36</v>
      </c>
      <c r="AG134" s="101">
        <f t="shared" si="32"/>
        <v>19.001300000000001</v>
      </c>
      <c r="AH134" s="101">
        <f t="shared" si="12"/>
        <v>349</v>
      </c>
      <c r="AI134" s="101">
        <f t="shared" si="13"/>
        <v>268.61079999999998</v>
      </c>
      <c r="AJ134" s="108">
        <f t="shared" si="50"/>
        <v>2</v>
      </c>
      <c r="AK134" s="101">
        <f t="shared" si="15"/>
        <v>2748.2428838829269</v>
      </c>
      <c r="AL134" s="101">
        <f t="shared" si="51"/>
        <v>550.14434099268294</v>
      </c>
      <c r="AM134" s="101">
        <f t="shared" si="52"/>
        <v>2198.0985428902441</v>
      </c>
      <c r="AN134" s="101"/>
      <c r="AO134" s="1">
        <v>12</v>
      </c>
      <c r="AP134" s="2">
        <v>36</v>
      </c>
      <c r="AQ134" s="74">
        <f t="shared" si="53"/>
        <v>349</v>
      </c>
      <c r="AR134" s="31">
        <f t="shared" si="54"/>
        <v>0</v>
      </c>
      <c r="AS134" s="2">
        <f t="shared" si="55"/>
        <v>0</v>
      </c>
      <c r="AT134" s="33">
        <f t="shared" si="56"/>
        <v>1</v>
      </c>
      <c r="AU134" s="31">
        <f t="shared" si="57"/>
        <v>0</v>
      </c>
      <c r="AV134" s="2">
        <f t="shared" si="58"/>
        <v>0</v>
      </c>
      <c r="AW134" s="33">
        <f t="shared" si="59"/>
        <v>1.4</v>
      </c>
      <c r="AX134" s="31">
        <f t="shared" si="60"/>
        <v>2</v>
      </c>
      <c r="AY134" s="33">
        <f t="shared" si="61"/>
        <v>1</v>
      </c>
      <c r="AZ134" s="2"/>
      <c r="BA134" s="101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 ht="12" customHeight="1">
      <c r="A135" s="2"/>
      <c r="B135" s="107">
        <v>60</v>
      </c>
      <c r="C135" s="31">
        <v>10</v>
      </c>
      <c r="D135" s="106" t="s">
        <v>4</v>
      </c>
      <c r="E135" s="2" t="s">
        <v>146</v>
      </c>
      <c r="F135" s="2"/>
      <c r="G135" s="2" t="s">
        <v>167</v>
      </c>
      <c r="H135" s="33"/>
      <c r="I135" s="99">
        <f t="shared" si="0"/>
        <v>621.70420608038705</v>
      </c>
      <c r="J135" s="101">
        <f t="shared" si="1"/>
        <v>29.083333333333332</v>
      </c>
      <c r="K135" s="101">
        <f t="shared" si="2"/>
        <v>439</v>
      </c>
      <c r="L135" s="74">
        <f t="shared" si="3"/>
        <v>148</v>
      </c>
      <c r="M135" s="99">
        <f t="shared" si="4"/>
        <v>7460.4504729646451</v>
      </c>
      <c r="N135" s="108">
        <f t="shared" si="44"/>
        <v>1655.7890407410487</v>
      </c>
      <c r="O135" s="108">
        <f t="shared" si="45"/>
        <v>5804.6614322235964</v>
      </c>
      <c r="P135" s="108"/>
      <c r="Q135" s="108"/>
      <c r="R135" s="109"/>
      <c r="S135" s="99">
        <f t="shared" si="6"/>
        <v>5221.413597269513</v>
      </c>
      <c r="T135" s="108">
        <f t="shared" si="46"/>
        <v>825.21651148902447</v>
      </c>
      <c r="U135" s="108">
        <f t="shared" si="47"/>
        <v>4396.1970857804881</v>
      </c>
      <c r="V135" s="108"/>
      <c r="W135" s="108"/>
      <c r="X135" s="109"/>
      <c r="Y135" s="99">
        <f t="shared" si="8"/>
        <v>10442.827194539026</v>
      </c>
      <c r="Z135" s="108">
        <f t="shared" si="9"/>
        <v>1650.4330229780489</v>
      </c>
      <c r="AA135" s="108">
        <f t="shared" si="48"/>
        <v>8792.3941715609762</v>
      </c>
      <c r="AB135" s="108"/>
      <c r="AC135" s="108"/>
      <c r="AD135" s="109"/>
      <c r="AE135" s="99">
        <f t="shared" ref="AE135:AF135" si="78">AO135</f>
        <v>12</v>
      </c>
      <c r="AF135" s="101">
        <f t="shared" si="78"/>
        <v>36</v>
      </c>
      <c r="AG135" s="101">
        <f t="shared" si="32"/>
        <v>19.001300000000001</v>
      </c>
      <c r="AH135" s="101">
        <f t="shared" si="12"/>
        <v>349</v>
      </c>
      <c r="AI135" s="101">
        <f t="shared" si="13"/>
        <v>268.61079999999998</v>
      </c>
      <c r="AJ135" s="108">
        <f t="shared" si="50"/>
        <v>2</v>
      </c>
      <c r="AK135" s="101">
        <f t="shared" si="15"/>
        <v>2748.2428838829269</v>
      </c>
      <c r="AL135" s="101">
        <f t="shared" si="51"/>
        <v>550.14434099268294</v>
      </c>
      <c r="AM135" s="101">
        <f t="shared" si="52"/>
        <v>2198.0985428902441</v>
      </c>
      <c r="AN135" s="101"/>
      <c r="AO135" s="1">
        <v>12</v>
      </c>
      <c r="AP135" s="2">
        <v>36</v>
      </c>
      <c r="AQ135" s="74">
        <f t="shared" si="53"/>
        <v>349</v>
      </c>
      <c r="AR135" s="31">
        <f t="shared" si="54"/>
        <v>0</v>
      </c>
      <c r="AS135" s="2">
        <f t="shared" si="55"/>
        <v>0</v>
      </c>
      <c r="AT135" s="33">
        <f t="shared" si="56"/>
        <v>1.5</v>
      </c>
      <c r="AU135" s="31">
        <f t="shared" si="57"/>
        <v>0</v>
      </c>
      <c r="AV135" s="2">
        <f t="shared" si="58"/>
        <v>0</v>
      </c>
      <c r="AW135" s="33">
        <f t="shared" si="59"/>
        <v>1</v>
      </c>
      <c r="AX135" s="31">
        <f t="shared" si="60"/>
        <v>2</v>
      </c>
      <c r="AY135" s="33">
        <f t="shared" si="61"/>
        <v>1</v>
      </c>
      <c r="AZ135" s="2"/>
      <c r="BA135" s="101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 ht="12" customHeight="1">
      <c r="A136" s="2"/>
      <c r="B136" s="107">
        <v>61</v>
      </c>
      <c r="C136" s="31">
        <v>10</v>
      </c>
      <c r="D136" s="106" t="s">
        <v>4</v>
      </c>
      <c r="E136" s="2" t="s">
        <v>147</v>
      </c>
      <c r="F136" s="2"/>
      <c r="G136" s="2" t="s">
        <v>172</v>
      </c>
      <c r="H136" s="33"/>
      <c r="I136" s="99">
        <f t="shared" si="0"/>
        <v>815.1929204878403</v>
      </c>
      <c r="J136" s="101">
        <f t="shared" si="1"/>
        <v>29.083333333333332</v>
      </c>
      <c r="K136" s="101">
        <f t="shared" si="2"/>
        <v>261</v>
      </c>
      <c r="L136" s="74">
        <f t="shared" si="3"/>
        <v>69</v>
      </c>
      <c r="M136" s="99">
        <f t="shared" si="4"/>
        <v>9782.315045854084</v>
      </c>
      <c r="N136" s="108">
        <f t="shared" si="44"/>
        <v>1655.7890407410487</v>
      </c>
      <c r="O136" s="108">
        <f t="shared" si="45"/>
        <v>8126.5260051130344</v>
      </c>
      <c r="P136" s="108"/>
      <c r="Q136" s="108"/>
      <c r="R136" s="109"/>
      <c r="S136" s="99">
        <f t="shared" si="6"/>
        <v>6979.8924315817076</v>
      </c>
      <c r="T136" s="108">
        <f t="shared" si="46"/>
        <v>825.21651148902447</v>
      </c>
      <c r="U136" s="108">
        <f t="shared" si="47"/>
        <v>6154.6759200926826</v>
      </c>
      <c r="V136" s="108"/>
      <c r="W136" s="108"/>
      <c r="X136" s="109"/>
      <c r="Y136" s="99">
        <f t="shared" si="8"/>
        <v>13959.784863163415</v>
      </c>
      <c r="Z136" s="108">
        <f t="shared" si="9"/>
        <v>1650.4330229780489</v>
      </c>
      <c r="AA136" s="108">
        <f t="shared" si="48"/>
        <v>12309.351840185365</v>
      </c>
      <c r="AB136" s="108"/>
      <c r="AC136" s="108"/>
      <c r="AD136" s="109"/>
      <c r="AE136" s="99">
        <f t="shared" ref="AE136:AF136" si="79">AO136</f>
        <v>12</v>
      </c>
      <c r="AF136" s="101">
        <f t="shared" si="79"/>
        <v>36</v>
      </c>
      <c r="AG136" s="101">
        <f t="shared" si="32"/>
        <v>19.001300000000001</v>
      </c>
      <c r="AH136" s="101">
        <f t="shared" si="12"/>
        <v>349</v>
      </c>
      <c r="AI136" s="101">
        <f t="shared" si="13"/>
        <v>268.61079999999998</v>
      </c>
      <c r="AJ136" s="108">
        <f t="shared" si="50"/>
        <v>2</v>
      </c>
      <c r="AK136" s="101">
        <f t="shared" si="15"/>
        <v>2748.2428838829269</v>
      </c>
      <c r="AL136" s="101">
        <f t="shared" si="51"/>
        <v>550.14434099268294</v>
      </c>
      <c r="AM136" s="101">
        <f t="shared" si="52"/>
        <v>2198.0985428902441</v>
      </c>
      <c r="AN136" s="101"/>
      <c r="AO136" s="1">
        <v>12</v>
      </c>
      <c r="AP136" s="2">
        <v>36</v>
      </c>
      <c r="AQ136" s="74">
        <f t="shared" si="53"/>
        <v>349</v>
      </c>
      <c r="AR136" s="31">
        <f t="shared" si="54"/>
        <v>0</v>
      </c>
      <c r="AS136" s="2">
        <f t="shared" si="55"/>
        <v>0</v>
      </c>
      <c r="AT136" s="33">
        <f t="shared" si="56"/>
        <v>1.5</v>
      </c>
      <c r="AU136" s="31">
        <f t="shared" si="57"/>
        <v>0</v>
      </c>
      <c r="AV136" s="2">
        <f t="shared" si="58"/>
        <v>0</v>
      </c>
      <c r="AW136" s="33">
        <f t="shared" si="59"/>
        <v>1.4</v>
      </c>
      <c r="AX136" s="31">
        <f t="shared" si="60"/>
        <v>2</v>
      </c>
      <c r="AY136" s="33">
        <f t="shared" si="61"/>
        <v>1</v>
      </c>
      <c r="AZ136" s="2"/>
      <c r="BA136" s="101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 ht="15.75" customHeight="1">
      <c r="A137" s="2"/>
      <c r="B137" s="107">
        <v>62</v>
      </c>
      <c r="C137" s="31">
        <v>10</v>
      </c>
      <c r="D137" s="106" t="s">
        <v>4</v>
      </c>
      <c r="E137" s="2" t="s">
        <v>92</v>
      </c>
      <c r="F137" s="2"/>
      <c r="G137" s="2"/>
      <c r="H137" s="33"/>
      <c r="I137" s="99">
        <f t="shared" si="0"/>
        <v>509.19832048224043</v>
      </c>
      <c r="J137" s="101">
        <f t="shared" si="1"/>
        <v>29.083333333333332</v>
      </c>
      <c r="K137" s="101">
        <f t="shared" si="2"/>
        <v>587</v>
      </c>
      <c r="L137" s="74">
        <f t="shared" si="3"/>
        <v>207</v>
      </c>
      <c r="M137" s="99">
        <f t="shared" si="4"/>
        <v>6110.3798457868852</v>
      </c>
      <c r="N137" s="108">
        <f t="shared" si="44"/>
        <v>1103.8593604940324</v>
      </c>
      <c r="O137" s="108">
        <f t="shared" si="45"/>
        <v>5006.5204852928528</v>
      </c>
      <c r="P137" s="108"/>
      <c r="Q137" s="108"/>
      <c r="R137" s="109"/>
      <c r="S137" s="99">
        <f t="shared" si="6"/>
        <v>4341.8643274783544</v>
      </c>
      <c r="T137" s="108">
        <f t="shared" si="46"/>
        <v>550.14434099268294</v>
      </c>
      <c r="U137" s="108">
        <f t="shared" si="47"/>
        <v>3791.7199864856711</v>
      </c>
      <c r="V137" s="108"/>
      <c r="W137" s="108"/>
      <c r="X137" s="109"/>
      <c r="Y137" s="99">
        <f t="shared" si="8"/>
        <v>8683.7286549567089</v>
      </c>
      <c r="Z137" s="108">
        <f t="shared" si="9"/>
        <v>1100.2886819853659</v>
      </c>
      <c r="AA137" s="108">
        <f t="shared" si="48"/>
        <v>7583.4399729713423</v>
      </c>
      <c r="AB137" s="108"/>
      <c r="AC137" s="108"/>
      <c r="AD137" s="109"/>
      <c r="AE137" s="99">
        <f t="shared" ref="AE137:AF137" si="80">AO137</f>
        <v>12</v>
      </c>
      <c r="AF137" s="101">
        <f t="shared" si="80"/>
        <v>36</v>
      </c>
      <c r="AG137" s="101">
        <f t="shared" si="32"/>
        <v>19.001300000000001</v>
      </c>
      <c r="AH137" s="101">
        <f t="shared" si="12"/>
        <v>349</v>
      </c>
      <c r="AI137" s="101">
        <f t="shared" si="13"/>
        <v>268.61079999999998</v>
      </c>
      <c r="AJ137" s="108">
        <f t="shared" si="50"/>
        <v>2.5</v>
      </c>
      <c r="AK137" s="101">
        <f t="shared" si="15"/>
        <v>2748.2428838829269</v>
      </c>
      <c r="AL137" s="101">
        <f t="shared" si="51"/>
        <v>550.14434099268294</v>
      </c>
      <c r="AM137" s="101">
        <f t="shared" si="52"/>
        <v>2198.0985428902441</v>
      </c>
      <c r="AN137" s="101"/>
      <c r="AO137" s="1">
        <v>12</v>
      </c>
      <c r="AP137" s="2">
        <v>36</v>
      </c>
      <c r="AQ137" s="74">
        <f t="shared" si="53"/>
        <v>349</v>
      </c>
      <c r="AR137" s="31">
        <f t="shared" si="54"/>
        <v>0</v>
      </c>
      <c r="AS137" s="2">
        <f t="shared" si="55"/>
        <v>0</v>
      </c>
      <c r="AT137" s="33">
        <f t="shared" si="56"/>
        <v>1</v>
      </c>
      <c r="AU137" s="31">
        <f t="shared" si="57"/>
        <v>0</v>
      </c>
      <c r="AV137" s="2">
        <f t="shared" si="58"/>
        <v>0</v>
      </c>
      <c r="AW137" s="33">
        <f t="shared" si="59"/>
        <v>1</v>
      </c>
      <c r="AX137" s="31">
        <f t="shared" si="60"/>
        <v>1</v>
      </c>
      <c r="AY137" s="33">
        <f t="shared" si="61"/>
        <v>1.7250000000000001</v>
      </c>
      <c r="AZ137" s="2"/>
      <c r="BA137" s="101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 ht="12" customHeight="1">
      <c r="A138" s="2"/>
      <c r="B138" s="107">
        <v>63</v>
      </c>
      <c r="C138" s="31">
        <v>10</v>
      </c>
      <c r="D138" s="106" t="s">
        <v>4</v>
      </c>
      <c r="E138" s="2" t="s">
        <v>98</v>
      </c>
      <c r="F138" s="2"/>
      <c r="G138" s="2" t="s">
        <v>143</v>
      </c>
      <c r="H138" s="33"/>
      <c r="I138" s="99">
        <f t="shared" si="0"/>
        <v>676.08233665866885</v>
      </c>
      <c r="J138" s="101">
        <f t="shared" si="1"/>
        <v>29.083333333333332</v>
      </c>
      <c r="K138" s="101">
        <f t="shared" si="2"/>
        <v>379</v>
      </c>
      <c r="L138" s="74">
        <f t="shared" si="3"/>
        <v>117</v>
      </c>
      <c r="M138" s="99">
        <f t="shared" si="4"/>
        <v>8112.9880399040258</v>
      </c>
      <c r="N138" s="108">
        <f t="shared" si="44"/>
        <v>1103.8593604940324</v>
      </c>
      <c r="O138" s="108">
        <f t="shared" si="45"/>
        <v>7009.1286794099933</v>
      </c>
      <c r="P138" s="108"/>
      <c r="Q138" s="108"/>
      <c r="R138" s="109"/>
      <c r="S138" s="99">
        <f t="shared" si="6"/>
        <v>5858.5523220726227</v>
      </c>
      <c r="T138" s="108">
        <f t="shared" si="46"/>
        <v>550.14434099268294</v>
      </c>
      <c r="U138" s="108">
        <f t="shared" si="47"/>
        <v>5308.4079810799394</v>
      </c>
      <c r="V138" s="108"/>
      <c r="W138" s="108"/>
      <c r="X138" s="109"/>
      <c r="Y138" s="99">
        <f t="shared" si="8"/>
        <v>11717.104644145245</v>
      </c>
      <c r="Z138" s="108">
        <f t="shared" si="9"/>
        <v>1100.2886819853659</v>
      </c>
      <c r="AA138" s="108">
        <f t="shared" si="48"/>
        <v>10616.815962159879</v>
      </c>
      <c r="AB138" s="108"/>
      <c r="AC138" s="108"/>
      <c r="AD138" s="109"/>
      <c r="AE138" s="99">
        <f t="shared" ref="AE138:AF138" si="81">AO138</f>
        <v>12</v>
      </c>
      <c r="AF138" s="101">
        <f t="shared" si="81"/>
        <v>36</v>
      </c>
      <c r="AG138" s="101">
        <f t="shared" si="32"/>
        <v>19.001300000000001</v>
      </c>
      <c r="AH138" s="101">
        <f t="shared" si="12"/>
        <v>349</v>
      </c>
      <c r="AI138" s="101">
        <f t="shared" si="13"/>
        <v>268.61079999999998</v>
      </c>
      <c r="AJ138" s="108">
        <f t="shared" si="50"/>
        <v>2.5</v>
      </c>
      <c r="AK138" s="101">
        <f t="shared" si="15"/>
        <v>2748.2428838829269</v>
      </c>
      <c r="AL138" s="101">
        <f t="shared" si="51"/>
        <v>550.14434099268294</v>
      </c>
      <c r="AM138" s="101">
        <f t="shared" si="52"/>
        <v>2198.0985428902441</v>
      </c>
      <c r="AN138" s="101"/>
      <c r="AO138" s="1">
        <v>12</v>
      </c>
      <c r="AP138" s="2">
        <v>36</v>
      </c>
      <c r="AQ138" s="74">
        <f t="shared" si="53"/>
        <v>349</v>
      </c>
      <c r="AR138" s="31">
        <f t="shared" si="54"/>
        <v>0</v>
      </c>
      <c r="AS138" s="2">
        <f t="shared" si="55"/>
        <v>0</v>
      </c>
      <c r="AT138" s="33">
        <f t="shared" si="56"/>
        <v>1</v>
      </c>
      <c r="AU138" s="31">
        <f t="shared" si="57"/>
        <v>0</v>
      </c>
      <c r="AV138" s="2">
        <f t="shared" si="58"/>
        <v>0</v>
      </c>
      <c r="AW138" s="33">
        <f t="shared" si="59"/>
        <v>1.4</v>
      </c>
      <c r="AX138" s="31">
        <f t="shared" si="60"/>
        <v>1</v>
      </c>
      <c r="AY138" s="33">
        <f t="shared" si="61"/>
        <v>1.7250000000000001</v>
      </c>
      <c r="AZ138" s="2"/>
      <c r="BA138" s="101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 ht="12" customHeight="1">
      <c r="A139" s="2"/>
      <c r="B139" s="107">
        <v>64</v>
      </c>
      <c r="C139" s="31">
        <v>10</v>
      </c>
      <c r="D139" s="106" t="s">
        <v>4</v>
      </c>
      <c r="E139" s="2" t="s">
        <v>111</v>
      </c>
      <c r="F139" s="2"/>
      <c r="G139" s="2"/>
      <c r="H139" s="33"/>
      <c r="I139" s="99">
        <f t="shared" si="0"/>
        <v>555.19246050282516</v>
      </c>
      <c r="J139" s="101">
        <f t="shared" si="1"/>
        <v>29.083333333333332</v>
      </c>
      <c r="K139" s="101">
        <f t="shared" si="2"/>
        <v>524</v>
      </c>
      <c r="L139" s="74">
        <f t="shared" si="3"/>
        <v>181</v>
      </c>
      <c r="M139" s="99">
        <f t="shared" si="4"/>
        <v>6662.3095260339014</v>
      </c>
      <c r="N139" s="108">
        <f t="shared" si="44"/>
        <v>1655.7890407410487</v>
      </c>
      <c r="O139" s="108">
        <f t="shared" si="45"/>
        <v>5006.5204852928528</v>
      </c>
      <c r="P139" s="108"/>
      <c r="Q139" s="108"/>
      <c r="R139" s="109"/>
      <c r="S139" s="99">
        <f t="shared" si="6"/>
        <v>4616.9364979746952</v>
      </c>
      <c r="T139" s="108">
        <f t="shared" si="46"/>
        <v>825.21651148902447</v>
      </c>
      <c r="U139" s="108">
        <f t="shared" si="47"/>
        <v>3791.7199864856711</v>
      </c>
      <c r="V139" s="108"/>
      <c r="W139" s="108"/>
      <c r="X139" s="109"/>
      <c r="Y139" s="99">
        <f t="shared" si="8"/>
        <v>9233.8729959493903</v>
      </c>
      <c r="Z139" s="108">
        <f t="shared" si="9"/>
        <v>1650.4330229780489</v>
      </c>
      <c r="AA139" s="108">
        <f t="shared" si="48"/>
        <v>7583.4399729713423</v>
      </c>
      <c r="AB139" s="108"/>
      <c r="AC139" s="108"/>
      <c r="AD139" s="109"/>
      <c r="AE139" s="99">
        <f t="shared" ref="AE139:AF139" si="82">AO139</f>
        <v>12</v>
      </c>
      <c r="AF139" s="101">
        <f t="shared" si="82"/>
        <v>36</v>
      </c>
      <c r="AG139" s="101">
        <f t="shared" si="32"/>
        <v>19.001300000000001</v>
      </c>
      <c r="AH139" s="101">
        <f t="shared" si="12"/>
        <v>349</v>
      </c>
      <c r="AI139" s="101">
        <f t="shared" si="13"/>
        <v>268.61079999999998</v>
      </c>
      <c r="AJ139" s="108">
        <f t="shared" si="50"/>
        <v>2.5</v>
      </c>
      <c r="AK139" s="101">
        <f t="shared" si="15"/>
        <v>2748.2428838829269</v>
      </c>
      <c r="AL139" s="101">
        <f t="shared" si="51"/>
        <v>550.14434099268294</v>
      </c>
      <c r="AM139" s="101">
        <f t="shared" si="52"/>
        <v>2198.0985428902441</v>
      </c>
      <c r="AN139" s="101"/>
      <c r="AO139" s="1">
        <v>12</v>
      </c>
      <c r="AP139" s="2">
        <v>36</v>
      </c>
      <c r="AQ139" s="74">
        <f t="shared" si="53"/>
        <v>349</v>
      </c>
      <c r="AR139" s="31">
        <f t="shared" si="54"/>
        <v>0</v>
      </c>
      <c r="AS139" s="2">
        <f t="shared" si="55"/>
        <v>0</v>
      </c>
      <c r="AT139" s="33">
        <f t="shared" si="56"/>
        <v>1.5</v>
      </c>
      <c r="AU139" s="31">
        <f t="shared" si="57"/>
        <v>0</v>
      </c>
      <c r="AV139" s="2">
        <f t="shared" si="58"/>
        <v>0</v>
      </c>
      <c r="AW139" s="33">
        <f t="shared" si="59"/>
        <v>1</v>
      </c>
      <c r="AX139" s="31">
        <f t="shared" si="60"/>
        <v>1</v>
      </c>
      <c r="AY139" s="33">
        <f t="shared" si="61"/>
        <v>1.7250000000000001</v>
      </c>
      <c r="AZ139" s="2"/>
      <c r="BA139" s="101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 ht="12" customHeight="1">
      <c r="A140" s="2"/>
      <c r="B140" s="107">
        <v>65</v>
      </c>
      <c r="C140" s="31">
        <v>10</v>
      </c>
      <c r="D140" s="106" t="s">
        <v>4</v>
      </c>
      <c r="E140" s="2" t="s">
        <v>135</v>
      </c>
      <c r="F140" s="2"/>
      <c r="G140" s="2" t="s">
        <v>143</v>
      </c>
      <c r="H140" s="33"/>
      <c r="I140" s="99">
        <f t="shared" si="0"/>
        <v>722.07647667925357</v>
      </c>
      <c r="J140" s="101">
        <f t="shared" si="1"/>
        <v>29.083333333333332</v>
      </c>
      <c r="K140" s="101">
        <f t="shared" si="2"/>
        <v>331</v>
      </c>
      <c r="L140" s="74">
        <f t="shared" si="3"/>
        <v>93</v>
      </c>
      <c r="M140" s="99">
        <f t="shared" si="4"/>
        <v>8664.9177201510429</v>
      </c>
      <c r="N140" s="108">
        <f t="shared" si="44"/>
        <v>1655.7890407410487</v>
      </c>
      <c r="O140" s="108">
        <f t="shared" si="45"/>
        <v>7009.1286794099933</v>
      </c>
      <c r="P140" s="108"/>
      <c r="Q140" s="108"/>
      <c r="R140" s="109"/>
      <c r="S140" s="99">
        <f t="shared" si="6"/>
        <v>6133.6244925689643</v>
      </c>
      <c r="T140" s="108">
        <f t="shared" si="46"/>
        <v>825.21651148902447</v>
      </c>
      <c r="U140" s="108">
        <f t="shared" si="47"/>
        <v>5308.4079810799394</v>
      </c>
      <c r="V140" s="108"/>
      <c r="W140" s="108"/>
      <c r="X140" s="109"/>
      <c r="Y140" s="99">
        <f t="shared" si="8"/>
        <v>12267.248985137929</v>
      </c>
      <c r="Z140" s="108">
        <f t="shared" si="9"/>
        <v>1650.4330229780489</v>
      </c>
      <c r="AA140" s="108">
        <f t="shared" si="48"/>
        <v>10616.815962159879</v>
      </c>
      <c r="AB140" s="108"/>
      <c r="AC140" s="108"/>
      <c r="AD140" s="109"/>
      <c r="AE140" s="99">
        <f t="shared" ref="AE140:AF140" si="83">AO140</f>
        <v>12</v>
      </c>
      <c r="AF140" s="101">
        <f t="shared" si="83"/>
        <v>36</v>
      </c>
      <c r="AG140" s="101">
        <f t="shared" si="32"/>
        <v>19.001300000000001</v>
      </c>
      <c r="AH140" s="101">
        <f t="shared" si="12"/>
        <v>349</v>
      </c>
      <c r="AI140" s="101">
        <f t="shared" ref="AI140:AI203" si="84">$D$58+$D$19</f>
        <v>268.61079999999998</v>
      </c>
      <c r="AJ140" s="108">
        <f t="shared" si="50"/>
        <v>2.5</v>
      </c>
      <c r="AK140" s="101">
        <f t="shared" si="15"/>
        <v>2748.2428838829269</v>
      </c>
      <c r="AL140" s="101">
        <f t="shared" si="51"/>
        <v>550.14434099268294</v>
      </c>
      <c r="AM140" s="101">
        <f t="shared" si="52"/>
        <v>2198.0985428902441</v>
      </c>
      <c r="AN140" s="101"/>
      <c r="AO140" s="1">
        <v>12</v>
      </c>
      <c r="AP140" s="2">
        <v>36</v>
      </c>
      <c r="AQ140" s="74">
        <f t="shared" si="53"/>
        <v>349</v>
      </c>
      <c r="AR140" s="31">
        <f t="shared" si="54"/>
        <v>0</v>
      </c>
      <c r="AS140" s="2">
        <f t="shared" si="55"/>
        <v>0</v>
      </c>
      <c r="AT140" s="33">
        <f t="shared" si="56"/>
        <v>1.5</v>
      </c>
      <c r="AU140" s="31">
        <f t="shared" si="57"/>
        <v>0</v>
      </c>
      <c r="AV140" s="2">
        <f t="shared" si="58"/>
        <v>0</v>
      </c>
      <c r="AW140" s="33">
        <f t="shared" si="59"/>
        <v>1.4</v>
      </c>
      <c r="AX140" s="31">
        <f t="shared" si="60"/>
        <v>1</v>
      </c>
      <c r="AY140" s="33">
        <f t="shared" si="61"/>
        <v>1.7250000000000001</v>
      </c>
      <c r="AZ140" s="2"/>
      <c r="BA140" s="101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 ht="12" customHeight="1">
      <c r="A141" s="2"/>
      <c r="B141" s="107">
        <v>66</v>
      </c>
      <c r="C141" s="31">
        <v>7</v>
      </c>
      <c r="D141" s="106" t="s">
        <v>4</v>
      </c>
      <c r="E141" s="2" t="s">
        <v>67</v>
      </c>
      <c r="F141" s="2"/>
      <c r="G141" s="2"/>
      <c r="H141" s="33"/>
      <c r="I141" s="99">
        <f t="shared" si="0"/>
        <v>319.91160926460913</v>
      </c>
      <c r="J141" s="101">
        <f t="shared" si="1"/>
        <v>20.25</v>
      </c>
      <c r="K141" s="101">
        <f t="shared" si="2"/>
        <v>817</v>
      </c>
      <c r="L141" s="74">
        <f t="shared" si="3"/>
        <v>317</v>
      </c>
      <c r="M141" s="99">
        <f t="shared" si="4"/>
        <v>3838.9393111753097</v>
      </c>
      <c r="N141" s="108">
        <f t="shared" si="44"/>
        <v>1059.0048789772441</v>
      </c>
      <c r="O141" s="108">
        <f t="shared" si="45"/>
        <v>2779.9344321980657</v>
      </c>
      <c r="P141" s="108"/>
      <c r="Q141" s="108"/>
      <c r="R141" s="109"/>
      <c r="S141" s="99">
        <f t="shared" si="6"/>
        <v>2633.1905884914636</v>
      </c>
      <c r="T141" s="108">
        <f t="shared" si="46"/>
        <v>527.78964613048777</v>
      </c>
      <c r="U141" s="108">
        <f t="shared" si="47"/>
        <v>2105.4009423609759</v>
      </c>
      <c r="V141" s="108"/>
      <c r="W141" s="108"/>
      <c r="X141" s="109"/>
      <c r="Y141" s="99">
        <f t="shared" si="8"/>
        <v>5266.3811769829272</v>
      </c>
      <c r="Z141" s="108">
        <f t="shared" si="9"/>
        <v>1055.5792922609755</v>
      </c>
      <c r="AA141" s="108">
        <f t="shared" si="48"/>
        <v>4210.8018847219519</v>
      </c>
      <c r="AB141" s="108"/>
      <c r="AC141" s="108"/>
      <c r="AD141" s="109"/>
      <c r="AE141" s="99">
        <f t="shared" ref="AE141:AF141" si="85">AO141</f>
        <v>12</v>
      </c>
      <c r="AF141" s="101">
        <f t="shared" si="85"/>
        <v>36</v>
      </c>
      <c r="AG141" s="101">
        <f t="shared" si="32"/>
        <v>19.001300000000001</v>
      </c>
      <c r="AH141" s="101">
        <f t="shared" si="12"/>
        <v>243</v>
      </c>
      <c r="AI141" s="101">
        <f t="shared" si="84"/>
        <v>268.61079999999998</v>
      </c>
      <c r="AJ141" s="108">
        <f t="shared" si="50"/>
        <v>2</v>
      </c>
      <c r="AK141" s="101">
        <f t="shared" si="15"/>
        <v>2633.1905884914636</v>
      </c>
      <c r="AL141" s="101">
        <f t="shared" si="51"/>
        <v>527.78964613048777</v>
      </c>
      <c r="AM141" s="101">
        <f t="shared" si="52"/>
        <v>2105.4009423609759</v>
      </c>
      <c r="AN141" s="101"/>
      <c r="AO141" s="1">
        <v>12</v>
      </c>
      <c r="AP141" s="2">
        <v>36</v>
      </c>
      <c r="AQ141" s="74">
        <f t="shared" si="53"/>
        <v>243</v>
      </c>
      <c r="AR141" s="31">
        <f t="shared" si="54"/>
        <v>0</v>
      </c>
      <c r="AS141" s="2">
        <f t="shared" si="55"/>
        <v>0</v>
      </c>
      <c r="AT141" s="33">
        <f t="shared" si="56"/>
        <v>1</v>
      </c>
      <c r="AU141" s="31">
        <f t="shared" si="57"/>
        <v>0</v>
      </c>
      <c r="AV141" s="2">
        <f t="shared" si="58"/>
        <v>0</v>
      </c>
      <c r="AW141" s="33">
        <f t="shared" si="59"/>
        <v>1</v>
      </c>
      <c r="AX141" s="31">
        <f t="shared" si="60"/>
        <v>1</v>
      </c>
      <c r="AY141" s="33">
        <f t="shared" si="61"/>
        <v>1</v>
      </c>
      <c r="AZ141" s="2"/>
      <c r="BA141" s="101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12" customHeight="1">
      <c r="A142" s="2"/>
      <c r="B142" s="107">
        <v>67</v>
      </c>
      <c r="C142" s="31">
        <v>7</v>
      </c>
      <c r="D142" s="106" t="s">
        <v>4</v>
      </c>
      <c r="E142" s="2" t="s">
        <v>91</v>
      </c>
      <c r="F142" s="2"/>
      <c r="G142" s="2" t="s">
        <v>143</v>
      </c>
      <c r="H142" s="33"/>
      <c r="I142" s="99">
        <f t="shared" si="0"/>
        <v>412.57609033787799</v>
      </c>
      <c r="J142" s="101">
        <f t="shared" si="1"/>
        <v>20.25</v>
      </c>
      <c r="K142" s="101">
        <f t="shared" si="2"/>
        <v>718</v>
      </c>
      <c r="L142" s="74">
        <f t="shared" si="3"/>
        <v>262</v>
      </c>
      <c r="M142" s="99">
        <f t="shared" si="4"/>
        <v>4950.9130840545358</v>
      </c>
      <c r="N142" s="108">
        <f t="shared" si="44"/>
        <v>1059.0048789772441</v>
      </c>
      <c r="O142" s="108">
        <f t="shared" si="45"/>
        <v>3891.9082050772918</v>
      </c>
      <c r="P142" s="108"/>
      <c r="Q142" s="108"/>
      <c r="R142" s="109"/>
      <c r="S142" s="99">
        <f t="shared" si="6"/>
        <v>3475.3509654358536</v>
      </c>
      <c r="T142" s="108">
        <f t="shared" si="46"/>
        <v>527.78964613048777</v>
      </c>
      <c r="U142" s="108">
        <f t="shared" si="47"/>
        <v>2947.5613193053659</v>
      </c>
      <c r="V142" s="108"/>
      <c r="W142" s="108"/>
      <c r="X142" s="109"/>
      <c r="Y142" s="99">
        <f t="shared" si="8"/>
        <v>6950.7019308717072</v>
      </c>
      <c r="Z142" s="108">
        <f t="shared" si="9"/>
        <v>1055.5792922609755</v>
      </c>
      <c r="AA142" s="108">
        <f t="shared" si="48"/>
        <v>5895.1226386107319</v>
      </c>
      <c r="AB142" s="108"/>
      <c r="AC142" s="108"/>
      <c r="AD142" s="109"/>
      <c r="AE142" s="99">
        <f t="shared" ref="AE142:AF142" si="86">AO142</f>
        <v>12</v>
      </c>
      <c r="AF142" s="101">
        <f t="shared" si="86"/>
        <v>36</v>
      </c>
      <c r="AG142" s="101">
        <f t="shared" si="32"/>
        <v>19.001300000000001</v>
      </c>
      <c r="AH142" s="101">
        <f t="shared" si="12"/>
        <v>243</v>
      </c>
      <c r="AI142" s="101">
        <f t="shared" si="84"/>
        <v>268.61079999999998</v>
      </c>
      <c r="AJ142" s="108">
        <f t="shared" si="50"/>
        <v>2</v>
      </c>
      <c r="AK142" s="101">
        <f t="shared" si="15"/>
        <v>2633.1905884914636</v>
      </c>
      <c r="AL142" s="101">
        <f t="shared" si="51"/>
        <v>527.78964613048777</v>
      </c>
      <c r="AM142" s="101">
        <f t="shared" si="52"/>
        <v>2105.4009423609759</v>
      </c>
      <c r="AN142" s="101"/>
      <c r="AO142" s="1">
        <v>12</v>
      </c>
      <c r="AP142" s="2">
        <v>36</v>
      </c>
      <c r="AQ142" s="74">
        <f t="shared" si="53"/>
        <v>243</v>
      </c>
      <c r="AR142" s="31">
        <f t="shared" si="54"/>
        <v>0</v>
      </c>
      <c r="AS142" s="2">
        <f t="shared" si="55"/>
        <v>0</v>
      </c>
      <c r="AT142" s="33">
        <f t="shared" si="56"/>
        <v>1</v>
      </c>
      <c r="AU142" s="31">
        <f t="shared" si="57"/>
        <v>0</v>
      </c>
      <c r="AV142" s="2">
        <f t="shared" si="58"/>
        <v>0</v>
      </c>
      <c r="AW142" s="33">
        <f t="shared" si="59"/>
        <v>1.4</v>
      </c>
      <c r="AX142" s="31">
        <f t="shared" si="60"/>
        <v>1</v>
      </c>
      <c r="AY142" s="33">
        <f t="shared" si="61"/>
        <v>1</v>
      </c>
      <c r="AZ142" s="2"/>
      <c r="BA142" s="101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 ht="12" customHeight="1">
      <c r="A143" s="2"/>
      <c r="B143" s="107">
        <v>68</v>
      </c>
      <c r="C143" s="31">
        <v>7</v>
      </c>
      <c r="D143" s="106" t="s">
        <v>4</v>
      </c>
      <c r="E143" s="2" t="s">
        <v>87</v>
      </c>
      <c r="F143" s="2"/>
      <c r="G143" s="2"/>
      <c r="H143" s="33"/>
      <c r="I143" s="99">
        <f t="shared" si="0"/>
        <v>364.03681255532769</v>
      </c>
      <c r="J143" s="101">
        <f t="shared" si="1"/>
        <v>20.25</v>
      </c>
      <c r="K143" s="101">
        <f t="shared" si="2"/>
        <v>761</v>
      </c>
      <c r="L143" s="74">
        <f t="shared" si="3"/>
        <v>282</v>
      </c>
      <c r="M143" s="99">
        <f t="shared" si="4"/>
        <v>4368.441750663932</v>
      </c>
      <c r="N143" s="108">
        <f t="shared" si="44"/>
        <v>1588.5073184658661</v>
      </c>
      <c r="O143" s="108">
        <f t="shared" si="45"/>
        <v>2779.9344321980657</v>
      </c>
      <c r="P143" s="108"/>
      <c r="Q143" s="108"/>
      <c r="R143" s="109"/>
      <c r="S143" s="99">
        <f t="shared" si="6"/>
        <v>2897.0854115567076</v>
      </c>
      <c r="T143" s="108">
        <f t="shared" si="46"/>
        <v>791.68446919573171</v>
      </c>
      <c r="U143" s="108">
        <f t="shared" si="47"/>
        <v>2105.4009423609759</v>
      </c>
      <c r="V143" s="108"/>
      <c r="W143" s="108"/>
      <c r="X143" s="109"/>
      <c r="Y143" s="99">
        <f t="shared" si="8"/>
        <v>5794.1708231134153</v>
      </c>
      <c r="Z143" s="108">
        <f t="shared" si="9"/>
        <v>1583.3689383914634</v>
      </c>
      <c r="AA143" s="108">
        <f t="shared" si="48"/>
        <v>4210.8018847219519</v>
      </c>
      <c r="AB143" s="108"/>
      <c r="AC143" s="108"/>
      <c r="AD143" s="109"/>
      <c r="AE143" s="99">
        <f t="shared" ref="AE143:AF143" si="87">AO143</f>
        <v>12</v>
      </c>
      <c r="AF143" s="101">
        <f t="shared" si="87"/>
        <v>36</v>
      </c>
      <c r="AG143" s="101">
        <f t="shared" si="32"/>
        <v>19.001300000000001</v>
      </c>
      <c r="AH143" s="101">
        <f t="shared" si="12"/>
        <v>243</v>
      </c>
      <c r="AI143" s="101">
        <f t="shared" si="84"/>
        <v>268.61079999999998</v>
      </c>
      <c r="AJ143" s="108">
        <f t="shared" si="50"/>
        <v>2</v>
      </c>
      <c r="AK143" s="101">
        <f t="shared" si="15"/>
        <v>2633.1905884914636</v>
      </c>
      <c r="AL143" s="101">
        <f t="shared" si="51"/>
        <v>527.78964613048777</v>
      </c>
      <c r="AM143" s="101">
        <f t="shared" si="52"/>
        <v>2105.4009423609759</v>
      </c>
      <c r="AN143" s="101"/>
      <c r="AO143" s="1">
        <v>12</v>
      </c>
      <c r="AP143" s="2">
        <v>36</v>
      </c>
      <c r="AQ143" s="74">
        <f t="shared" si="53"/>
        <v>243</v>
      </c>
      <c r="AR143" s="31">
        <f t="shared" si="54"/>
        <v>0</v>
      </c>
      <c r="AS143" s="2">
        <f t="shared" si="55"/>
        <v>0</v>
      </c>
      <c r="AT143" s="33">
        <f t="shared" si="56"/>
        <v>1.5</v>
      </c>
      <c r="AU143" s="31">
        <f t="shared" si="57"/>
        <v>0</v>
      </c>
      <c r="AV143" s="2">
        <f t="shared" si="58"/>
        <v>0</v>
      </c>
      <c r="AW143" s="33">
        <f t="shared" si="59"/>
        <v>1</v>
      </c>
      <c r="AX143" s="31">
        <f t="shared" si="60"/>
        <v>1</v>
      </c>
      <c r="AY143" s="33">
        <f t="shared" si="61"/>
        <v>1</v>
      </c>
      <c r="AZ143" s="2"/>
      <c r="BA143" s="101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 ht="12" customHeight="1">
      <c r="A144" s="2"/>
      <c r="B144" s="107">
        <v>69</v>
      </c>
      <c r="C144" s="31">
        <v>7</v>
      </c>
      <c r="D144" s="106" t="s">
        <v>4</v>
      </c>
      <c r="E144" s="2" t="s">
        <v>134</v>
      </c>
      <c r="F144" s="2"/>
      <c r="G144" s="2" t="s">
        <v>143</v>
      </c>
      <c r="H144" s="33"/>
      <c r="I144" s="99">
        <f t="shared" si="0"/>
        <v>456.70129362859649</v>
      </c>
      <c r="J144" s="101">
        <f t="shared" si="1"/>
        <v>20.25</v>
      </c>
      <c r="K144" s="101">
        <f t="shared" si="2"/>
        <v>665</v>
      </c>
      <c r="L144" s="74">
        <f t="shared" si="3"/>
        <v>242</v>
      </c>
      <c r="M144" s="99">
        <f t="shared" si="4"/>
        <v>5480.4155235431581</v>
      </c>
      <c r="N144" s="108">
        <f t="shared" si="44"/>
        <v>1588.5073184658661</v>
      </c>
      <c r="O144" s="108">
        <f t="shared" si="45"/>
        <v>3891.9082050772918</v>
      </c>
      <c r="P144" s="108"/>
      <c r="Q144" s="108"/>
      <c r="R144" s="109"/>
      <c r="S144" s="99">
        <f t="shared" si="6"/>
        <v>3739.2457885010976</v>
      </c>
      <c r="T144" s="108">
        <f t="shared" si="46"/>
        <v>791.68446919573171</v>
      </c>
      <c r="U144" s="108">
        <f t="shared" si="47"/>
        <v>2947.5613193053659</v>
      </c>
      <c r="V144" s="108"/>
      <c r="W144" s="108"/>
      <c r="X144" s="109"/>
      <c r="Y144" s="99">
        <f t="shared" si="8"/>
        <v>7478.4915770021953</v>
      </c>
      <c r="Z144" s="108">
        <f t="shared" si="9"/>
        <v>1583.3689383914634</v>
      </c>
      <c r="AA144" s="108">
        <f t="shared" si="48"/>
        <v>5895.1226386107319</v>
      </c>
      <c r="AB144" s="108"/>
      <c r="AC144" s="108"/>
      <c r="AD144" s="109"/>
      <c r="AE144" s="99">
        <f t="shared" ref="AE144:AF144" si="88">AO144</f>
        <v>12</v>
      </c>
      <c r="AF144" s="101">
        <f t="shared" si="88"/>
        <v>36</v>
      </c>
      <c r="AG144" s="101">
        <f t="shared" si="32"/>
        <v>19.001300000000001</v>
      </c>
      <c r="AH144" s="101">
        <f t="shared" si="12"/>
        <v>243</v>
      </c>
      <c r="AI144" s="101">
        <f t="shared" si="84"/>
        <v>268.61079999999998</v>
      </c>
      <c r="AJ144" s="108">
        <f t="shared" si="50"/>
        <v>2</v>
      </c>
      <c r="AK144" s="101">
        <f t="shared" si="15"/>
        <v>2633.1905884914636</v>
      </c>
      <c r="AL144" s="101">
        <f t="shared" si="51"/>
        <v>527.78964613048777</v>
      </c>
      <c r="AM144" s="101">
        <f t="shared" si="52"/>
        <v>2105.4009423609759</v>
      </c>
      <c r="AN144" s="101"/>
      <c r="AO144" s="1">
        <v>12</v>
      </c>
      <c r="AP144" s="2">
        <v>36</v>
      </c>
      <c r="AQ144" s="74">
        <f t="shared" si="53"/>
        <v>243</v>
      </c>
      <c r="AR144" s="31">
        <f t="shared" si="54"/>
        <v>0</v>
      </c>
      <c r="AS144" s="2">
        <f t="shared" si="55"/>
        <v>0</v>
      </c>
      <c r="AT144" s="33">
        <f t="shared" si="56"/>
        <v>1.5</v>
      </c>
      <c r="AU144" s="31">
        <f t="shared" si="57"/>
        <v>0</v>
      </c>
      <c r="AV144" s="2">
        <f t="shared" si="58"/>
        <v>0</v>
      </c>
      <c r="AW144" s="33">
        <f t="shared" si="59"/>
        <v>1.4</v>
      </c>
      <c r="AX144" s="31">
        <f t="shared" si="60"/>
        <v>1</v>
      </c>
      <c r="AY144" s="33">
        <f t="shared" si="61"/>
        <v>1</v>
      </c>
      <c r="AZ144" s="2"/>
      <c r="BA144" s="101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 ht="12" customHeight="1">
      <c r="A145" s="2"/>
      <c r="B145" s="107">
        <v>70</v>
      </c>
      <c r="C145" s="31">
        <v>4</v>
      </c>
      <c r="D145" s="106" t="s">
        <v>4</v>
      </c>
      <c r="E145" s="2" t="s">
        <v>67</v>
      </c>
      <c r="F145" s="2"/>
      <c r="G145" s="2"/>
      <c r="H145" s="33"/>
      <c r="I145" s="99">
        <f t="shared" si="0"/>
        <v>296.58628688239429</v>
      </c>
      <c r="J145" s="101">
        <f t="shared" si="1"/>
        <v>11.166666666666666</v>
      </c>
      <c r="K145" s="101">
        <f t="shared" si="2"/>
        <v>845</v>
      </c>
      <c r="L145" s="74">
        <f t="shared" si="3"/>
        <v>331</v>
      </c>
      <c r="M145" s="99">
        <f t="shared" si="4"/>
        <v>3559.0354425887317</v>
      </c>
      <c r="N145" s="108">
        <f t="shared" si="44"/>
        <v>981.49301232451398</v>
      </c>
      <c r="O145" s="108">
        <f t="shared" si="45"/>
        <v>2577.5424302642177</v>
      </c>
      <c r="P145" s="108"/>
      <c r="Q145" s="108"/>
      <c r="R145" s="109"/>
      <c r="S145" s="99">
        <f t="shared" si="6"/>
        <v>2441.2771558121954</v>
      </c>
      <c r="T145" s="108">
        <f t="shared" si="46"/>
        <v>489.15907748658537</v>
      </c>
      <c r="U145" s="108">
        <f t="shared" si="47"/>
        <v>1952.11807832561</v>
      </c>
      <c r="V145" s="108"/>
      <c r="W145" s="108"/>
      <c r="X145" s="109"/>
      <c r="Y145" s="99">
        <f t="shared" si="8"/>
        <v>4882.5543116243907</v>
      </c>
      <c r="Z145" s="108">
        <f t="shared" si="9"/>
        <v>978.31815497317075</v>
      </c>
      <c r="AA145" s="108">
        <f t="shared" si="48"/>
        <v>3904.23615665122</v>
      </c>
      <c r="AB145" s="108"/>
      <c r="AC145" s="108"/>
      <c r="AD145" s="109"/>
      <c r="AE145" s="99">
        <f t="shared" ref="AE145:AF145" si="89">AO145</f>
        <v>12</v>
      </c>
      <c r="AF145" s="101">
        <f t="shared" si="89"/>
        <v>36</v>
      </c>
      <c r="AG145" s="101">
        <f t="shared" si="32"/>
        <v>19.001300000000001</v>
      </c>
      <c r="AH145" s="101">
        <f t="shared" si="12"/>
        <v>134</v>
      </c>
      <c r="AI145" s="101">
        <f t="shared" si="84"/>
        <v>268.61079999999998</v>
      </c>
      <c r="AJ145" s="108">
        <f t="shared" si="50"/>
        <v>2</v>
      </c>
      <c r="AK145" s="101">
        <f t="shared" si="15"/>
        <v>2441.2771558121954</v>
      </c>
      <c r="AL145" s="101">
        <f t="shared" si="51"/>
        <v>489.15907748658537</v>
      </c>
      <c r="AM145" s="101">
        <f t="shared" si="52"/>
        <v>1952.11807832561</v>
      </c>
      <c r="AN145" s="101"/>
      <c r="AO145" s="1">
        <v>12</v>
      </c>
      <c r="AP145" s="2">
        <v>36</v>
      </c>
      <c r="AQ145" s="74">
        <f t="shared" si="53"/>
        <v>134</v>
      </c>
      <c r="AR145" s="31">
        <f t="shared" si="54"/>
        <v>0</v>
      </c>
      <c r="AS145" s="2">
        <f t="shared" si="55"/>
        <v>0</v>
      </c>
      <c r="AT145" s="33">
        <f t="shared" si="56"/>
        <v>1</v>
      </c>
      <c r="AU145" s="31">
        <f t="shared" si="57"/>
        <v>0</v>
      </c>
      <c r="AV145" s="2">
        <f t="shared" si="58"/>
        <v>0</v>
      </c>
      <c r="AW145" s="33">
        <f t="shared" si="59"/>
        <v>1</v>
      </c>
      <c r="AX145" s="31">
        <f t="shared" si="60"/>
        <v>1</v>
      </c>
      <c r="AY145" s="33">
        <f t="shared" si="61"/>
        <v>1</v>
      </c>
      <c r="AZ145" s="2"/>
      <c r="BA145" s="101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 ht="12" customHeight="1">
      <c r="A146" s="2"/>
      <c r="B146" s="107">
        <v>71</v>
      </c>
      <c r="C146" s="31">
        <v>4</v>
      </c>
      <c r="D146" s="106" t="s">
        <v>4</v>
      </c>
      <c r="E146" s="2" t="s">
        <v>87</v>
      </c>
      <c r="F146" s="2"/>
      <c r="G146" s="2"/>
      <c r="H146" s="33"/>
      <c r="I146" s="99">
        <f t="shared" si="0"/>
        <v>337.48182906258239</v>
      </c>
      <c r="J146" s="101">
        <f t="shared" si="1"/>
        <v>11.166666666666666</v>
      </c>
      <c r="K146" s="101">
        <f t="shared" si="2"/>
        <v>789</v>
      </c>
      <c r="L146" s="74">
        <f t="shared" si="3"/>
        <v>298</v>
      </c>
      <c r="M146" s="99">
        <f t="shared" si="4"/>
        <v>4049.7819487509887</v>
      </c>
      <c r="N146" s="108">
        <f t="shared" si="44"/>
        <v>1472.2395184867707</v>
      </c>
      <c r="O146" s="108">
        <f t="shared" si="45"/>
        <v>2577.5424302642177</v>
      </c>
      <c r="P146" s="108"/>
      <c r="Q146" s="108"/>
      <c r="R146" s="109"/>
      <c r="S146" s="99">
        <f t="shared" si="6"/>
        <v>2685.856694555488</v>
      </c>
      <c r="T146" s="108">
        <f t="shared" si="46"/>
        <v>733.73861622987806</v>
      </c>
      <c r="U146" s="108">
        <f t="shared" si="47"/>
        <v>1952.11807832561</v>
      </c>
      <c r="V146" s="108"/>
      <c r="W146" s="108"/>
      <c r="X146" s="109"/>
      <c r="Y146" s="99">
        <f t="shared" si="8"/>
        <v>5371.7133891109761</v>
      </c>
      <c r="Z146" s="108">
        <f t="shared" si="9"/>
        <v>1467.4772324597561</v>
      </c>
      <c r="AA146" s="108">
        <f t="shared" si="48"/>
        <v>3904.23615665122</v>
      </c>
      <c r="AB146" s="108"/>
      <c r="AC146" s="108"/>
      <c r="AD146" s="109"/>
      <c r="AE146" s="99">
        <f t="shared" ref="AE146:AF146" si="90">AO146</f>
        <v>12</v>
      </c>
      <c r="AF146" s="101">
        <f t="shared" si="90"/>
        <v>36</v>
      </c>
      <c r="AG146" s="101">
        <f t="shared" si="32"/>
        <v>19.001300000000001</v>
      </c>
      <c r="AH146" s="101">
        <f t="shared" si="12"/>
        <v>134</v>
      </c>
      <c r="AI146" s="101">
        <f t="shared" si="84"/>
        <v>268.61079999999998</v>
      </c>
      <c r="AJ146" s="108">
        <f t="shared" si="50"/>
        <v>2</v>
      </c>
      <c r="AK146" s="101">
        <f t="shared" si="15"/>
        <v>2441.2771558121954</v>
      </c>
      <c r="AL146" s="101">
        <f t="shared" si="51"/>
        <v>489.15907748658537</v>
      </c>
      <c r="AM146" s="101">
        <f t="shared" si="52"/>
        <v>1952.11807832561</v>
      </c>
      <c r="AN146" s="101"/>
      <c r="AO146" s="1">
        <v>12</v>
      </c>
      <c r="AP146" s="2">
        <v>36</v>
      </c>
      <c r="AQ146" s="74">
        <f t="shared" si="53"/>
        <v>134</v>
      </c>
      <c r="AR146" s="31">
        <f t="shared" si="54"/>
        <v>0</v>
      </c>
      <c r="AS146" s="2">
        <f t="shared" si="55"/>
        <v>0</v>
      </c>
      <c r="AT146" s="33">
        <f t="shared" si="56"/>
        <v>1.5</v>
      </c>
      <c r="AU146" s="31">
        <f t="shared" si="57"/>
        <v>0</v>
      </c>
      <c r="AV146" s="2">
        <f t="shared" si="58"/>
        <v>0</v>
      </c>
      <c r="AW146" s="33">
        <f t="shared" si="59"/>
        <v>1</v>
      </c>
      <c r="AX146" s="31">
        <f t="shared" si="60"/>
        <v>1</v>
      </c>
      <c r="AY146" s="33">
        <f t="shared" si="61"/>
        <v>1</v>
      </c>
      <c r="AZ146" s="2"/>
      <c r="BA146" s="101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 ht="12" customHeight="1">
      <c r="A147" s="2"/>
      <c r="B147" s="107">
        <v>72</v>
      </c>
      <c r="C147" s="31">
        <v>1</v>
      </c>
      <c r="D147" s="106" t="s">
        <v>4</v>
      </c>
      <c r="E147" s="2" t="s">
        <v>67</v>
      </c>
      <c r="F147" s="2"/>
      <c r="G147" s="2"/>
      <c r="H147" s="33"/>
      <c r="I147" s="99">
        <f t="shared" si="0"/>
        <v>237.86249179104354</v>
      </c>
      <c r="J147" s="101">
        <f t="shared" si="1"/>
        <v>5.583333333333333</v>
      </c>
      <c r="K147" s="101">
        <f t="shared" si="2"/>
        <v>872</v>
      </c>
      <c r="L147" s="74">
        <f t="shared" si="3"/>
        <v>348</v>
      </c>
      <c r="M147" s="99">
        <f t="shared" si="4"/>
        <v>2854.3499014925223</v>
      </c>
      <c r="N147" s="108">
        <f t="shared" si="44"/>
        <v>785.39054776443993</v>
      </c>
      <c r="O147" s="108">
        <f t="shared" si="45"/>
        <v>2068.9593537280825</v>
      </c>
      <c r="P147" s="108"/>
      <c r="Q147" s="108"/>
      <c r="R147" s="109"/>
      <c r="S147" s="99">
        <f t="shared" si="6"/>
        <v>1958.3644791195125</v>
      </c>
      <c r="T147" s="108">
        <f t="shared" si="46"/>
        <v>391.42501371585371</v>
      </c>
      <c r="U147" s="108">
        <f t="shared" si="47"/>
        <v>1566.9394654036587</v>
      </c>
      <c r="V147" s="108"/>
      <c r="W147" s="108"/>
      <c r="X147" s="109"/>
      <c r="Y147" s="99">
        <f t="shared" si="8"/>
        <v>3916.7289582390249</v>
      </c>
      <c r="Z147" s="108">
        <f t="shared" si="9"/>
        <v>782.85002743170742</v>
      </c>
      <c r="AA147" s="108">
        <f t="shared" si="48"/>
        <v>3133.8789308073174</v>
      </c>
      <c r="AB147" s="108"/>
      <c r="AC147" s="108"/>
      <c r="AD147" s="109"/>
      <c r="AE147" s="99">
        <f t="shared" ref="AE147:AF147" si="91">AO147</f>
        <v>12</v>
      </c>
      <c r="AF147" s="101">
        <f t="shared" si="91"/>
        <v>36</v>
      </c>
      <c r="AG147" s="101">
        <f t="shared" si="32"/>
        <v>19.001300000000001</v>
      </c>
      <c r="AH147" s="101">
        <f t="shared" si="12"/>
        <v>67</v>
      </c>
      <c r="AI147" s="101">
        <f t="shared" si="84"/>
        <v>268.61079999999998</v>
      </c>
      <c r="AJ147" s="108">
        <f t="shared" si="50"/>
        <v>2</v>
      </c>
      <c r="AK147" s="101">
        <f t="shared" si="15"/>
        <v>1958.3644791195125</v>
      </c>
      <c r="AL147" s="101">
        <f t="shared" si="51"/>
        <v>391.42501371585371</v>
      </c>
      <c r="AM147" s="101">
        <f t="shared" si="52"/>
        <v>1566.9394654036587</v>
      </c>
      <c r="AN147" s="101"/>
      <c r="AO147" s="1">
        <v>12</v>
      </c>
      <c r="AP147" s="2">
        <v>36</v>
      </c>
      <c r="AQ147" s="74">
        <f t="shared" si="53"/>
        <v>67</v>
      </c>
      <c r="AR147" s="31">
        <f t="shared" si="54"/>
        <v>0</v>
      </c>
      <c r="AS147" s="2">
        <f t="shared" si="55"/>
        <v>0</v>
      </c>
      <c r="AT147" s="33">
        <f t="shared" si="56"/>
        <v>1</v>
      </c>
      <c r="AU147" s="31">
        <f t="shared" si="57"/>
        <v>0</v>
      </c>
      <c r="AV147" s="2">
        <f t="shared" si="58"/>
        <v>0</v>
      </c>
      <c r="AW147" s="33">
        <f t="shared" si="59"/>
        <v>1</v>
      </c>
      <c r="AX147" s="31">
        <f t="shared" si="60"/>
        <v>1</v>
      </c>
      <c r="AY147" s="33">
        <f t="shared" si="61"/>
        <v>1</v>
      </c>
      <c r="AZ147" s="2"/>
      <c r="BA147" s="101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 ht="12" customHeight="1">
      <c r="A148" s="2"/>
      <c r="B148" s="107">
        <v>73</v>
      </c>
      <c r="C148" s="31">
        <v>10</v>
      </c>
      <c r="D148" s="106" t="s">
        <v>5</v>
      </c>
      <c r="E148" s="2" t="s">
        <v>144</v>
      </c>
      <c r="F148" s="2"/>
      <c r="G148" s="2"/>
      <c r="H148" s="33">
        <v>9</v>
      </c>
      <c r="I148" s="99">
        <f t="shared" si="0"/>
        <v>554.63088698378999</v>
      </c>
      <c r="J148" s="101">
        <f t="shared" si="1"/>
        <v>34.625</v>
      </c>
      <c r="K148" s="101">
        <f t="shared" si="2"/>
        <v>528</v>
      </c>
      <c r="L148" s="74">
        <f t="shared" si="3"/>
        <v>182</v>
      </c>
      <c r="M148" s="99">
        <f t="shared" si="4"/>
        <v>4437.0470958703199</v>
      </c>
      <c r="N148" s="108">
        <f t="shared" ref="N148:N230" si="92">T148*(1+(AG148/100)*(AI148/100-1))</f>
        <v>4437.0470958703199</v>
      </c>
      <c r="O148" s="108"/>
      <c r="P148" s="108"/>
      <c r="Q148" s="108"/>
      <c r="R148" s="109"/>
      <c r="S148" s="99">
        <f t="shared" si="6"/>
        <v>3360.4257095945122</v>
      </c>
      <c r="T148" s="108">
        <f t="shared" ref="T148:T168" si="93">AL148*AU148*AW148*AX148*AY148</f>
        <v>3360.4257095945122</v>
      </c>
      <c r="U148" s="108"/>
      <c r="V148" s="108"/>
      <c r="W148" s="108"/>
      <c r="X148" s="109"/>
      <c r="Y148" s="99">
        <f t="shared" si="8"/>
        <v>6720.8514191890245</v>
      </c>
      <c r="Z148" s="108">
        <f t="shared" si="9"/>
        <v>6720.8514191890245</v>
      </c>
      <c r="AA148" s="108"/>
      <c r="AB148" s="108"/>
      <c r="AC148" s="108"/>
      <c r="AD148" s="109"/>
      <c r="AE148" s="99">
        <f t="shared" ref="AE148:AF148" si="94">AO148</f>
        <v>8</v>
      </c>
      <c r="AF148" s="101">
        <f t="shared" si="94"/>
        <v>36</v>
      </c>
      <c r="AG148" s="101">
        <f t="shared" si="32"/>
        <v>19.001300000000001</v>
      </c>
      <c r="AH148" s="101">
        <f t="shared" si="12"/>
        <v>277</v>
      </c>
      <c r="AI148" s="101">
        <f t="shared" si="84"/>
        <v>268.61079999999998</v>
      </c>
      <c r="AJ148" s="108">
        <f t="shared" ref="AJ148:AJ168" si="95">1*AS148</f>
        <v>1</v>
      </c>
      <c r="AK148" s="101">
        <f t="shared" si="15"/>
        <v>2240.2838063963413</v>
      </c>
      <c r="AL148" s="101">
        <f t="shared" ref="AL148:AL168" si="96">(H148*(VLOOKUP(C148,$B$36:$AG$39,6,FALSE)+VLOOKUP(C148,$B$40:$AG$43,6,FALSE)*$D$54))*$D$59/100</f>
        <v>2240.2838063963413</v>
      </c>
      <c r="AM148" s="101"/>
      <c r="AN148" s="101"/>
      <c r="AO148" s="1">
        <v>8</v>
      </c>
      <c r="AP148" s="2">
        <v>36</v>
      </c>
      <c r="AQ148" s="74">
        <f t="shared" ref="AQ148:AQ168" si="97">VLOOKUP(C148,$B$45:$AA$48,6,FALSE)</f>
        <v>277</v>
      </c>
      <c r="AR148" s="31">
        <f t="shared" ref="AR148:AR168" si="98">IF(LEFT(E148,1)*1=1,$S$55,$R$55)</f>
        <v>0</v>
      </c>
      <c r="AS148" s="2">
        <f t="shared" ref="AS148:AS168" si="99">IF(LEFT(E148,1)*1=2,$U$55,$T$55)</f>
        <v>1</v>
      </c>
      <c r="AT148" s="33">
        <f t="shared" ref="AT148:AT168" si="100">IF(LEFT(E148,1)*1=3,$W$55,$V$55)</f>
        <v>0</v>
      </c>
      <c r="AU148" s="31">
        <f t="shared" ref="AU148:AU168" si="101">IF(MID(E148,3,1)*1=1,$Y$55,$X$55)</f>
        <v>1</v>
      </c>
      <c r="AV148" s="2">
        <f t="shared" ref="AV148:AV168" si="102">IF(MID(E148,3,1)*1=2,$AA$55,$Z$55)</f>
        <v>0</v>
      </c>
      <c r="AW148" s="33">
        <f t="shared" ref="AW148:AW168" si="103">IF(MID(E148,3,1)*1=3,$AC$55,$AB$55)</f>
        <v>1</v>
      </c>
      <c r="AX148" s="31">
        <f t="shared" ref="AX148:AX168" si="104">IF(MID(E148,5,1)*1=1,$AE$55,$AD$55)</f>
        <v>1.5</v>
      </c>
      <c r="AY148" s="33">
        <f t="shared" ref="AY148:AY168" si="105">IF(MID(E148,5,1)*1=2,$AG$55,$AF$55)</f>
        <v>1</v>
      </c>
      <c r="AZ148" s="2"/>
      <c r="BA148" s="101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 ht="12" customHeight="1">
      <c r="A149" s="2"/>
      <c r="B149" s="107">
        <v>74</v>
      </c>
      <c r="C149" s="31">
        <v>10</v>
      </c>
      <c r="D149" s="106" t="s">
        <v>5</v>
      </c>
      <c r="E149" s="2" t="s">
        <v>92</v>
      </c>
      <c r="F149" s="2"/>
      <c r="G149" s="2"/>
      <c r="H149" s="33">
        <v>9</v>
      </c>
      <c r="I149" s="99">
        <f t="shared" si="0"/>
        <v>887.40941917406394</v>
      </c>
      <c r="J149" s="101">
        <f t="shared" si="1"/>
        <v>34.625</v>
      </c>
      <c r="K149" s="101">
        <f t="shared" si="2"/>
        <v>214</v>
      </c>
      <c r="L149" s="74">
        <f t="shared" si="3"/>
        <v>51</v>
      </c>
      <c r="M149" s="99">
        <f t="shared" si="4"/>
        <v>7099.2753533925115</v>
      </c>
      <c r="N149" s="108">
        <f t="shared" si="92"/>
        <v>7099.2753533925115</v>
      </c>
      <c r="O149" s="108"/>
      <c r="P149" s="108"/>
      <c r="Q149" s="108"/>
      <c r="R149" s="109"/>
      <c r="S149" s="99">
        <f t="shared" si="6"/>
        <v>5376.6811353512194</v>
      </c>
      <c r="T149" s="108">
        <f t="shared" si="93"/>
        <v>5376.6811353512194</v>
      </c>
      <c r="U149" s="108"/>
      <c r="V149" s="108"/>
      <c r="W149" s="108"/>
      <c r="X149" s="109"/>
      <c r="Y149" s="99">
        <f t="shared" si="8"/>
        <v>10753.362270702439</v>
      </c>
      <c r="Z149" s="108">
        <f t="shared" si="9"/>
        <v>10753.362270702439</v>
      </c>
      <c r="AA149" s="108"/>
      <c r="AB149" s="108"/>
      <c r="AC149" s="108"/>
      <c r="AD149" s="109"/>
      <c r="AE149" s="99">
        <f t="shared" ref="AE149:AF149" si="106">AO149</f>
        <v>8</v>
      </c>
      <c r="AF149" s="101">
        <f t="shared" si="106"/>
        <v>36</v>
      </c>
      <c r="AG149" s="101">
        <f t="shared" si="32"/>
        <v>19.001300000000001</v>
      </c>
      <c r="AH149" s="101">
        <f t="shared" si="12"/>
        <v>277</v>
      </c>
      <c r="AI149" s="101">
        <f t="shared" si="84"/>
        <v>268.61079999999998</v>
      </c>
      <c r="AJ149" s="108">
        <f t="shared" si="95"/>
        <v>1</v>
      </c>
      <c r="AK149" s="101">
        <f t="shared" si="15"/>
        <v>2240.2838063963413</v>
      </c>
      <c r="AL149" s="101">
        <f t="shared" si="96"/>
        <v>2240.2838063963413</v>
      </c>
      <c r="AM149" s="101"/>
      <c r="AN149" s="101"/>
      <c r="AO149" s="1">
        <v>8</v>
      </c>
      <c r="AP149" s="2">
        <v>36</v>
      </c>
      <c r="AQ149" s="74">
        <f t="shared" si="97"/>
        <v>277</v>
      </c>
      <c r="AR149" s="31">
        <f t="shared" si="98"/>
        <v>0</v>
      </c>
      <c r="AS149" s="2">
        <f t="shared" si="99"/>
        <v>1</v>
      </c>
      <c r="AT149" s="33">
        <f t="shared" si="100"/>
        <v>0</v>
      </c>
      <c r="AU149" s="31">
        <f t="shared" si="101"/>
        <v>1</v>
      </c>
      <c r="AV149" s="2">
        <f t="shared" si="102"/>
        <v>0</v>
      </c>
      <c r="AW149" s="33">
        <f t="shared" si="103"/>
        <v>1</v>
      </c>
      <c r="AX149" s="31">
        <f t="shared" si="104"/>
        <v>1</v>
      </c>
      <c r="AY149" s="33">
        <f t="shared" si="105"/>
        <v>2.4</v>
      </c>
      <c r="AZ149" s="2"/>
      <c r="BA149" s="101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 ht="12" customHeight="1">
      <c r="A150" s="2"/>
      <c r="B150" s="107">
        <v>75</v>
      </c>
      <c r="C150" s="31">
        <v>10</v>
      </c>
      <c r="D150" s="106" t="s">
        <v>5</v>
      </c>
      <c r="E150" s="2" t="s">
        <v>138</v>
      </c>
      <c r="F150" s="2"/>
      <c r="G150" s="2"/>
      <c r="H150" s="33">
        <v>9</v>
      </c>
      <c r="I150" s="99">
        <f t="shared" si="0"/>
        <v>693.28860872973735</v>
      </c>
      <c r="J150" s="101">
        <f t="shared" si="1"/>
        <v>34.625</v>
      </c>
      <c r="K150" s="101">
        <f t="shared" si="2"/>
        <v>364</v>
      </c>
      <c r="L150" s="74">
        <f t="shared" si="3"/>
        <v>111</v>
      </c>
      <c r="M150" s="99">
        <f t="shared" si="4"/>
        <v>5546.3088698378988</v>
      </c>
      <c r="N150" s="108">
        <f t="shared" si="92"/>
        <v>5546.3088698378988</v>
      </c>
      <c r="O150" s="108"/>
      <c r="P150" s="108"/>
      <c r="Q150" s="108"/>
      <c r="R150" s="109"/>
      <c r="S150" s="99">
        <f t="shared" si="6"/>
        <v>4200.5321369931398</v>
      </c>
      <c r="T150" s="108">
        <f t="shared" si="93"/>
        <v>4200.5321369931398</v>
      </c>
      <c r="U150" s="108"/>
      <c r="V150" s="108"/>
      <c r="W150" s="108"/>
      <c r="X150" s="109"/>
      <c r="Y150" s="99">
        <f t="shared" si="8"/>
        <v>8401.0642739862797</v>
      </c>
      <c r="Z150" s="108">
        <f t="shared" si="9"/>
        <v>8401.0642739862797</v>
      </c>
      <c r="AA150" s="108"/>
      <c r="AB150" s="108"/>
      <c r="AC150" s="108"/>
      <c r="AD150" s="109"/>
      <c r="AE150" s="99">
        <f t="shared" ref="AE150:AF150" si="107">AO150</f>
        <v>8</v>
      </c>
      <c r="AF150" s="101">
        <f t="shared" si="107"/>
        <v>36</v>
      </c>
      <c r="AG150" s="101">
        <f t="shared" si="32"/>
        <v>19.001300000000001</v>
      </c>
      <c r="AH150" s="101">
        <f t="shared" si="12"/>
        <v>277</v>
      </c>
      <c r="AI150" s="101">
        <f t="shared" si="84"/>
        <v>268.61079999999998</v>
      </c>
      <c r="AJ150" s="108">
        <f t="shared" si="95"/>
        <v>1</v>
      </c>
      <c r="AK150" s="101">
        <f t="shared" si="15"/>
        <v>2240.2838063963413</v>
      </c>
      <c r="AL150" s="101">
        <f t="shared" si="96"/>
        <v>2240.2838063963413</v>
      </c>
      <c r="AM150" s="101"/>
      <c r="AN150" s="101"/>
      <c r="AO150" s="1">
        <v>8</v>
      </c>
      <c r="AP150" s="2">
        <v>36</v>
      </c>
      <c r="AQ150" s="74">
        <f t="shared" si="97"/>
        <v>277</v>
      </c>
      <c r="AR150" s="31">
        <f t="shared" si="98"/>
        <v>0</v>
      </c>
      <c r="AS150" s="2">
        <f t="shared" si="99"/>
        <v>1</v>
      </c>
      <c r="AT150" s="33">
        <f t="shared" si="100"/>
        <v>0</v>
      </c>
      <c r="AU150" s="31">
        <f t="shared" si="101"/>
        <v>1.25</v>
      </c>
      <c r="AV150" s="2">
        <f t="shared" si="102"/>
        <v>0</v>
      </c>
      <c r="AW150" s="33">
        <f t="shared" si="103"/>
        <v>1</v>
      </c>
      <c r="AX150" s="31">
        <f t="shared" si="104"/>
        <v>1.5</v>
      </c>
      <c r="AY150" s="33">
        <f t="shared" si="105"/>
        <v>1</v>
      </c>
      <c r="AZ150" s="2"/>
      <c r="BA150" s="101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 ht="12" customHeight="1">
      <c r="A151" s="2"/>
      <c r="B151" s="107">
        <v>76</v>
      </c>
      <c r="C151" s="31">
        <v>10</v>
      </c>
      <c r="D151" s="106" t="s">
        <v>5</v>
      </c>
      <c r="E151" s="2" t="s">
        <v>139</v>
      </c>
      <c r="F151" s="2"/>
      <c r="G151" s="2"/>
      <c r="H151" s="33">
        <v>9</v>
      </c>
      <c r="I151" s="99">
        <f t="shared" si="0"/>
        <v>1109.2617739675798</v>
      </c>
      <c r="J151" s="101">
        <f t="shared" si="1"/>
        <v>34.625</v>
      </c>
      <c r="K151" s="101">
        <f t="shared" si="2"/>
        <v>118</v>
      </c>
      <c r="L151" s="74">
        <f t="shared" si="3"/>
        <v>20</v>
      </c>
      <c r="M151" s="99">
        <f t="shared" si="4"/>
        <v>8874.0941917406381</v>
      </c>
      <c r="N151" s="108">
        <f t="shared" si="92"/>
        <v>8874.0941917406381</v>
      </c>
      <c r="O151" s="108"/>
      <c r="P151" s="108"/>
      <c r="Q151" s="108"/>
      <c r="R151" s="109"/>
      <c r="S151" s="99">
        <f t="shared" si="6"/>
        <v>6720.8514191890235</v>
      </c>
      <c r="T151" s="108">
        <f t="shared" si="93"/>
        <v>6720.8514191890235</v>
      </c>
      <c r="U151" s="108"/>
      <c r="V151" s="108"/>
      <c r="W151" s="108"/>
      <c r="X151" s="109"/>
      <c r="Y151" s="99">
        <f t="shared" si="8"/>
        <v>13441.702838378049</v>
      </c>
      <c r="Z151" s="108">
        <f t="shared" si="9"/>
        <v>13441.702838378049</v>
      </c>
      <c r="AA151" s="108"/>
      <c r="AB151" s="108"/>
      <c r="AC151" s="108"/>
      <c r="AD151" s="109"/>
      <c r="AE151" s="99">
        <f t="shared" ref="AE151:AF151" si="108">AO151</f>
        <v>8</v>
      </c>
      <c r="AF151" s="101">
        <f t="shared" si="108"/>
        <v>36</v>
      </c>
      <c r="AG151" s="101">
        <f t="shared" si="32"/>
        <v>19.001300000000001</v>
      </c>
      <c r="AH151" s="101">
        <f t="shared" si="12"/>
        <v>277</v>
      </c>
      <c r="AI151" s="101">
        <f t="shared" si="84"/>
        <v>268.61079999999998</v>
      </c>
      <c r="AJ151" s="108">
        <f t="shared" si="95"/>
        <v>1</v>
      </c>
      <c r="AK151" s="101">
        <f t="shared" si="15"/>
        <v>2240.2838063963413</v>
      </c>
      <c r="AL151" s="101">
        <f t="shared" si="96"/>
        <v>2240.2838063963413</v>
      </c>
      <c r="AM151" s="101"/>
      <c r="AN151" s="101"/>
      <c r="AO151" s="1">
        <v>8</v>
      </c>
      <c r="AP151" s="2">
        <v>36</v>
      </c>
      <c r="AQ151" s="74">
        <f t="shared" si="97"/>
        <v>277</v>
      </c>
      <c r="AR151" s="31">
        <f t="shared" si="98"/>
        <v>0</v>
      </c>
      <c r="AS151" s="2">
        <f t="shared" si="99"/>
        <v>1</v>
      </c>
      <c r="AT151" s="33">
        <f t="shared" si="100"/>
        <v>0</v>
      </c>
      <c r="AU151" s="31">
        <f t="shared" si="101"/>
        <v>1.25</v>
      </c>
      <c r="AV151" s="2">
        <f t="shared" si="102"/>
        <v>0</v>
      </c>
      <c r="AW151" s="33">
        <f t="shared" si="103"/>
        <v>1</v>
      </c>
      <c r="AX151" s="31">
        <f t="shared" si="104"/>
        <v>1</v>
      </c>
      <c r="AY151" s="33">
        <f t="shared" si="105"/>
        <v>2.4</v>
      </c>
      <c r="AZ151" s="2"/>
      <c r="BA151" s="101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 ht="12" customHeight="1">
      <c r="A152" s="2"/>
      <c r="B152" s="107">
        <v>77</v>
      </c>
      <c r="C152" s="31">
        <v>10</v>
      </c>
      <c r="D152" s="106" t="s">
        <v>5</v>
      </c>
      <c r="E152" s="2" t="s">
        <v>141</v>
      </c>
      <c r="F152" s="2"/>
      <c r="G152" s="2"/>
      <c r="H152" s="33">
        <v>9</v>
      </c>
      <c r="I152" s="99">
        <f t="shared" si="0"/>
        <v>672.95214287366514</v>
      </c>
      <c r="J152" s="101">
        <f t="shared" si="1"/>
        <v>34.625</v>
      </c>
      <c r="K152" s="101">
        <f t="shared" si="2"/>
        <v>384</v>
      </c>
      <c r="L152" s="74">
        <f t="shared" si="3"/>
        <v>119</v>
      </c>
      <c r="M152" s="99">
        <f t="shared" si="4"/>
        <v>5383.6171429893211</v>
      </c>
      <c r="N152" s="108">
        <f t="shared" si="92"/>
        <v>5383.6171429893211</v>
      </c>
      <c r="O152" s="108"/>
      <c r="P152" s="108"/>
      <c r="Q152" s="108"/>
      <c r="R152" s="109"/>
      <c r="S152" s="99">
        <f t="shared" si="6"/>
        <v>4077.3165276413411</v>
      </c>
      <c r="T152" s="108">
        <f t="shared" si="93"/>
        <v>4077.3165276413411</v>
      </c>
      <c r="U152" s="108"/>
      <c r="V152" s="108"/>
      <c r="W152" s="108"/>
      <c r="X152" s="109"/>
      <c r="Y152" s="99">
        <f t="shared" si="8"/>
        <v>8154.6330552826821</v>
      </c>
      <c r="Z152" s="108">
        <f t="shared" si="9"/>
        <v>8154.6330552826821</v>
      </c>
      <c r="AA152" s="108"/>
      <c r="AB152" s="108"/>
      <c r="AC152" s="108"/>
      <c r="AD152" s="109"/>
      <c r="AE152" s="99">
        <f t="shared" ref="AE152:AF152" si="109">AO152</f>
        <v>8</v>
      </c>
      <c r="AF152" s="101">
        <f t="shared" si="109"/>
        <v>36</v>
      </c>
      <c r="AG152" s="101">
        <f t="shared" si="32"/>
        <v>19.001300000000001</v>
      </c>
      <c r="AH152" s="101">
        <f t="shared" si="12"/>
        <v>277</v>
      </c>
      <c r="AI152" s="101">
        <f t="shared" si="84"/>
        <v>268.61079999999998</v>
      </c>
      <c r="AJ152" s="108">
        <f t="shared" si="95"/>
        <v>1</v>
      </c>
      <c r="AK152" s="101">
        <f t="shared" si="15"/>
        <v>2240.2838063963413</v>
      </c>
      <c r="AL152" s="101">
        <f t="shared" si="96"/>
        <v>2240.2838063963413</v>
      </c>
      <c r="AM152" s="101"/>
      <c r="AN152" s="101"/>
      <c r="AO152" s="1">
        <v>8</v>
      </c>
      <c r="AP152" s="2">
        <v>36</v>
      </c>
      <c r="AQ152" s="74">
        <f t="shared" si="97"/>
        <v>277</v>
      </c>
      <c r="AR152" s="31">
        <f t="shared" si="98"/>
        <v>0</v>
      </c>
      <c r="AS152" s="2">
        <f t="shared" si="99"/>
        <v>1</v>
      </c>
      <c r="AT152" s="33">
        <f t="shared" si="100"/>
        <v>0</v>
      </c>
      <c r="AU152" s="31">
        <f t="shared" si="101"/>
        <v>1</v>
      </c>
      <c r="AV152" s="2">
        <f t="shared" si="102"/>
        <v>0</v>
      </c>
      <c r="AW152" s="60">
        <f t="shared" si="103"/>
        <v>1.2133333333333334</v>
      </c>
      <c r="AX152" s="31">
        <f t="shared" si="104"/>
        <v>1.5</v>
      </c>
      <c r="AY152" s="33">
        <f t="shared" si="105"/>
        <v>1</v>
      </c>
      <c r="AZ152" s="2"/>
      <c r="BA152" s="101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 ht="12" customHeight="1">
      <c r="A153" s="2"/>
      <c r="B153" s="107">
        <v>78</v>
      </c>
      <c r="C153" s="31">
        <v>10</v>
      </c>
      <c r="D153" s="106" t="s">
        <v>5</v>
      </c>
      <c r="E153" s="2" t="s">
        <v>98</v>
      </c>
      <c r="F153" s="2"/>
      <c r="G153" s="2"/>
      <c r="H153" s="33">
        <v>9</v>
      </c>
      <c r="I153" s="99">
        <f t="shared" si="0"/>
        <v>1076.7234285978641</v>
      </c>
      <c r="J153" s="101">
        <f t="shared" si="1"/>
        <v>34.625</v>
      </c>
      <c r="K153" s="101">
        <f t="shared" si="2"/>
        <v>129</v>
      </c>
      <c r="L153" s="74">
        <f t="shared" si="3"/>
        <v>23</v>
      </c>
      <c r="M153" s="99">
        <f t="shared" si="4"/>
        <v>8613.7874287829127</v>
      </c>
      <c r="N153" s="108">
        <f t="shared" si="92"/>
        <v>8613.7874287829127</v>
      </c>
      <c r="O153" s="108"/>
      <c r="P153" s="108"/>
      <c r="Q153" s="108"/>
      <c r="R153" s="109"/>
      <c r="S153" s="99">
        <f t="shared" si="6"/>
        <v>6523.7064442261453</v>
      </c>
      <c r="T153" s="108">
        <f t="shared" si="93"/>
        <v>6523.7064442261453</v>
      </c>
      <c r="U153" s="108"/>
      <c r="V153" s="108"/>
      <c r="W153" s="108"/>
      <c r="X153" s="109"/>
      <c r="Y153" s="99">
        <f t="shared" si="8"/>
        <v>13047.412888452289</v>
      </c>
      <c r="Z153" s="108">
        <f t="shared" si="9"/>
        <v>13047.412888452289</v>
      </c>
      <c r="AA153" s="108"/>
      <c r="AB153" s="108"/>
      <c r="AC153" s="108"/>
      <c r="AD153" s="109"/>
      <c r="AE153" s="99">
        <f t="shared" ref="AE153:AF153" si="110">AO153</f>
        <v>8</v>
      </c>
      <c r="AF153" s="101">
        <f t="shared" si="110"/>
        <v>36</v>
      </c>
      <c r="AG153" s="101">
        <f t="shared" si="32"/>
        <v>19.001300000000001</v>
      </c>
      <c r="AH153" s="101">
        <f t="shared" si="12"/>
        <v>277</v>
      </c>
      <c r="AI153" s="101">
        <f t="shared" si="84"/>
        <v>268.61079999999998</v>
      </c>
      <c r="AJ153" s="108">
        <f t="shared" si="95"/>
        <v>1</v>
      </c>
      <c r="AK153" s="101">
        <f t="shared" si="15"/>
        <v>2240.2838063963413</v>
      </c>
      <c r="AL153" s="101">
        <f t="shared" si="96"/>
        <v>2240.2838063963413</v>
      </c>
      <c r="AM153" s="101"/>
      <c r="AN153" s="101"/>
      <c r="AO153" s="1">
        <v>8</v>
      </c>
      <c r="AP153" s="2">
        <v>36</v>
      </c>
      <c r="AQ153" s="74">
        <f t="shared" si="97"/>
        <v>277</v>
      </c>
      <c r="AR153" s="31">
        <f t="shared" si="98"/>
        <v>0</v>
      </c>
      <c r="AS153" s="2">
        <f t="shared" si="99"/>
        <v>1</v>
      </c>
      <c r="AT153" s="33">
        <f t="shared" si="100"/>
        <v>0</v>
      </c>
      <c r="AU153" s="31">
        <f t="shared" si="101"/>
        <v>1</v>
      </c>
      <c r="AV153" s="2">
        <f t="shared" si="102"/>
        <v>0</v>
      </c>
      <c r="AW153" s="60">
        <f t="shared" si="103"/>
        <v>1.2133333333333334</v>
      </c>
      <c r="AX153" s="31">
        <f t="shared" si="104"/>
        <v>1</v>
      </c>
      <c r="AY153" s="33">
        <f t="shared" si="105"/>
        <v>2.4</v>
      </c>
      <c r="AZ153" s="2"/>
      <c r="BA153" s="101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 ht="12" customHeight="1">
      <c r="A154" s="2"/>
      <c r="B154" s="107">
        <v>79</v>
      </c>
      <c r="C154" s="31">
        <v>10</v>
      </c>
      <c r="D154" s="106" t="s">
        <v>5</v>
      </c>
      <c r="E154" s="2" t="s">
        <v>161</v>
      </c>
      <c r="F154" s="2"/>
      <c r="G154" s="2"/>
      <c r="H154" s="33">
        <v>9</v>
      </c>
      <c r="I154" s="99">
        <f t="shared" si="0"/>
        <v>554.63088698378999</v>
      </c>
      <c r="J154" s="101">
        <f t="shared" si="1"/>
        <v>34.625</v>
      </c>
      <c r="K154" s="101">
        <f t="shared" si="2"/>
        <v>528</v>
      </c>
      <c r="L154" s="74">
        <f t="shared" si="3"/>
        <v>182</v>
      </c>
      <c r="M154" s="99">
        <f t="shared" si="4"/>
        <v>4437.0470958703199</v>
      </c>
      <c r="N154" s="108">
        <f t="shared" si="92"/>
        <v>4437.0470958703199</v>
      </c>
      <c r="O154" s="108"/>
      <c r="P154" s="108"/>
      <c r="Q154" s="108"/>
      <c r="R154" s="109"/>
      <c r="S154" s="99">
        <f t="shared" si="6"/>
        <v>3360.4257095945122</v>
      </c>
      <c r="T154" s="108">
        <f t="shared" si="93"/>
        <v>3360.4257095945122</v>
      </c>
      <c r="U154" s="108"/>
      <c r="V154" s="108"/>
      <c r="W154" s="108"/>
      <c r="X154" s="109"/>
      <c r="Y154" s="99">
        <f t="shared" si="8"/>
        <v>6720.8514191890245</v>
      </c>
      <c r="Z154" s="108">
        <f t="shared" si="9"/>
        <v>6720.8514191890245</v>
      </c>
      <c r="AA154" s="108"/>
      <c r="AB154" s="108"/>
      <c r="AC154" s="108"/>
      <c r="AD154" s="109"/>
      <c r="AE154" s="99">
        <f t="shared" ref="AE154:AF154" si="111">AO154</f>
        <v>8</v>
      </c>
      <c r="AF154" s="101">
        <f t="shared" si="111"/>
        <v>36</v>
      </c>
      <c r="AG154" s="101">
        <f t="shared" si="32"/>
        <v>19.001300000000001</v>
      </c>
      <c r="AH154" s="101">
        <f t="shared" si="12"/>
        <v>277</v>
      </c>
      <c r="AI154" s="101">
        <f t="shared" si="84"/>
        <v>268.61079999999998</v>
      </c>
      <c r="AJ154" s="108">
        <f t="shared" si="95"/>
        <v>0.8</v>
      </c>
      <c r="AK154" s="101">
        <f t="shared" si="15"/>
        <v>2240.2838063963413</v>
      </c>
      <c r="AL154" s="101">
        <f t="shared" si="96"/>
        <v>2240.2838063963413</v>
      </c>
      <c r="AM154" s="101"/>
      <c r="AN154" s="101"/>
      <c r="AO154" s="1">
        <v>8</v>
      </c>
      <c r="AP154" s="2">
        <v>36</v>
      </c>
      <c r="AQ154" s="74">
        <f t="shared" si="97"/>
        <v>277</v>
      </c>
      <c r="AR154" s="31">
        <f t="shared" si="98"/>
        <v>0</v>
      </c>
      <c r="AS154" s="2">
        <f t="shared" si="99"/>
        <v>0.8</v>
      </c>
      <c r="AT154" s="33">
        <f t="shared" si="100"/>
        <v>0</v>
      </c>
      <c r="AU154" s="31">
        <f t="shared" si="101"/>
        <v>1</v>
      </c>
      <c r="AV154" s="2">
        <f t="shared" si="102"/>
        <v>0</v>
      </c>
      <c r="AW154" s="33">
        <f t="shared" si="103"/>
        <v>1</v>
      </c>
      <c r="AX154" s="31">
        <f t="shared" si="104"/>
        <v>1.5</v>
      </c>
      <c r="AY154" s="33">
        <f t="shared" si="105"/>
        <v>1</v>
      </c>
      <c r="AZ154" s="2"/>
      <c r="BA154" s="101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 ht="12" customHeight="1">
      <c r="A155" s="2"/>
      <c r="B155" s="107">
        <v>80</v>
      </c>
      <c r="C155" s="31">
        <v>10</v>
      </c>
      <c r="D155" s="106" t="s">
        <v>5</v>
      </c>
      <c r="E155" s="2" t="s">
        <v>99</v>
      </c>
      <c r="F155" s="2"/>
      <c r="G155" s="2"/>
      <c r="H155" s="33">
        <v>9</v>
      </c>
      <c r="I155" s="99">
        <f t="shared" si="0"/>
        <v>887.40941917406394</v>
      </c>
      <c r="J155" s="101">
        <f t="shared" si="1"/>
        <v>34.625</v>
      </c>
      <c r="K155" s="101">
        <f t="shared" si="2"/>
        <v>214</v>
      </c>
      <c r="L155" s="74">
        <f t="shared" si="3"/>
        <v>51</v>
      </c>
      <c r="M155" s="99">
        <f t="shared" si="4"/>
        <v>7099.2753533925115</v>
      </c>
      <c r="N155" s="108">
        <f t="shared" si="92"/>
        <v>7099.2753533925115</v>
      </c>
      <c r="O155" s="108"/>
      <c r="P155" s="108"/>
      <c r="Q155" s="108"/>
      <c r="R155" s="109"/>
      <c r="S155" s="99">
        <f t="shared" si="6"/>
        <v>5376.6811353512194</v>
      </c>
      <c r="T155" s="108">
        <f t="shared" si="93"/>
        <v>5376.6811353512194</v>
      </c>
      <c r="U155" s="108"/>
      <c r="V155" s="108"/>
      <c r="W155" s="108"/>
      <c r="X155" s="109"/>
      <c r="Y155" s="99">
        <f t="shared" si="8"/>
        <v>10753.362270702439</v>
      </c>
      <c r="Z155" s="108">
        <f t="shared" si="9"/>
        <v>10753.362270702439</v>
      </c>
      <c r="AA155" s="108"/>
      <c r="AB155" s="108"/>
      <c r="AC155" s="108"/>
      <c r="AD155" s="109"/>
      <c r="AE155" s="99">
        <f t="shared" ref="AE155:AF155" si="112">AO155</f>
        <v>8</v>
      </c>
      <c r="AF155" s="101">
        <f t="shared" si="112"/>
        <v>36</v>
      </c>
      <c r="AG155" s="101">
        <f t="shared" si="32"/>
        <v>19.001300000000001</v>
      </c>
      <c r="AH155" s="101">
        <f t="shared" si="12"/>
        <v>277</v>
      </c>
      <c r="AI155" s="101">
        <f t="shared" si="84"/>
        <v>268.61079999999998</v>
      </c>
      <c r="AJ155" s="108">
        <f t="shared" si="95"/>
        <v>0.8</v>
      </c>
      <c r="AK155" s="101">
        <f t="shared" si="15"/>
        <v>2240.2838063963413</v>
      </c>
      <c r="AL155" s="101">
        <f t="shared" si="96"/>
        <v>2240.2838063963413</v>
      </c>
      <c r="AM155" s="101"/>
      <c r="AN155" s="101"/>
      <c r="AO155" s="1">
        <v>8</v>
      </c>
      <c r="AP155" s="2">
        <v>36</v>
      </c>
      <c r="AQ155" s="74">
        <f t="shared" si="97"/>
        <v>277</v>
      </c>
      <c r="AR155" s="31">
        <f t="shared" si="98"/>
        <v>0</v>
      </c>
      <c r="AS155" s="2">
        <f t="shared" si="99"/>
        <v>0.8</v>
      </c>
      <c r="AT155" s="33">
        <f t="shared" si="100"/>
        <v>0</v>
      </c>
      <c r="AU155" s="31">
        <f t="shared" si="101"/>
        <v>1</v>
      </c>
      <c r="AV155" s="2">
        <f t="shared" si="102"/>
        <v>0</v>
      </c>
      <c r="AW155" s="33">
        <f t="shared" si="103"/>
        <v>1</v>
      </c>
      <c r="AX155" s="31">
        <f t="shared" si="104"/>
        <v>1</v>
      </c>
      <c r="AY155" s="33">
        <f t="shared" si="105"/>
        <v>2.4</v>
      </c>
      <c r="AZ155" s="2"/>
      <c r="BA155" s="101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 ht="12" customHeight="1">
      <c r="A156" s="2"/>
      <c r="B156" s="107">
        <v>81</v>
      </c>
      <c r="C156" s="31">
        <v>10</v>
      </c>
      <c r="D156" s="106" t="s">
        <v>5</v>
      </c>
      <c r="E156" s="2" t="s">
        <v>169</v>
      </c>
      <c r="F156" s="2"/>
      <c r="G156" s="2"/>
      <c r="H156" s="33">
        <v>9</v>
      </c>
      <c r="I156" s="99">
        <f t="shared" si="0"/>
        <v>693.28860872973735</v>
      </c>
      <c r="J156" s="101">
        <f t="shared" si="1"/>
        <v>34.625</v>
      </c>
      <c r="K156" s="101">
        <f t="shared" si="2"/>
        <v>364</v>
      </c>
      <c r="L156" s="74">
        <f t="shared" si="3"/>
        <v>111</v>
      </c>
      <c r="M156" s="99">
        <f t="shared" si="4"/>
        <v>5546.3088698378988</v>
      </c>
      <c r="N156" s="108">
        <f t="shared" si="92"/>
        <v>5546.3088698378988</v>
      </c>
      <c r="O156" s="108"/>
      <c r="P156" s="108"/>
      <c r="Q156" s="108"/>
      <c r="R156" s="109"/>
      <c r="S156" s="99">
        <f t="shared" si="6"/>
        <v>4200.5321369931398</v>
      </c>
      <c r="T156" s="108">
        <f t="shared" si="93"/>
        <v>4200.5321369931398</v>
      </c>
      <c r="U156" s="108"/>
      <c r="V156" s="108"/>
      <c r="W156" s="108"/>
      <c r="X156" s="109"/>
      <c r="Y156" s="99">
        <f t="shared" si="8"/>
        <v>8401.0642739862797</v>
      </c>
      <c r="Z156" s="108">
        <f t="shared" si="9"/>
        <v>8401.0642739862797</v>
      </c>
      <c r="AA156" s="108"/>
      <c r="AB156" s="108"/>
      <c r="AC156" s="108"/>
      <c r="AD156" s="109"/>
      <c r="AE156" s="99">
        <f t="shared" ref="AE156:AF156" si="113">AO156</f>
        <v>8</v>
      </c>
      <c r="AF156" s="101">
        <f t="shared" si="113"/>
        <v>36</v>
      </c>
      <c r="AG156" s="101">
        <f t="shared" si="32"/>
        <v>19.001300000000001</v>
      </c>
      <c r="AH156" s="101">
        <f t="shared" si="12"/>
        <v>277</v>
      </c>
      <c r="AI156" s="101">
        <f t="shared" si="84"/>
        <v>268.61079999999998</v>
      </c>
      <c r="AJ156" s="108">
        <f t="shared" si="95"/>
        <v>0.8</v>
      </c>
      <c r="AK156" s="101">
        <f t="shared" si="15"/>
        <v>2240.2838063963413</v>
      </c>
      <c r="AL156" s="101">
        <f t="shared" si="96"/>
        <v>2240.2838063963413</v>
      </c>
      <c r="AM156" s="101"/>
      <c r="AN156" s="101"/>
      <c r="AO156" s="1">
        <v>8</v>
      </c>
      <c r="AP156" s="2">
        <v>36</v>
      </c>
      <c r="AQ156" s="74">
        <f t="shared" si="97"/>
        <v>277</v>
      </c>
      <c r="AR156" s="31">
        <f t="shared" si="98"/>
        <v>0</v>
      </c>
      <c r="AS156" s="2">
        <f t="shared" si="99"/>
        <v>0.8</v>
      </c>
      <c r="AT156" s="33">
        <f t="shared" si="100"/>
        <v>0</v>
      </c>
      <c r="AU156" s="31">
        <f t="shared" si="101"/>
        <v>1.25</v>
      </c>
      <c r="AV156" s="2">
        <f t="shared" si="102"/>
        <v>0</v>
      </c>
      <c r="AW156" s="33">
        <f t="shared" si="103"/>
        <v>1</v>
      </c>
      <c r="AX156" s="31">
        <f t="shared" si="104"/>
        <v>1.5</v>
      </c>
      <c r="AY156" s="33">
        <f t="shared" si="105"/>
        <v>1</v>
      </c>
      <c r="AZ156" s="2"/>
      <c r="BA156" s="101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 ht="12" customHeight="1">
      <c r="A157" s="2"/>
      <c r="B157" s="107">
        <v>82</v>
      </c>
      <c r="C157" s="31">
        <v>10</v>
      </c>
      <c r="D157" s="106" t="s">
        <v>5</v>
      </c>
      <c r="E157" s="2" t="s">
        <v>170</v>
      </c>
      <c r="F157" s="2"/>
      <c r="G157" s="2"/>
      <c r="H157" s="33">
        <v>9</v>
      </c>
      <c r="I157" s="99">
        <f t="shared" si="0"/>
        <v>1109.2617739675798</v>
      </c>
      <c r="J157" s="101">
        <f t="shared" si="1"/>
        <v>34.625</v>
      </c>
      <c r="K157" s="101">
        <f t="shared" si="2"/>
        <v>118</v>
      </c>
      <c r="L157" s="74">
        <f t="shared" si="3"/>
        <v>20</v>
      </c>
      <c r="M157" s="99">
        <f t="shared" si="4"/>
        <v>8874.0941917406381</v>
      </c>
      <c r="N157" s="108">
        <f t="shared" si="92"/>
        <v>8874.0941917406381</v>
      </c>
      <c r="O157" s="108"/>
      <c r="P157" s="108"/>
      <c r="Q157" s="108"/>
      <c r="R157" s="109"/>
      <c r="S157" s="99">
        <f t="shared" si="6"/>
        <v>6720.8514191890235</v>
      </c>
      <c r="T157" s="108">
        <f t="shared" si="93"/>
        <v>6720.8514191890235</v>
      </c>
      <c r="U157" s="108"/>
      <c r="V157" s="108"/>
      <c r="W157" s="108"/>
      <c r="X157" s="109"/>
      <c r="Y157" s="99">
        <f t="shared" si="8"/>
        <v>13441.702838378049</v>
      </c>
      <c r="Z157" s="108">
        <f t="shared" si="9"/>
        <v>13441.702838378049</v>
      </c>
      <c r="AA157" s="108"/>
      <c r="AB157" s="108"/>
      <c r="AC157" s="108"/>
      <c r="AD157" s="109"/>
      <c r="AE157" s="99">
        <f t="shared" ref="AE157:AF157" si="114">AO157</f>
        <v>8</v>
      </c>
      <c r="AF157" s="101">
        <f t="shared" si="114"/>
        <v>36</v>
      </c>
      <c r="AG157" s="101">
        <f t="shared" si="32"/>
        <v>19.001300000000001</v>
      </c>
      <c r="AH157" s="101">
        <f t="shared" si="12"/>
        <v>277</v>
      </c>
      <c r="AI157" s="101">
        <f t="shared" si="84"/>
        <v>268.61079999999998</v>
      </c>
      <c r="AJ157" s="108">
        <f t="shared" si="95"/>
        <v>0.8</v>
      </c>
      <c r="AK157" s="101">
        <f t="shared" si="15"/>
        <v>2240.2838063963413</v>
      </c>
      <c r="AL157" s="101">
        <f t="shared" si="96"/>
        <v>2240.2838063963413</v>
      </c>
      <c r="AM157" s="101"/>
      <c r="AN157" s="101"/>
      <c r="AO157" s="1">
        <v>8</v>
      </c>
      <c r="AP157" s="2">
        <v>36</v>
      </c>
      <c r="AQ157" s="74">
        <f t="shared" si="97"/>
        <v>277</v>
      </c>
      <c r="AR157" s="31">
        <f t="shared" si="98"/>
        <v>0</v>
      </c>
      <c r="AS157" s="2">
        <f t="shared" si="99"/>
        <v>0.8</v>
      </c>
      <c r="AT157" s="33">
        <f t="shared" si="100"/>
        <v>0</v>
      </c>
      <c r="AU157" s="31">
        <f t="shared" si="101"/>
        <v>1.25</v>
      </c>
      <c r="AV157" s="2">
        <f t="shared" si="102"/>
        <v>0</v>
      </c>
      <c r="AW157" s="33">
        <f t="shared" si="103"/>
        <v>1</v>
      </c>
      <c r="AX157" s="31">
        <f t="shared" si="104"/>
        <v>1</v>
      </c>
      <c r="AY157" s="33">
        <f t="shared" si="105"/>
        <v>2.4</v>
      </c>
      <c r="AZ157" s="2"/>
      <c r="BA157" s="101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 ht="12" customHeight="1">
      <c r="A158" s="2"/>
      <c r="B158" s="107">
        <v>83</v>
      </c>
      <c r="C158" s="31">
        <v>10</v>
      </c>
      <c r="D158" s="106" t="s">
        <v>5</v>
      </c>
      <c r="E158" s="2" t="s">
        <v>171</v>
      </c>
      <c r="F158" s="2"/>
      <c r="G158" s="2"/>
      <c r="H158" s="33">
        <v>9</v>
      </c>
      <c r="I158" s="99">
        <f t="shared" si="0"/>
        <v>672.95214287366514</v>
      </c>
      <c r="J158" s="101">
        <f t="shared" si="1"/>
        <v>34.625</v>
      </c>
      <c r="K158" s="101">
        <f t="shared" si="2"/>
        <v>384</v>
      </c>
      <c r="L158" s="74">
        <f t="shared" si="3"/>
        <v>119</v>
      </c>
      <c r="M158" s="99">
        <f t="shared" si="4"/>
        <v>5383.6171429893211</v>
      </c>
      <c r="N158" s="108">
        <f t="shared" si="92"/>
        <v>5383.6171429893211</v>
      </c>
      <c r="O158" s="108"/>
      <c r="P158" s="108"/>
      <c r="Q158" s="108"/>
      <c r="R158" s="109"/>
      <c r="S158" s="99">
        <f t="shared" si="6"/>
        <v>4077.3165276413411</v>
      </c>
      <c r="T158" s="108">
        <f t="shared" si="93"/>
        <v>4077.3165276413411</v>
      </c>
      <c r="U158" s="108"/>
      <c r="V158" s="108"/>
      <c r="W158" s="108"/>
      <c r="X158" s="109"/>
      <c r="Y158" s="99">
        <f t="shared" si="8"/>
        <v>8154.6330552826821</v>
      </c>
      <c r="Z158" s="108">
        <f t="shared" si="9"/>
        <v>8154.6330552826821</v>
      </c>
      <c r="AA158" s="108"/>
      <c r="AB158" s="108"/>
      <c r="AC158" s="108"/>
      <c r="AD158" s="109"/>
      <c r="AE158" s="99">
        <f t="shared" ref="AE158:AF158" si="115">AO158</f>
        <v>8</v>
      </c>
      <c r="AF158" s="101">
        <f t="shared" si="115"/>
        <v>36</v>
      </c>
      <c r="AG158" s="101">
        <f t="shared" si="32"/>
        <v>19.001300000000001</v>
      </c>
      <c r="AH158" s="101">
        <f t="shared" si="12"/>
        <v>277</v>
      </c>
      <c r="AI158" s="101">
        <f t="shared" si="84"/>
        <v>268.61079999999998</v>
      </c>
      <c r="AJ158" s="108">
        <f t="shared" si="95"/>
        <v>0.8</v>
      </c>
      <c r="AK158" s="101">
        <f t="shared" si="15"/>
        <v>2240.2838063963413</v>
      </c>
      <c r="AL158" s="101">
        <f t="shared" si="96"/>
        <v>2240.2838063963413</v>
      </c>
      <c r="AM158" s="101"/>
      <c r="AN158" s="101"/>
      <c r="AO158" s="1">
        <v>8</v>
      </c>
      <c r="AP158" s="2">
        <v>36</v>
      </c>
      <c r="AQ158" s="74">
        <f t="shared" si="97"/>
        <v>277</v>
      </c>
      <c r="AR158" s="31">
        <f t="shared" si="98"/>
        <v>0</v>
      </c>
      <c r="AS158" s="2">
        <f t="shared" si="99"/>
        <v>0.8</v>
      </c>
      <c r="AT158" s="33">
        <f t="shared" si="100"/>
        <v>0</v>
      </c>
      <c r="AU158" s="31">
        <f t="shared" si="101"/>
        <v>1</v>
      </c>
      <c r="AV158" s="2">
        <f t="shared" si="102"/>
        <v>0</v>
      </c>
      <c r="AW158" s="60">
        <f t="shared" si="103"/>
        <v>1.2133333333333334</v>
      </c>
      <c r="AX158" s="31">
        <f t="shared" si="104"/>
        <v>1.5</v>
      </c>
      <c r="AY158" s="33">
        <f t="shared" si="105"/>
        <v>1</v>
      </c>
      <c r="AZ158" s="2"/>
      <c r="BA158" s="101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 ht="12" customHeight="1">
      <c r="A159" s="2"/>
      <c r="B159" s="107">
        <v>84</v>
      </c>
      <c r="C159" s="31">
        <v>10</v>
      </c>
      <c r="D159" s="106" t="s">
        <v>5</v>
      </c>
      <c r="E159" s="2" t="s">
        <v>108</v>
      </c>
      <c r="F159" s="2"/>
      <c r="G159" s="2"/>
      <c r="H159" s="33">
        <v>9</v>
      </c>
      <c r="I159" s="99">
        <f t="shared" si="0"/>
        <v>1076.7234285978641</v>
      </c>
      <c r="J159" s="101">
        <f t="shared" si="1"/>
        <v>34.625</v>
      </c>
      <c r="K159" s="101">
        <f t="shared" si="2"/>
        <v>129</v>
      </c>
      <c r="L159" s="74">
        <f t="shared" si="3"/>
        <v>23</v>
      </c>
      <c r="M159" s="99">
        <f t="shared" si="4"/>
        <v>8613.7874287829127</v>
      </c>
      <c r="N159" s="108">
        <f t="shared" si="92"/>
        <v>8613.7874287829127</v>
      </c>
      <c r="O159" s="108"/>
      <c r="P159" s="108"/>
      <c r="Q159" s="108"/>
      <c r="R159" s="109"/>
      <c r="S159" s="99">
        <f t="shared" si="6"/>
        <v>6523.7064442261453</v>
      </c>
      <c r="T159" s="108">
        <f t="shared" si="93"/>
        <v>6523.7064442261453</v>
      </c>
      <c r="U159" s="108"/>
      <c r="V159" s="108"/>
      <c r="W159" s="108"/>
      <c r="X159" s="109"/>
      <c r="Y159" s="99">
        <f t="shared" si="8"/>
        <v>13047.412888452289</v>
      </c>
      <c r="Z159" s="108">
        <f t="shared" si="9"/>
        <v>13047.412888452289</v>
      </c>
      <c r="AA159" s="108"/>
      <c r="AB159" s="108"/>
      <c r="AC159" s="108"/>
      <c r="AD159" s="109"/>
      <c r="AE159" s="99">
        <f t="shared" ref="AE159:AF159" si="116">AO159</f>
        <v>8</v>
      </c>
      <c r="AF159" s="101">
        <f t="shared" si="116"/>
        <v>36</v>
      </c>
      <c r="AG159" s="101">
        <f t="shared" si="32"/>
        <v>19.001300000000001</v>
      </c>
      <c r="AH159" s="101">
        <f t="shared" si="12"/>
        <v>277</v>
      </c>
      <c r="AI159" s="101">
        <f t="shared" si="84"/>
        <v>268.61079999999998</v>
      </c>
      <c r="AJ159" s="108">
        <f t="shared" si="95"/>
        <v>0.8</v>
      </c>
      <c r="AK159" s="101">
        <f t="shared" si="15"/>
        <v>2240.2838063963413</v>
      </c>
      <c r="AL159" s="101">
        <f t="shared" si="96"/>
        <v>2240.2838063963413</v>
      </c>
      <c r="AM159" s="101"/>
      <c r="AN159" s="101"/>
      <c r="AO159" s="1">
        <v>8</v>
      </c>
      <c r="AP159" s="2">
        <v>36</v>
      </c>
      <c r="AQ159" s="74">
        <f t="shared" si="97"/>
        <v>277</v>
      </c>
      <c r="AR159" s="31">
        <f t="shared" si="98"/>
        <v>0</v>
      </c>
      <c r="AS159" s="2">
        <f t="shared" si="99"/>
        <v>0.8</v>
      </c>
      <c r="AT159" s="33">
        <f t="shared" si="100"/>
        <v>0</v>
      </c>
      <c r="AU159" s="31">
        <f t="shared" si="101"/>
        <v>1</v>
      </c>
      <c r="AV159" s="2">
        <f t="shared" si="102"/>
        <v>0</v>
      </c>
      <c r="AW159" s="60">
        <f t="shared" si="103"/>
        <v>1.2133333333333334</v>
      </c>
      <c r="AX159" s="31">
        <f t="shared" si="104"/>
        <v>1</v>
      </c>
      <c r="AY159" s="33">
        <f t="shared" si="105"/>
        <v>2.4</v>
      </c>
      <c r="AZ159" s="2"/>
      <c r="BA159" s="101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 ht="12" customHeight="1">
      <c r="A160" s="2"/>
      <c r="B160" s="107">
        <v>85</v>
      </c>
      <c r="C160" s="31">
        <v>7</v>
      </c>
      <c r="D160" s="106" t="s">
        <v>5</v>
      </c>
      <c r="E160" s="2" t="s">
        <v>67</v>
      </c>
      <c r="F160" s="2"/>
      <c r="G160" s="2"/>
      <c r="H160" s="33">
        <v>9</v>
      </c>
      <c r="I160" s="99">
        <f t="shared" si="0"/>
        <v>355.25962787660222</v>
      </c>
      <c r="J160" s="101">
        <f t="shared" si="1"/>
        <v>24.125</v>
      </c>
      <c r="K160" s="101">
        <f t="shared" si="2"/>
        <v>772</v>
      </c>
      <c r="L160" s="74">
        <f t="shared" si="3"/>
        <v>287</v>
      </c>
      <c r="M160" s="99">
        <f t="shared" si="4"/>
        <v>2842.0770230128178</v>
      </c>
      <c r="N160" s="108">
        <f t="shared" si="92"/>
        <v>2842.0770230128178</v>
      </c>
      <c r="O160" s="108"/>
      <c r="P160" s="108"/>
      <c r="Q160" s="108"/>
      <c r="R160" s="109"/>
      <c r="S160" s="99">
        <f t="shared" si="6"/>
        <v>2152.4650269475615</v>
      </c>
      <c r="T160" s="108">
        <f t="shared" si="93"/>
        <v>2152.4650269475615</v>
      </c>
      <c r="U160" s="108"/>
      <c r="V160" s="108"/>
      <c r="W160" s="108"/>
      <c r="X160" s="109"/>
      <c r="Y160" s="99">
        <f t="shared" si="8"/>
        <v>4304.9300538951229</v>
      </c>
      <c r="Z160" s="108">
        <f t="shared" si="9"/>
        <v>4304.9300538951229</v>
      </c>
      <c r="AA160" s="108"/>
      <c r="AB160" s="108"/>
      <c r="AC160" s="108"/>
      <c r="AD160" s="109"/>
      <c r="AE160" s="99">
        <f t="shared" ref="AE160:AF160" si="117">AO160</f>
        <v>8</v>
      </c>
      <c r="AF160" s="101">
        <f t="shared" si="117"/>
        <v>36</v>
      </c>
      <c r="AG160" s="101">
        <f t="shared" si="32"/>
        <v>19.001300000000001</v>
      </c>
      <c r="AH160" s="101">
        <f t="shared" si="12"/>
        <v>193</v>
      </c>
      <c r="AI160" s="101">
        <f t="shared" si="84"/>
        <v>268.61079999999998</v>
      </c>
      <c r="AJ160" s="108">
        <f t="shared" si="95"/>
        <v>1</v>
      </c>
      <c r="AK160" s="101">
        <f t="shared" si="15"/>
        <v>2152.4650269475615</v>
      </c>
      <c r="AL160" s="101">
        <f t="shared" si="96"/>
        <v>2152.4650269475615</v>
      </c>
      <c r="AM160" s="101"/>
      <c r="AN160" s="101"/>
      <c r="AO160" s="1">
        <v>8</v>
      </c>
      <c r="AP160" s="2">
        <v>36</v>
      </c>
      <c r="AQ160" s="74">
        <f t="shared" si="97"/>
        <v>193</v>
      </c>
      <c r="AR160" s="31">
        <f t="shared" si="98"/>
        <v>0</v>
      </c>
      <c r="AS160" s="2">
        <f t="shared" si="99"/>
        <v>1</v>
      </c>
      <c r="AT160" s="33">
        <f t="shared" si="100"/>
        <v>0</v>
      </c>
      <c r="AU160" s="31">
        <f t="shared" si="101"/>
        <v>1</v>
      </c>
      <c r="AV160" s="2">
        <f t="shared" si="102"/>
        <v>0</v>
      </c>
      <c r="AW160" s="33">
        <f t="shared" si="103"/>
        <v>1</v>
      </c>
      <c r="AX160" s="31">
        <f t="shared" si="104"/>
        <v>1</v>
      </c>
      <c r="AY160" s="33">
        <f t="shared" si="105"/>
        <v>1</v>
      </c>
      <c r="AZ160" s="2"/>
      <c r="BA160" s="101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 ht="12" customHeight="1">
      <c r="A161" s="2"/>
      <c r="B161" s="107">
        <v>86</v>
      </c>
      <c r="C161" s="31">
        <v>7</v>
      </c>
      <c r="D161" s="106" t="s">
        <v>5</v>
      </c>
      <c r="E161" s="2" t="s">
        <v>136</v>
      </c>
      <c r="F161" s="2"/>
      <c r="G161" s="2"/>
      <c r="H161" s="33">
        <v>9</v>
      </c>
      <c r="I161" s="99">
        <f t="shared" si="0"/>
        <v>444.07453484575274</v>
      </c>
      <c r="J161" s="101">
        <f t="shared" si="1"/>
        <v>24.125</v>
      </c>
      <c r="K161" s="101">
        <f t="shared" si="2"/>
        <v>680</v>
      </c>
      <c r="L161" s="74">
        <f t="shared" si="3"/>
        <v>246</v>
      </c>
      <c r="M161" s="99">
        <f t="shared" si="4"/>
        <v>3552.5962787660219</v>
      </c>
      <c r="N161" s="108">
        <f t="shared" si="92"/>
        <v>3552.5962787660219</v>
      </c>
      <c r="O161" s="108"/>
      <c r="P161" s="108"/>
      <c r="Q161" s="108"/>
      <c r="R161" s="109"/>
      <c r="S161" s="99">
        <f t="shared" si="6"/>
        <v>2690.5812836844516</v>
      </c>
      <c r="T161" s="108">
        <f t="shared" si="93"/>
        <v>2690.5812836844516</v>
      </c>
      <c r="U161" s="108"/>
      <c r="V161" s="108"/>
      <c r="W161" s="108"/>
      <c r="X161" s="109"/>
      <c r="Y161" s="99">
        <f t="shared" si="8"/>
        <v>5381.1625673689032</v>
      </c>
      <c r="Z161" s="108">
        <f t="shared" si="9"/>
        <v>5381.1625673689032</v>
      </c>
      <c r="AA161" s="108"/>
      <c r="AB161" s="108"/>
      <c r="AC161" s="108"/>
      <c r="AD161" s="109"/>
      <c r="AE161" s="99">
        <f t="shared" ref="AE161:AF161" si="118">AO161</f>
        <v>8</v>
      </c>
      <c r="AF161" s="101">
        <f t="shared" si="118"/>
        <v>36</v>
      </c>
      <c r="AG161" s="101">
        <f t="shared" si="32"/>
        <v>19.001300000000001</v>
      </c>
      <c r="AH161" s="101">
        <f t="shared" si="12"/>
        <v>193</v>
      </c>
      <c r="AI161" s="101">
        <f t="shared" si="84"/>
        <v>268.61079999999998</v>
      </c>
      <c r="AJ161" s="108">
        <f t="shared" si="95"/>
        <v>1</v>
      </c>
      <c r="AK161" s="101">
        <f t="shared" si="15"/>
        <v>2152.4650269475615</v>
      </c>
      <c r="AL161" s="101">
        <f t="shared" si="96"/>
        <v>2152.4650269475615</v>
      </c>
      <c r="AM161" s="101"/>
      <c r="AN161" s="101"/>
      <c r="AO161" s="1">
        <v>8</v>
      </c>
      <c r="AP161" s="2">
        <v>36</v>
      </c>
      <c r="AQ161" s="74">
        <f t="shared" si="97"/>
        <v>193</v>
      </c>
      <c r="AR161" s="31">
        <f t="shared" si="98"/>
        <v>0</v>
      </c>
      <c r="AS161" s="2">
        <f t="shared" si="99"/>
        <v>1</v>
      </c>
      <c r="AT161" s="33">
        <f t="shared" si="100"/>
        <v>0</v>
      </c>
      <c r="AU161" s="31">
        <f t="shared" si="101"/>
        <v>1.25</v>
      </c>
      <c r="AV161" s="2">
        <f t="shared" si="102"/>
        <v>0</v>
      </c>
      <c r="AW161" s="33">
        <f t="shared" si="103"/>
        <v>1</v>
      </c>
      <c r="AX161" s="31">
        <f t="shared" si="104"/>
        <v>1</v>
      </c>
      <c r="AY161" s="33">
        <f t="shared" si="105"/>
        <v>1</v>
      </c>
      <c r="AZ161" s="2"/>
      <c r="BA161" s="101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 ht="12" customHeight="1">
      <c r="A162" s="2"/>
      <c r="B162" s="107">
        <v>87</v>
      </c>
      <c r="C162" s="31">
        <v>7</v>
      </c>
      <c r="D162" s="106" t="s">
        <v>5</v>
      </c>
      <c r="E162" s="2" t="s">
        <v>91</v>
      </c>
      <c r="F162" s="2"/>
      <c r="G162" s="2"/>
      <c r="H162" s="33">
        <v>9</v>
      </c>
      <c r="I162" s="99">
        <f t="shared" si="0"/>
        <v>431.04834849027742</v>
      </c>
      <c r="J162" s="101">
        <f t="shared" si="1"/>
        <v>24.125</v>
      </c>
      <c r="K162" s="101">
        <f t="shared" si="2"/>
        <v>700</v>
      </c>
      <c r="L162" s="74">
        <f t="shared" si="3"/>
        <v>255</v>
      </c>
      <c r="M162" s="99">
        <f t="shared" si="4"/>
        <v>3448.3867879222194</v>
      </c>
      <c r="N162" s="108">
        <f t="shared" si="92"/>
        <v>3448.3867879222194</v>
      </c>
      <c r="O162" s="108"/>
      <c r="P162" s="108"/>
      <c r="Q162" s="108"/>
      <c r="R162" s="109"/>
      <c r="S162" s="99">
        <f t="shared" si="6"/>
        <v>2611.6575660297081</v>
      </c>
      <c r="T162" s="108">
        <f t="shared" si="93"/>
        <v>2611.6575660297081</v>
      </c>
      <c r="U162" s="108"/>
      <c r="V162" s="108"/>
      <c r="W162" s="108"/>
      <c r="X162" s="109"/>
      <c r="Y162" s="99">
        <f t="shared" si="8"/>
        <v>5223.3151320594161</v>
      </c>
      <c r="Z162" s="108">
        <f t="shared" si="9"/>
        <v>5223.3151320594161</v>
      </c>
      <c r="AA162" s="108"/>
      <c r="AB162" s="108"/>
      <c r="AC162" s="108"/>
      <c r="AD162" s="109"/>
      <c r="AE162" s="99">
        <f t="shared" ref="AE162:AF162" si="119">AO162</f>
        <v>8</v>
      </c>
      <c r="AF162" s="101">
        <f t="shared" si="119"/>
        <v>36</v>
      </c>
      <c r="AG162" s="101">
        <f t="shared" si="32"/>
        <v>19.001300000000001</v>
      </c>
      <c r="AH162" s="101">
        <f t="shared" si="12"/>
        <v>193</v>
      </c>
      <c r="AI162" s="101">
        <f t="shared" si="84"/>
        <v>268.61079999999998</v>
      </c>
      <c r="AJ162" s="108">
        <f t="shared" si="95"/>
        <v>1</v>
      </c>
      <c r="AK162" s="101">
        <f t="shared" si="15"/>
        <v>2152.4650269475615</v>
      </c>
      <c r="AL162" s="101">
        <f t="shared" si="96"/>
        <v>2152.4650269475615</v>
      </c>
      <c r="AM162" s="101"/>
      <c r="AN162" s="101"/>
      <c r="AO162" s="1">
        <v>8</v>
      </c>
      <c r="AP162" s="2">
        <v>36</v>
      </c>
      <c r="AQ162" s="74">
        <f t="shared" si="97"/>
        <v>193</v>
      </c>
      <c r="AR162" s="31">
        <f t="shared" si="98"/>
        <v>0</v>
      </c>
      <c r="AS162" s="2">
        <f t="shared" si="99"/>
        <v>1</v>
      </c>
      <c r="AT162" s="33">
        <f t="shared" si="100"/>
        <v>0</v>
      </c>
      <c r="AU162" s="31">
        <f t="shared" si="101"/>
        <v>1</v>
      </c>
      <c r="AV162" s="2">
        <f t="shared" si="102"/>
        <v>0</v>
      </c>
      <c r="AW162" s="60">
        <f t="shared" si="103"/>
        <v>1.2133333333333334</v>
      </c>
      <c r="AX162" s="31">
        <f t="shared" si="104"/>
        <v>1</v>
      </c>
      <c r="AY162" s="33">
        <f t="shared" si="105"/>
        <v>1</v>
      </c>
      <c r="AZ162" s="2"/>
      <c r="BA162" s="101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 ht="12" customHeight="1">
      <c r="A163" s="2"/>
      <c r="B163" s="107">
        <v>88</v>
      </c>
      <c r="C163" s="31">
        <v>7</v>
      </c>
      <c r="D163" s="106" t="s">
        <v>5</v>
      </c>
      <c r="E163" s="2" t="s">
        <v>79</v>
      </c>
      <c r="F163" s="2"/>
      <c r="G163" s="2"/>
      <c r="H163" s="33">
        <v>9</v>
      </c>
      <c r="I163" s="99">
        <f t="shared" si="0"/>
        <v>355.25962787660222</v>
      </c>
      <c r="J163" s="101">
        <f t="shared" si="1"/>
        <v>24.125</v>
      </c>
      <c r="K163" s="101">
        <f t="shared" si="2"/>
        <v>772</v>
      </c>
      <c r="L163" s="74">
        <f t="shared" si="3"/>
        <v>287</v>
      </c>
      <c r="M163" s="99">
        <f t="shared" si="4"/>
        <v>2842.0770230128178</v>
      </c>
      <c r="N163" s="108">
        <f t="shared" si="92"/>
        <v>2842.0770230128178</v>
      </c>
      <c r="O163" s="108"/>
      <c r="P163" s="108"/>
      <c r="Q163" s="108"/>
      <c r="R163" s="109"/>
      <c r="S163" s="99">
        <f t="shared" si="6"/>
        <v>2152.4650269475615</v>
      </c>
      <c r="T163" s="108">
        <f t="shared" si="93"/>
        <v>2152.4650269475615</v>
      </c>
      <c r="U163" s="108"/>
      <c r="V163" s="108"/>
      <c r="W163" s="108"/>
      <c r="X163" s="109"/>
      <c r="Y163" s="99">
        <f t="shared" si="8"/>
        <v>4304.9300538951229</v>
      </c>
      <c r="Z163" s="108">
        <f t="shared" si="9"/>
        <v>4304.9300538951229</v>
      </c>
      <c r="AA163" s="108"/>
      <c r="AB163" s="108"/>
      <c r="AC163" s="108"/>
      <c r="AD163" s="109"/>
      <c r="AE163" s="99">
        <f t="shared" ref="AE163:AF163" si="120">AO163</f>
        <v>8</v>
      </c>
      <c r="AF163" s="101">
        <f t="shared" si="120"/>
        <v>36</v>
      </c>
      <c r="AG163" s="101">
        <f t="shared" si="32"/>
        <v>19.001300000000001</v>
      </c>
      <c r="AH163" s="101">
        <f t="shared" si="12"/>
        <v>193</v>
      </c>
      <c r="AI163" s="101">
        <f t="shared" si="84"/>
        <v>268.61079999999998</v>
      </c>
      <c r="AJ163" s="108">
        <f t="shared" si="95"/>
        <v>0.8</v>
      </c>
      <c r="AK163" s="101">
        <f t="shared" si="15"/>
        <v>2152.4650269475615</v>
      </c>
      <c r="AL163" s="101">
        <f t="shared" si="96"/>
        <v>2152.4650269475615</v>
      </c>
      <c r="AM163" s="101"/>
      <c r="AN163" s="101"/>
      <c r="AO163" s="1">
        <v>8</v>
      </c>
      <c r="AP163" s="2">
        <v>36</v>
      </c>
      <c r="AQ163" s="74">
        <f t="shared" si="97"/>
        <v>193</v>
      </c>
      <c r="AR163" s="31">
        <f t="shared" si="98"/>
        <v>0</v>
      </c>
      <c r="AS163" s="2">
        <f t="shared" si="99"/>
        <v>0.8</v>
      </c>
      <c r="AT163" s="33">
        <f t="shared" si="100"/>
        <v>0</v>
      </c>
      <c r="AU163" s="31">
        <f t="shared" si="101"/>
        <v>1</v>
      </c>
      <c r="AV163" s="2">
        <f t="shared" si="102"/>
        <v>0</v>
      </c>
      <c r="AW163" s="33">
        <f t="shared" si="103"/>
        <v>1</v>
      </c>
      <c r="AX163" s="31">
        <f t="shared" si="104"/>
        <v>1</v>
      </c>
      <c r="AY163" s="33">
        <f t="shared" si="105"/>
        <v>1</v>
      </c>
      <c r="AZ163" s="2"/>
      <c r="BA163" s="101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 ht="12" customHeight="1">
      <c r="A164" s="2"/>
      <c r="B164" s="107">
        <v>89</v>
      </c>
      <c r="C164" s="31">
        <v>7</v>
      </c>
      <c r="D164" s="106" t="s">
        <v>5</v>
      </c>
      <c r="E164" s="2" t="s">
        <v>168</v>
      </c>
      <c r="F164" s="2"/>
      <c r="G164" s="2"/>
      <c r="H164" s="33">
        <v>9</v>
      </c>
      <c r="I164" s="99">
        <f t="shared" si="0"/>
        <v>444.07453484575274</v>
      </c>
      <c r="J164" s="101">
        <f t="shared" si="1"/>
        <v>24.125</v>
      </c>
      <c r="K164" s="101">
        <f t="shared" si="2"/>
        <v>680</v>
      </c>
      <c r="L164" s="74">
        <f t="shared" si="3"/>
        <v>246</v>
      </c>
      <c r="M164" s="99">
        <f t="shared" si="4"/>
        <v>3552.5962787660219</v>
      </c>
      <c r="N164" s="108">
        <f t="shared" si="92"/>
        <v>3552.5962787660219</v>
      </c>
      <c r="O164" s="108"/>
      <c r="P164" s="108"/>
      <c r="Q164" s="108"/>
      <c r="R164" s="109"/>
      <c r="S164" s="99">
        <f t="shared" si="6"/>
        <v>2690.5812836844516</v>
      </c>
      <c r="T164" s="108">
        <f t="shared" si="93"/>
        <v>2690.5812836844516</v>
      </c>
      <c r="U164" s="108"/>
      <c r="V164" s="108"/>
      <c r="W164" s="108"/>
      <c r="X164" s="109"/>
      <c r="Y164" s="99">
        <f t="shared" si="8"/>
        <v>5381.1625673689032</v>
      </c>
      <c r="Z164" s="108">
        <f t="shared" si="9"/>
        <v>5381.1625673689032</v>
      </c>
      <c r="AA164" s="108"/>
      <c r="AB164" s="108"/>
      <c r="AC164" s="108"/>
      <c r="AD164" s="109"/>
      <c r="AE164" s="99">
        <f t="shared" ref="AE164:AF164" si="121">AO164</f>
        <v>8</v>
      </c>
      <c r="AF164" s="101">
        <f t="shared" si="121"/>
        <v>36</v>
      </c>
      <c r="AG164" s="101">
        <f t="shared" si="32"/>
        <v>19.001300000000001</v>
      </c>
      <c r="AH164" s="101">
        <f t="shared" si="12"/>
        <v>193</v>
      </c>
      <c r="AI164" s="101">
        <f t="shared" si="84"/>
        <v>268.61079999999998</v>
      </c>
      <c r="AJ164" s="108">
        <f t="shared" si="95"/>
        <v>0.8</v>
      </c>
      <c r="AK164" s="101">
        <f t="shared" si="15"/>
        <v>2152.4650269475615</v>
      </c>
      <c r="AL164" s="101">
        <f t="shared" si="96"/>
        <v>2152.4650269475615</v>
      </c>
      <c r="AM164" s="101"/>
      <c r="AN164" s="101"/>
      <c r="AO164" s="1">
        <v>8</v>
      </c>
      <c r="AP164" s="2">
        <v>36</v>
      </c>
      <c r="AQ164" s="74">
        <f t="shared" si="97"/>
        <v>193</v>
      </c>
      <c r="AR164" s="31">
        <f t="shared" si="98"/>
        <v>0</v>
      </c>
      <c r="AS164" s="2">
        <f t="shared" si="99"/>
        <v>0.8</v>
      </c>
      <c r="AT164" s="33">
        <f t="shared" si="100"/>
        <v>0</v>
      </c>
      <c r="AU164" s="31">
        <f t="shared" si="101"/>
        <v>1.25</v>
      </c>
      <c r="AV164" s="2">
        <f t="shared" si="102"/>
        <v>0</v>
      </c>
      <c r="AW164" s="33">
        <f t="shared" si="103"/>
        <v>1</v>
      </c>
      <c r="AX164" s="31">
        <f t="shared" si="104"/>
        <v>1</v>
      </c>
      <c r="AY164" s="33">
        <f t="shared" si="105"/>
        <v>1</v>
      </c>
      <c r="AZ164" s="2"/>
      <c r="BA164" s="101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 ht="12" customHeight="1">
      <c r="A165" s="2"/>
      <c r="B165" s="107">
        <v>90</v>
      </c>
      <c r="C165" s="31">
        <v>7</v>
      </c>
      <c r="D165" s="106" t="s">
        <v>5</v>
      </c>
      <c r="E165" s="2" t="s">
        <v>103</v>
      </c>
      <c r="F165" s="2"/>
      <c r="G165" s="2"/>
      <c r="H165" s="33">
        <v>9</v>
      </c>
      <c r="I165" s="99">
        <f t="shared" si="0"/>
        <v>431.04834849027742</v>
      </c>
      <c r="J165" s="101">
        <f t="shared" si="1"/>
        <v>24.125</v>
      </c>
      <c r="K165" s="101">
        <f t="shared" si="2"/>
        <v>700</v>
      </c>
      <c r="L165" s="74">
        <f t="shared" si="3"/>
        <v>255</v>
      </c>
      <c r="M165" s="99">
        <f t="shared" si="4"/>
        <v>3448.3867879222194</v>
      </c>
      <c r="N165" s="108">
        <f t="shared" si="92"/>
        <v>3448.3867879222194</v>
      </c>
      <c r="O165" s="108"/>
      <c r="P165" s="108"/>
      <c r="Q165" s="108"/>
      <c r="R165" s="109"/>
      <c r="S165" s="99">
        <f t="shared" si="6"/>
        <v>2611.6575660297081</v>
      </c>
      <c r="T165" s="108">
        <f t="shared" si="93"/>
        <v>2611.6575660297081</v>
      </c>
      <c r="U165" s="108"/>
      <c r="V165" s="108"/>
      <c r="W165" s="108"/>
      <c r="X165" s="109"/>
      <c r="Y165" s="99">
        <f t="shared" si="8"/>
        <v>5223.3151320594161</v>
      </c>
      <c r="Z165" s="108">
        <f t="shared" si="9"/>
        <v>5223.3151320594161</v>
      </c>
      <c r="AA165" s="108"/>
      <c r="AB165" s="108"/>
      <c r="AC165" s="108"/>
      <c r="AD165" s="109"/>
      <c r="AE165" s="99">
        <f t="shared" ref="AE165:AF165" si="122">AO165</f>
        <v>8</v>
      </c>
      <c r="AF165" s="101">
        <f t="shared" si="122"/>
        <v>36</v>
      </c>
      <c r="AG165" s="101">
        <f t="shared" si="32"/>
        <v>19.001300000000001</v>
      </c>
      <c r="AH165" s="101">
        <f t="shared" si="12"/>
        <v>193</v>
      </c>
      <c r="AI165" s="101">
        <f t="shared" si="84"/>
        <v>268.61079999999998</v>
      </c>
      <c r="AJ165" s="108">
        <f t="shared" si="95"/>
        <v>0.8</v>
      </c>
      <c r="AK165" s="101">
        <f t="shared" si="15"/>
        <v>2152.4650269475615</v>
      </c>
      <c r="AL165" s="101">
        <f t="shared" si="96"/>
        <v>2152.4650269475615</v>
      </c>
      <c r="AM165" s="101"/>
      <c r="AN165" s="101"/>
      <c r="AO165" s="1">
        <v>8</v>
      </c>
      <c r="AP165" s="2">
        <v>36</v>
      </c>
      <c r="AQ165" s="74">
        <f t="shared" si="97"/>
        <v>193</v>
      </c>
      <c r="AR165" s="31">
        <f t="shared" si="98"/>
        <v>0</v>
      </c>
      <c r="AS165" s="2">
        <f t="shared" si="99"/>
        <v>0.8</v>
      </c>
      <c r="AT165" s="33">
        <f t="shared" si="100"/>
        <v>0</v>
      </c>
      <c r="AU165" s="31">
        <f t="shared" si="101"/>
        <v>1</v>
      </c>
      <c r="AV165" s="2">
        <f t="shared" si="102"/>
        <v>0</v>
      </c>
      <c r="AW165" s="60">
        <f t="shared" si="103"/>
        <v>1.2133333333333334</v>
      </c>
      <c r="AX165" s="31">
        <f t="shared" si="104"/>
        <v>1</v>
      </c>
      <c r="AY165" s="33">
        <f t="shared" si="105"/>
        <v>1</v>
      </c>
      <c r="AZ165" s="2"/>
      <c r="BA165" s="101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 ht="12" customHeight="1">
      <c r="A166" s="2"/>
      <c r="B166" s="107">
        <v>91</v>
      </c>
      <c r="C166" s="31">
        <v>4</v>
      </c>
      <c r="D166" s="106" t="s">
        <v>5</v>
      </c>
      <c r="E166" s="2" t="s">
        <v>67</v>
      </c>
      <c r="F166" s="2"/>
      <c r="G166" s="2"/>
      <c r="H166" s="33">
        <v>9</v>
      </c>
      <c r="I166" s="99">
        <f t="shared" si="0"/>
        <v>330.48878061063272</v>
      </c>
      <c r="J166" s="101">
        <f t="shared" si="1"/>
        <v>13.25</v>
      </c>
      <c r="K166" s="101">
        <f t="shared" si="2"/>
        <v>805</v>
      </c>
      <c r="L166" s="74">
        <f t="shared" si="3"/>
        <v>307</v>
      </c>
      <c r="M166" s="99">
        <f t="shared" si="4"/>
        <v>2643.9102448850617</v>
      </c>
      <c r="N166" s="108">
        <f t="shared" si="92"/>
        <v>2643.9102448850617</v>
      </c>
      <c r="O166" s="108"/>
      <c r="P166" s="108"/>
      <c r="Q166" s="108"/>
      <c r="R166" s="109"/>
      <c r="S166" s="99">
        <f t="shared" si="6"/>
        <v>2002.3821629121951</v>
      </c>
      <c r="T166" s="108">
        <f t="shared" si="93"/>
        <v>2002.3821629121951</v>
      </c>
      <c r="U166" s="108"/>
      <c r="V166" s="108"/>
      <c r="W166" s="108"/>
      <c r="X166" s="109"/>
      <c r="Y166" s="99">
        <f t="shared" si="8"/>
        <v>4004.7643258243902</v>
      </c>
      <c r="Z166" s="108">
        <f t="shared" si="9"/>
        <v>4004.7643258243902</v>
      </c>
      <c r="AA166" s="108"/>
      <c r="AB166" s="108"/>
      <c r="AC166" s="108"/>
      <c r="AD166" s="109"/>
      <c r="AE166" s="99">
        <f t="shared" ref="AE166:AF166" si="123">AO166</f>
        <v>8</v>
      </c>
      <c r="AF166" s="101">
        <f t="shared" si="123"/>
        <v>36</v>
      </c>
      <c r="AG166" s="101">
        <f t="shared" si="32"/>
        <v>19.001300000000001</v>
      </c>
      <c r="AH166" s="101">
        <f t="shared" si="12"/>
        <v>106</v>
      </c>
      <c r="AI166" s="101">
        <f t="shared" si="84"/>
        <v>268.61079999999998</v>
      </c>
      <c r="AJ166" s="108">
        <f t="shared" si="95"/>
        <v>1</v>
      </c>
      <c r="AK166" s="101">
        <f t="shared" si="15"/>
        <v>2002.3821629121951</v>
      </c>
      <c r="AL166" s="101">
        <f t="shared" si="96"/>
        <v>2002.3821629121951</v>
      </c>
      <c r="AM166" s="101"/>
      <c r="AN166" s="101"/>
      <c r="AO166" s="1">
        <v>8</v>
      </c>
      <c r="AP166" s="2">
        <v>36</v>
      </c>
      <c r="AQ166" s="74">
        <f t="shared" si="97"/>
        <v>106</v>
      </c>
      <c r="AR166" s="31">
        <f t="shared" si="98"/>
        <v>0</v>
      </c>
      <c r="AS166" s="2">
        <f t="shared" si="99"/>
        <v>1</v>
      </c>
      <c r="AT166" s="33">
        <f t="shared" si="100"/>
        <v>0</v>
      </c>
      <c r="AU166" s="31">
        <f t="shared" si="101"/>
        <v>1</v>
      </c>
      <c r="AV166" s="2">
        <f t="shared" si="102"/>
        <v>0</v>
      </c>
      <c r="AW166" s="33">
        <f t="shared" si="103"/>
        <v>1</v>
      </c>
      <c r="AX166" s="31">
        <f t="shared" si="104"/>
        <v>1</v>
      </c>
      <c r="AY166" s="33">
        <f t="shared" si="105"/>
        <v>1</v>
      </c>
      <c r="AZ166" s="2"/>
      <c r="BA166" s="101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 ht="12" customHeight="1">
      <c r="A167" s="2"/>
      <c r="B167" s="107">
        <v>92</v>
      </c>
      <c r="C167" s="31">
        <v>4</v>
      </c>
      <c r="D167" s="106" t="s">
        <v>5</v>
      </c>
      <c r="E167" s="2" t="s">
        <v>79</v>
      </c>
      <c r="F167" s="2"/>
      <c r="G167" s="2"/>
      <c r="H167" s="33">
        <v>9</v>
      </c>
      <c r="I167" s="99">
        <f t="shared" si="0"/>
        <v>330.48878061063272</v>
      </c>
      <c r="J167" s="101">
        <f t="shared" si="1"/>
        <v>13.25</v>
      </c>
      <c r="K167" s="101">
        <f t="shared" si="2"/>
        <v>805</v>
      </c>
      <c r="L167" s="74">
        <f t="shared" si="3"/>
        <v>307</v>
      </c>
      <c r="M167" s="99">
        <f t="shared" si="4"/>
        <v>2643.9102448850617</v>
      </c>
      <c r="N167" s="108">
        <f t="shared" si="92"/>
        <v>2643.9102448850617</v>
      </c>
      <c r="O167" s="108"/>
      <c r="P167" s="108"/>
      <c r="Q167" s="108"/>
      <c r="R167" s="109"/>
      <c r="S167" s="99">
        <f t="shared" si="6"/>
        <v>2002.3821629121951</v>
      </c>
      <c r="T167" s="108">
        <f t="shared" si="93"/>
        <v>2002.3821629121951</v>
      </c>
      <c r="U167" s="108"/>
      <c r="V167" s="108"/>
      <c r="W167" s="108"/>
      <c r="X167" s="109"/>
      <c r="Y167" s="99">
        <f t="shared" si="8"/>
        <v>4004.7643258243902</v>
      </c>
      <c r="Z167" s="108">
        <f t="shared" si="9"/>
        <v>4004.7643258243902</v>
      </c>
      <c r="AA167" s="108"/>
      <c r="AB167" s="108"/>
      <c r="AC167" s="108"/>
      <c r="AD167" s="109"/>
      <c r="AE167" s="99">
        <f t="shared" ref="AE167:AF167" si="124">AO167</f>
        <v>8</v>
      </c>
      <c r="AF167" s="101">
        <f t="shared" si="124"/>
        <v>36</v>
      </c>
      <c r="AG167" s="101">
        <f t="shared" si="32"/>
        <v>19.001300000000001</v>
      </c>
      <c r="AH167" s="101">
        <f t="shared" si="12"/>
        <v>106</v>
      </c>
      <c r="AI167" s="101">
        <f t="shared" si="84"/>
        <v>268.61079999999998</v>
      </c>
      <c r="AJ167" s="108">
        <f t="shared" si="95"/>
        <v>0.8</v>
      </c>
      <c r="AK167" s="101">
        <f t="shared" si="15"/>
        <v>2002.3821629121951</v>
      </c>
      <c r="AL167" s="101">
        <f t="shared" si="96"/>
        <v>2002.3821629121951</v>
      </c>
      <c r="AM167" s="101"/>
      <c r="AN167" s="101"/>
      <c r="AO167" s="1">
        <v>8</v>
      </c>
      <c r="AP167" s="2">
        <v>36</v>
      </c>
      <c r="AQ167" s="74">
        <f t="shared" si="97"/>
        <v>106</v>
      </c>
      <c r="AR167" s="31">
        <f t="shared" si="98"/>
        <v>0</v>
      </c>
      <c r="AS167" s="2">
        <f t="shared" si="99"/>
        <v>0.8</v>
      </c>
      <c r="AT167" s="33">
        <f t="shared" si="100"/>
        <v>0</v>
      </c>
      <c r="AU167" s="31">
        <f t="shared" si="101"/>
        <v>1</v>
      </c>
      <c r="AV167" s="2">
        <f t="shared" si="102"/>
        <v>0</v>
      </c>
      <c r="AW167" s="33">
        <f t="shared" si="103"/>
        <v>1</v>
      </c>
      <c r="AX167" s="31">
        <f t="shared" si="104"/>
        <v>1</v>
      </c>
      <c r="AY167" s="33">
        <f t="shared" si="105"/>
        <v>1</v>
      </c>
      <c r="AZ167" s="2"/>
      <c r="BA167" s="101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 ht="12" customHeight="1">
      <c r="A168" s="2"/>
      <c r="B168" s="107">
        <v>93</v>
      </c>
      <c r="C168" s="31">
        <v>1</v>
      </c>
      <c r="D168" s="106" t="s">
        <v>5</v>
      </c>
      <c r="E168" s="2" t="s">
        <v>67</v>
      </c>
      <c r="F168" s="2"/>
      <c r="G168" s="2"/>
      <c r="H168" s="33">
        <v>9</v>
      </c>
      <c r="I168" s="99">
        <f t="shared" si="0"/>
        <v>263.95901769166159</v>
      </c>
      <c r="J168" s="101">
        <f t="shared" si="1"/>
        <v>6.625</v>
      </c>
      <c r="K168" s="101">
        <f t="shared" si="2"/>
        <v>862</v>
      </c>
      <c r="L168" s="74">
        <f t="shared" si="3"/>
        <v>340</v>
      </c>
      <c r="M168" s="99">
        <f t="shared" si="4"/>
        <v>2111.6721415332927</v>
      </c>
      <c r="N168" s="108">
        <f t="shared" si="92"/>
        <v>2111.6721415332927</v>
      </c>
      <c r="O168" s="108"/>
      <c r="P168" s="108"/>
      <c r="Q168" s="108"/>
      <c r="R168" s="109"/>
      <c r="S168" s="99">
        <f t="shared" si="6"/>
        <v>1599.2882656682925</v>
      </c>
      <c r="T168" s="108">
        <f t="shared" si="93"/>
        <v>1599.2882656682925</v>
      </c>
      <c r="U168" s="108"/>
      <c r="V168" s="108"/>
      <c r="W168" s="108"/>
      <c r="X168" s="109"/>
      <c r="Y168" s="99">
        <f t="shared" si="8"/>
        <v>3198.576531336585</v>
      </c>
      <c r="Z168" s="108">
        <f t="shared" si="9"/>
        <v>3198.576531336585</v>
      </c>
      <c r="AA168" s="108"/>
      <c r="AB168" s="108"/>
      <c r="AC168" s="108"/>
      <c r="AD168" s="109"/>
      <c r="AE168" s="99">
        <f t="shared" ref="AE168:AF168" si="125">AO168</f>
        <v>8</v>
      </c>
      <c r="AF168" s="101">
        <f t="shared" si="125"/>
        <v>36</v>
      </c>
      <c r="AG168" s="101">
        <f t="shared" si="32"/>
        <v>19.001300000000001</v>
      </c>
      <c r="AH168" s="101">
        <f t="shared" si="12"/>
        <v>53</v>
      </c>
      <c r="AI168" s="101">
        <f t="shared" si="84"/>
        <v>268.61079999999998</v>
      </c>
      <c r="AJ168" s="108">
        <f t="shared" si="95"/>
        <v>1</v>
      </c>
      <c r="AK168" s="101">
        <f t="shared" si="15"/>
        <v>1599.2882656682925</v>
      </c>
      <c r="AL168" s="101">
        <f t="shared" si="96"/>
        <v>1599.2882656682925</v>
      </c>
      <c r="AM168" s="101"/>
      <c r="AN168" s="101"/>
      <c r="AO168" s="1">
        <v>8</v>
      </c>
      <c r="AP168" s="2">
        <v>36</v>
      </c>
      <c r="AQ168" s="74">
        <f t="shared" si="97"/>
        <v>53</v>
      </c>
      <c r="AR168" s="31">
        <f t="shared" si="98"/>
        <v>0</v>
      </c>
      <c r="AS168" s="2">
        <f t="shared" si="99"/>
        <v>1</v>
      </c>
      <c r="AT168" s="33">
        <f t="shared" si="100"/>
        <v>0</v>
      </c>
      <c r="AU168" s="31">
        <f t="shared" si="101"/>
        <v>1</v>
      </c>
      <c r="AV168" s="2">
        <f t="shared" si="102"/>
        <v>0</v>
      </c>
      <c r="AW168" s="33">
        <f t="shared" si="103"/>
        <v>1</v>
      </c>
      <c r="AX168" s="31">
        <f t="shared" si="104"/>
        <v>1</v>
      </c>
      <c r="AY168" s="33">
        <f t="shared" si="105"/>
        <v>1</v>
      </c>
      <c r="AZ168" s="2"/>
      <c r="BA168" s="101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 ht="12" customHeight="1">
      <c r="A169" s="2"/>
      <c r="B169" s="107">
        <v>94</v>
      </c>
      <c r="C169" s="31">
        <v>10</v>
      </c>
      <c r="D169" s="106" t="s">
        <v>6</v>
      </c>
      <c r="E169" s="2" t="s">
        <v>144</v>
      </c>
      <c r="F169" s="2"/>
      <c r="G169" s="2"/>
      <c r="H169" s="33"/>
      <c r="I169" s="99">
        <f t="shared" si="0"/>
        <v>599.48174976893438</v>
      </c>
      <c r="J169" s="101">
        <f t="shared" si="1"/>
        <v>23.45</v>
      </c>
      <c r="K169" s="101">
        <f t="shared" si="2"/>
        <v>470</v>
      </c>
      <c r="L169" s="74">
        <f t="shared" si="3"/>
        <v>159</v>
      </c>
      <c r="M169" s="99">
        <f t="shared" si="4"/>
        <v>11989.634995378687</v>
      </c>
      <c r="N169" s="108">
        <f t="shared" si="92"/>
        <v>11989.634995378687</v>
      </c>
      <c r="O169" s="108"/>
      <c r="P169" s="108"/>
      <c r="Q169" s="108"/>
      <c r="R169" s="109"/>
      <c r="S169" s="99">
        <f t="shared" si="6"/>
        <v>9080.4259717287823</v>
      </c>
      <c r="T169" s="108">
        <f t="shared" ref="T169:T199" si="126">AL169*AW169*AT169*AX169*AY169</f>
        <v>9080.4259717287823</v>
      </c>
      <c r="U169" s="108"/>
      <c r="V169" s="108"/>
      <c r="W169" s="108"/>
      <c r="X169" s="109"/>
      <c r="Y169" s="99">
        <f t="shared" si="8"/>
        <v>18160.851943457565</v>
      </c>
      <c r="Z169" s="108">
        <f t="shared" si="9"/>
        <v>18160.851943457565</v>
      </c>
      <c r="AA169" s="108"/>
      <c r="AB169" s="108"/>
      <c r="AC169" s="108"/>
      <c r="AD169" s="109"/>
      <c r="AE169" s="99">
        <f t="shared" ref="AE169:AF169" si="127">AO169</f>
        <v>20</v>
      </c>
      <c r="AF169" s="101">
        <f t="shared" si="127"/>
        <v>36</v>
      </c>
      <c r="AG169" s="101">
        <f t="shared" ref="AG169:AG199" si="128">IF($D$57+AV169&gt;100,100,$D$57+AV169)</f>
        <v>19.001300000000001</v>
      </c>
      <c r="AH169" s="101">
        <f t="shared" ref="AH169:AH230" si="129">AQ169*AR169</f>
        <v>469</v>
      </c>
      <c r="AI169" s="101">
        <f t="shared" si="84"/>
        <v>268.61079999999998</v>
      </c>
      <c r="AJ169" s="108">
        <f t="shared" ref="AJ169:AJ199" si="130">10/IF(AX169=1,IF(AY169=1,5,6),4)</f>
        <v>2.5</v>
      </c>
      <c r="AK169" s="101">
        <f t="shared" si="15"/>
        <v>5675.2662323304885</v>
      </c>
      <c r="AL169" s="101">
        <f t="shared" ref="AL169:AL199" si="131">(VLOOKUP(C169,$B$36:$AG$39,7,FALSE)+VLOOKUP(C169,$B$40:$AG$43,7,FALSE)*$D$54)*$D$59/100</f>
        <v>5675.2662323304885</v>
      </c>
      <c r="AM169" s="101"/>
      <c r="AN169" s="101"/>
      <c r="AO169" s="1">
        <v>20</v>
      </c>
      <c r="AP169" s="2">
        <v>36</v>
      </c>
      <c r="AQ169" s="74">
        <f t="shared" ref="AQ169:AQ199" si="132">VLOOKUP(C169,$B$45:$AA$48,7,FALSE)</f>
        <v>469</v>
      </c>
      <c r="AR169" s="31">
        <f t="shared" ref="AR169:AR199" si="133">IF(LEFT(E169,1)*1=1,$S$56,$R$56)</f>
        <v>1</v>
      </c>
      <c r="AS169" s="2">
        <f t="shared" ref="AS169:AS199" si="134">IF(LEFT(E169,1)*1=2,$U$56,$T$56)</f>
        <v>0</v>
      </c>
      <c r="AT169" s="33">
        <f t="shared" ref="AT169:AT199" si="135">IF(LEFT(E169,1)*1=3,$W$56,$V$56)</f>
        <v>1</v>
      </c>
      <c r="AU169" s="31">
        <f t="shared" ref="AU169:AU199" si="136">IF(MID(E169,3,1)*1=1,$Y$56,$X$56)</f>
        <v>0</v>
      </c>
      <c r="AV169" s="2">
        <f t="shared" ref="AV169:AV199" si="137">IF(MID(E169,3,1)*1=2,$AA$56,$Z$56)</f>
        <v>0</v>
      </c>
      <c r="AW169" s="33">
        <f t="shared" ref="AW169:AW199" si="138">IF(MID(E169,3,1)*1=3,$AC$56,$AB$56)</f>
        <v>1</v>
      </c>
      <c r="AX169" s="31">
        <f t="shared" ref="AX169:AX199" si="139">IF(MID(E169,5,1)*1=1,$AE$56,$AD$56)</f>
        <v>1.6</v>
      </c>
      <c r="AY169" s="33">
        <f t="shared" ref="AY169:AY199" si="140">IF(MID(E169,5,1)*1=2,$AG$56,$AF$56)</f>
        <v>1</v>
      </c>
      <c r="AZ169" s="2"/>
      <c r="BA169" s="101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 ht="12" customHeight="1">
      <c r="A170" s="2"/>
      <c r="B170" s="107">
        <v>95</v>
      </c>
      <c r="C170" s="31">
        <v>10</v>
      </c>
      <c r="D170" s="106" t="s">
        <v>6</v>
      </c>
      <c r="E170" s="2" t="s">
        <v>140</v>
      </c>
      <c r="F170" s="2"/>
      <c r="G170" s="2" t="s">
        <v>183</v>
      </c>
      <c r="H170" s="33"/>
      <c r="I170" s="99">
        <f t="shared" si="0"/>
        <v>1058.7991159991245</v>
      </c>
      <c r="J170" s="101">
        <f t="shared" si="1"/>
        <v>23.45</v>
      </c>
      <c r="K170" s="101">
        <f t="shared" si="2"/>
        <v>140</v>
      </c>
      <c r="L170" s="74">
        <f t="shared" si="3"/>
        <v>28</v>
      </c>
      <c r="M170" s="99">
        <f t="shared" si="4"/>
        <v>21175.98231998249</v>
      </c>
      <c r="N170" s="108">
        <f t="shared" si="92"/>
        <v>21175.98231998249</v>
      </c>
      <c r="O170" s="108"/>
      <c r="P170" s="108"/>
      <c r="Q170" s="108"/>
      <c r="R170" s="109"/>
      <c r="S170" s="99">
        <f t="shared" si="6"/>
        <v>9080.4259717287823</v>
      </c>
      <c r="T170" s="108">
        <f t="shared" si="126"/>
        <v>9080.4259717287823</v>
      </c>
      <c r="U170" s="108"/>
      <c r="V170" s="108"/>
      <c r="W170" s="108"/>
      <c r="X170" s="109"/>
      <c r="Y170" s="99">
        <f t="shared" si="8"/>
        <v>18160.851943457565</v>
      </c>
      <c r="Z170" s="108">
        <f t="shared" si="9"/>
        <v>18160.851943457565</v>
      </c>
      <c r="AA170" s="108"/>
      <c r="AB170" s="108"/>
      <c r="AC170" s="108"/>
      <c r="AD170" s="109"/>
      <c r="AE170" s="99">
        <f t="shared" ref="AE170:AF170" si="141">AO170</f>
        <v>20</v>
      </c>
      <c r="AF170" s="101">
        <f t="shared" si="141"/>
        <v>36</v>
      </c>
      <c r="AG170" s="101">
        <f t="shared" si="128"/>
        <v>79.001300000000001</v>
      </c>
      <c r="AH170" s="101">
        <f t="shared" si="129"/>
        <v>469</v>
      </c>
      <c r="AI170" s="101">
        <f t="shared" si="84"/>
        <v>268.61079999999998</v>
      </c>
      <c r="AJ170" s="108">
        <f t="shared" si="130"/>
        <v>2.5</v>
      </c>
      <c r="AK170" s="101">
        <f t="shared" si="15"/>
        <v>5675.2662323304885</v>
      </c>
      <c r="AL170" s="101">
        <f t="shared" si="131"/>
        <v>5675.2662323304885</v>
      </c>
      <c r="AM170" s="101"/>
      <c r="AN170" s="101"/>
      <c r="AO170" s="1">
        <v>20</v>
      </c>
      <c r="AP170" s="2">
        <v>36</v>
      </c>
      <c r="AQ170" s="74">
        <f t="shared" si="132"/>
        <v>469</v>
      </c>
      <c r="AR170" s="31">
        <f t="shared" si="133"/>
        <v>1</v>
      </c>
      <c r="AS170" s="2">
        <f t="shared" si="134"/>
        <v>0</v>
      </c>
      <c r="AT170" s="33">
        <f t="shared" si="135"/>
        <v>1</v>
      </c>
      <c r="AU170" s="31">
        <f t="shared" si="136"/>
        <v>0</v>
      </c>
      <c r="AV170" s="2">
        <f t="shared" si="137"/>
        <v>60</v>
      </c>
      <c r="AW170" s="33">
        <f t="shared" si="138"/>
        <v>1</v>
      </c>
      <c r="AX170" s="31">
        <f t="shared" si="139"/>
        <v>1.6</v>
      </c>
      <c r="AY170" s="33">
        <f t="shared" si="140"/>
        <v>1</v>
      </c>
      <c r="AZ170" s="2"/>
      <c r="BA170" s="101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 ht="12" customHeight="1">
      <c r="A171" s="2"/>
      <c r="B171" s="107">
        <v>96</v>
      </c>
      <c r="C171" s="31">
        <v>10</v>
      </c>
      <c r="D171" s="106" t="s">
        <v>6</v>
      </c>
      <c r="E171" s="2" t="s">
        <v>141</v>
      </c>
      <c r="F171" s="2"/>
      <c r="G171" s="2" t="s">
        <v>86</v>
      </c>
      <c r="H171" s="33"/>
      <c r="I171" s="99">
        <f t="shared" si="0"/>
        <v>743.35736971347865</v>
      </c>
      <c r="J171" s="101">
        <f t="shared" si="1"/>
        <v>23.45</v>
      </c>
      <c r="K171" s="101">
        <f t="shared" si="2"/>
        <v>310</v>
      </c>
      <c r="L171" s="74">
        <f t="shared" si="3"/>
        <v>87</v>
      </c>
      <c r="M171" s="99">
        <f t="shared" si="4"/>
        <v>14867.147394269572</v>
      </c>
      <c r="N171" s="108">
        <f t="shared" si="92"/>
        <v>14867.147394269572</v>
      </c>
      <c r="O171" s="108"/>
      <c r="P171" s="108"/>
      <c r="Q171" s="108"/>
      <c r="R171" s="109"/>
      <c r="S171" s="99">
        <f t="shared" si="6"/>
        <v>11259.728204943691</v>
      </c>
      <c r="T171" s="108">
        <f t="shared" si="126"/>
        <v>11259.728204943691</v>
      </c>
      <c r="U171" s="108"/>
      <c r="V171" s="108"/>
      <c r="W171" s="108"/>
      <c r="X171" s="109"/>
      <c r="Y171" s="99">
        <f t="shared" si="8"/>
        <v>22519.456409887382</v>
      </c>
      <c r="Z171" s="108">
        <f t="shared" si="9"/>
        <v>22519.456409887382</v>
      </c>
      <c r="AA171" s="108"/>
      <c r="AB171" s="108"/>
      <c r="AC171" s="108"/>
      <c r="AD171" s="109"/>
      <c r="AE171" s="99">
        <f t="shared" ref="AE171:AF171" si="142">AO171</f>
        <v>20</v>
      </c>
      <c r="AF171" s="101">
        <f t="shared" si="142"/>
        <v>36</v>
      </c>
      <c r="AG171" s="101">
        <f t="shared" si="128"/>
        <v>19.001300000000001</v>
      </c>
      <c r="AH171" s="101">
        <f t="shared" si="129"/>
        <v>469</v>
      </c>
      <c r="AI171" s="101">
        <f t="shared" si="84"/>
        <v>268.61079999999998</v>
      </c>
      <c r="AJ171" s="108">
        <f t="shared" si="130"/>
        <v>2.5</v>
      </c>
      <c r="AK171" s="101">
        <f t="shared" si="15"/>
        <v>5675.2662323304885</v>
      </c>
      <c r="AL171" s="101">
        <f t="shared" si="131"/>
        <v>5675.2662323304885</v>
      </c>
      <c r="AM171" s="101"/>
      <c r="AN171" s="101"/>
      <c r="AO171" s="1">
        <v>20</v>
      </c>
      <c r="AP171" s="2">
        <v>36</v>
      </c>
      <c r="AQ171" s="74">
        <f t="shared" si="132"/>
        <v>469</v>
      </c>
      <c r="AR171" s="31">
        <f t="shared" si="133"/>
        <v>1</v>
      </c>
      <c r="AS171" s="2">
        <f t="shared" si="134"/>
        <v>0</v>
      </c>
      <c r="AT171" s="33">
        <f t="shared" si="135"/>
        <v>1</v>
      </c>
      <c r="AU171" s="31">
        <f t="shared" si="136"/>
        <v>0</v>
      </c>
      <c r="AV171" s="2">
        <f t="shared" si="137"/>
        <v>0</v>
      </c>
      <c r="AW171" s="33">
        <f t="shared" si="138"/>
        <v>1.24</v>
      </c>
      <c r="AX171" s="31">
        <f t="shared" si="139"/>
        <v>1.6</v>
      </c>
      <c r="AY171" s="33">
        <f t="shared" si="140"/>
        <v>1</v>
      </c>
      <c r="AZ171" s="2"/>
      <c r="BA171" s="101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 ht="12" customHeight="1">
      <c r="A172" s="2"/>
      <c r="B172" s="107">
        <v>97</v>
      </c>
      <c r="C172" s="31">
        <v>10</v>
      </c>
      <c r="D172" s="106" t="s">
        <v>6</v>
      </c>
      <c r="E172" s="2" t="s">
        <v>150</v>
      </c>
      <c r="F172" s="2"/>
      <c r="G172" s="2"/>
      <c r="H172" s="33"/>
      <c r="I172" s="99">
        <f t="shared" si="0"/>
        <v>599.48174976893438</v>
      </c>
      <c r="J172" s="101">
        <f t="shared" si="1"/>
        <v>11.725</v>
      </c>
      <c r="K172" s="101">
        <f t="shared" si="2"/>
        <v>470</v>
      </c>
      <c r="L172" s="74">
        <f t="shared" si="3"/>
        <v>159</v>
      </c>
      <c r="M172" s="99">
        <f t="shared" si="4"/>
        <v>11989.634995378687</v>
      </c>
      <c r="N172" s="108">
        <f t="shared" si="92"/>
        <v>11989.634995378687</v>
      </c>
      <c r="O172" s="108"/>
      <c r="P172" s="108"/>
      <c r="Q172" s="108"/>
      <c r="R172" s="109"/>
      <c r="S172" s="99">
        <f t="shared" si="6"/>
        <v>9080.4259717287823</v>
      </c>
      <c r="T172" s="108">
        <f t="shared" si="126"/>
        <v>9080.4259717287823</v>
      </c>
      <c r="U172" s="108"/>
      <c r="V172" s="108"/>
      <c r="W172" s="108"/>
      <c r="X172" s="109"/>
      <c r="Y172" s="99">
        <f t="shared" si="8"/>
        <v>18160.851943457565</v>
      </c>
      <c r="Z172" s="108">
        <f t="shared" si="9"/>
        <v>18160.851943457565</v>
      </c>
      <c r="AA172" s="108"/>
      <c r="AB172" s="108"/>
      <c r="AC172" s="108"/>
      <c r="AD172" s="109"/>
      <c r="AE172" s="99">
        <f t="shared" ref="AE172:AF172" si="143">AO172</f>
        <v>20</v>
      </c>
      <c r="AF172" s="101">
        <f t="shared" si="143"/>
        <v>36</v>
      </c>
      <c r="AG172" s="101">
        <f t="shared" si="128"/>
        <v>19.001300000000001</v>
      </c>
      <c r="AH172" s="101">
        <f t="shared" si="129"/>
        <v>234.5</v>
      </c>
      <c r="AI172" s="101">
        <f t="shared" si="84"/>
        <v>268.61079999999998</v>
      </c>
      <c r="AJ172" s="108">
        <f t="shared" si="130"/>
        <v>2.5</v>
      </c>
      <c r="AK172" s="101">
        <f t="shared" si="15"/>
        <v>5675.2662323304885</v>
      </c>
      <c r="AL172" s="101">
        <f t="shared" si="131"/>
        <v>5675.2662323304885</v>
      </c>
      <c r="AM172" s="101"/>
      <c r="AN172" s="101"/>
      <c r="AO172" s="1">
        <v>20</v>
      </c>
      <c r="AP172" s="2">
        <v>36</v>
      </c>
      <c r="AQ172" s="74">
        <f t="shared" si="132"/>
        <v>469</v>
      </c>
      <c r="AR172" s="31">
        <f t="shared" si="133"/>
        <v>0.5</v>
      </c>
      <c r="AS172" s="2">
        <f t="shared" si="134"/>
        <v>0</v>
      </c>
      <c r="AT172" s="33">
        <f t="shared" si="135"/>
        <v>1</v>
      </c>
      <c r="AU172" s="31">
        <f t="shared" si="136"/>
        <v>0</v>
      </c>
      <c r="AV172" s="2">
        <f t="shared" si="137"/>
        <v>0</v>
      </c>
      <c r="AW172" s="33">
        <f t="shared" si="138"/>
        <v>1</v>
      </c>
      <c r="AX172" s="31">
        <f t="shared" si="139"/>
        <v>1.6</v>
      </c>
      <c r="AY172" s="33">
        <f t="shared" si="140"/>
        <v>1</v>
      </c>
      <c r="AZ172" s="2"/>
      <c r="BA172" s="101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 ht="12" customHeight="1">
      <c r="A173" s="2"/>
      <c r="B173" s="107">
        <v>98</v>
      </c>
      <c r="C173" s="31">
        <v>10</v>
      </c>
      <c r="D173" s="106" t="s">
        <v>6</v>
      </c>
      <c r="E173" s="2" t="s">
        <v>153</v>
      </c>
      <c r="F173" s="2"/>
      <c r="G173" s="2" t="s">
        <v>183</v>
      </c>
      <c r="H173" s="33"/>
      <c r="I173" s="99">
        <f t="shared" si="0"/>
        <v>1058.7991159991245</v>
      </c>
      <c r="J173" s="101">
        <f t="shared" si="1"/>
        <v>11.725</v>
      </c>
      <c r="K173" s="101">
        <f t="shared" si="2"/>
        <v>140</v>
      </c>
      <c r="L173" s="74">
        <f t="shared" si="3"/>
        <v>28</v>
      </c>
      <c r="M173" s="99">
        <f t="shared" si="4"/>
        <v>21175.98231998249</v>
      </c>
      <c r="N173" s="108">
        <f t="shared" si="92"/>
        <v>21175.98231998249</v>
      </c>
      <c r="O173" s="108"/>
      <c r="P173" s="108"/>
      <c r="Q173" s="108"/>
      <c r="R173" s="109"/>
      <c r="S173" s="99">
        <f t="shared" si="6"/>
        <v>9080.4259717287823</v>
      </c>
      <c r="T173" s="108">
        <f t="shared" si="126"/>
        <v>9080.4259717287823</v>
      </c>
      <c r="U173" s="108"/>
      <c r="V173" s="108"/>
      <c r="W173" s="108"/>
      <c r="X173" s="109"/>
      <c r="Y173" s="99">
        <f t="shared" si="8"/>
        <v>18160.851943457565</v>
      </c>
      <c r="Z173" s="108">
        <f t="shared" si="9"/>
        <v>18160.851943457565</v>
      </c>
      <c r="AA173" s="108"/>
      <c r="AB173" s="108"/>
      <c r="AC173" s="108"/>
      <c r="AD173" s="109"/>
      <c r="AE173" s="99">
        <f t="shared" ref="AE173:AF173" si="144">AO173</f>
        <v>20</v>
      </c>
      <c r="AF173" s="101">
        <f t="shared" si="144"/>
        <v>36</v>
      </c>
      <c r="AG173" s="101">
        <f t="shared" si="128"/>
        <v>79.001300000000001</v>
      </c>
      <c r="AH173" s="101">
        <f t="shared" si="129"/>
        <v>234.5</v>
      </c>
      <c r="AI173" s="101">
        <f t="shared" si="84"/>
        <v>268.61079999999998</v>
      </c>
      <c r="AJ173" s="108">
        <f t="shared" si="130"/>
        <v>2.5</v>
      </c>
      <c r="AK173" s="101">
        <f t="shared" si="15"/>
        <v>5675.2662323304885</v>
      </c>
      <c r="AL173" s="101">
        <f t="shared" si="131"/>
        <v>5675.2662323304885</v>
      </c>
      <c r="AM173" s="101"/>
      <c r="AN173" s="101"/>
      <c r="AO173" s="1">
        <v>20</v>
      </c>
      <c r="AP173" s="2">
        <v>36</v>
      </c>
      <c r="AQ173" s="74">
        <f t="shared" si="132"/>
        <v>469</v>
      </c>
      <c r="AR173" s="31">
        <f t="shared" si="133"/>
        <v>0.5</v>
      </c>
      <c r="AS173" s="2">
        <f t="shared" si="134"/>
        <v>0</v>
      </c>
      <c r="AT173" s="33">
        <f t="shared" si="135"/>
        <v>1</v>
      </c>
      <c r="AU173" s="31">
        <f t="shared" si="136"/>
        <v>0</v>
      </c>
      <c r="AV173" s="2">
        <f t="shared" si="137"/>
        <v>60</v>
      </c>
      <c r="AW173" s="33">
        <f t="shared" si="138"/>
        <v>1</v>
      </c>
      <c r="AX173" s="31">
        <f t="shared" si="139"/>
        <v>1.6</v>
      </c>
      <c r="AY173" s="33">
        <f t="shared" si="140"/>
        <v>1</v>
      </c>
      <c r="AZ173" s="2"/>
      <c r="BA173" s="101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 ht="12" customHeight="1">
      <c r="A174" s="2"/>
      <c r="B174" s="107">
        <v>99</v>
      </c>
      <c r="C174" s="31">
        <v>10</v>
      </c>
      <c r="D174" s="106" t="s">
        <v>6</v>
      </c>
      <c r="E174" s="2" t="s">
        <v>156</v>
      </c>
      <c r="F174" s="2"/>
      <c r="G174" s="2" t="s">
        <v>86</v>
      </c>
      <c r="H174" s="33"/>
      <c r="I174" s="99">
        <f t="shared" si="0"/>
        <v>743.35736971347865</v>
      </c>
      <c r="J174" s="101">
        <f t="shared" si="1"/>
        <v>11.725</v>
      </c>
      <c r="K174" s="101">
        <f t="shared" si="2"/>
        <v>310</v>
      </c>
      <c r="L174" s="74">
        <f t="shared" si="3"/>
        <v>87</v>
      </c>
      <c r="M174" s="99">
        <f t="shared" si="4"/>
        <v>14867.147394269572</v>
      </c>
      <c r="N174" s="108">
        <f t="shared" si="92"/>
        <v>14867.147394269572</v>
      </c>
      <c r="O174" s="108"/>
      <c r="P174" s="108"/>
      <c r="Q174" s="108"/>
      <c r="R174" s="109"/>
      <c r="S174" s="99">
        <f t="shared" si="6"/>
        <v>11259.728204943691</v>
      </c>
      <c r="T174" s="108">
        <f t="shared" si="126"/>
        <v>11259.728204943691</v>
      </c>
      <c r="U174" s="108"/>
      <c r="V174" s="108"/>
      <c r="W174" s="108"/>
      <c r="X174" s="109"/>
      <c r="Y174" s="99">
        <f t="shared" si="8"/>
        <v>22519.456409887382</v>
      </c>
      <c r="Z174" s="108">
        <f t="shared" si="9"/>
        <v>22519.456409887382</v>
      </c>
      <c r="AA174" s="108"/>
      <c r="AB174" s="108"/>
      <c r="AC174" s="108"/>
      <c r="AD174" s="109"/>
      <c r="AE174" s="99">
        <f t="shared" ref="AE174:AF174" si="145">AO174</f>
        <v>20</v>
      </c>
      <c r="AF174" s="101">
        <f t="shared" si="145"/>
        <v>36</v>
      </c>
      <c r="AG174" s="101">
        <f t="shared" si="128"/>
        <v>19.001300000000001</v>
      </c>
      <c r="AH174" s="101">
        <f t="shared" si="129"/>
        <v>234.5</v>
      </c>
      <c r="AI174" s="101">
        <f t="shared" si="84"/>
        <v>268.61079999999998</v>
      </c>
      <c r="AJ174" s="108">
        <f t="shared" si="130"/>
        <v>2.5</v>
      </c>
      <c r="AK174" s="101">
        <f t="shared" si="15"/>
        <v>5675.2662323304885</v>
      </c>
      <c r="AL174" s="101">
        <f t="shared" si="131"/>
        <v>5675.2662323304885</v>
      </c>
      <c r="AM174" s="101"/>
      <c r="AN174" s="101"/>
      <c r="AO174" s="1">
        <v>20</v>
      </c>
      <c r="AP174" s="2">
        <v>36</v>
      </c>
      <c r="AQ174" s="74">
        <f t="shared" si="132"/>
        <v>469</v>
      </c>
      <c r="AR174" s="31">
        <f t="shared" si="133"/>
        <v>0.5</v>
      </c>
      <c r="AS174" s="2">
        <f t="shared" si="134"/>
        <v>0</v>
      </c>
      <c r="AT174" s="33">
        <f t="shared" si="135"/>
        <v>1</v>
      </c>
      <c r="AU174" s="31">
        <f t="shared" si="136"/>
        <v>0</v>
      </c>
      <c r="AV174" s="2">
        <f t="shared" si="137"/>
        <v>0</v>
      </c>
      <c r="AW174" s="33">
        <f t="shared" si="138"/>
        <v>1.24</v>
      </c>
      <c r="AX174" s="31">
        <f t="shared" si="139"/>
        <v>1.6</v>
      </c>
      <c r="AY174" s="33">
        <f t="shared" si="140"/>
        <v>1</v>
      </c>
      <c r="AZ174" s="2"/>
      <c r="BA174" s="101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 ht="12" customHeight="1">
      <c r="A175" s="2"/>
      <c r="B175" s="107">
        <v>100</v>
      </c>
      <c r="C175" s="31">
        <v>10</v>
      </c>
      <c r="D175" s="106" t="s">
        <v>6</v>
      </c>
      <c r="E175" s="2" t="s">
        <v>146</v>
      </c>
      <c r="F175" s="2"/>
      <c r="G175" s="2"/>
      <c r="H175" s="33"/>
      <c r="I175" s="99">
        <f t="shared" si="0"/>
        <v>719.37809972272123</v>
      </c>
      <c r="J175" s="101">
        <f t="shared" si="1"/>
        <v>23.45</v>
      </c>
      <c r="K175" s="101">
        <f t="shared" si="2"/>
        <v>336</v>
      </c>
      <c r="L175" s="74">
        <f t="shared" si="3"/>
        <v>98</v>
      </c>
      <c r="M175" s="99">
        <f t="shared" si="4"/>
        <v>14387.561994454425</v>
      </c>
      <c r="N175" s="108">
        <f t="shared" si="92"/>
        <v>14387.561994454425</v>
      </c>
      <c r="O175" s="108"/>
      <c r="P175" s="108"/>
      <c r="Q175" s="108"/>
      <c r="R175" s="109"/>
      <c r="S175" s="99">
        <f t="shared" si="6"/>
        <v>10896.511166074539</v>
      </c>
      <c r="T175" s="108">
        <f t="shared" si="126"/>
        <v>10896.511166074539</v>
      </c>
      <c r="U175" s="108"/>
      <c r="V175" s="108"/>
      <c r="W175" s="108"/>
      <c r="X175" s="109"/>
      <c r="Y175" s="99">
        <f t="shared" si="8"/>
        <v>21793.022332149078</v>
      </c>
      <c r="Z175" s="108">
        <f t="shared" si="9"/>
        <v>21793.022332149078</v>
      </c>
      <c r="AA175" s="108"/>
      <c r="AB175" s="108"/>
      <c r="AC175" s="108"/>
      <c r="AD175" s="109"/>
      <c r="AE175" s="99">
        <f t="shared" ref="AE175:AF175" si="146">AO175</f>
        <v>20</v>
      </c>
      <c r="AF175" s="101">
        <f t="shared" si="146"/>
        <v>36</v>
      </c>
      <c r="AG175" s="101">
        <f t="shared" si="128"/>
        <v>19.001300000000001</v>
      </c>
      <c r="AH175" s="101">
        <f t="shared" si="129"/>
        <v>469</v>
      </c>
      <c r="AI175" s="101">
        <f t="shared" si="84"/>
        <v>268.61079999999998</v>
      </c>
      <c r="AJ175" s="108">
        <f t="shared" si="130"/>
        <v>2.5</v>
      </c>
      <c r="AK175" s="101">
        <f t="shared" si="15"/>
        <v>5675.2662323304885</v>
      </c>
      <c r="AL175" s="101">
        <f t="shared" si="131"/>
        <v>5675.2662323304885</v>
      </c>
      <c r="AM175" s="101"/>
      <c r="AN175" s="101"/>
      <c r="AO175" s="1">
        <v>20</v>
      </c>
      <c r="AP175" s="2">
        <v>36</v>
      </c>
      <c r="AQ175" s="74">
        <f t="shared" si="132"/>
        <v>469</v>
      </c>
      <c r="AR175" s="31">
        <f t="shared" si="133"/>
        <v>1</v>
      </c>
      <c r="AS175" s="2">
        <f t="shared" si="134"/>
        <v>0</v>
      </c>
      <c r="AT175" s="33">
        <f t="shared" si="135"/>
        <v>1.2</v>
      </c>
      <c r="AU175" s="31">
        <f t="shared" si="136"/>
        <v>0</v>
      </c>
      <c r="AV175" s="2">
        <f t="shared" si="137"/>
        <v>0</v>
      </c>
      <c r="AW175" s="33">
        <f t="shared" si="138"/>
        <v>1</v>
      </c>
      <c r="AX175" s="31">
        <f t="shared" si="139"/>
        <v>1.6</v>
      </c>
      <c r="AY175" s="33">
        <f t="shared" si="140"/>
        <v>1</v>
      </c>
      <c r="AZ175" s="2"/>
      <c r="BA175" s="101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 ht="12" customHeight="1">
      <c r="A176" s="2"/>
      <c r="B176" s="107">
        <v>101</v>
      </c>
      <c r="C176" s="31">
        <v>10</v>
      </c>
      <c r="D176" s="106" t="s">
        <v>6</v>
      </c>
      <c r="E176" s="2" t="s">
        <v>159</v>
      </c>
      <c r="F176" s="2"/>
      <c r="G176" s="2" t="s">
        <v>183</v>
      </c>
      <c r="H176" s="33"/>
      <c r="I176" s="99">
        <f t="shared" si="0"/>
        <v>1270.5589391989492</v>
      </c>
      <c r="J176" s="101">
        <f t="shared" si="1"/>
        <v>23.45</v>
      </c>
      <c r="K176" s="101">
        <f t="shared" si="2"/>
        <v>76</v>
      </c>
      <c r="L176" s="74">
        <f t="shared" si="3"/>
        <v>7</v>
      </c>
      <c r="M176" s="99">
        <f t="shared" si="4"/>
        <v>25411.178783978987</v>
      </c>
      <c r="N176" s="108">
        <f t="shared" si="92"/>
        <v>25411.178783978987</v>
      </c>
      <c r="O176" s="108"/>
      <c r="P176" s="108"/>
      <c r="Q176" s="108"/>
      <c r="R176" s="109"/>
      <c r="S176" s="99">
        <f t="shared" si="6"/>
        <v>10896.511166074539</v>
      </c>
      <c r="T176" s="108">
        <f t="shared" si="126"/>
        <v>10896.511166074539</v>
      </c>
      <c r="U176" s="108"/>
      <c r="V176" s="108"/>
      <c r="W176" s="108"/>
      <c r="X176" s="109"/>
      <c r="Y176" s="99">
        <f t="shared" si="8"/>
        <v>21793.022332149078</v>
      </c>
      <c r="Z176" s="108">
        <f t="shared" si="9"/>
        <v>21793.022332149078</v>
      </c>
      <c r="AA176" s="108"/>
      <c r="AB176" s="108"/>
      <c r="AC176" s="108"/>
      <c r="AD176" s="109"/>
      <c r="AE176" s="99">
        <f t="shared" ref="AE176:AF176" si="147">AO176</f>
        <v>20</v>
      </c>
      <c r="AF176" s="101">
        <f t="shared" si="147"/>
        <v>36</v>
      </c>
      <c r="AG176" s="101">
        <f t="shared" si="128"/>
        <v>79.001300000000001</v>
      </c>
      <c r="AH176" s="101">
        <f t="shared" si="129"/>
        <v>469</v>
      </c>
      <c r="AI176" s="101">
        <f t="shared" si="84"/>
        <v>268.61079999999998</v>
      </c>
      <c r="AJ176" s="108">
        <f t="shared" si="130"/>
        <v>2.5</v>
      </c>
      <c r="AK176" s="101">
        <f t="shared" si="15"/>
        <v>5675.2662323304885</v>
      </c>
      <c r="AL176" s="101">
        <f t="shared" si="131"/>
        <v>5675.2662323304885</v>
      </c>
      <c r="AM176" s="101"/>
      <c r="AN176" s="101"/>
      <c r="AO176" s="1">
        <v>20</v>
      </c>
      <c r="AP176" s="2">
        <v>36</v>
      </c>
      <c r="AQ176" s="74">
        <f t="shared" si="132"/>
        <v>469</v>
      </c>
      <c r="AR176" s="31">
        <f t="shared" si="133"/>
        <v>1</v>
      </c>
      <c r="AS176" s="2">
        <f t="shared" si="134"/>
        <v>0</v>
      </c>
      <c r="AT176" s="33">
        <f t="shared" si="135"/>
        <v>1.2</v>
      </c>
      <c r="AU176" s="31">
        <f t="shared" si="136"/>
        <v>0</v>
      </c>
      <c r="AV176" s="2">
        <f t="shared" si="137"/>
        <v>60</v>
      </c>
      <c r="AW176" s="33">
        <f t="shared" si="138"/>
        <v>1</v>
      </c>
      <c r="AX176" s="31">
        <f t="shared" si="139"/>
        <v>1.6</v>
      </c>
      <c r="AY176" s="33">
        <f t="shared" si="140"/>
        <v>1</v>
      </c>
      <c r="AZ176" s="2"/>
      <c r="BA176" s="101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 ht="12" customHeight="1">
      <c r="A177" s="2"/>
      <c r="B177" s="107">
        <v>102</v>
      </c>
      <c r="C177" s="31">
        <v>10</v>
      </c>
      <c r="D177" s="106" t="s">
        <v>6</v>
      </c>
      <c r="E177" s="2" t="s">
        <v>147</v>
      </c>
      <c r="F177" s="2"/>
      <c r="G177" s="2" t="s">
        <v>86</v>
      </c>
      <c r="H177" s="33"/>
      <c r="I177" s="99">
        <f t="shared" si="0"/>
        <v>892.0288436561741</v>
      </c>
      <c r="J177" s="101">
        <f t="shared" si="1"/>
        <v>23.45</v>
      </c>
      <c r="K177" s="101">
        <f t="shared" si="2"/>
        <v>213</v>
      </c>
      <c r="L177" s="74">
        <f t="shared" si="3"/>
        <v>50</v>
      </c>
      <c r="M177" s="99">
        <f t="shared" si="4"/>
        <v>17840.576873123482</v>
      </c>
      <c r="N177" s="108">
        <f t="shared" si="92"/>
        <v>17840.576873123482</v>
      </c>
      <c r="O177" s="108"/>
      <c r="P177" s="108"/>
      <c r="Q177" s="108"/>
      <c r="R177" s="109"/>
      <c r="S177" s="99">
        <f t="shared" si="6"/>
        <v>13511.673845932426</v>
      </c>
      <c r="T177" s="108">
        <f t="shared" si="126"/>
        <v>13511.673845932426</v>
      </c>
      <c r="U177" s="108"/>
      <c r="V177" s="108"/>
      <c r="W177" s="108"/>
      <c r="X177" s="109"/>
      <c r="Y177" s="99">
        <f t="shared" si="8"/>
        <v>27023.347691864852</v>
      </c>
      <c r="Z177" s="108">
        <f t="shared" si="9"/>
        <v>27023.347691864852</v>
      </c>
      <c r="AA177" s="108"/>
      <c r="AB177" s="108"/>
      <c r="AC177" s="108"/>
      <c r="AD177" s="109"/>
      <c r="AE177" s="99">
        <f t="shared" ref="AE177:AF177" si="148">AO177</f>
        <v>20</v>
      </c>
      <c r="AF177" s="101">
        <f t="shared" si="148"/>
        <v>36</v>
      </c>
      <c r="AG177" s="101">
        <f t="shared" si="128"/>
        <v>19.001300000000001</v>
      </c>
      <c r="AH177" s="101">
        <f t="shared" si="129"/>
        <v>469</v>
      </c>
      <c r="AI177" s="101">
        <f t="shared" si="84"/>
        <v>268.61079999999998</v>
      </c>
      <c r="AJ177" s="108">
        <f t="shared" si="130"/>
        <v>2.5</v>
      </c>
      <c r="AK177" s="101">
        <f t="shared" si="15"/>
        <v>5675.2662323304885</v>
      </c>
      <c r="AL177" s="101">
        <f t="shared" si="131"/>
        <v>5675.2662323304885</v>
      </c>
      <c r="AM177" s="101"/>
      <c r="AN177" s="101"/>
      <c r="AO177" s="1">
        <v>20</v>
      </c>
      <c r="AP177" s="2">
        <v>36</v>
      </c>
      <c r="AQ177" s="74">
        <f t="shared" si="132"/>
        <v>469</v>
      </c>
      <c r="AR177" s="31">
        <f t="shared" si="133"/>
        <v>1</v>
      </c>
      <c r="AS177" s="2">
        <f t="shared" si="134"/>
        <v>0</v>
      </c>
      <c r="AT177" s="33">
        <f t="shared" si="135"/>
        <v>1.2</v>
      </c>
      <c r="AU177" s="31">
        <f t="shared" si="136"/>
        <v>0</v>
      </c>
      <c r="AV177" s="2">
        <f t="shared" si="137"/>
        <v>0</v>
      </c>
      <c r="AW177" s="33">
        <f t="shared" si="138"/>
        <v>1.24</v>
      </c>
      <c r="AX177" s="31">
        <f t="shared" si="139"/>
        <v>1.6</v>
      </c>
      <c r="AY177" s="33">
        <f t="shared" si="140"/>
        <v>1</v>
      </c>
      <c r="AZ177" s="2"/>
      <c r="BA177" s="101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 ht="12" customHeight="1">
      <c r="A178" s="2"/>
      <c r="B178" s="107">
        <v>103</v>
      </c>
      <c r="C178" s="31">
        <v>10</v>
      </c>
      <c r="D178" s="106" t="s">
        <v>6</v>
      </c>
      <c r="E178" s="2" t="s">
        <v>92</v>
      </c>
      <c r="F178" s="2"/>
      <c r="G178" s="2"/>
      <c r="H178" s="33"/>
      <c r="I178" s="99">
        <f t="shared" si="0"/>
        <v>524.54653104781744</v>
      </c>
      <c r="J178" s="101">
        <f t="shared" si="1"/>
        <v>23.45</v>
      </c>
      <c r="K178" s="101">
        <f t="shared" si="2"/>
        <v>569</v>
      </c>
      <c r="L178" s="74">
        <f t="shared" si="3"/>
        <v>202</v>
      </c>
      <c r="M178" s="99">
        <f t="shared" si="4"/>
        <v>10490.930620956349</v>
      </c>
      <c r="N178" s="108">
        <f t="shared" si="92"/>
        <v>10490.930620956349</v>
      </c>
      <c r="O178" s="108"/>
      <c r="P178" s="108"/>
      <c r="Q178" s="108"/>
      <c r="R178" s="109"/>
      <c r="S178" s="99">
        <f t="shared" si="6"/>
        <v>7945.3727252626832</v>
      </c>
      <c r="T178" s="108">
        <f t="shared" si="126"/>
        <v>7945.3727252626832</v>
      </c>
      <c r="U178" s="108"/>
      <c r="V178" s="108"/>
      <c r="W178" s="108"/>
      <c r="X178" s="109"/>
      <c r="Y178" s="99">
        <f t="shared" si="8"/>
        <v>15890.745450525365</v>
      </c>
      <c r="Z178" s="108">
        <f t="shared" si="9"/>
        <v>15890.745450525365</v>
      </c>
      <c r="AA178" s="108"/>
      <c r="AB178" s="108"/>
      <c r="AC178" s="108"/>
      <c r="AD178" s="109"/>
      <c r="AE178" s="99">
        <f t="shared" ref="AE178:AF178" si="149">AO178</f>
        <v>20</v>
      </c>
      <c r="AF178" s="101">
        <f t="shared" si="149"/>
        <v>36</v>
      </c>
      <c r="AG178" s="101">
        <f t="shared" si="128"/>
        <v>19.001300000000001</v>
      </c>
      <c r="AH178" s="101">
        <f t="shared" si="129"/>
        <v>469</v>
      </c>
      <c r="AI178" s="101">
        <f t="shared" si="84"/>
        <v>268.61079999999998</v>
      </c>
      <c r="AJ178" s="108">
        <f t="shared" si="130"/>
        <v>1.6666666666666667</v>
      </c>
      <c r="AK178" s="101">
        <f t="shared" si="15"/>
        <v>5675.2662323304885</v>
      </c>
      <c r="AL178" s="101">
        <f t="shared" si="131"/>
        <v>5675.2662323304885</v>
      </c>
      <c r="AM178" s="101"/>
      <c r="AN178" s="101"/>
      <c r="AO178" s="1">
        <v>20</v>
      </c>
      <c r="AP178" s="2">
        <v>36</v>
      </c>
      <c r="AQ178" s="74">
        <f t="shared" si="132"/>
        <v>469</v>
      </c>
      <c r="AR178" s="31">
        <f t="shared" si="133"/>
        <v>1</v>
      </c>
      <c r="AS178" s="2">
        <f t="shared" si="134"/>
        <v>0</v>
      </c>
      <c r="AT178" s="33">
        <f t="shared" si="135"/>
        <v>1</v>
      </c>
      <c r="AU178" s="31">
        <f t="shared" si="136"/>
        <v>0</v>
      </c>
      <c r="AV178" s="2">
        <f t="shared" si="137"/>
        <v>0</v>
      </c>
      <c r="AW178" s="33">
        <f t="shared" si="138"/>
        <v>1</v>
      </c>
      <c r="AX178" s="31">
        <f t="shared" si="139"/>
        <v>1</v>
      </c>
      <c r="AY178" s="33">
        <f t="shared" si="140"/>
        <v>1.4</v>
      </c>
      <c r="AZ178" s="2"/>
      <c r="BA178" s="101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 ht="12" customHeight="1">
      <c r="A179" s="2"/>
      <c r="B179" s="107">
        <v>104</v>
      </c>
      <c r="C179" s="31">
        <v>10</v>
      </c>
      <c r="D179" s="106" t="s">
        <v>6</v>
      </c>
      <c r="E179" s="2" t="s">
        <v>95</v>
      </c>
      <c r="F179" s="2"/>
      <c r="G179" s="2" t="s">
        <v>183</v>
      </c>
      <c r="H179" s="33"/>
      <c r="I179" s="99">
        <f t="shared" si="0"/>
        <v>926.44922649923376</v>
      </c>
      <c r="J179" s="101">
        <f t="shared" si="1"/>
        <v>23.45</v>
      </c>
      <c r="K179" s="101">
        <f t="shared" si="2"/>
        <v>191</v>
      </c>
      <c r="L179" s="74">
        <f t="shared" si="3"/>
        <v>41</v>
      </c>
      <c r="M179" s="99">
        <f t="shared" si="4"/>
        <v>18528.984529984675</v>
      </c>
      <c r="N179" s="108">
        <f t="shared" si="92"/>
        <v>18528.984529984675</v>
      </c>
      <c r="O179" s="108"/>
      <c r="P179" s="108"/>
      <c r="Q179" s="108"/>
      <c r="R179" s="109"/>
      <c r="S179" s="99">
        <f t="shared" si="6"/>
        <v>7945.3727252626832</v>
      </c>
      <c r="T179" s="108">
        <f t="shared" si="126"/>
        <v>7945.3727252626832</v>
      </c>
      <c r="U179" s="108"/>
      <c r="V179" s="108"/>
      <c r="W179" s="108"/>
      <c r="X179" s="109"/>
      <c r="Y179" s="99">
        <f t="shared" si="8"/>
        <v>15890.745450525365</v>
      </c>
      <c r="Z179" s="108">
        <f t="shared" si="9"/>
        <v>15890.745450525365</v>
      </c>
      <c r="AA179" s="108"/>
      <c r="AB179" s="108"/>
      <c r="AC179" s="108"/>
      <c r="AD179" s="109"/>
      <c r="AE179" s="99">
        <f t="shared" ref="AE179:AF179" si="150">AO179</f>
        <v>20</v>
      </c>
      <c r="AF179" s="101">
        <f t="shared" si="150"/>
        <v>36</v>
      </c>
      <c r="AG179" s="101">
        <f t="shared" si="128"/>
        <v>79.001300000000001</v>
      </c>
      <c r="AH179" s="101">
        <f t="shared" si="129"/>
        <v>469</v>
      </c>
      <c r="AI179" s="101">
        <f t="shared" si="84"/>
        <v>268.61079999999998</v>
      </c>
      <c r="AJ179" s="108">
        <f t="shared" si="130"/>
        <v>1.6666666666666667</v>
      </c>
      <c r="AK179" s="101">
        <f t="shared" si="15"/>
        <v>5675.2662323304885</v>
      </c>
      <c r="AL179" s="101">
        <f t="shared" si="131"/>
        <v>5675.2662323304885</v>
      </c>
      <c r="AM179" s="101"/>
      <c r="AN179" s="101"/>
      <c r="AO179" s="1">
        <v>20</v>
      </c>
      <c r="AP179" s="2">
        <v>36</v>
      </c>
      <c r="AQ179" s="74">
        <f t="shared" si="132"/>
        <v>469</v>
      </c>
      <c r="AR179" s="31">
        <f t="shared" si="133"/>
        <v>1</v>
      </c>
      <c r="AS179" s="2">
        <f t="shared" si="134"/>
        <v>0</v>
      </c>
      <c r="AT179" s="33">
        <f t="shared" si="135"/>
        <v>1</v>
      </c>
      <c r="AU179" s="31">
        <f t="shared" si="136"/>
        <v>0</v>
      </c>
      <c r="AV179" s="2">
        <f t="shared" si="137"/>
        <v>60</v>
      </c>
      <c r="AW179" s="33">
        <f t="shared" si="138"/>
        <v>1</v>
      </c>
      <c r="AX179" s="31">
        <f t="shared" si="139"/>
        <v>1</v>
      </c>
      <c r="AY179" s="33">
        <f t="shared" si="140"/>
        <v>1.4</v>
      </c>
      <c r="AZ179" s="2"/>
      <c r="BA179" s="101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 ht="12" customHeight="1">
      <c r="A180" s="2"/>
      <c r="B180" s="107">
        <v>105</v>
      </c>
      <c r="C180" s="31">
        <v>10</v>
      </c>
      <c r="D180" s="106" t="s">
        <v>6</v>
      </c>
      <c r="E180" s="2" t="s">
        <v>98</v>
      </c>
      <c r="F180" s="2"/>
      <c r="G180" s="2" t="s">
        <v>86</v>
      </c>
      <c r="H180" s="33"/>
      <c r="I180" s="99">
        <f t="shared" si="0"/>
        <v>650.43769849929367</v>
      </c>
      <c r="J180" s="101">
        <f t="shared" si="1"/>
        <v>23.45</v>
      </c>
      <c r="K180" s="101">
        <f t="shared" si="2"/>
        <v>405</v>
      </c>
      <c r="L180" s="74">
        <f t="shared" si="3"/>
        <v>128</v>
      </c>
      <c r="M180" s="99">
        <f t="shared" si="4"/>
        <v>13008.753969985873</v>
      </c>
      <c r="N180" s="108">
        <f t="shared" si="92"/>
        <v>13008.753969985873</v>
      </c>
      <c r="O180" s="108"/>
      <c r="P180" s="108"/>
      <c r="Q180" s="108"/>
      <c r="R180" s="109"/>
      <c r="S180" s="99">
        <f t="shared" si="6"/>
        <v>9852.2621793257276</v>
      </c>
      <c r="T180" s="108">
        <f t="shared" si="126"/>
        <v>9852.2621793257276</v>
      </c>
      <c r="U180" s="108"/>
      <c r="V180" s="108"/>
      <c r="W180" s="108"/>
      <c r="X180" s="109"/>
      <c r="Y180" s="99">
        <f t="shared" si="8"/>
        <v>19704.524358651455</v>
      </c>
      <c r="Z180" s="108">
        <f t="shared" si="9"/>
        <v>19704.524358651455</v>
      </c>
      <c r="AA180" s="108"/>
      <c r="AB180" s="108"/>
      <c r="AC180" s="108"/>
      <c r="AD180" s="109"/>
      <c r="AE180" s="99">
        <f t="shared" ref="AE180:AF180" si="151">AO180</f>
        <v>20</v>
      </c>
      <c r="AF180" s="101">
        <f t="shared" si="151"/>
        <v>36</v>
      </c>
      <c r="AG180" s="101">
        <f t="shared" si="128"/>
        <v>19.001300000000001</v>
      </c>
      <c r="AH180" s="101">
        <f t="shared" si="129"/>
        <v>469</v>
      </c>
      <c r="AI180" s="101">
        <f t="shared" si="84"/>
        <v>268.61079999999998</v>
      </c>
      <c r="AJ180" s="108">
        <f t="shared" si="130"/>
        <v>1.6666666666666667</v>
      </c>
      <c r="AK180" s="101">
        <f t="shared" si="15"/>
        <v>5675.2662323304885</v>
      </c>
      <c r="AL180" s="101">
        <f t="shared" si="131"/>
        <v>5675.2662323304885</v>
      </c>
      <c r="AM180" s="101"/>
      <c r="AN180" s="101"/>
      <c r="AO180" s="1">
        <v>20</v>
      </c>
      <c r="AP180" s="2">
        <v>36</v>
      </c>
      <c r="AQ180" s="74">
        <f t="shared" si="132"/>
        <v>469</v>
      </c>
      <c r="AR180" s="31">
        <f t="shared" si="133"/>
        <v>1</v>
      </c>
      <c r="AS180" s="2">
        <f t="shared" si="134"/>
        <v>0</v>
      </c>
      <c r="AT180" s="33">
        <f t="shared" si="135"/>
        <v>1</v>
      </c>
      <c r="AU180" s="31">
        <f t="shared" si="136"/>
        <v>0</v>
      </c>
      <c r="AV180" s="2">
        <f t="shared" si="137"/>
        <v>0</v>
      </c>
      <c r="AW180" s="33">
        <f t="shared" si="138"/>
        <v>1.24</v>
      </c>
      <c r="AX180" s="31">
        <f t="shared" si="139"/>
        <v>1</v>
      </c>
      <c r="AY180" s="33">
        <f t="shared" si="140"/>
        <v>1.4</v>
      </c>
      <c r="AZ180" s="2"/>
      <c r="BA180" s="101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 ht="12" customHeight="1">
      <c r="A181" s="2"/>
      <c r="B181" s="107">
        <v>106</v>
      </c>
      <c r="C181" s="31">
        <v>10</v>
      </c>
      <c r="D181" s="106" t="s">
        <v>6</v>
      </c>
      <c r="E181" s="2" t="s">
        <v>151</v>
      </c>
      <c r="F181" s="2"/>
      <c r="G181" s="2"/>
      <c r="H181" s="33"/>
      <c r="I181" s="99">
        <f t="shared" si="0"/>
        <v>524.54653104781744</v>
      </c>
      <c r="J181" s="101">
        <f t="shared" si="1"/>
        <v>11.725</v>
      </c>
      <c r="K181" s="101">
        <f t="shared" si="2"/>
        <v>569</v>
      </c>
      <c r="L181" s="74">
        <f t="shared" si="3"/>
        <v>202</v>
      </c>
      <c r="M181" s="99">
        <f t="shared" si="4"/>
        <v>10490.930620956349</v>
      </c>
      <c r="N181" s="108">
        <f t="shared" si="92"/>
        <v>10490.930620956349</v>
      </c>
      <c r="O181" s="108"/>
      <c r="P181" s="108"/>
      <c r="Q181" s="108"/>
      <c r="R181" s="109"/>
      <c r="S181" s="99">
        <f t="shared" si="6"/>
        <v>7945.3727252626832</v>
      </c>
      <c r="T181" s="108">
        <f t="shared" si="126"/>
        <v>7945.3727252626832</v>
      </c>
      <c r="U181" s="108"/>
      <c r="V181" s="108"/>
      <c r="W181" s="108"/>
      <c r="X181" s="109"/>
      <c r="Y181" s="99">
        <f t="shared" si="8"/>
        <v>15890.745450525365</v>
      </c>
      <c r="Z181" s="108">
        <f t="shared" si="9"/>
        <v>15890.745450525365</v>
      </c>
      <c r="AA181" s="108"/>
      <c r="AB181" s="108"/>
      <c r="AC181" s="108"/>
      <c r="AD181" s="109"/>
      <c r="AE181" s="99">
        <f t="shared" ref="AE181:AF181" si="152">AO181</f>
        <v>20</v>
      </c>
      <c r="AF181" s="101">
        <f t="shared" si="152"/>
        <v>36</v>
      </c>
      <c r="AG181" s="101">
        <f t="shared" si="128"/>
        <v>19.001300000000001</v>
      </c>
      <c r="AH181" s="101">
        <f t="shared" si="129"/>
        <v>234.5</v>
      </c>
      <c r="AI181" s="101">
        <f t="shared" si="84"/>
        <v>268.61079999999998</v>
      </c>
      <c r="AJ181" s="108">
        <f t="shared" si="130"/>
        <v>1.6666666666666667</v>
      </c>
      <c r="AK181" s="101">
        <f t="shared" si="15"/>
        <v>5675.2662323304885</v>
      </c>
      <c r="AL181" s="101">
        <f t="shared" si="131"/>
        <v>5675.2662323304885</v>
      </c>
      <c r="AM181" s="101"/>
      <c r="AN181" s="101"/>
      <c r="AO181" s="1">
        <v>20</v>
      </c>
      <c r="AP181" s="2">
        <v>36</v>
      </c>
      <c r="AQ181" s="74">
        <f t="shared" si="132"/>
        <v>469</v>
      </c>
      <c r="AR181" s="31">
        <f t="shared" si="133"/>
        <v>0.5</v>
      </c>
      <c r="AS181" s="2">
        <f t="shared" si="134"/>
        <v>0</v>
      </c>
      <c r="AT181" s="33">
        <f t="shared" si="135"/>
        <v>1</v>
      </c>
      <c r="AU181" s="31">
        <f t="shared" si="136"/>
        <v>0</v>
      </c>
      <c r="AV181" s="2">
        <f t="shared" si="137"/>
        <v>0</v>
      </c>
      <c r="AW181" s="33">
        <f t="shared" si="138"/>
        <v>1</v>
      </c>
      <c r="AX181" s="31">
        <f t="shared" si="139"/>
        <v>1</v>
      </c>
      <c r="AY181" s="33">
        <f t="shared" si="140"/>
        <v>1.4</v>
      </c>
      <c r="AZ181" s="2"/>
      <c r="BA181" s="101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 ht="12" customHeight="1">
      <c r="A182" s="2"/>
      <c r="B182" s="107">
        <v>107</v>
      </c>
      <c r="C182" s="31">
        <v>10</v>
      </c>
      <c r="D182" s="106" t="s">
        <v>6</v>
      </c>
      <c r="E182" s="2" t="s">
        <v>154</v>
      </c>
      <c r="F182" s="2"/>
      <c r="G182" s="2" t="s">
        <v>183</v>
      </c>
      <c r="H182" s="33"/>
      <c r="I182" s="99">
        <f t="shared" si="0"/>
        <v>926.44922649923376</v>
      </c>
      <c r="J182" s="101">
        <f t="shared" si="1"/>
        <v>11.725</v>
      </c>
      <c r="K182" s="101">
        <f t="shared" si="2"/>
        <v>191</v>
      </c>
      <c r="L182" s="74">
        <f t="shared" si="3"/>
        <v>41</v>
      </c>
      <c r="M182" s="99">
        <f t="shared" si="4"/>
        <v>18528.984529984675</v>
      </c>
      <c r="N182" s="108">
        <f t="shared" si="92"/>
        <v>18528.984529984675</v>
      </c>
      <c r="O182" s="108"/>
      <c r="P182" s="108"/>
      <c r="Q182" s="108"/>
      <c r="R182" s="109"/>
      <c r="S182" s="99">
        <f t="shared" si="6"/>
        <v>7945.3727252626832</v>
      </c>
      <c r="T182" s="108">
        <f t="shared" si="126"/>
        <v>7945.3727252626832</v>
      </c>
      <c r="U182" s="108"/>
      <c r="V182" s="108"/>
      <c r="W182" s="108"/>
      <c r="X182" s="109"/>
      <c r="Y182" s="99">
        <f t="shared" si="8"/>
        <v>15890.745450525365</v>
      </c>
      <c r="Z182" s="108">
        <f t="shared" si="9"/>
        <v>15890.745450525365</v>
      </c>
      <c r="AA182" s="108"/>
      <c r="AB182" s="108"/>
      <c r="AC182" s="108"/>
      <c r="AD182" s="109"/>
      <c r="AE182" s="99">
        <f t="shared" ref="AE182:AF182" si="153">AO182</f>
        <v>20</v>
      </c>
      <c r="AF182" s="101">
        <f t="shared" si="153"/>
        <v>36</v>
      </c>
      <c r="AG182" s="101">
        <f t="shared" si="128"/>
        <v>79.001300000000001</v>
      </c>
      <c r="AH182" s="101">
        <f t="shared" si="129"/>
        <v>234.5</v>
      </c>
      <c r="AI182" s="101">
        <f t="shared" si="84"/>
        <v>268.61079999999998</v>
      </c>
      <c r="AJ182" s="108">
        <f t="shared" si="130"/>
        <v>1.6666666666666667</v>
      </c>
      <c r="AK182" s="101">
        <f t="shared" si="15"/>
        <v>5675.2662323304885</v>
      </c>
      <c r="AL182" s="101">
        <f t="shared" si="131"/>
        <v>5675.2662323304885</v>
      </c>
      <c r="AM182" s="101"/>
      <c r="AN182" s="101"/>
      <c r="AO182" s="1">
        <v>20</v>
      </c>
      <c r="AP182" s="2">
        <v>36</v>
      </c>
      <c r="AQ182" s="74">
        <f t="shared" si="132"/>
        <v>469</v>
      </c>
      <c r="AR182" s="31">
        <f t="shared" si="133"/>
        <v>0.5</v>
      </c>
      <c r="AS182" s="2">
        <f t="shared" si="134"/>
        <v>0</v>
      </c>
      <c r="AT182" s="33">
        <f t="shared" si="135"/>
        <v>1</v>
      </c>
      <c r="AU182" s="31">
        <f t="shared" si="136"/>
        <v>0</v>
      </c>
      <c r="AV182" s="2">
        <f t="shared" si="137"/>
        <v>60</v>
      </c>
      <c r="AW182" s="33">
        <f t="shared" si="138"/>
        <v>1</v>
      </c>
      <c r="AX182" s="31">
        <f t="shared" si="139"/>
        <v>1</v>
      </c>
      <c r="AY182" s="33">
        <f t="shared" si="140"/>
        <v>1.4</v>
      </c>
      <c r="AZ182" s="2"/>
      <c r="BA182" s="101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 ht="12" customHeight="1">
      <c r="A183" s="2"/>
      <c r="B183" s="107">
        <v>108</v>
      </c>
      <c r="C183" s="31">
        <v>10</v>
      </c>
      <c r="D183" s="106" t="s">
        <v>6</v>
      </c>
      <c r="E183" s="2" t="s">
        <v>157</v>
      </c>
      <c r="F183" s="2"/>
      <c r="G183" s="2" t="s">
        <v>86</v>
      </c>
      <c r="H183" s="33"/>
      <c r="I183" s="99">
        <f t="shared" si="0"/>
        <v>650.43769849929367</v>
      </c>
      <c r="J183" s="101">
        <f t="shared" si="1"/>
        <v>11.725</v>
      </c>
      <c r="K183" s="101">
        <f t="shared" si="2"/>
        <v>405</v>
      </c>
      <c r="L183" s="74">
        <f t="shared" si="3"/>
        <v>128</v>
      </c>
      <c r="M183" s="99">
        <f t="shared" si="4"/>
        <v>13008.753969985873</v>
      </c>
      <c r="N183" s="108">
        <f t="shared" si="92"/>
        <v>13008.753969985873</v>
      </c>
      <c r="O183" s="108"/>
      <c r="P183" s="108"/>
      <c r="Q183" s="108"/>
      <c r="R183" s="109"/>
      <c r="S183" s="99">
        <f t="shared" si="6"/>
        <v>9852.2621793257276</v>
      </c>
      <c r="T183" s="108">
        <f t="shared" si="126"/>
        <v>9852.2621793257276</v>
      </c>
      <c r="U183" s="108"/>
      <c r="V183" s="108"/>
      <c r="W183" s="108"/>
      <c r="X183" s="109"/>
      <c r="Y183" s="99">
        <f t="shared" si="8"/>
        <v>19704.524358651455</v>
      </c>
      <c r="Z183" s="108">
        <f t="shared" si="9"/>
        <v>19704.524358651455</v>
      </c>
      <c r="AA183" s="108"/>
      <c r="AB183" s="108"/>
      <c r="AC183" s="108"/>
      <c r="AD183" s="109"/>
      <c r="AE183" s="99">
        <f t="shared" ref="AE183:AF183" si="154">AO183</f>
        <v>20</v>
      </c>
      <c r="AF183" s="101">
        <f t="shared" si="154"/>
        <v>36</v>
      </c>
      <c r="AG183" s="101">
        <f t="shared" si="128"/>
        <v>19.001300000000001</v>
      </c>
      <c r="AH183" s="101">
        <f t="shared" si="129"/>
        <v>234.5</v>
      </c>
      <c r="AI183" s="101">
        <f t="shared" si="84"/>
        <v>268.61079999999998</v>
      </c>
      <c r="AJ183" s="108">
        <f t="shared" si="130"/>
        <v>1.6666666666666667</v>
      </c>
      <c r="AK183" s="101">
        <f t="shared" si="15"/>
        <v>5675.2662323304885</v>
      </c>
      <c r="AL183" s="101">
        <f t="shared" si="131"/>
        <v>5675.2662323304885</v>
      </c>
      <c r="AM183" s="101"/>
      <c r="AN183" s="101"/>
      <c r="AO183" s="1">
        <v>20</v>
      </c>
      <c r="AP183" s="2">
        <v>36</v>
      </c>
      <c r="AQ183" s="74">
        <f t="shared" si="132"/>
        <v>469</v>
      </c>
      <c r="AR183" s="31">
        <f t="shared" si="133"/>
        <v>0.5</v>
      </c>
      <c r="AS183" s="2">
        <f t="shared" si="134"/>
        <v>0</v>
      </c>
      <c r="AT183" s="33">
        <f t="shared" si="135"/>
        <v>1</v>
      </c>
      <c r="AU183" s="31">
        <f t="shared" si="136"/>
        <v>0</v>
      </c>
      <c r="AV183" s="2">
        <f t="shared" si="137"/>
        <v>0</v>
      </c>
      <c r="AW183" s="33">
        <f t="shared" si="138"/>
        <v>1.24</v>
      </c>
      <c r="AX183" s="31">
        <f t="shared" si="139"/>
        <v>1</v>
      </c>
      <c r="AY183" s="33">
        <f t="shared" si="140"/>
        <v>1.4</v>
      </c>
      <c r="AZ183" s="2"/>
      <c r="BA183" s="101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 ht="12" customHeight="1">
      <c r="A184" s="2"/>
      <c r="B184" s="107">
        <v>109</v>
      </c>
      <c r="C184" s="31">
        <v>10</v>
      </c>
      <c r="D184" s="106" t="s">
        <v>6</v>
      </c>
      <c r="E184" s="2" t="s">
        <v>111</v>
      </c>
      <c r="F184" s="2"/>
      <c r="G184" s="2"/>
      <c r="H184" s="33"/>
      <c r="I184" s="99">
        <f t="shared" si="0"/>
        <v>629.45583725738084</v>
      </c>
      <c r="J184" s="101">
        <f t="shared" si="1"/>
        <v>23.45</v>
      </c>
      <c r="K184" s="101">
        <f t="shared" si="2"/>
        <v>432</v>
      </c>
      <c r="L184" s="74">
        <f t="shared" si="3"/>
        <v>142</v>
      </c>
      <c r="M184" s="99">
        <f t="shared" si="4"/>
        <v>12589.116745147618</v>
      </c>
      <c r="N184" s="108">
        <f t="shared" si="92"/>
        <v>12589.116745147618</v>
      </c>
      <c r="O184" s="108"/>
      <c r="P184" s="108"/>
      <c r="Q184" s="108"/>
      <c r="R184" s="109"/>
      <c r="S184" s="99">
        <f t="shared" si="6"/>
        <v>9534.4472703152187</v>
      </c>
      <c r="T184" s="108">
        <f t="shared" si="126"/>
        <v>9534.4472703152187</v>
      </c>
      <c r="U184" s="108"/>
      <c r="V184" s="108"/>
      <c r="W184" s="108"/>
      <c r="X184" s="109"/>
      <c r="Y184" s="99">
        <f t="shared" si="8"/>
        <v>19068.894540630437</v>
      </c>
      <c r="Z184" s="108">
        <f t="shared" si="9"/>
        <v>19068.894540630437</v>
      </c>
      <c r="AA184" s="108"/>
      <c r="AB184" s="108"/>
      <c r="AC184" s="108"/>
      <c r="AD184" s="109"/>
      <c r="AE184" s="99">
        <f t="shared" ref="AE184:AF184" si="155">AO184</f>
        <v>20</v>
      </c>
      <c r="AF184" s="101">
        <f t="shared" si="155"/>
        <v>36</v>
      </c>
      <c r="AG184" s="101">
        <f t="shared" si="128"/>
        <v>19.001300000000001</v>
      </c>
      <c r="AH184" s="101">
        <f t="shared" si="129"/>
        <v>469</v>
      </c>
      <c r="AI184" s="101">
        <f t="shared" si="84"/>
        <v>268.61079999999998</v>
      </c>
      <c r="AJ184" s="108">
        <f t="shared" si="130"/>
        <v>1.6666666666666667</v>
      </c>
      <c r="AK184" s="101">
        <f t="shared" si="15"/>
        <v>5675.2662323304885</v>
      </c>
      <c r="AL184" s="101">
        <f t="shared" si="131"/>
        <v>5675.2662323304885</v>
      </c>
      <c r="AM184" s="101"/>
      <c r="AN184" s="101"/>
      <c r="AO184" s="1">
        <v>20</v>
      </c>
      <c r="AP184" s="2">
        <v>36</v>
      </c>
      <c r="AQ184" s="74">
        <f t="shared" si="132"/>
        <v>469</v>
      </c>
      <c r="AR184" s="31">
        <f t="shared" si="133"/>
        <v>1</v>
      </c>
      <c r="AS184" s="2">
        <f t="shared" si="134"/>
        <v>0</v>
      </c>
      <c r="AT184" s="33">
        <f t="shared" si="135"/>
        <v>1.2</v>
      </c>
      <c r="AU184" s="31">
        <f t="shared" si="136"/>
        <v>0</v>
      </c>
      <c r="AV184" s="2">
        <f t="shared" si="137"/>
        <v>0</v>
      </c>
      <c r="AW184" s="33">
        <f t="shared" si="138"/>
        <v>1</v>
      </c>
      <c r="AX184" s="31">
        <f t="shared" si="139"/>
        <v>1</v>
      </c>
      <c r="AY184" s="33">
        <f t="shared" si="140"/>
        <v>1.4</v>
      </c>
      <c r="AZ184" s="2"/>
      <c r="BA184" s="101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 ht="12" customHeight="1">
      <c r="A185" s="2"/>
      <c r="B185" s="107">
        <v>110</v>
      </c>
      <c r="C185" s="31">
        <v>10</v>
      </c>
      <c r="D185" s="106" t="s">
        <v>6</v>
      </c>
      <c r="E185" s="2" t="s">
        <v>132</v>
      </c>
      <c r="F185" s="2"/>
      <c r="G185" s="2" t="s">
        <v>183</v>
      </c>
      <c r="H185" s="33"/>
      <c r="I185" s="99">
        <f t="shared" si="0"/>
        <v>1111.7390717990804</v>
      </c>
      <c r="J185" s="101">
        <f t="shared" si="1"/>
        <v>23.45</v>
      </c>
      <c r="K185" s="101">
        <f t="shared" si="2"/>
        <v>117</v>
      </c>
      <c r="L185" s="74">
        <f t="shared" si="3"/>
        <v>19</v>
      </c>
      <c r="M185" s="99">
        <f t="shared" si="4"/>
        <v>22234.781435981608</v>
      </c>
      <c r="N185" s="108">
        <f t="shared" si="92"/>
        <v>22234.781435981608</v>
      </c>
      <c r="O185" s="108"/>
      <c r="P185" s="108"/>
      <c r="Q185" s="108"/>
      <c r="R185" s="109"/>
      <c r="S185" s="99">
        <f t="shared" si="6"/>
        <v>9534.4472703152187</v>
      </c>
      <c r="T185" s="108">
        <f t="shared" si="126"/>
        <v>9534.4472703152187</v>
      </c>
      <c r="U185" s="108"/>
      <c r="V185" s="108"/>
      <c r="W185" s="108"/>
      <c r="X185" s="109"/>
      <c r="Y185" s="99">
        <f t="shared" si="8"/>
        <v>19068.894540630437</v>
      </c>
      <c r="Z185" s="108">
        <f t="shared" si="9"/>
        <v>19068.894540630437</v>
      </c>
      <c r="AA185" s="108"/>
      <c r="AB185" s="108"/>
      <c r="AC185" s="108"/>
      <c r="AD185" s="109"/>
      <c r="AE185" s="99">
        <f t="shared" ref="AE185:AF185" si="156">AO185</f>
        <v>20</v>
      </c>
      <c r="AF185" s="101">
        <f t="shared" si="156"/>
        <v>36</v>
      </c>
      <c r="AG185" s="101">
        <f t="shared" si="128"/>
        <v>79.001300000000001</v>
      </c>
      <c r="AH185" s="101">
        <f t="shared" si="129"/>
        <v>469</v>
      </c>
      <c r="AI185" s="101">
        <f t="shared" si="84"/>
        <v>268.61079999999998</v>
      </c>
      <c r="AJ185" s="108">
        <f t="shared" si="130"/>
        <v>1.6666666666666667</v>
      </c>
      <c r="AK185" s="101">
        <f t="shared" si="15"/>
        <v>5675.2662323304885</v>
      </c>
      <c r="AL185" s="101">
        <f t="shared" si="131"/>
        <v>5675.2662323304885</v>
      </c>
      <c r="AM185" s="101"/>
      <c r="AN185" s="101"/>
      <c r="AO185" s="1">
        <v>20</v>
      </c>
      <c r="AP185" s="2">
        <v>36</v>
      </c>
      <c r="AQ185" s="74">
        <f t="shared" si="132"/>
        <v>469</v>
      </c>
      <c r="AR185" s="31">
        <f t="shared" si="133"/>
        <v>1</v>
      </c>
      <c r="AS185" s="2">
        <f t="shared" si="134"/>
        <v>0</v>
      </c>
      <c r="AT185" s="33">
        <f t="shared" si="135"/>
        <v>1.2</v>
      </c>
      <c r="AU185" s="31">
        <f t="shared" si="136"/>
        <v>0</v>
      </c>
      <c r="AV185" s="2">
        <f t="shared" si="137"/>
        <v>60</v>
      </c>
      <c r="AW185" s="33">
        <f t="shared" si="138"/>
        <v>1</v>
      </c>
      <c r="AX185" s="31">
        <f t="shared" si="139"/>
        <v>1</v>
      </c>
      <c r="AY185" s="33">
        <f t="shared" si="140"/>
        <v>1.4</v>
      </c>
      <c r="AZ185" s="2"/>
      <c r="BA185" s="101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 ht="12" customHeight="1">
      <c r="A186" s="2"/>
      <c r="B186" s="107">
        <v>111</v>
      </c>
      <c r="C186" s="31">
        <v>10</v>
      </c>
      <c r="D186" s="106" t="s">
        <v>6</v>
      </c>
      <c r="E186" s="2" t="s">
        <v>135</v>
      </c>
      <c r="F186" s="2"/>
      <c r="G186" s="2" t="s">
        <v>86</v>
      </c>
      <c r="H186" s="33"/>
      <c r="I186" s="99">
        <f t="shared" si="0"/>
        <v>780.52523819915245</v>
      </c>
      <c r="J186" s="101">
        <f t="shared" si="1"/>
        <v>23.45</v>
      </c>
      <c r="K186" s="101">
        <f t="shared" si="2"/>
        <v>277</v>
      </c>
      <c r="L186" s="74">
        <f t="shared" si="3"/>
        <v>74</v>
      </c>
      <c r="M186" s="99">
        <f t="shared" si="4"/>
        <v>15610.504763983048</v>
      </c>
      <c r="N186" s="108">
        <f t="shared" si="92"/>
        <v>15610.504763983048</v>
      </c>
      <c r="O186" s="108"/>
      <c r="P186" s="108"/>
      <c r="Q186" s="108"/>
      <c r="R186" s="109"/>
      <c r="S186" s="99">
        <f t="shared" si="6"/>
        <v>11822.714615190873</v>
      </c>
      <c r="T186" s="108">
        <f t="shared" si="126"/>
        <v>11822.714615190873</v>
      </c>
      <c r="U186" s="108"/>
      <c r="V186" s="108"/>
      <c r="W186" s="108"/>
      <c r="X186" s="109"/>
      <c r="Y186" s="99">
        <f t="shared" si="8"/>
        <v>23645.429230381746</v>
      </c>
      <c r="Z186" s="108">
        <f t="shared" si="9"/>
        <v>23645.429230381746</v>
      </c>
      <c r="AA186" s="108"/>
      <c r="AB186" s="108"/>
      <c r="AC186" s="108"/>
      <c r="AD186" s="109"/>
      <c r="AE186" s="99">
        <f t="shared" ref="AE186:AF186" si="157">AO186</f>
        <v>20</v>
      </c>
      <c r="AF186" s="101">
        <f t="shared" si="157"/>
        <v>36</v>
      </c>
      <c r="AG186" s="101">
        <f t="shared" si="128"/>
        <v>19.001300000000001</v>
      </c>
      <c r="AH186" s="101">
        <f t="shared" si="129"/>
        <v>469</v>
      </c>
      <c r="AI186" s="101">
        <f t="shared" si="84"/>
        <v>268.61079999999998</v>
      </c>
      <c r="AJ186" s="108">
        <f t="shared" si="130"/>
        <v>1.6666666666666667</v>
      </c>
      <c r="AK186" s="101">
        <f t="shared" si="15"/>
        <v>5675.2662323304885</v>
      </c>
      <c r="AL186" s="101">
        <f t="shared" si="131"/>
        <v>5675.2662323304885</v>
      </c>
      <c r="AM186" s="101"/>
      <c r="AN186" s="101"/>
      <c r="AO186" s="1">
        <v>20</v>
      </c>
      <c r="AP186" s="2">
        <v>36</v>
      </c>
      <c r="AQ186" s="74">
        <f t="shared" si="132"/>
        <v>469</v>
      </c>
      <c r="AR186" s="31">
        <f t="shared" si="133"/>
        <v>1</v>
      </c>
      <c r="AS186" s="2">
        <f t="shared" si="134"/>
        <v>0</v>
      </c>
      <c r="AT186" s="33">
        <f t="shared" si="135"/>
        <v>1.2</v>
      </c>
      <c r="AU186" s="31">
        <f t="shared" si="136"/>
        <v>0</v>
      </c>
      <c r="AV186" s="2">
        <f t="shared" si="137"/>
        <v>0</v>
      </c>
      <c r="AW186" s="33">
        <f t="shared" si="138"/>
        <v>1.24</v>
      </c>
      <c r="AX186" s="31">
        <f t="shared" si="139"/>
        <v>1</v>
      </c>
      <c r="AY186" s="33">
        <f t="shared" si="140"/>
        <v>1.4</v>
      </c>
      <c r="AZ186" s="2"/>
      <c r="BA186" s="101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 ht="12" customHeight="1">
      <c r="A187" s="2"/>
      <c r="B187" s="107">
        <v>112</v>
      </c>
      <c r="C187" s="31">
        <v>7</v>
      </c>
      <c r="D187" s="106" t="s">
        <v>6</v>
      </c>
      <c r="E187" s="2" t="s">
        <v>67</v>
      </c>
      <c r="F187" s="2"/>
      <c r="G187" s="2"/>
      <c r="H187" s="33"/>
      <c r="I187" s="99">
        <f t="shared" si="0"/>
        <v>347.82729791121341</v>
      </c>
      <c r="J187" s="101">
        <f t="shared" si="1"/>
        <v>16.3</v>
      </c>
      <c r="K187" s="101">
        <f t="shared" si="2"/>
        <v>780</v>
      </c>
      <c r="L187" s="74">
        <f t="shared" si="3"/>
        <v>293</v>
      </c>
      <c r="M187" s="99">
        <f t="shared" si="4"/>
        <v>6956.5459582242684</v>
      </c>
      <c r="N187" s="108">
        <f t="shared" si="92"/>
        <v>6956.5459582242684</v>
      </c>
      <c r="O187" s="108"/>
      <c r="P187" s="108"/>
      <c r="Q187" s="108"/>
      <c r="R187" s="109"/>
      <c r="S187" s="99">
        <f t="shared" si="6"/>
        <v>5268.5841242817078</v>
      </c>
      <c r="T187" s="108">
        <f t="shared" si="126"/>
        <v>5268.5841242817078</v>
      </c>
      <c r="U187" s="108"/>
      <c r="V187" s="108"/>
      <c r="W187" s="108"/>
      <c r="X187" s="109"/>
      <c r="Y187" s="99">
        <f t="shared" si="8"/>
        <v>10537.168248563416</v>
      </c>
      <c r="Z187" s="108">
        <f t="shared" si="9"/>
        <v>10537.168248563416</v>
      </c>
      <c r="AA187" s="108"/>
      <c r="AB187" s="108"/>
      <c r="AC187" s="108"/>
      <c r="AD187" s="109"/>
      <c r="AE187" s="99">
        <f t="shared" ref="AE187:AF187" si="158">AO187</f>
        <v>20</v>
      </c>
      <c r="AF187" s="101">
        <f t="shared" si="158"/>
        <v>36</v>
      </c>
      <c r="AG187" s="101">
        <f t="shared" si="128"/>
        <v>19.001300000000001</v>
      </c>
      <c r="AH187" s="101">
        <f t="shared" si="129"/>
        <v>326</v>
      </c>
      <c r="AI187" s="101">
        <f t="shared" si="84"/>
        <v>268.61079999999998</v>
      </c>
      <c r="AJ187" s="108">
        <f t="shared" si="130"/>
        <v>2</v>
      </c>
      <c r="AK187" s="101">
        <f t="shared" si="15"/>
        <v>5268.5841242817078</v>
      </c>
      <c r="AL187" s="101">
        <f t="shared" si="131"/>
        <v>5268.5841242817078</v>
      </c>
      <c r="AM187" s="101"/>
      <c r="AN187" s="101"/>
      <c r="AO187" s="1">
        <v>20</v>
      </c>
      <c r="AP187" s="2">
        <v>36</v>
      </c>
      <c r="AQ187" s="74">
        <f t="shared" si="132"/>
        <v>326</v>
      </c>
      <c r="AR187" s="31">
        <f t="shared" si="133"/>
        <v>1</v>
      </c>
      <c r="AS187" s="2">
        <f t="shared" si="134"/>
        <v>0</v>
      </c>
      <c r="AT187" s="33">
        <f t="shared" si="135"/>
        <v>1</v>
      </c>
      <c r="AU187" s="31">
        <f t="shared" si="136"/>
        <v>0</v>
      </c>
      <c r="AV187" s="2">
        <f t="shared" si="137"/>
        <v>0</v>
      </c>
      <c r="AW187" s="33">
        <f t="shared" si="138"/>
        <v>1</v>
      </c>
      <c r="AX187" s="31">
        <f t="shared" si="139"/>
        <v>1</v>
      </c>
      <c r="AY187" s="33">
        <f t="shared" si="140"/>
        <v>1</v>
      </c>
      <c r="AZ187" s="2"/>
      <c r="BA187" s="101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 ht="12" customHeight="1">
      <c r="A188" s="2"/>
      <c r="B188" s="107">
        <v>113</v>
      </c>
      <c r="C188" s="31">
        <v>7</v>
      </c>
      <c r="D188" s="106" t="s">
        <v>6</v>
      </c>
      <c r="E188" s="2" t="s">
        <v>89</v>
      </c>
      <c r="F188" s="2"/>
      <c r="G188" s="2" t="s">
        <v>183</v>
      </c>
      <c r="H188" s="33"/>
      <c r="I188" s="99">
        <f t="shared" si="0"/>
        <v>614.32935312994482</v>
      </c>
      <c r="J188" s="101">
        <f t="shared" si="1"/>
        <v>16.3</v>
      </c>
      <c r="K188" s="101">
        <f t="shared" si="2"/>
        <v>446</v>
      </c>
      <c r="L188" s="74">
        <f t="shared" si="3"/>
        <v>150</v>
      </c>
      <c r="M188" s="99">
        <f t="shared" si="4"/>
        <v>12286.587062598897</v>
      </c>
      <c r="N188" s="108">
        <f t="shared" si="92"/>
        <v>12286.587062598897</v>
      </c>
      <c r="O188" s="108"/>
      <c r="P188" s="108"/>
      <c r="Q188" s="108"/>
      <c r="R188" s="109"/>
      <c r="S188" s="99">
        <f t="shared" si="6"/>
        <v>5268.5841242817078</v>
      </c>
      <c r="T188" s="108">
        <f t="shared" si="126"/>
        <v>5268.5841242817078</v>
      </c>
      <c r="U188" s="108"/>
      <c r="V188" s="108"/>
      <c r="W188" s="108"/>
      <c r="X188" s="109"/>
      <c r="Y188" s="99">
        <f t="shared" si="8"/>
        <v>10537.168248563416</v>
      </c>
      <c r="Z188" s="108">
        <f t="shared" si="9"/>
        <v>10537.168248563416</v>
      </c>
      <c r="AA188" s="108"/>
      <c r="AB188" s="108"/>
      <c r="AC188" s="108"/>
      <c r="AD188" s="109"/>
      <c r="AE188" s="99">
        <f t="shared" ref="AE188:AF188" si="159">AO188</f>
        <v>20</v>
      </c>
      <c r="AF188" s="101">
        <f t="shared" si="159"/>
        <v>36</v>
      </c>
      <c r="AG188" s="101">
        <f t="shared" si="128"/>
        <v>79.001300000000001</v>
      </c>
      <c r="AH188" s="101">
        <f t="shared" si="129"/>
        <v>326</v>
      </c>
      <c r="AI188" s="101">
        <f t="shared" si="84"/>
        <v>268.61079999999998</v>
      </c>
      <c r="AJ188" s="108">
        <f t="shared" si="130"/>
        <v>2</v>
      </c>
      <c r="AK188" s="101">
        <f t="shared" si="15"/>
        <v>5268.5841242817078</v>
      </c>
      <c r="AL188" s="101">
        <f t="shared" si="131"/>
        <v>5268.5841242817078</v>
      </c>
      <c r="AM188" s="101"/>
      <c r="AN188" s="101"/>
      <c r="AO188" s="1">
        <v>20</v>
      </c>
      <c r="AP188" s="2">
        <v>36</v>
      </c>
      <c r="AQ188" s="74">
        <f t="shared" si="132"/>
        <v>326</v>
      </c>
      <c r="AR188" s="31">
        <f t="shared" si="133"/>
        <v>1</v>
      </c>
      <c r="AS188" s="2">
        <f t="shared" si="134"/>
        <v>0</v>
      </c>
      <c r="AT188" s="33">
        <f t="shared" si="135"/>
        <v>1</v>
      </c>
      <c r="AU188" s="31">
        <f t="shared" si="136"/>
        <v>0</v>
      </c>
      <c r="AV188" s="2">
        <f t="shared" si="137"/>
        <v>60</v>
      </c>
      <c r="AW188" s="33">
        <f t="shared" si="138"/>
        <v>1</v>
      </c>
      <c r="AX188" s="31">
        <f t="shared" si="139"/>
        <v>1</v>
      </c>
      <c r="AY188" s="33">
        <f t="shared" si="140"/>
        <v>1</v>
      </c>
      <c r="AZ188" s="2"/>
      <c r="BA188" s="101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 ht="12" customHeight="1">
      <c r="A189" s="2"/>
      <c r="B189" s="107">
        <v>114</v>
      </c>
      <c r="C189" s="31">
        <v>7</v>
      </c>
      <c r="D189" s="106" t="s">
        <v>6</v>
      </c>
      <c r="E189" s="2" t="s">
        <v>91</v>
      </c>
      <c r="F189" s="2"/>
      <c r="G189" s="2" t="s">
        <v>86</v>
      </c>
      <c r="H189" s="33"/>
      <c r="I189" s="99">
        <f t="shared" si="0"/>
        <v>431.30584940990468</v>
      </c>
      <c r="J189" s="101">
        <f t="shared" si="1"/>
        <v>16.3</v>
      </c>
      <c r="K189" s="101">
        <f t="shared" si="2"/>
        <v>695</v>
      </c>
      <c r="L189" s="74">
        <f t="shared" si="3"/>
        <v>253</v>
      </c>
      <c r="M189" s="99">
        <f t="shared" si="4"/>
        <v>8626.1169881980932</v>
      </c>
      <c r="N189" s="108">
        <f t="shared" si="92"/>
        <v>8626.1169881980932</v>
      </c>
      <c r="O189" s="108"/>
      <c r="P189" s="108"/>
      <c r="Q189" s="108"/>
      <c r="R189" s="109"/>
      <c r="S189" s="99">
        <f t="shared" si="6"/>
        <v>6533.0443141093174</v>
      </c>
      <c r="T189" s="108">
        <f t="shared" si="126"/>
        <v>6533.0443141093174</v>
      </c>
      <c r="U189" s="108"/>
      <c r="V189" s="108"/>
      <c r="W189" s="108"/>
      <c r="X189" s="109"/>
      <c r="Y189" s="99">
        <f t="shared" si="8"/>
        <v>13066.088628218635</v>
      </c>
      <c r="Z189" s="108">
        <f t="shared" si="9"/>
        <v>13066.088628218635</v>
      </c>
      <c r="AA189" s="108"/>
      <c r="AB189" s="108"/>
      <c r="AC189" s="108"/>
      <c r="AD189" s="109"/>
      <c r="AE189" s="99">
        <f t="shared" ref="AE189:AF189" si="160">AO189</f>
        <v>20</v>
      </c>
      <c r="AF189" s="101">
        <f t="shared" si="160"/>
        <v>36</v>
      </c>
      <c r="AG189" s="101">
        <f t="shared" si="128"/>
        <v>19.001300000000001</v>
      </c>
      <c r="AH189" s="101">
        <f t="shared" si="129"/>
        <v>326</v>
      </c>
      <c r="AI189" s="101">
        <f t="shared" si="84"/>
        <v>268.61079999999998</v>
      </c>
      <c r="AJ189" s="108">
        <f t="shared" si="130"/>
        <v>2</v>
      </c>
      <c r="AK189" s="101">
        <f t="shared" si="15"/>
        <v>5268.5841242817078</v>
      </c>
      <c r="AL189" s="101">
        <f t="shared" si="131"/>
        <v>5268.5841242817078</v>
      </c>
      <c r="AM189" s="101"/>
      <c r="AN189" s="101"/>
      <c r="AO189" s="1">
        <v>20</v>
      </c>
      <c r="AP189" s="2">
        <v>36</v>
      </c>
      <c r="AQ189" s="74">
        <f t="shared" si="132"/>
        <v>326</v>
      </c>
      <c r="AR189" s="31">
        <f t="shared" si="133"/>
        <v>1</v>
      </c>
      <c r="AS189" s="2">
        <f t="shared" si="134"/>
        <v>0</v>
      </c>
      <c r="AT189" s="33">
        <f t="shared" si="135"/>
        <v>1</v>
      </c>
      <c r="AU189" s="31">
        <f t="shared" si="136"/>
        <v>0</v>
      </c>
      <c r="AV189" s="2">
        <f t="shared" si="137"/>
        <v>0</v>
      </c>
      <c r="AW189" s="33">
        <f t="shared" si="138"/>
        <v>1.24</v>
      </c>
      <c r="AX189" s="31">
        <f t="shared" si="139"/>
        <v>1</v>
      </c>
      <c r="AY189" s="33">
        <f t="shared" si="140"/>
        <v>1</v>
      </c>
      <c r="AZ189" s="2"/>
      <c r="BA189" s="101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 ht="12" customHeight="1">
      <c r="A190" s="2"/>
      <c r="B190" s="107">
        <v>115</v>
      </c>
      <c r="C190" s="31">
        <v>7</v>
      </c>
      <c r="D190" s="106" t="s">
        <v>6</v>
      </c>
      <c r="E190" s="2" t="s">
        <v>148</v>
      </c>
      <c r="F190" s="2"/>
      <c r="G190" s="2"/>
      <c r="H190" s="33"/>
      <c r="I190" s="99">
        <f t="shared" si="0"/>
        <v>347.82729791121341</v>
      </c>
      <c r="J190" s="101">
        <f t="shared" si="1"/>
        <v>8.15</v>
      </c>
      <c r="K190" s="101">
        <f t="shared" si="2"/>
        <v>780</v>
      </c>
      <c r="L190" s="74">
        <f t="shared" si="3"/>
        <v>293</v>
      </c>
      <c r="M190" s="99">
        <f t="shared" si="4"/>
        <v>6956.5459582242684</v>
      </c>
      <c r="N190" s="108">
        <f t="shared" si="92"/>
        <v>6956.5459582242684</v>
      </c>
      <c r="O190" s="108"/>
      <c r="P190" s="108"/>
      <c r="Q190" s="108"/>
      <c r="R190" s="109"/>
      <c r="S190" s="99">
        <f t="shared" si="6"/>
        <v>5268.5841242817078</v>
      </c>
      <c r="T190" s="108">
        <f t="shared" si="126"/>
        <v>5268.5841242817078</v>
      </c>
      <c r="U190" s="108"/>
      <c r="V190" s="108"/>
      <c r="W190" s="108"/>
      <c r="X190" s="109"/>
      <c r="Y190" s="99">
        <f t="shared" si="8"/>
        <v>10537.168248563416</v>
      </c>
      <c r="Z190" s="108">
        <f t="shared" si="9"/>
        <v>10537.168248563416</v>
      </c>
      <c r="AA190" s="108"/>
      <c r="AB190" s="108"/>
      <c r="AC190" s="108"/>
      <c r="AD190" s="109"/>
      <c r="AE190" s="99">
        <f t="shared" ref="AE190:AF190" si="161">AO190</f>
        <v>20</v>
      </c>
      <c r="AF190" s="101">
        <f t="shared" si="161"/>
        <v>36</v>
      </c>
      <c r="AG190" s="101">
        <f t="shared" si="128"/>
        <v>19.001300000000001</v>
      </c>
      <c r="AH190" s="101">
        <f t="shared" si="129"/>
        <v>163</v>
      </c>
      <c r="AI190" s="101">
        <f t="shared" si="84"/>
        <v>268.61079999999998</v>
      </c>
      <c r="AJ190" s="108">
        <f t="shared" si="130"/>
        <v>2</v>
      </c>
      <c r="AK190" s="101">
        <f t="shared" si="15"/>
        <v>5268.5841242817078</v>
      </c>
      <c r="AL190" s="101">
        <f t="shared" si="131"/>
        <v>5268.5841242817078</v>
      </c>
      <c r="AM190" s="101"/>
      <c r="AN190" s="101"/>
      <c r="AO190" s="1">
        <v>20</v>
      </c>
      <c r="AP190" s="2">
        <v>36</v>
      </c>
      <c r="AQ190" s="74">
        <f t="shared" si="132"/>
        <v>326</v>
      </c>
      <c r="AR190" s="31">
        <f t="shared" si="133"/>
        <v>0.5</v>
      </c>
      <c r="AS190" s="2">
        <f t="shared" si="134"/>
        <v>0</v>
      </c>
      <c r="AT190" s="33">
        <f t="shared" si="135"/>
        <v>1</v>
      </c>
      <c r="AU190" s="31">
        <f t="shared" si="136"/>
        <v>0</v>
      </c>
      <c r="AV190" s="2">
        <f t="shared" si="137"/>
        <v>0</v>
      </c>
      <c r="AW190" s="33">
        <f t="shared" si="138"/>
        <v>1</v>
      </c>
      <c r="AX190" s="31">
        <f t="shared" si="139"/>
        <v>1</v>
      </c>
      <c r="AY190" s="33">
        <f t="shared" si="140"/>
        <v>1</v>
      </c>
      <c r="AZ190" s="2"/>
      <c r="BA190" s="101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 ht="12" customHeight="1">
      <c r="A191" s="2"/>
      <c r="B191" s="107">
        <v>116</v>
      </c>
      <c r="C191" s="31">
        <v>7</v>
      </c>
      <c r="D191" s="106" t="s">
        <v>6</v>
      </c>
      <c r="E191" s="2" t="s">
        <v>152</v>
      </c>
      <c r="F191" s="2"/>
      <c r="G191" s="2" t="s">
        <v>183</v>
      </c>
      <c r="H191" s="33"/>
      <c r="I191" s="99">
        <f t="shared" si="0"/>
        <v>614.32935312994482</v>
      </c>
      <c r="J191" s="101">
        <f t="shared" si="1"/>
        <v>8.15</v>
      </c>
      <c r="K191" s="101">
        <f t="shared" si="2"/>
        <v>446</v>
      </c>
      <c r="L191" s="74">
        <f t="shared" si="3"/>
        <v>150</v>
      </c>
      <c r="M191" s="99">
        <f t="shared" si="4"/>
        <v>12286.587062598897</v>
      </c>
      <c r="N191" s="108">
        <f t="shared" si="92"/>
        <v>12286.587062598897</v>
      </c>
      <c r="O191" s="108"/>
      <c r="P191" s="108"/>
      <c r="Q191" s="108"/>
      <c r="R191" s="109"/>
      <c r="S191" s="99">
        <f t="shared" si="6"/>
        <v>5268.5841242817078</v>
      </c>
      <c r="T191" s="108">
        <f t="shared" si="126"/>
        <v>5268.5841242817078</v>
      </c>
      <c r="U191" s="108"/>
      <c r="V191" s="108"/>
      <c r="W191" s="108"/>
      <c r="X191" s="109"/>
      <c r="Y191" s="99">
        <f t="shared" si="8"/>
        <v>10537.168248563416</v>
      </c>
      <c r="Z191" s="108">
        <f t="shared" si="9"/>
        <v>10537.168248563416</v>
      </c>
      <c r="AA191" s="108"/>
      <c r="AB191" s="108"/>
      <c r="AC191" s="108"/>
      <c r="AD191" s="109"/>
      <c r="AE191" s="99">
        <f t="shared" ref="AE191:AF191" si="162">AO191</f>
        <v>20</v>
      </c>
      <c r="AF191" s="101">
        <f t="shared" si="162"/>
        <v>36</v>
      </c>
      <c r="AG191" s="101">
        <f t="shared" si="128"/>
        <v>79.001300000000001</v>
      </c>
      <c r="AH191" s="101">
        <f t="shared" si="129"/>
        <v>163</v>
      </c>
      <c r="AI191" s="101">
        <f t="shared" si="84"/>
        <v>268.61079999999998</v>
      </c>
      <c r="AJ191" s="108">
        <f t="shared" si="130"/>
        <v>2</v>
      </c>
      <c r="AK191" s="101">
        <f t="shared" si="15"/>
        <v>5268.5841242817078</v>
      </c>
      <c r="AL191" s="101">
        <f t="shared" si="131"/>
        <v>5268.5841242817078</v>
      </c>
      <c r="AM191" s="101"/>
      <c r="AN191" s="101"/>
      <c r="AO191" s="1">
        <v>20</v>
      </c>
      <c r="AP191" s="2">
        <v>36</v>
      </c>
      <c r="AQ191" s="74">
        <f t="shared" si="132"/>
        <v>326</v>
      </c>
      <c r="AR191" s="31">
        <f t="shared" si="133"/>
        <v>0.5</v>
      </c>
      <c r="AS191" s="2">
        <f t="shared" si="134"/>
        <v>0</v>
      </c>
      <c r="AT191" s="33">
        <f t="shared" si="135"/>
        <v>1</v>
      </c>
      <c r="AU191" s="31">
        <f t="shared" si="136"/>
        <v>0</v>
      </c>
      <c r="AV191" s="2">
        <f t="shared" si="137"/>
        <v>60</v>
      </c>
      <c r="AW191" s="33">
        <f t="shared" si="138"/>
        <v>1</v>
      </c>
      <c r="AX191" s="31">
        <f t="shared" si="139"/>
        <v>1</v>
      </c>
      <c r="AY191" s="33">
        <f t="shared" si="140"/>
        <v>1</v>
      </c>
      <c r="AZ191" s="2"/>
      <c r="BA191" s="101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 ht="12" customHeight="1">
      <c r="A192" s="2"/>
      <c r="B192" s="107">
        <v>117</v>
      </c>
      <c r="C192" s="31">
        <v>7</v>
      </c>
      <c r="D192" s="106" t="s">
        <v>6</v>
      </c>
      <c r="E192" s="2" t="s">
        <v>155</v>
      </c>
      <c r="F192" s="2"/>
      <c r="G192" s="2" t="s">
        <v>86</v>
      </c>
      <c r="H192" s="33"/>
      <c r="I192" s="99">
        <f t="shared" si="0"/>
        <v>431.30584940990468</v>
      </c>
      <c r="J192" s="101">
        <f t="shared" si="1"/>
        <v>8.15</v>
      </c>
      <c r="K192" s="101">
        <f t="shared" si="2"/>
        <v>695</v>
      </c>
      <c r="L192" s="74">
        <f t="shared" si="3"/>
        <v>253</v>
      </c>
      <c r="M192" s="99">
        <f t="shared" si="4"/>
        <v>8626.1169881980932</v>
      </c>
      <c r="N192" s="108">
        <f t="shared" si="92"/>
        <v>8626.1169881980932</v>
      </c>
      <c r="O192" s="108"/>
      <c r="P192" s="108"/>
      <c r="Q192" s="108"/>
      <c r="R192" s="109"/>
      <c r="S192" s="99">
        <f t="shared" si="6"/>
        <v>6533.0443141093174</v>
      </c>
      <c r="T192" s="108">
        <f t="shared" si="126"/>
        <v>6533.0443141093174</v>
      </c>
      <c r="U192" s="108"/>
      <c r="V192" s="108"/>
      <c r="W192" s="108"/>
      <c r="X192" s="109"/>
      <c r="Y192" s="99">
        <f t="shared" si="8"/>
        <v>13066.088628218635</v>
      </c>
      <c r="Z192" s="108">
        <f t="shared" si="9"/>
        <v>13066.088628218635</v>
      </c>
      <c r="AA192" s="108"/>
      <c r="AB192" s="108"/>
      <c r="AC192" s="108"/>
      <c r="AD192" s="109"/>
      <c r="AE192" s="99">
        <f t="shared" ref="AE192:AF192" si="163">AO192</f>
        <v>20</v>
      </c>
      <c r="AF192" s="101">
        <f t="shared" si="163"/>
        <v>36</v>
      </c>
      <c r="AG192" s="101">
        <f t="shared" si="128"/>
        <v>19.001300000000001</v>
      </c>
      <c r="AH192" s="101">
        <f t="shared" si="129"/>
        <v>163</v>
      </c>
      <c r="AI192" s="101">
        <f t="shared" si="84"/>
        <v>268.61079999999998</v>
      </c>
      <c r="AJ192" s="108">
        <f t="shared" si="130"/>
        <v>2</v>
      </c>
      <c r="AK192" s="101">
        <f t="shared" si="15"/>
        <v>5268.5841242817078</v>
      </c>
      <c r="AL192" s="101">
        <f t="shared" si="131"/>
        <v>5268.5841242817078</v>
      </c>
      <c r="AM192" s="101"/>
      <c r="AN192" s="101"/>
      <c r="AO192" s="1">
        <v>20</v>
      </c>
      <c r="AP192" s="2">
        <v>36</v>
      </c>
      <c r="AQ192" s="74">
        <f t="shared" si="132"/>
        <v>326</v>
      </c>
      <c r="AR192" s="31">
        <f t="shared" si="133"/>
        <v>0.5</v>
      </c>
      <c r="AS192" s="2">
        <f t="shared" si="134"/>
        <v>0</v>
      </c>
      <c r="AT192" s="33">
        <f t="shared" si="135"/>
        <v>1</v>
      </c>
      <c r="AU192" s="31">
        <f t="shared" si="136"/>
        <v>0</v>
      </c>
      <c r="AV192" s="2">
        <f t="shared" si="137"/>
        <v>0</v>
      </c>
      <c r="AW192" s="33">
        <f t="shared" si="138"/>
        <v>1.24</v>
      </c>
      <c r="AX192" s="31">
        <f t="shared" si="139"/>
        <v>1</v>
      </c>
      <c r="AY192" s="33">
        <f t="shared" si="140"/>
        <v>1</v>
      </c>
      <c r="AZ192" s="2"/>
      <c r="BA192" s="101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 ht="12" customHeight="1">
      <c r="A193" s="2"/>
      <c r="B193" s="107">
        <v>118</v>
      </c>
      <c r="C193" s="31">
        <v>7</v>
      </c>
      <c r="D193" s="106" t="s">
        <v>6</v>
      </c>
      <c r="E193" s="2" t="s">
        <v>87</v>
      </c>
      <c r="F193" s="2"/>
      <c r="G193" s="2"/>
      <c r="H193" s="33"/>
      <c r="I193" s="99">
        <f t="shared" si="0"/>
        <v>417.39275749345609</v>
      </c>
      <c r="J193" s="101">
        <f t="shared" si="1"/>
        <v>16.3</v>
      </c>
      <c r="K193" s="101">
        <f t="shared" si="2"/>
        <v>715</v>
      </c>
      <c r="L193" s="74">
        <f t="shared" si="3"/>
        <v>261</v>
      </c>
      <c r="M193" s="99">
        <f t="shared" si="4"/>
        <v>8347.8551498691213</v>
      </c>
      <c r="N193" s="108">
        <f t="shared" si="92"/>
        <v>8347.8551498691213</v>
      </c>
      <c r="O193" s="108"/>
      <c r="P193" s="108"/>
      <c r="Q193" s="108"/>
      <c r="R193" s="109"/>
      <c r="S193" s="99">
        <f t="shared" si="6"/>
        <v>6322.300949138049</v>
      </c>
      <c r="T193" s="108">
        <f t="shared" si="126"/>
        <v>6322.300949138049</v>
      </c>
      <c r="U193" s="108"/>
      <c r="V193" s="108"/>
      <c r="W193" s="108"/>
      <c r="X193" s="109"/>
      <c r="Y193" s="99">
        <f t="shared" si="8"/>
        <v>12644.601898276098</v>
      </c>
      <c r="Z193" s="108">
        <f t="shared" si="9"/>
        <v>12644.601898276098</v>
      </c>
      <c r="AA193" s="108"/>
      <c r="AB193" s="108"/>
      <c r="AC193" s="108"/>
      <c r="AD193" s="109"/>
      <c r="AE193" s="99">
        <f t="shared" ref="AE193:AF193" si="164">AO193</f>
        <v>20</v>
      </c>
      <c r="AF193" s="101">
        <f t="shared" si="164"/>
        <v>36</v>
      </c>
      <c r="AG193" s="101">
        <f t="shared" si="128"/>
        <v>19.001300000000001</v>
      </c>
      <c r="AH193" s="101">
        <f t="shared" si="129"/>
        <v>326</v>
      </c>
      <c r="AI193" s="101">
        <f t="shared" si="84"/>
        <v>268.61079999999998</v>
      </c>
      <c r="AJ193" s="108">
        <f t="shared" si="130"/>
        <v>2</v>
      </c>
      <c r="AK193" s="101">
        <f t="shared" si="15"/>
        <v>5268.5841242817078</v>
      </c>
      <c r="AL193" s="101">
        <f t="shared" si="131"/>
        <v>5268.5841242817078</v>
      </c>
      <c r="AM193" s="101"/>
      <c r="AN193" s="101"/>
      <c r="AO193" s="1">
        <v>20</v>
      </c>
      <c r="AP193" s="2">
        <v>36</v>
      </c>
      <c r="AQ193" s="74">
        <f t="shared" si="132"/>
        <v>326</v>
      </c>
      <c r="AR193" s="31">
        <f t="shared" si="133"/>
        <v>1</v>
      </c>
      <c r="AS193" s="2">
        <f t="shared" si="134"/>
        <v>0</v>
      </c>
      <c r="AT193" s="33">
        <f t="shared" si="135"/>
        <v>1.2</v>
      </c>
      <c r="AU193" s="31">
        <f t="shared" si="136"/>
        <v>0</v>
      </c>
      <c r="AV193" s="2">
        <f t="shared" si="137"/>
        <v>0</v>
      </c>
      <c r="AW193" s="33">
        <f t="shared" si="138"/>
        <v>1</v>
      </c>
      <c r="AX193" s="31">
        <f t="shared" si="139"/>
        <v>1</v>
      </c>
      <c r="AY193" s="33">
        <f t="shared" si="140"/>
        <v>1</v>
      </c>
      <c r="AZ193" s="2"/>
      <c r="BA193" s="101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 ht="12" customHeight="1">
      <c r="A194" s="2"/>
      <c r="B194" s="107">
        <v>119</v>
      </c>
      <c r="C194" s="31">
        <v>7</v>
      </c>
      <c r="D194" s="106" t="s">
        <v>6</v>
      </c>
      <c r="E194" s="2" t="s">
        <v>117</v>
      </c>
      <c r="F194" s="2"/>
      <c r="G194" s="2" t="s">
        <v>183</v>
      </c>
      <c r="H194" s="33"/>
      <c r="I194" s="99">
        <f t="shared" si="0"/>
        <v>737.19522375593374</v>
      </c>
      <c r="J194" s="101">
        <f t="shared" si="1"/>
        <v>16.3</v>
      </c>
      <c r="K194" s="101">
        <f t="shared" si="2"/>
        <v>317</v>
      </c>
      <c r="L194" s="74">
        <f t="shared" si="3"/>
        <v>90</v>
      </c>
      <c r="M194" s="99">
        <f t="shared" si="4"/>
        <v>14743.904475118676</v>
      </c>
      <c r="N194" s="108">
        <f t="shared" si="92"/>
        <v>14743.904475118676</v>
      </c>
      <c r="O194" s="108"/>
      <c r="P194" s="108"/>
      <c r="Q194" s="108"/>
      <c r="R194" s="109"/>
      <c r="S194" s="99">
        <f t="shared" si="6"/>
        <v>6322.300949138049</v>
      </c>
      <c r="T194" s="108">
        <f t="shared" si="126"/>
        <v>6322.300949138049</v>
      </c>
      <c r="U194" s="108"/>
      <c r="V194" s="108"/>
      <c r="W194" s="108"/>
      <c r="X194" s="109"/>
      <c r="Y194" s="99">
        <f t="shared" si="8"/>
        <v>12644.601898276098</v>
      </c>
      <c r="Z194" s="108">
        <f t="shared" si="9"/>
        <v>12644.601898276098</v>
      </c>
      <c r="AA194" s="108"/>
      <c r="AB194" s="108"/>
      <c r="AC194" s="108"/>
      <c r="AD194" s="109"/>
      <c r="AE194" s="99">
        <f t="shared" ref="AE194:AF194" si="165">AO194</f>
        <v>20</v>
      </c>
      <c r="AF194" s="101">
        <f t="shared" si="165"/>
        <v>36</v>
      </c>
      <c r="AG194" s="101">
        <f t="shared" si="128"/>
        <v>79.001300000000001</v>
      </c>
      <c r="AH194" s="101">
        <f t="shared" si="129"/>
        <v>326</v>
      </c>
      <c r="AI194" s="101">
        <f t="shared" si="84"/>
        <v>268.61079999999998</v>
      </c>
      <c r="AJ194" s="108">
        <f t="shared" si="130"/>
        <v>2</v>
      </c>
      <c r="AK194" s="101">
        <f t="shared" si="15"/>
        <v>5268.5841242817078</v>
      </c>
      <c r="AL194" s="101">
        <f t="shared" si="131"/>
        <v>5268.5841242817078</v>
      </c>
      <c r="AM194" s="101"/>
      <c r="AN194" s="101"/>
      <c r="AO194" s="1">
        <v>20</v>
      </c>
      <c r="AP194" s="2">
        <v>36</v>
      </c>
      <c r="AQ194" s="74">
        <f t="shared" si="132"/>
        <v>326</v>
      </c>
      <c r="AR194" s="31">
        <f t="shared" si="133"/>
        <v>1</v>
      </c>
      <c r="AS194" s="2">
        <f t="shared" si="134"/>
        <v>0</v>
      </c>
      <c r="AT194" s="33">
        <f t="shared" si="135"/>
        <v>1.2</v>
      </c>
      <c r="AU194" s="31">
        <f t="shared" si="136"/>
        <v>0</v>
      </c>
      <c r="AV194" s="2">
        <f t="shared" si="137"/>
        <v>60</v>
      </c>
      <c r="AW194" s="33">
        <f t="shared" si="138"/>
        <v>1</v>
      </c>
      <c r="AX194" s="31">
        <f t="shared" si="139"/>
        <v>1</v>
      </c>
      <c r="AY194" s="33">
        <f t="shared" si="140"/>
        <v>1</v>
      </c>
      <c r="AZ194" s="2"/>
      <c r="BA194" s="101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 ht="12" customHeight="1">
      <c r="A195" s="2"/>
      <c r="B195" s="107">
        <v>120</v>
      </c>
      <c r="C195" s="31">
        <v>7</v>
      </c>
      <c r="D195" s="106" t="s">
        <v>6</v>
      </c>
      <c r="E195" s="2" t="s">
        <v>134</v>
      </c>
      <c r="F195" s="2"/>
      <c r="G195" s="2" t="s">
        <v>86</v>
      </c>
      <c r="H195" s="33"/>
      <c r="I195" s="99">
        <f t="shared" si="0"/>
        <v>517.56701929188557</v>
      </c>
      <c r="J195" s="101">
        <f t="shared" si="1"/>
        <v>16.3</v>
      </c>
      <c r="K195" s="101">
        <f t="shared" si="2"/>
        <v>579</v>
      </c>
      <c r="L195" s="74">
        <f t="shared" si="3"/>
        <v>205</v>
      </c>
      <c r="M195" s="99">
        <f t="shared" si="4"/>
        <v>10351.340385837711</v>
      </c>
      <c r="N195" s="108">
        <f t="shared" si="92"/>
        <v>10351.340385837711</v>
      </c>
      <c r="O195" s="108"/>
      <c r="P195" s="108"/>
      <c r="Q195" s="108"/>
      <c r="R195" s="109"/>
      <c r="S195" s="99">
        <f t="shared" si="6"/>
        <v>7839.6531769311805</v>
      </c>
      <c r="T195" s="108">
        <f t="shared" si="126"/>
        <v>7839.6531769311805</v>
      </c>
      <c r="U195" s="108"/>
      <c r="V195" s="108"/>
      <c r="W195" s="108"/>
      <c r="X195" s="109"/>
      <c r="Y195" s="99">
        <f t="shared" si="8"/>
        <v>15679.306353862361</v>
      </c>
      <c r="Z195" s="108">
        <f t="shared" si="9"/>
        <v>15679.306353862361</v>
      </c>
      <c r="AA195" s="108"/>
      <c r="AB195" s="108"/>
      <c r="AC195" s="108"/>
      <c r="AD195" s="109"/>
      <c r="AE195" s="99">
        <f t="shared" ref="AE195:AF195" si="166">AO195</f>
        <v>20</v>
      </c>
      <c r="AF195" s="101">
        <f t="shared" si="166"/>
        <v>36</v>
      </c>
      <c r="AG195" s="101">
        <f t="shared" si="128"/>
        <v>19.001300000000001</v>
      </c>
      <c r="AH195" s="101">
        <f t="shared" si="129"/>
        <v>326</v>
      </c>
      <c r="AI195" s="101">
        <f t="shared" si="84"/>
        <v>268.61079999999998</v>
      </c>
      <c r="AJ195" s="108">
        <f t="shared" si="130"/>
        <v>2</v>
      </c>
      <c r="AK195" s="101">
        <f t="shared" si="15"/>
        <v>5268.5841242817078</v>
      </c>
      <c r="AL195" s="101">
        <f t="shared" si="131"/>
        <v>5268.5841242817078</v>
      </c>
      <c r="AM195" s="101"/>
      <c r="AN195" s="101"/>
      <c r="AO195" s="1">
        <v>20</v>
      </c>
      <c r="AP195" s="2">
        <v>36</v>
      </c>
      <c r="AQ195" s="74">
        <f t="shared" si="132"/>
        <v>326</v>
      </c>
      <c r="AR195" s="31">
        <f t="shared" si="133"/>
        <v>1</v>
      </c>
      <c r="AS195" s="2">
        <f t="shared" si="134"/>
        <v>0</v>
      </c>
      <c r="AT195" s="33">
        <f t="shared" si="135"/>
        <v>1.2</v>
      </c>
      <c r="AU195" s="31">
        <f t="shared" si="136"/>
        <v>0</v>
      </c>
      <c r="AV195" s="2">
        <f t="shared" si="137"/>
        <v>0</v>
      </c>
      <c r="AW195" s="33">
        <f t="shared" si="138"/>
        <v>1.24</v>
      </c>
      <c r="AX195" s="31">
        <f t="shared" si="139"/>
        <v>1</v>
      </c>
      <c r="AY195" s="33">
        <f t="shared" si="140"/>
        <v>1</v>
      </c>
      <c r="AZ195" s="2"/>
      <c r="BA195" s="101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 ht="12" customHeight="1">
      <c r="A196" s="2"/>
      <c r="B196" s="107">
        <v>121</v>
      </c>
      <c r="C196" s="31">
        <v>4</v>
      </c>
      <c r="D196" s="106" t="s">
        <v>6</v>
      </c>
      <c r="E196" s="2" t="s">
        <v>67</v>
      </c>
      <c r="F196" s="2"/>
      <c r="G196" s="2"/>
      <c r="H196" s="33"/>
      <c r="I196" s="99">
        <f t="shared" si="0"/>
        <v>332.28112056664827</v>
      </c>
      <c r="J196" s="101">
        <f t="shared" si="1"/>
        <v>8.9499999999999993</v>
      </c>
      <c r="K196" s="101">
        <f t="shared" si="2"/>
        <v>799</v>
      </c>
      <c r="L196" s="74">
        <f t="shared" si="3"/>
        <v>305</v>
      </c>
      <c r="M196" s="99">
        <f t="shared" si="4"/>
        <v>6645.6224113329654</v>
      </c>
      <c r="N196" s="108">
        <f t="shared" si="92"/>
        <v>6645.6224113329654</v>
      </c>
      <c r="O196" s="108"/>
      <c r="P196" s="108"/>
      <c r="Q196" s="108"/>
      <c r="R196" s="109"/>
      <c r="S196" s="99">
        <f t="shared" si="6"/>
        <v>5033.1042075451223</v>
      </c>
      <c r="T196" s="108">
        <f t="shared" si="126"/>
        <v>5033.1042075451223</v>
      </c>
      <c r="U196" s="108"/>
      <c r="V196" s="108"/>
      <c r="W196" s="108"/>
      <c r="X196" s="109"/>
      <c r="Y196" s="99">
        <f t="shared" si="8"/>
        <v>10066.208415090245</v>
      </c>
      <c r="Z196" s="108">
        <f t="shared" si="9"/>
        <v>10066.208415090245</v>
      </c>
      <c r="AA196" s="108"/>
      <c r="AB196" s="108"/>
      <c r="AC196" s="108"/>
      <c r="AD196" s="109"/>
      <c r="AE196" s="99">
        <f t="shared" ref="AE196:AF196" si="167">AO196</f>
        <v>20</v>
      </c>
      <c r="AF196" s="101">
        <f t="shared" si="167"/>
        <v>36</v>
      </c>
      <c r="AG196" s="101">
        <f t="shared" si="128"/>
        <v>19.001300000000001</v>
      </c>
      <c r="AH196" s="101">
        <f t="shared" si="129"/>
        <v>179</v>
      </c>
      <c r="AI196" s="101">
        <f t="shared" si="84"/>
        <v>268.61079999999998</v>
      </c>
      <c r="AJ196" s="108">
        <f t="shared" si="130"/>
        <v>2</v>
      </c>
      <c r="AK196" s="101">
        <f t="shared" si="15"/>
        <v>5033.1042075451223</v>
      </c>
      <c r="AL196" s="101">
        <f t="shared" si="131"/>
        <v>5033.1042075451223</v>
      </c>
      <c r="AM196" s="101"/>
      <c r="AN196" s="101"/>
      <c r="AO196" s="1">
        <v>20</v>
      </c>
      <c r="AP196" s="2">
        <v>36</v>
      </c>
      <c r="AQ196" s="74">
        <f t="shared" si="132"/>
        <v>179</v>
      </c>
      <c r="AR196" s="31">
        <f t="shared" si="133"/>
        <v>1</v>
      </c>
      <c r="AS196" s="2">
        <f t="shared" si="134"/>
        <v>0</v>
      </c>
      <c r="AT196" s="33">
        <f t="shared" si="135"/>
        <v>1</v>
      </c>
      <c r="AU196" s="31">
        <f t="shared" si="136"/>
        <v>0</v>
      </c>
      <c r="AV196" s="2">
        <f t="shared" si="137"/>
        <v>0</v>
      </c>
      <c r="AW196" s="33">
        <f t="shared" si="138"/>
        <v>1</v>
      </c>
      <c r="AX196" s="31">
        <f t="shared" si="139"/>
        <v>1</v>
      </c>
      <c r="AY196" s="33">
        <f t="shared" si="140"/>
        <v>1</v>
      </c>
      <c r="AZ196" s="2"/>
      <c r="BA196" s="101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 ht="12" customHeight="1">
      <c r="A197" s="2"/>
      <c r="B197" s="107">
        <v>122</v>
      </c>
      <c r="C197" s="31">
        <v>4</v>
      </c>
      <c r="D197" s="106" t="s">
        <v>6</v>
      </c>
      <c r="E197" s="2" t="s">
        <v>148</v>
      </c>
      <c r="F197" s="2"/>
      <c r="G197" s="2"/>
      <c r="H197" s="33"/>
      <c r="I197" s="99">
        <f t="shared" si="0"/>
        <v>332.28112056664827</v>
      </c>
      <c r="J197" s="101">
        <f t="shared" si="1"/>
        <v>4.4749999999999996</v>
      </c>
      <c r="K197" s="101">
        <f t="shared" si="2"/>
        <v>799</v>
      </c>
      <c r="L197" s="74">
        <f t="shared" si="3"/>
        <v>305</v>
      </c>
      <c r="M197" s="99">
        <f t="shared" si="4"/>
        <v>6645.6224113329654</v>
      </c>
      <c r="N197" s="108">
        <f t="shared" si="92"/>
        <v>6645.6224113329654</v>
      </c>
      <c r="O197" s="108"/>
      <c r="P197" s="108"/>
      <c r="Q197" s="108"/>
      <c r="R197" s="109"/>
      <c r="S197" s="99">
        <f t="shared" si="6"/>
        <v>5033.1042075451223</v>
      </c>
      <c r="T197" s="108">
        <f t="shared" si="126"/>
        <v>5033.1042075451223</v>
      </c>
      <c r="U197" s="108"/>
      <c r="V197" s="108"/>
      <c r="W197" s="108"/>
      <c r="X197" s="109"/>
      <c r="Y197" s="99">
        <f t="shared" si="8"/>
        <v>10066.208415090245</v>
      </c>
      <c r="Z197" s="108">
        <f t="shared" si="9"/>
        <v>10066.208415090245</v>
      </c>
      <c r="AA197" s="108"/>
      <c r="AB197" s="108"/>
      <c r="AC197" s="108"/>
      <c r="AD197" s="109"/>
      <c r="AE197" s="99">
        <f t="shared" ref="AE197:AF197" si="168">AO197</f>
        <v>20</v>
      </c>
      <c r="AF197" s="101">
        <f t="shared" si="168"/>
        <v>36</v>
      </c>
      <c r="AG197" s="101">
        <f t="shared" si="128"/>
        <v>19.001300000000001</v>
      </c>
      <c r="AH197" s="101">
        <f t="shared" si="129"/>
        <v>89.5</v>
      </c>
      <c r="AI197" s="101">
        <f t="shared" si="84"/>
        <v>268.61079999999998</v>
      </c>
      <c r="AJ197" s="108">
        <f t="shared" si="130"/>
        <v>2</v>
      </c>
      <c r="AK197" s="101">
        <f t="shared" si="15"/>
        <v>5033.1042075451223</v>
      </c>
      <c r="AL197" s="101">
        <f t="shared" si="131"/>
        <v>5033.1042075451223</v>
      </c>
      <c r="AM197" s="101"/>
      <c r="AN197" s="101"/>
      <c r="AO197" s="1">
        <v>20</v>
      </c>
      <c r="AP197" s="2">
        <v>36</v>
      </c>
      <c r="AQ197" s="74">
        <f t="shared" si="132"/>
        <v>179</v>
      </c>
      <c r="AR197" s="31">
        <f t="shared" si="133"/>
        <v>0.5</v>
      </c>
      <c r="AS197" s="2">
        <f t="shared" si="134"/>
        <v>0</v>
      </c>
      <c r="AT197" s="33">
        <f t="shared" si="135"/>
        <v>1</v>
      </c>
      <c r="AU197" s="31">
        <f t="shared" si="136"/>
        <v>0</v>
      </c>
      <c r="AV197" s="2">
        <f t="shared" si="137"/>
        <v>0</v>
      </c>
      <c r="AW197" s="33">
        <f t="shared" si="138"/>
        <v>1</v>
      </c>
      <c r="AX197" s="31">
        <f t="shared" si="139"/>
        <v>1</v>
      </c>
      <c r="AY197" s="33">
        <f t="shared" si="140"/>
        <v>1</v>
      </c>
      <c r="AZ197" s="2"/>
      <c r="BA197" s="101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 ht="12" customHeight="1">
      <c r="A198" s="2"/>
      <c r="B198" s="107">
        <v>123</v>
      </c>
      <c r="C198" s="31">
        <v>4</v>
      </c>
      <c r="D198" s="106" t="s">
        <v>6</v>
      </c>
      <c r="E198" s="2" t="s">
        <v>87</v>
      </c>
      <c r="F198" s="2"/>
      <c r="G198" s="2"/>
      <c r="H198" s="33"/>
      <c r="I198" s="99">
        <f t="shared" si="0"/>
        <v>398.73734467997787</v>
      </c>
      <c r="J198" s="101">
        <f t="shared" si="1"/>
        <v>8.9499999999999993</v>
      </c>
      <c r="K198" s="101">
        <f t="shared" si="2"/>
        <v>733</v>
      </c>
      <c r="L198" s="74">
        <f t="shared" si="3"/>
        <v>266</v>
      </c>
      <c r="M198" s="99">
        <f t="shared" si="4"/>
        <v>7974.7468935995576</v>
      </c>
      <c r="N198" s="108">
        <f t="shared" si="92"/>
        <v>7974.7468935995576</v>
      </c>
      <c r="O198" s="108"/>
      <c r="P198" s="108"/>
      <c r="Q198" s="108"/>
      <c r="R198" s="109"/>
      <c r="S198" s="99">
        <f t="shared" si="6"/>
        <v>6039.7250490541464</v>
      </c>
      <c r="T198" s="108">
        <f t="shared" si="126"/>
        <v>6039.7250490541464</v>
      </c>
      <c r="U198" s="108"/>
      <c r="V198" s="108"/>
      <c r="W198" s="108"/>
      <c r="X198" s="109"/>
      <c r="Y198" s="99">
        <f t="shared" si="8"/>
        <v>12079.450098108293</v>
      </c>
      <c r="Z198" s="108">
        <f t="shared" si="9"/>
        <v>12079.450098108293</v>
      </c>
      <c r="AA198" s="108"/>
      <c r="AB198" s="108"/>
      <c r="AC198" s="108"/>
      <c r="AD198" s="109"/>
      <c r="AE198" s="99">
        <f t="shared" ref="AE198:AF198" si="169">AO198</f>
        <v>20</v>
      </c>
      <c r="AF198" s="101">
        <f t="shared" si="169"/>
        <v>36</v>
      </c>
      <c r="AG198" s="101">
        <f t="shared" si="128"/>
        <v>19.001300000000001</v>
      </c>
      <c r="AH198" s="101">
        <f t="shared" si="129"/>
        <v>179</v>
      </c>
      <c r="AI198" s="101">
        <f t="shared" si="84"/>
        <v>268.61079999999998</v>
      </c>
      <c r="AJ198" s="108">
        <f t="shared" si="130"/>
        <v>2</v>
      </c>
      <c r="AK198" s="101">
        <f t="shared" si="15"/>
        <v>5033.1042075451223</v>
      </c>
      <c r="AL198" s="101">
        <f t="shared" si="131"/>
        <v>5033.1042075451223</v>
      </c>
      <c r="AM198" s="101"/>
      <c r="AN198" s="101"/>
      <c r="AO198" s="1">
        <v>20</v>
      </c>
      <c r="AP198" s="2">
        <v>36</v>
      </c>
      <c r="AQ198" s="74">
        <f t="shared" si="132"/>
        <v>179</v>
      </c>
      <c r="AR198" s="31">
        <f t="shared" si="133"/>
        <v>1</v>
      </c>
      <c r="AS198" s="2">
        <f t="shared" si="134"/>
        <v>0</v>
      </c>
      <c r="AT198" s="33">
        <f t="shared" si="135"/>
        <v>1.2</v>
      </c>
      <c r="AU198" s="31">
        <f t="shared" si="136"/>
        <v>0</v>
      </c>
      <c r="AV198" s="2">
        <f t="shared" si="137"/>
        <v>0</v>
      </c>
      <c r="AW198" s="33">
        <f t="shared" si="138"/>
        <v>1</v>
      </c>
      <c r="AX198" s="31">
        <f t="shared" si="139"/>
        <v>1</v>
      </c>
      <c r="AY198" s="33">
        <f t="shared" si="140"/>
        <v>1</v>
      </c>
      <c r="AZ198" s="2"/>
      <c r="BA198" s="101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 ht="12" customHeight="1">
      <c r="A199" s="2"/>
      <c r="B199" s="107">
        <v>124</v>
      </c>
      <c r="C199" s="31">
        <v>1</v>
      </c>
      <c r="D199" s="106" t="s">
        <v>6</v>
      </c>
      <c r="E199" s="2" t="s">
        <v>67</v>
      </c>
      <c r="F199" s="2"/>
      <c r="G199" s="2"/>
      <c r="H199" s="33"/>
      <c r="I199" s="99">
        <f t="shared" si="0"/>
        <v>266.82847839330645</v>
      </c>
      <c r="J199" s="101">
        <f t="shared" si="1"/>
        <v>4.55</v>
      </c>
      <c r="K199" s="101">
        <f t="shared" si="2"/>
        <v>859</v>
      </c>
      <c r="L199" s="74">
        <f t="shared" si="3"/>
        <v>338</v>
      </c>
      <c r="M199" s="99">
        <f t="shared" si="4"/>
        <v>5336.5695678661295</v>
      </c>
      <c r="N199" s="108">
        <f t="shared" si="92"/>
        <v>5336.5695678661295</v>
      </c>
      <c r="O199" s="108"/>
      <c r="P199" s="108"/>
      <c r="Q199" s="108"/>
      <c r="R199" s="109"/>
      <c r="S199" s="99">
        <f t="shared" si="6"/>
        <v>4041.6847487573173</v>
      </c>
      <c r="T199" s="108">
        <f t="shared" si="126"/>
        <v>4041.6847487573173</v>
      </c>
      <c r="U199" s="108"/>
      <c r="V199" s="108"/>
      <c r="W199" s="108"/>
      <c r="X199" s="109"/>
      <c r="Y199" s="99">
        <f t="shared" si="8"/>
        <v>8083.3694975146345</v>
      </c>
      <c r="Z199" s="108">
        <f t="shared" si="9"/>
        <v>8083.3694975146345</v>
      </c>
      <c r="AA199" s="108"/>
      <c r="AB199" s="108"/>
      <c r="AC199" s="108"/>
      <c r="AD199" s="109"/>
      <c r="AE199" s="99">
        <f t="shared" ref="AE199:AF199" si="170">AO199</f>
        <v>20</v>
      </c>
      <c r="AF199" s="101">
        <f t="shared" si="170"/>
        <v>36</v>
      </c>
      <c r="AG199" s="101">
        <f t="shared" si="128"/>
        <v>19.001300000000001</v>
      </c>
      <c r="AH199" s="101">
        <f t="shared" si="129"/>
        <v>91</v>
      </c>
      <c r="AI199" s="101">
        <f t="shared" si="84"/>
        <v>268.61079999999998</v>
      </c>
      <c r="AJ199" s="108">
        <f t="shared" si="130"/>
        <v>2</v>
      </c>
      <c r="AK199" s="101">
        <f t="shared" si="15"/>
        <v>4041.6847487573173</v>
      </c>
      <c r="AL199" s="101">
        <f t="shared" si="131"/>
        <v>4041.6847487573173</v>
      </c>
      <c r="AM199" s="101"/>
      <c r="AN199" s="101"/>
      <c r="AO199" s="1">
        <v>20</v>
      </c>
      <c r="AP199" s="2">
        <v>36</v>
      </c>
      <c r="AQ199" s="74">
        <f t="shared" si="132"/>
        <v>91</v>
      </c>
      <c r="AR199" s="31">
        <f t="shared" si="133"/>
        <v>1</v>
      </c>
      <c r="AS199" s="2">
        <f t="shared" si="134"/>
        <v>0</v>
      </c>
      <c r="AT199" s="33">
        <f t="shared" si="135"/>
        <v>1</v>
      </c>
      <c r="AU199" s="31">
        <f t="shared" si="136"/>
        <v>0</v>
      </c>
      <c r="AV199" s="2">
        <f t="shared" si="137"/>
        <v>0</v>
      </c>
      <c r="AW199" s="33">
        <f t="shared" si="138"/>
        <v>1</v>
      </c>
      <c r="AX199" s="31">
        <f t="shared" si="139"/>
        <v>1</v>
      </c>
      <c r="AY199" s="33">
        <f t="shared" si="140"/>
        <v>1</v>
      </c>
      <c r="AZ199" s="2"/>
      <c r="BA199" s="101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 ht="12" customHeight="1">
      <c r="A200" s="2"/>
      <c r="B200" s="107">
        <v>125</v>
      </c>
      <c r="C200" s="31">
        <v>10</v>
      </c>
      <c r="D200" s="106" t="s">
        <v>7</v>
      </c>
      <c r="E200" s="2" t="s">
        <v>144</v>
      </c>
      <c r="F200" s="2"/>
      <c r="G200" s="2"/>
      <c r="H200" s="33"/>
      <c r="I200" s="99">
        <f t="shared" si="0"/>
        <v>322.01172136730059</v>
      </c>
      <c r="J200" s="101">
        <f t="shared" si="1"/>
        <v>32.888888888888886</v>
      </c>
      <c r="K200" s="101">
        <f t="shared" si="2"/>
        <v>813</v>
      </c>
      <c r="L200" s="74">
        <f t="shared" si="3"/>
        <v>313</v>
      </c>
      <c r="M200" s="99">
        <f t="shared" ref="M200:M230" si="171">N200+R200/2</f>
        <v>2898.1054923057054</v>
      </c>
      <c r="N200" s="108">
        <f t="shared" si="92"/>
        <v>2898.1054923057054</v>
      </c>
      <c r="O200" s="108"/>
      <c r="P200" s="108"/>
      <c r="Q200" s="108"/>
      <c r="R200" s="109">
        <f t="shared" ref="R200:R230" si="172">X200*(1+(AG200/100)*(AI200/100-1))</f>
        <v>0</v>
      </c>
      <c r="S200" s="99">
        <f t="shared" si="6"/>
        <v>2194.8985428902438</v>
      </c>
      <c r="T200" s="108">
        <f t="shared" ref="T200:T230" si="173">AL200*AV200*AX200</f>
        <v>2194.8985428902438</v>
      </c>
      <c r="U200" s="108"/>
      <c r="V200" s="108"/>
      <c r="W200" s="108"/>
      <c r="X200" s="109">
        <f t="shared" ref="X200:X230" si="174">AS200*AL200</f>
        <v>0</v>
      </c>
      <c r="Y200" s="99">
        <f t="shared" si="8"/>
        <v>4389.7970857804876</v>
      </c>
      <c r="Z200" s="108">
        <f t="shared" si="9"/>
        <v>4389.7970857804876</v>
      </c>
      <c r="AA200" s="108"/>
      <c r="AB200" s="108"/>
      <c r="AC200" s="108"/>
      <c r="AD200" s="109">
        <f t="shared" ref="AD200:AD230" si="175">X200*$D$58/100</f>
        <v>0</v>
      </c>
      <c r="AE200" s="99">
        <f t="shared" ref="AE200:AE230" si="176">AO200-AY200</f>
        <v>9</v>
      </c>
      <c r="AF200" s="101">
        <f t="shared" ref="AF200:AF230" si="177">AP200</f>
        <v>36</v>
      </c>
      <c r="AG200" s="101">
        <f t="shared" ref="AG200:AG230" si="178">IF($D$57&gt;100,100,$D$57)</f>
        <v>19.001300000000001</v>
      </c>
      <c r="AH200" s="101">
        <f t="shared" si="129"/>
        <v>296</v>
      </c>
      <c r="AI200" s="101">
        <f t="shared" si="84"/>
        <v>268.61079999999998</v>
      </c>
      <c r="AJ200" s="108">
        <f t="shared" ref="AJ200:AJ230" si="179">10*AX200*AU200/9</f>
        <v>2.2222222222222223</v>
      </c>
      <c r="AK200" s="101">
        <f t="shared" si="15"/>
        <v>1097.4492714451219</v>
      </c>
      <c r="AL200" s="101">
        <f t="shared" ref="AL200:AL230" si="180">(VLOOKUP(C200,$B$36:$AG$39,8,FALSE)+VLOOKUP(C200,$B$40:$AG$43,8,FALSE)*$D$54)*$D$59/100</f>
        <v>1097.4492714451219</v>
      </c>
      <c r="AM200" s="101"/>
      <c r="AN200" s="101"/>
      <c r="AO200" s="1">
        <v>9</v>
      </c>
      <c r="AP200" s="2">
        <v>36</v>
      </c>
      <c r="AQ200" s="74">
        <f t="shared" ref="AQ200:AQ230" si="181">VLOOKUP(C200,$B$45:$AA$48,8,FALSE)</f>
        <v>296</v>
      </c>
      <c r="AR200" s="31">
        <f t="shared" ref="AR200:AR230" si="182">IF(LEFT(E200,1)*1=1,$S$57,$R$57)</f>
        <v>1</v>
      </c>
      <c r="AS200" s="2">
        <f t="shared" ref="AS200:AS230" si="183">IF(LEFT(E200,1)*1=2,$U$57,$T$57)</f>
        <v>0</v>
      </c>
      <c r="AT200" s="33">
        <f t="shared" ref="AT200:AT230" si="184">IF(LEFT(E200,1)*1=3,$W$57,$V$57)</f>
        <v>0</v>
      </c>
      <c r="AU200" s="31">
        <f t="shared" ref="AU200:AU230" si="185">IF(MID(E200,3,1)*1=1,$Y$57,$X$57)</f>
        <v>1</v>
      </c>
      <c r="AV200" s="2">
        <f t="shared" ref="AV200:AV230" si="186">IF(MID(E200,3,1)*1=2,$AA$57,$Z$57)</f>
        <v>1</v>
      </c>
      <c r="AW200" s="33">
        <f t="shared" ref="AW200:AW230" si="187">IF(MID(E200,3,1)*1=3,$AC$57,$AB$57)</f>
        <v>0</v>
      </c>
      <c r="AX200" s="31">
        <f t="shared" ref="AX200:AX230" si="188">IF(MID(E200,5,1)*1=1,$AE$57,$AD$57)</f>
        <v>2</v>
      </c>
      <c r="AY200" s="33">
        <f t="shared" ref="AY200:AY230" si="189">IF(MID(E200,5,1)*1=2,$AG$57,$AF$57)</f>
        <v>0</v>
      </c>
      <c r="AZ200" s="2"/>
      <c r="BA200" s="101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 ht="12" customHeight="1">
      <c r="A201" s="2"/>
      <c r="B201" s="107">
        <v>126</v>
      </c>
      <c r="C201" s="31">
        <v>10</v>
      </c>
      <c r="D201" s="106" t="s">
        <v>7</v>
      </c>
      <c r="E201" s="2" t="s">
        <v>138</v>
      </c>
      <c r="F201" s="2"/>
      <c r="G201" s="2"/>
      <c r="H201" s="33"/>
      <c r="I201" s="99">
        <f t="shared" si="0"/>
        <v>322.01172136730059</v>
      </c>
      <c r="J201" s="101">
        <f t="shared" si="1"/>
        <v>32.888888888888886</v>
      </c>
      <c r="K201" s="101">
        <f t="shared" si="2"/>
        <v>813</v>
      </c>
      <c r="L201" s="74">
        <f t="shared" si="3"/>
        <v>313</v>
      </c>
      <c r="M201" s="99">
        <f t="shared" si="171"/>
        <v>2898.1054923057054</v>
      </c>
      <c r="N201" s="108">
        <f t="shared" si="92"/>
        <v>2898.1054923057054</v>
      </c>
      <c r="O201" s="108"/>
      <c r="P201" s="108"/>
      <c r="Q201" s="108"/>
      <c r="R201" s="109">
        <f t="shared" si="172"/>
        <v>0</v>
      </c>
      <c r="S201" s="99">
        <f t="shared" si="6"/>
        <v>2194.8985428902438</v>
      </c>
      <c r="T201" s="108">
        <f t="shared" si="173"/>
        <v>2194.8985428902438</v>
      </c>
      <c r="U201" s="108"/>
      <c r="V201" s="108"/>
      <c r="W201" s="108"/>
      <c r="X201" s="109">
        <f t="shared" si="174"/>
        <v>0</v>
      </c>
      <c r="Y201" s="99">
        <f t="shared" si="8"/>
        <v>4389.7970857804876</v>
      </c>
      <c r="Z201" s="108">
        <f t="shared" si="9"/>
        <v>4389.7970857804876</v>
      </c>
      <c r="AA201" s="108"/>
      <c r="AB201" s="108"/>
      <c r="AC201" s="108"/>
      <c r="AD201" s="109">
        <f t="shared" si="175"/>
        <v>0</v>
      </c>
      <c r="AE201" s="99">
        <f t="shared" si="176"/>
        <v>9</v>
      </c>
      <c r="AF201" s="101">
        <f t="shared" si="177"/>
        <v>36</v>
      </c>
      <c r="AG201" s="101">
        <f t="shared" si="178"/>
        <v>19.001300000000001</v>
      </c>
      <c r="AH201" s="101">
        <f t="shared" si="129"/>
        <v>296</v>
      </c>
      <c r="AI201" s="101">
        <f t="shared" si="84"/>
        <v>268.61079999999998</v>
      </c>
      <c r="AJ201" s="108">
        <f t="shared" si="179"/>
        <v>1.7777777777777777</v>
      </c>
      <c r="AK201" s="101">
        <f t="shared" si="15"/>
        <v>1097.4492714451219</v>
      </c>
      <c r="AL201" s="101">
        <f t="shared" si="180"/>
        <v>1097.4492714451219</v>
      </c>
      <c r="AM201" s="101"/>
      <c r="AN201" s="101"/>
      <c r="AO201" s="1">
        <v>9</v>
      </c>
      <c r="AP201" s="2">
        <v>36</v>
      </c>
      <c r="AQ201" s="74">
        <f t="shared" si="181"/>
        <v>296</v>
      </c>
      <c r="AR201" s="31">
        <f t="shared" si="182"/>
        <v>1</v>
      </c>
      <c r="AS201" s="2">
        <f t="shared" si="183"/>
        <v>0</v>
      </c>
      <c r="AT201" s="33">
        <f t="shared" si="184"/>
        <v>0</v>
      </c>
      <c r="AU201" s="31">
        <f t="shared" si="185"/>
        <v>0.8</v>
      </c>
      <c r="AV201" s="2">
        <f t="shared" si="186"/>
        <v>1</v>
      </c>
      <c r="AW201" s="33">
        <f t="shared" si="187"/>
        <v>0</v>
      </c>
      <c r="AX201" s="31">
        <f t="shared" si="188"/>
        <v>2</v>
      </c>
      <c r="AY201" s="33">
        <f t="shared" si="189"/>
        <v>0</v>
      </c>
      <c r="AZ201" s="2"/>
      <c r="BA201" s="101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 ht="12" customHeight="1">
      <c r="A202" s="2"/>
      <c r="B202" s="107">
        <v>127</v>
      </c>
      <c r="C202" s="31">
        <v>10</v>
      </c>
      <c r="D202" s="106" t="s">
        <v>7</v>
      </c>
      <c r="E202" s="2" t="s">
        <v>140</v>
      </c>
      <c r="F202" s="2"/>
      <c r="G202" s="2"/>
      <c r="H202" s="33"/>
      <c r="I202" s="99">
        <f t="shared" si="0"/>
        <v>483.01758205095092</v>
      </c>
      <c r="J202" s="101">
        <f t="shared" si="1"/>
        <v>32.888888888888886</v>
      </c>
      <c r="K202" s="101">
        <f t="shared" si="2"/>
        <v>628</v>
      </c>
      <c r="L202" s="74">
        <f t="shared" si="3"/>
        <v>222</v>
      </c>
      <c r="M202" s="99">
        <f t="shared" si="171"/>
        <v>4347.1582384585581</v>
      </c>
      <c r="N202" s="108">
        <f t="shared" si="92"/>
        <v>4347.1582384585581</v>
      </c>
      <c r="O202" s="108"/>
      <c r="P202" s="108"/>
      <c r="Q202" s="108"/>
      <c r="R202" s="109">
        <f t="shared" si="172"/>
        <v>0</v>
      </c>
      <c r="S202" s="99">
        <f t="shared" si="6"/>
        <v>3292.3478143353659</v>
      </c>
      <c r="T202" s="108">
        <f t="shared" si="173"/>
        <v>3292.3478143353659</v>
      </c>
      <c r="U202" s="108"/>
      <c r="V202" s="108"/>
      <c r="W202" s="108"/>
      <c r="X202" s="109">
        <f t="shared" si="174"/>
        <v>0</v>
      </c>
      <c r="Y202" s="99">
        <f t="shared" si="8"/>
        <v>6584.6956286707318</v>
      </c>
      <c r="Z202" s="108">
        <f t="shared" si="9"/>
        <v>6584.6956286707318</v>
      </c>
      <c r="AA202" s="108"/>
      <c r="AB202" s="108"/>
      <c r="AC202" s="108"/>
      <c r="AD202" s="109">
        <f t="shared" si="175"/>
        <v>0</v>
      </c>
      <c r="AE202" s="99">
        <f t="shared" si="176"/>
        <v>9</v>
      </c>
      <c r="AF202" s="101">
        <f t="shared" si="177"/>
        <v>36</v>
      </c>
      <c r="AG202" s="101">
        <f t="shared" si="178"/>
        <v>19.001300000000001</v>
      </c>
      <c r="AH202" s="101">
        <f t="shared" si="129"/>
        <v>296</v>
      </c>
      <c r="AI202" s="101">
        <f t="shared" si="84"/>
        <v>268.61079999999998</v>
      </c>
      <c r="AJ202" s="108">
        <f t="shared" si="179"/>
        <v>2.2222222222222223</v>
      </c>
      <c r="AK202" s="101">
        <f t="shared" si="15"/>
        <v>1097.4492714451219</v>
      </c>
      <c r="AL202" s="101">
        <f t="shared" si="180"/>
        <v>1097.4492714451219</v>
      </c>
      <c r="AM202" s="101"/>
      <c r="AN202" s="101"/>
      <c r="AO202" s="1">
        <v>9</v>
      </c>
      <c r="AP202" s="2">
        <v>36</v>
      </c>
      <c r="AQ202" s="74">
        <f t="shared" si="181"/>
        <v>296</v>
      </c>
      <c r="AR202" s="31">
        <f t="shared" si="182"/>
        <v>1</v>
      </c>
      <c r="AS202" s="2">
        <f t="shared" si="183"/>
        <v>0</v>
      </c>
      <c r="AT202" s="33">
        <f t="shared" si="184"/>
        <v>0</v>
      </c>
      <c r="AU202" s="31">
        <f t="shared" si="185"/>
        <v>1</v>
      </c>
      <c r="AV202" s="2">
        <f t="shared" si="186"/>
        <v>1.5</v>
      </c>
      <c r="AW202" s="33">
        <f t="shared" si="187"/>
        <v>0</v>
      </c>
      <c r="AX202" s="31">
        <f t="shared" si="188"/>
        <v>2</v>
      </c>
      <c r="AY202" s="33">
        <f t="shared" si="189"/>
        <v>0</v>
      </c>
      <c r="AZ202" s="2"/>
      <c r="BA202" s="101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 ht="12" customHeight="1">
      <c r="A203" s="2"/>
      <c r="B203" s="107">
        <v>128</v>
      </c>
      <c r="C203" s="31">
        <v>10</v>
      </c>
      <c r="D203" s="106" t="s">
        <v>7</v>
      </c>
      <c r="E203" s="2" t="s">
        <v>150</v>
      </c>
      <c r="F203" s="2"/>
      <c r="G203" s="2"/>
      <c r="H203" s="33"/>
      <c r="I203" s="99">
        <f t="shared" si="0"/>
        <v>322.01172136730059</v>
      </c>
      <c r="J203" s="101">
        <f t="shared" si="1"/>
        <v>16.444444444444443</v>
      </c>
      <c r="K203" s="101">
        <f t="shared" si="2"/>
        <v>813</v>
      </c>
      <c r="L203" s="74">
        <f t="shared" si="3"/>
        <v>313</v>
      </c>
      <c r="M203" s="99">
        <f t="shared" si="171"/>
        <v>2898.1054923057054</v>
      </c>
      <c r="N203" s="108">
        <f t="shared" si="92"/>
        <v>2898.1054923057054</v>
      </c>
      <c r="O203" s="108"/>
      <c r="P203" s="108"/>
      <c r="Q203" s="108"/>
      <c r="R203" s="109">
        <f t="shared" si="172"/>
        <v>0</v>
      </c>
      <c r="S203" s="99">
        <f t="shared" si="6"/>
        <v>2194.8985428902438</v>
      </c>
      <c r="T203" s="108">
        <f t="shared" si="173"/>
        <v>2194.8985428902438</v>
      </c>
      <c r="U203" s="108"/>
      <c r="V203" s="108"/>
      <c r="W203" s="108"/>
      <c r="X203" s="109">
        <f t="shared" si="174"/>
        <v>0</v>
      </c>
      <c r="Y203" s="99">
        <f t="shared" si="8"/>
        <v>4389.7970857804876</v>
      </c>
      <c r="Z203" s="108">
        <f t="shared" si="9"/>
        <v>4389.7970857804876</v>
      </c>
      <c r="AA203" s="108"/>
      <c r="AB203" s="108"/>
      <c r="AC203" s="108"/>
      <c r="AD203" s="109">
        <f t="shared" si="175"/>
        <v>0</v>
      </c>
      <c r="AE203" s="99">
        <f t="shared" si="176"/>
        <v>9</v>
      </c>
      <c r="AF203" s="101">
        <f t="shared" si="177"/>
        <v>36</v>
      </c>
      <c r="AG203" s="101">
        <f t="shared" si="178"/>
        <v>19.001300000000001</v>
      </c>
      <c r="AH203" s="101">
        <f t="shared" si="129"/>
        <v>148</v>
      </c>
      <c r="AI203" s="101">
        <f t="shared" si="84"/>
        <v>268.61079999999998</v>
      </c>
      <c r="AJ203" s="108">
        <f t="shared" si="179"/>
        <v>2.2222222222222223</v>
      </c>
      <c r="AK203" s="101">
        <f t="shared" si="15"/>
        <v>1097.4492714451219</v>
      </c>
      <c r="AL203" s="101">
        <f t="shared" si="180"/>
        <v>1097.4492714451219</v>
      </c>
      <c r="AM203" s="101"/>
      <c r="AN203" s="101"/>
      <c r="AO203" s="1">
        <v>9</v>
      </c>
      <c r="AP203" s="2">
        <v>36</v>
      </c>
      <c r="AQ203" s="74">
        <f t="shared" si="181"/>
        <v>296</v>
      </c>
      <c r="AR203" s="31">
        <f t="shared" si="182"/>
        <v>0.5</v>
      </c>
      <c r="AS203" s="2">
        <f t="shared" si="183"/>
        <v>0</v>
      </c>
      <c r="AT203" s="33">
        <f t="shared" si="184"/>
        <v>0</v>
      </c>
      <c r="AU203" s="31">
        <f t="shared" si="185"/>
        <v>1</v>
      </c>
      <c r="AV203" s="2">
        <f t="shared" si="186"/>
        <v>1</v>
      </c>
      <c r="AW203" s="33">
        <f t="shared" si="187"/>
        <v>0</v>
      </c>
      <c r="AX203" s="31">
        <f t="shared" si="188"/>
        <v>2</v>
      </c>
      <c r="AY203" s="33">
        <f t="shared" si="189"/>
        <v>0</v>
      </c>
      <c r="AZ203" s="2"/>
      <c r="BA203" s="101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 ht="12" customHeight="1">
      <c r="A204" s="2"/>
      <c r="B204" s="107">
        <v>129</v>
      </c>
      <c r="C204" s="31">
        <v>10</v>
      </c>
      <c r="D204" s="106" t="s">
        <v>7</v>
      </c>
      <c r="E204" s="2" t="s">
        <v>164</v>
      </c>
      <c r="F204" s="2"/>
      <c r="G204" s="2"/>
      <c r="H204" s="33"/>
      <c r="I204" s="99">
        <f t="shared" si="0"/>
        <v>322.01172136730059</v>
      </c>
      <c r="J204" s="101">
        <f t="shared" si="1"/>
        <v>16.444444444444443</v>
      </c>
      <c r="K204" s="101">
        <f t="shared" si="2"/>
        <v>813</v>
      </c>
      <c r="L204" s="74">
        <f t="shared" si="3"/>
        <v>313</v>
      </c>
      <c r="M204" s="99">
        <f t="shared" si="171"/>
        <v>2898.1054923057054</v>
      </c>
      <c r="N204" s="108">
        <f t="shared" si="92"/>
        <v>2898.1054923057054</v>
      </c>
      <c r="O204" s="108"/>
      <c r="P204" s="108"/>
      <c r="Q204" s="108"/>
      <c r="R204" s="109">
        <f t="shared" si="172"/>
        <v>0</v>
      </c>
      <c r="S204" s="99">
        <f t="shared" si="6"/>
        <v>2194.8985428902438</v>
      </c>
      <c r="T204" s="108">
        <f t="shared" si="173"/>
        <v>2194.8985428902438</v>
      </c>
      <c r="U204" s="108"/>
      <c r="V204" s="108"/>
      <c r="W204" s="108"/>
      <c r="X204" s="109">
        <f t="shared" si="174"/>
        <v>0</v>
      </c>
      <c r="Y204" s="99">
        <f t="shared" si="8"/>
        <v>4389.7970857804876</v>
      </c>
      <c r="Z204" s="108">
        <f t="shared" si="9"/>
        <v>4389.7970857804876</v>
      </c>
      <c r="AA204" s="108"/>
      <c r="AB204" s="108"/>
      <c r="AC204" s="108"/>
      <c r="AD204" s="109">
        <f t="shared" si="175"/>
        <v>0</v>
      </c>
      <c r="AE204" s="99">
        <f t="shared" si="176"/>
        <v>9</v>
      </c>
      <c r="AF204" s="101">
        <f t="shared" si="177"/>
        <v>36</v>
      </c>
      <c r="AG204" s="101">
        <f t="shared" si="178"/>
        <v>19.001300000000001</v>
      </c>
      <c r="AH204" s="101">
        <f t="shared" si="129"/>
        <v>148</v>
      </c>
      <c r="AI204" s="101">
        <f t="shared" ref="AI204:AI267" si="190">$D$58+$D$19</f>
        <v>268.61079999999998</v>
      </c>
      <c r="AJ204" s="108">
        <f t="shared" si="179"/>
        <v>1.7777777777777777</v>
      </c>
      <c r="AK204" s="101">
        <f t="shared" si="15"/>
        <v>1097.4492714451219</v>
      </c>
      <c r="AL204" s="101">
        <f t="shared" si="180"/>
        <v>1097.4492714451219</v>
      </c>
      <c r="AM204" s="101"/>
      <c r="AN204" s="101"/>
      <c r="AO204" s="1">
        <v>9</v>
      </c>
      <c r="AP204" s="2">
        <v>36</v>
      </c>
      <c r="AQ204" s="74">
        <f t="shared" si="181"/>
        <v>296</v>
      </c>
      <c r="AR204" s="31">
        <f t="shared" si="182"/>
        <v>0.5</v>
      </c>
      <c r="AS204" s="2">
        <f t="shared" si="183"/>
        <v>0</v>
      </c>
      <c r="AT204" s="33">
        <f t="shared" si="184"/>
        <v>0</v>
      </c>
      <c r="AU204" s="31">
        <f t="shared" si="185"/>
        <v>0.8</v>
      </c>
      <c r="AV204" s="2">
        <f t="shared" si="186"/>
        <v>1</v>
      </c>
      <c r="AW204" s="33">
        <f t="shared" si="187"/>
        <v>0</v>
      </c>
      <c r="AX204" s="31">
        <f t="shared" si="188"/>
        <v>2</v>
      </c>
      <c r="AY204" s="33">
        <f t="shared" si="189"/>
        <v>0</v>
      </c>
      <c r="AZ204" s="2"/>
      <c r="BA204" s="101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12" customHeight="1">
      <c r="A205" s="2"/>
      <c r="B205" s="107">
        <v>130</v>
      </c>
      <c r="C205" s="31">
        <v>10</v>
      </c>
      <c r="D205" s="106" t="s">
        <v>7</v>
      </c>
      <c r="E205" s="2" t="s">
        <v>153</v>
      </c>
      <c r="F205" s="2"/>
      <c r="G205" s="2"/>
      <c r="H205" s="33"/>
      <c r="I205" s="99">
        <f t="shared" si="0"/>
        <v>483.01758205095092</v>
      </c>
      <c r="J205" s="101">
        <f t="shared" si="1"/>
        <v>16.444444444444443</v>
      </c>
      <c r="K205" s="101">
        <f t="shared" si="2"/>
        <v>628</v>
      </c>
      <c r="L205" s="74">
        <f t="shared" si="3"/>
        <v>222</v>
      </c>
      <c r="M205" s="99">
        <f t="shared" si="171"/>
        <v>4347.1582384585581</v>
      </c>
      <c r="N205" s="108">
        <f t="shared" si="92"/>
        <v>4347.1582384585581</v>
      </c>
      <c r="O205" s="108"/>
      <c r="P205" s="108"/>
      <c r="Q205" s="108"/>
      <c r="R205" s="109">
        <f t="shared" si="172"/>
        <v>0</v>
      </c>
      <c r="S205" s="99">
        <f t="shared" si="6"/>
        <v>3292.3478143353659</v>
      </c>
      <c r="T205" s="108">
        <f t="shared" si="173"/>
        <v>3292.3478143353659</v>
      </c>
      <c r="U205" s="108"/>
      <c r="V205" s="108"/>
      <c r="W205" s="108"/>
      <c r="X205" s="109">
        <f t="shared" si="174"/>
        <v>0</v>
      </c>
      <c r="Y205" s="99">
        <f t="shared" si="8"/>
        <v>6584.6956286707318</v>
      </c>
      <c r="Z205" s="108">
        <f t="shared" si="9"/>
        <v>6584.6956286707318</v>
      </c>
      <c r="AA205" s="108"/>
      <c r="AB205" s="108"/>
      <c r="AC205" s="108"/>
      <c r="AD205" s="109">
        <f t="shared" si="175"/>
        <v>0</v>
      </c>
      <c r="AE205" s="99">
        <f t="shared" si="176"/>
        <v>9</v>
      </c>
      <c r="AF205" s="101">
        <f t="shared" si="177"/>
        <v>36</v>
      </c>
      <c r="AG205" s="101">
        <f t="shared" si="178"/>
        <v>19.001300000000001</v>
      </c>
      <c r="AH205" s="101">
        <f t="shared" si="129"/>
        <v>148</v>
      </c>
      <c r="AI205" s="101">
        <f t="shared" si="190"/>
        <v>268.61079999999998</v>
      </c>
      <c r="AJ205" s="108">
        <f t="shared" si="179"/>
        <v>2.2222222222222223</v>
      </c>
      <c r="AK205" s="101">
        <f t="shared" si="15"/>
        <v>1097.4492714451219</v>
      </c>
      <c r="AL205" s="101">
        <f t="shared" si="180"/>
        <v>1097.4492714451219</v>
      </c>
      <c r="AM205" s="101"/>
      <c r="AN205" s="101"/>
      <c r="AO205" s="1">
        <v>9</v>
      </c>
      <c r="AP205" s="2">
        <v>36</v>
      </c>
      <c r="AQ205" s="74">
        <f t="shared" si="181"/>
        <v>296</v>
      </c>
      <c r="AR205" s="31">
        <f t="shared" si="182"/>
        <v>0.5</v>
      </c>
      <c r="AS205" s="2">
        <f t="shared" si="183"/>
        <v>0</v>
      </c>
      <c r="AT205" s="33">
        <f t="shared" si="184"/>
        <v>0</v>
      </c>
      <c r="AU205" s="31">
        <f t="shared" si="185"/>
        <v>1</v>
      </c>
      <c r="AV205" s="2">
        <f t="shared" si="186"/>
        <v>1.5</v>
      </c>
      <c r="AW205" s="33">
        <f t="shared" si="187"/>
        <v>0</v>
      </c>
      <c r="AX205" s="31">
        <f t="shared" si="188"/>
        <v>2</v>
      </c>
      <c r="AY205" s="33">
        <f t="shared" si="189"/>
        <v>0</v>
      </c>
      <c r="AZ205" s="2"/>
      <c r="BA205" s="101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12" customHeight="1">
      <c r="A206" s="2"/>
      <c r="B206" s="107">
        <v>131</v>
      </c>
      <c r="C206" s="31">
        <v>10</v>
      </c>
      <c r="D206" s="106" t="s">
        <v>7</v>
      </c>
      <c r="E206" s="2" t="s">
        <v>161</v>
      </c>
      <c r="F206" s="2"/>
      <c r="G206" s="2" t="s">
        <v>184</v>
      </c>
      <c r="H206" s="33"/>
      <c r="I206" s="99">
        <f t="shared" si="0"/>
        <v>372.32605283094131</v>
      </c>
      <c r="J206" s="101">
        <f t="shared" si="1"/>
        <v>32.888888888888886</v>
      </c>
      <c r="K206" s="101">
        <f t="shared" si="2"/>
        <v>753</v>
      </c>
      <c r="L206" s="74">
        <f t="shared" si="3"/>
        <v>274</v>
      </c>
      <c r="M206" s="99">
        <f t="shared" si="171"/>
        <v>3350.934475478472</v>
      </c>
      <c r="N206" s="108">
        <f t="shared" si="92"/>
        <v>2898.1054923057054</v>
      </c>
      <c r="O206" s="108"/>
      <c r="P206" s="108"/>
      <c r="Q206" s="108"/>
      <c r="R206" s="109">
        <f t="shared" si="172"/>
        <v>905.65796634553283</v>
      </c>
      <c r="S206" s="99">
        <f t="shared" si="6"/>
        <v>2880.8043375434449</v>
      </c>
      <c r="T206" s="108">
        <f t="shared" si="173"/>
        <v>2194.8985428902438</v>
      </c>
      <c r="U206" s="108"/>
      <c r="V206" s="108"/>
      <c r="W206" s="108"/>
      <c r="X206" s="109">
        <f t="shared" si="174"/>
        <v>685.90579465320116</v>
      </c>
      <c r="Y206" s="99">
        <f t="shared" si="8"/>
        <v>5761.6086750868899</v>
      </c>
      <c r="Z206" s="108">
        <f t="shared" si="9"/>
        <v>4389.7970857804876</v>
      </c>
      <c r="AA206" s="108"/>
      <c r="AB206" s="108"/>
      <c r="AC206" s="108"/>
      <c r="AD206" s="109">
        <f t="shared" si="175"/>
        <v>1371.8115893064023</v>
      </c>
      <c r="AE206" s="99">
        <f t="shared" si="176"/>
        <v>9</v>
      </c>
      <c r="AF206" s="101">
        <f t="shared" si="177"/>
        <v>36</v>
      </c>
      <c r="AG206" s="101">
        <f t="shared" si="178"/>
        <v>19.001300000000001</v>
      </c>
      <c r="AH206" s="101">
        <f t="shared" si="129"/>
        <v>296</v>
      </c>
      <c r="AI206" s="101">
        <f t="shared" si="190"/>
        <v>268.61079999999998</v>
      </c>
      <c r="AJ206" s="108">
        <f t="shared" si="179"/>
        <v>2.2222222222222223</v>
      </c>
      <c r="AK206" s="101">
        <f t="shared" si="15"/>
        <v>1097.4492714451219</v>
      </c>
      <c r="AL206" s="101">
        <f t="shared" si="180"/>
        <v>1097.4492714451219</v>
      </c>
      <c r="AM206" s="101"/>
      <c r="AN206" s="101"/>
      <c r="AO206" s="1">
        <v>9</v>
      </c>
      <c r="AP206" s="2">
        <v>36</v>
      </c>
      <c r="AQ206" s="74">
        <f t="shared" si="181"/>
        <v>296</v>
      </c>
      <c r="AR206" s="31">
        <f t="shared" si="182"/>
        <v>1</v>
      </c>
      <c r="AS206" s="2">
        <f t="shared" si="183"/>
        <v>0.625</v>
      </c>
      <c r="AT206" s="33">
        <f t="shared" si="184"/>
        <v>0</v>
      </c>
      <c r="AU206" s="31">
        <f t="shared" si="185"/>
        <v>1</v>
      </c>
      <c r="AV206" s="2">
        <f t="shared" si="186"/>
        <v>1</v>
      </c>
      <c r="AW206" s="33">
        <f t="shared" si="187"/>
        <v>0</v>
      </c>
      <c r="AX206" s="31">
        <f t="shared" si="188"/>
        <v>2</v>
      </c>
      <c r="AY206" s="33">
        <f t="shared" si="189"/>
        <v>0</v>
      </c>
      <c r="AZ206" s="2"/>
      <c r="BA206" s="101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 ht="12" customHeight="1">
      <c r="A207" s="2"/>
      <c r="B207" s="107">
        <v>132</v>
      </c>
      <c r="C207" s="31">
        <v>10</v>
      </c>
      <c r="D207" s="106" t="s">
        <v>7</v>
      </c>
      <c r="E207" s="2" t="s">
        <v>169</v>
      </c>
      <c r="F207" s="2"/>
      <c r="G207" s="2" t="s">
        <v>184</v>
      </c>
      <c r="H207" s="33"/>
      <c r="I207" s="99">
        <f t="shared" si="0"/>
        <v>372.32605283094131</v>
      </c>
      <c r="J207" s="101">
        <f t="shared" si="1"/>
        <v>32.888888888888886</v>
      </c>
      <c r="K207" s="101">
        <f t="shared" si="2"/>
        <v>753</v>
      </c>
      <c r="L207" s="74">
        <f t="shared" si="3"/>
        <v>274</v>
      </c>
      <c r="M207" s="99">
        <f t="shared" si="171"/>
        <v>3350.934475478472</v>
      </c>
      <c r="N207" s="108">
        <f t="shared" si="92"/>
        <v>2898.1054923057054</v>
      </c>
      <c r="O207" s="108"/>
      <c r="P207" s="108"/>
      <c r="Q207" s="108"/>
      <c r="R207" s="109">
        <f t="shared" si="172"/>
        <v>905.65796634553283</v>
      </c>
      <c r="S207" s="99">
        <f t="shared" si="6"/>
        <v>2880.8043375434449</v>
      </c>
      <c r="T207" s="108">
        <f t="shared" si="173"/>
        <v>2194.8985428902438</v>
      </c>
      <c r="U207" s="108"/>
      <c r="V207" s="108"/>
      <c r="W207" s="108"/>
      <c r="X207" s="109">
        <f t="shared" si="174"/>
        <v>685.90579465320116</v>
      </c>
      <c r="Y207" s="99">
        <f t="shared" si="8"/>
        <v>5761.6086750868899</v>
      </c>
      <c r="Z207" s="108">
        <f t="shared" si="9"/>
        <v>4389.7970857804876</v>
      </c>
      <c r="AA207" s="108"/>
      <c r="AB207" s="108"/>
      <c r="AC207" s="108"/>
      <c r="AD207" s="109">
        <f t="shared" si="175"/>
        <v>1371.8115893064023</v>
      </c>
      <c r="AE207" s="99">
        <f t="shared" si="176"/>
        <v>9</v>
      </c>
      <c r="AF207" s="101">
        <f t="shared" si="177"/>
        <v>36</v>
      </c>
      <c r="AG207" s="101">
        <f t="shared" si="178"/>
        <v>19.001300000000001</v>
      </c>
      <c r="AH207" s="101">
        <f t="shared" si="129"/>
        <v>296</v>
      </c>
      <c r="AI207" s="101">
        <f t="shared" si="190"/>
        <v>268.61079999999998</v>
      </c>
      <c r="AJ207" s="108">
        <f t="shared" si="179"/>
        <v>1.7777777777777777</v>
      </c>
      <c r="AK207" s="101">
        <f t="shared" si="15"/>
        <v>1097.4492714451219</v>
      </c>
      <c r="AL207" s="101">
        <f t="shared" si="180"/>
        <v>1097.4492714451219</v>
      </c>
      <c r="AM207" s="101"/>
      <c r="AN207" s="101"/>
      <c r="AO207" s="1">
        <v>9</v>
      </c>
      <c r="AP207" s="2">
        <v>36</v>
      </c>
      <c r="AQ207" s="74">
        <f t="shared" si="181"/>
        <v>296</v>
      </c>
      <c r="AR207" s="31">
        <f t="shared" si="182"/>
        <v>1</v>
      </c>
      <c r="AS207" s="2">
        <f t="shared" si="183"/>
        <v>0.625</v>
      </c>
      <c r="AT207" s="33">
        <f t="shared" si="184"/>
        <v>0</v>
      </c>
      <c r="AU207" s="31">
        <f t="shared" si="185"/>
        <v>0.8</v>
      </c>
      <c r="AV207" s="2">
        <f t="shared" si="186"/>
        <v>1</v>
      </c>
      <c r="AW207" s="33">
        <f t="shared" si="187"/>
        <v>0</v>
      </c>
      <c r="AX207" s="31">
        <f t="shared" si="188"/>
        <v>2</v>
      </c>
      <c r="AY207" s="33">
        <f t="shared" si="189"/>
        <v>0</v>
      </c>
      <c r="AZ207" s="2"/>
      <c r="BA207" s="101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 ht="12" customHeight="1">
      <c r="A208" s="2"/>
      <c r="B208" s="107">
        <v>133</v>
      </c>
      <c r="C208" s="31">
        <v>10</v>
      </c>
      <c r="D208" s="106" t="s">
        <v>7</v>
      </c>
      <c r="E208" s="2" t="s">
        <v>162</v>
      </c>
      <c r="F208" s="2"/>
      <c r="G208" s="2" t="s">
        <v>184</v>
      </c>
      <c r="H208" s="33"/>
      <c r="I208" s="99">
        <f t="shared" si="0"/>
        <v>533.33191351459163</v>
      </c>
      <c r="J208" s="101">
        <f t="shared" si="1"/>
        <v>32.888888888888886</v>
      </c>
      <c r="K208" s="101">
        <f t="shared" si="2"/>
        <v>557</v>
      </c>
      <c r="L208" s="74">
        <f t="shared" si="3"/>
        <v>198</v>
      </c>
      <c r="M208" s="99">
        <f t="shared" si="171"/>
        <v>4799.9872216313242</v>
      </c>
      <c r="N208" s="108">
        <f t="shared" si="92"/>
        <v>4347.1582384585581</v>
      </c>
      <c r="O208" s="108"/>
      <c r="P208" s="108"/>
      <c r="Q208" s="108"/>
      <c r="R208" s="109">
        <f t="shared" si="172"/>
        <v>905.65796634553283</v>
      </c>
      <c r="S208" s="99">
        <f t="shared" si="6"/>
        <v>3978.2536089885671</v>
      </c>
      <c r="T208" s="108">
        <f t="shared" si="173"/>
        <v>3292.3478143353659</v>
      </c>
      <c r="U208" s="108"/>
      <c r="V208" s="108"/>
      <c r="W208" s="108"/>
      <c r="X208" s="109">
        <f t="shared" si="174"/>
        <v>685.90579465320116</v>
      </c>
      <c r="Y208" s="99">
        <f t="shared" si="8"/>
        <v>7956.5072179771341</v>
      </c>
      <c r="Z208" s="108">
        <f t="shared" si="9"/>
        <v>6584.6956286707318</v>
      </c>
      <c r="AA208" s="108"/>
      <c r="AB208" s="108"/>
      <c r="AC208" s="108"/>
      <c r="AD208" s="109">
        <f t="shared" si="175"/>
        <v>1371.8115893064023</v>
      </c>
      <c r="AE208" s="99">
        <f t="shared" si="176"/>
        <v>9</v>
      </c>
      <c r="AF208" s="101">
        <f t="shared" si="177"/>
        <v>36</v>
      </c>
      <c r="AG208" s="101">
        <f t="shared" si="178"/>
        <v>19.001300000000001</v>
      </c>
      <c r="AH208" s="101">
        <f t="shared" si="129"/>
        <v>296</v>
      </c>
      <c r="AI208" s="101">
        <f t="shared" si="190"/>
        <v>268.61079999999998</v>
      </c>
      <c r="AJ208" s="108">
        <f t="shared" si="179"/>
        <v>2.2222222222222223</v>
      </c>
      <c r="AK208" s="101">
        <f t="shared" si="15"/>
        <v>1097.4492714451219</v>
      </c>
      <c r="AL208" s="101">
        <f t="shared" si="180"/>
        <v>1097.4492714451219</v>
      </c>
      <c r="AM208" s="101"/>
      <c r="AN208" s="101"/>
      <c r="AO208" s="1">
        <v>9</v>
      </c>
      <c r="AP208" s="2">
        <v>36</v>
      </c>
      <c r="AQ208" s="74">
        <f t="shared" si="181"/>
        <v>296</v>
      </c>
      <c r="AR208" s="31">
        <f t="shared" si="182"/>
        <v>1</v>
      </c>
      <c r="AS208" s="2">
        <f t="shared" si="183"/>
        <v>0.625</v>
      </c>
      <c r="AT208" s="33">
        <f t="shared" si="184"/>
        <v>0</v>
      </c>
      <c r="AU208" s="31">
        <f t="shared" si="185"/>
        <v>1</v>
      </c>
      <c r="AV208" s="2">
        <f t="shared" si="186"/>
        <v>1.5</v>
      </c>
      <c r="AW208" s="33">
        <f t="shared" si="187"/>
        <v>0</v>
      </c>
      <c r="AX208" s="31">
        <f t="shared" si="188"/>
        <v>2</v>
      </c>
      <c r="AY208" s="33">
        <f t="shared" si="189"/>
        <v>0</v>
      </c>
      <c r="AZ208" s="2"/>
      <c r="BA208" s="101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 ht="12" customHeight="1">
      <c r="A209" s="2"/>
      <c r="B209" s="107">
        <v>134</v>
      </c>
      <c r="C209" s="31">
        <v>10</v>
      </c>
      <c r="D209" s="106" t="s">
        <v>7</v>
      </c>
      <c r="E209" s="2" t="s">
        <v>92</v>
      </c>
      <c r="F209" s="2"/>
      <c r="G209" s="2"/>
      <c r="H209" s="33"/>
      <c r="I209" s="99">
        <f t="shared" si="0"/>
        <v>241.50879102547546</v>
      </c>
      <c r="J209" s="101">
        <f t="shared" si="1"/>
        <v>49.333333333333336</v>
      </c>
      <c r="K209" s="101">
        <f t="shared" si="2"/>
        <v>866</v>
      </c>
      <c r="L209" s="74">
        <f t="shared" si="3"/>
        <v>343</v>
      </c>
      <c r="M209" s="99">
        <f t="shared" si="171"/>
        <v>1449.0527461528527</v>
      </c>
      <c r="N209" s="108">
        <f t="shared" si="92"/>
        <v>1449.0527461528527</v>
      </c>
      <c r="O209" s="108"/>
      <c r="P209" s="108"/>
      <c r="Q209" s="108"/>
      <c r="R209" s="109">
        <f t="shared" si="172"/>
        <v>0</v>
      </c>
      <c r="S209" s="99">
        <f t="shared" si="6"/>
        <v>1097.4492714451219</v>
      </c>
      <c r="T209" s="108">
        <f t="shared" si="173"/>
        <v>1097.4492714451219</v>
      </c>
      <c r="U209" s="108"/>
      <c r="V209" s="108"/>
      <c r="W209" s="108"/>
      <c r="X209" s="109">
        <f t="shared" si="174"/>
        <v>0</v>
      </c>
      <c r="Y209" s="99">
        <f t="shared" si="8"/>
        <v>2194.8985428902438</v>
      </c>
      <c r="Z209" s="108">
        <f t="shared" si="9"/>
        <v>2194.8985428902438</v>
      </c>
      <c r="AA209" s="108"/>
      <c r="AB209" s="108"/>
      <c r="AC209" s="108"/>
      <c r="AD209" s="109">
        <f t="shared" si="175"/>
        <v>0</v>
      </c>
      <c r="AE209" s="99">
        <f t="shared" si="176"/>
        <v>6</v>
      </c>
      <c r="AF209" s="101">
        <f t="shared" si="177"/>
        <v>36</v>
      </c>
      <c r="AG209" s="101">
        <f t="shared" si="178"/>
        <v>19.001300000000001</v>
      </c>
      <c r="AH209" s="101">
        <f t="shared" si="129"/>
        <v>296</v>
      </c>
      <c r="AI209" s="101">
        <f t="shared" si="190"/>
        <v>268.61079999999998</v>
      </c>
      <c r="AJ209" s="108">
        <f t="shared" si="179"/>
        <v>1.1111111111111112</v>
      </c>
      <c r="AK209" s="101">
        <f t="shared" si="15"/>
        <v>1097.4492714451219</v>
      </c>
      <c r="AL209" s="101">
        <f t="shared" si="180"/>
        <v>1097.4492714451219</v>
      </c>
      <c r="AM209" s="101"/>
      <c r="AN209" s="101"/>
      <c r="AO209" s="1">
        <v>9</v>
      </c>
      <c r="AP209" s="2">
        <v>36</v>
      </c>
      <c r="AQ209" s="74">
        <f t="shared" si="181"/>
        <v>296</v>
      </c>
      <c r="AR209" s="31">
        <f t="shared" si="182"/>
        <v>1</v>
      </c>
      <c r="AS209" s="2">
        <f t="shared" si="183"/>
        <v>0</v>
      </c>
      <c r="AT209" s="33">
        <f t="shared" si="184"/>
        <v>0</v>
      </c>
      <c r="AU209" s="31">
        <f t="shared" si="185"/>
        <v>1</v>
      </c>
      <c r="AV209" s="2">
        <f t="shared" si="186"/>
        <v>1</v>
      </c>
      <c r="AW209" s="33">
        <f t="shared" si="187"/>
        <v>0</v>
      </c>
      <c r="AX209" s="31">
        <f t="shared" si="188"/>
        <v>1</v>
      </c>
      <c r="AY209" s="33">
        <f t="shared" si="189"/>
        <v>3</v>
      </c>
      <c r="AZ209" s="2"/>
      <c r="BA209" s="101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 ht="12" customHeight="1">
      <c r="A210" s="2"/>
      <c r="B210" s="107">
        <v>135</v>
      </c>
      <c r="C210" s="31">
        <v>10</v>
      </c>
      <c r="D210" s="106" t="s">
        <v>7</v>
      </c>
      <c r="E210" s="2" t="s">
        <v>139</v>
      </c>
      <c r="F210" s="2"/>
      <c r="G210" s="2"/>
      <c r="H210" s="33"/>
      <c r="I210" s="99">
        <f t="shared" si="0"/>
        <v>241.50879102547546</v>
      </c>
      <c r="J210" s="101">
        <f t="shared" si="1"/>
        <v>49.333333333333336</v>
      </c>
      <c r="K210" s="101">
        <f t="shared" si="2"/>
        <v>866</v>
      </c>
      <c r="L210" s="74">
        <f t="shared" si="3"/>
        <v>343</v>
      </c>
      <c r="M210" s="99">
        <f t="shared" si="171"/>
        <v>1449.0527461528527</v>
      </c>
      <c r="N210" s="108">
        <f t="shared" si="92"/>
        <v>1449.0527461528527</v>
      </c>
      <c r="O210" s="108"/>
      <c r="P210" s="108"/>
      <c r="Q210" s="108"/>
      <c r="R210" s="109">
        <f t="shared" si="172"/>
        <v>0</v>
      </c>
      <c r="S210" s="99">
        <f t="shared" si="6"/>
        <v>1097.4492714451219</v>
      </c>
      <c r="T210" s="108">
        <f t="shared" si="173"/>
        <v>1097.4492714451219</v>
      </c>
      <c r="U210" s="108"/>
      <c r="V210" s="108"/>
      <c r="W210" s="108"/>
      <c r="X210" s="109">
        <f t="shared" si="174"/>
        <v>0</v>
      </c>
      <c r="Y210" s="99">
        <f t="shared" si="8"/>
        <v>2194.8985428902438</v>
      </c>
      <c r="Z210" s="108">
        <f t="shared" si="9"/>
        <v>2194.8985428902438</v>
      </c>
      <c r="AA210" s="108"/>
      <c r="AB210" s="108"/>
      <c r="AC210" s="108"/>
      <c r="AD210" s="109">
        <f t="shared" si="175"/>
        <v>0</v>
      </c>
      <c r="AE210" s="99">
        <f t="shared" si="176"/>
        <v>6</v>
      </c>
      <c r="AF210" s="101">
        <f t="shared" si="177"/>
        <v>36</v>
      </c>
      <c r="AG210" s="101">
        <f t="shared" si="178"/>
        <v>19.001300000000001</v>
      </c>
      <c r="AH210" s="101">
        <f t="shared" si="129"/>
        <v>296</v>
      </c>
      <c r="AI210" s="101">
        <f t="shared" si="190"/>
        <v>268.61079999999998</v>
      </c>
      <c r="AJ210" s="108">
        <f t="shared" si="179"/>
        <v>0.88888888888888884</v>
      </c>
      <c r="AK210" s="101">
        <f t="shared" si="15"/>
        <v>1097.4492714451219</v>
      </c>
      <c r="AL210" s="101">
        <f t="shared" si="180"/>
        <v>1097.4492714451219</v>
      </c>
      <c r="AM210" s="101"/>
      <c r="AN210" s="101"/>
      <c r="AO210" s="1">
        <v>9</v>
      </c>
      <c r="AP210" s="2">
        <v>36</v>
      </c>
      <c r="AQ210" s="74">
        <f t="shared" si="181"/>
        <v>296</v>
      </c>
      <c r="AR210" s="31">
        <f t="shared" si="182"/>
        <v>1</v>
      </c>
      <c r="AS210" s="2">
        <f t="shared" si="183"/>
        <v>0</v>
      </c>
      <c r="AT210" s="33">
        <f t="shared" si="184"/>
        <v>0</v>
      </c>
      <c r="AU210" s="31">
        <f t="shared" si="185"/>
        <v>0.8</v>
      </c>
      <c r="AV210" s="2">
        <f t="shared" si="186"/>
        <v>1</v>
      </c>
      <c r="AW210" s="33">
        <f t="shared" si="187"/>
        <v>0</v>
      </c>
      <c r="AX210" s="31">
        <f t="shared" si="188"/>
        <v>1</v>
      </c>
      <c r="AY210" s="33">
        <f t="shared" si="189"/>
        <v>3</v>
      </c>
      <c r="AZ210" s="2"/>
      <c r="BA210" s="101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12" customHeight="1">
      <c r="A211" s="2"/>
      <c r="B211" s="107">
        <v>136</v>
      </c>
      <c r="C211" s="31">
        <v>10</v>
      </c>
      <c r="D211" s="106" t="s">
        <v>7</v>
      </c>
      <c r="E211" s="2" t="s">
        <v>95</v>
      </c>
      <c r="F211" s="2"/>
      <c r="G211" s="2"/>
      <c r="H211" s="33"/>
      <c r="I211" s="99">
        <f t="shared" si="0"/>
        <v>362.26318653821318</v>
      </c>
      <c r="J211" s="101">
        <f t="shared" si="1"/>
        <v>49.333333333333336</v>
      </c>
      <c r="K211" s="101">
        <f t="shared" si="2"/>
        <v>765</v>
      </c>
      <c r="L211" s="74">
        <f t="shared" si="3"/>
        <v>283</v>
      </c>
      <c r="M211" s="99">
        <f t="shared" si="171"/>
        <v>2173.5791192292791</v>
      </c>
      <c r="N211" s="108">
        <f t="shared" si="92"/>
        <v>2173.5791192292791</v>
      </c>
      <c r="O211" s="108"/>
      <c r="P211" s="108"/>
      <c r="Q211" s="108"/>
      <c r="R211" s="109">
        <f t="shared" si="172"/>
        <v>0</v>
      </c>
      <c r="S211" s="99">
        <f t="shared" si="6"/>
        <v>1646.173907167683</v>
      </c>
      <c r="T211" s="108">
        <f t="shared" si="173"/>
        <v>1646.173907167683</v>
      </c>
      <c r="U211" s="108"/>
      <c r="V211" s="108"/>
      <c r="W211" s="108"/>
      <c r="X211" s="109">
        <f t="shared" si="174"/>
        <v>0</v>
      </c>
      <c r="Y211" s="99">
        <f t="shared" si="8"/>
        <v>3292.3478143353659</v>
      </c>
      <c r="Z211" s="108">
        <f t="shared" si="9"/>
        <v>3292.3478143353659</v>
      </c>
      <c r="AA211" s="108"/>
      <c r="AB211" s="108"/>
      <c r="AC211" s="108"/>
      <c r="AD211" s="109">
        <f t="shared" si="175"/>
        <v>0</v>
      </c>
      <c r="AE211" s="99">
        <f t="shared" si="176"/>
        <v>6</v>
      </c>
      <c r="AF211" s="101">
        <f t="shared" si="177"/>
        <v>36</v>
      </c>
      <c r="AG211" s="101">
        <f t="shared" si="178"/>
        <v>19.001300000000001</v>
      </c>
      <c r="AH211" s="101">
        <f t="shared" si="129"/>
        <v>296</v>
      </c>
      <c r="AI211" s="101">
        <f t="shared" si="190"/>
        <v>268.61079999999998</v>
      </c>
      <c r="AJ211" s="108">
        <f t="shared" si="179"/>
        <v>1.1111111111111112</v>
      </c>
      <c r="AK211" s="101">
        <f t="shared" si="15"/>
        <v>1097.4492714451219</v>
      </c>
      <c r="AL211" s="101">
        <f t="shared" si="180"/>
        <v>1097.4492714451219</v>
      </c>
      <c r="AM211" s="101"/>
      <c r="AN211" s="101"/>
      <c r="AO211" s="1">
        <v>9</v>
      </c>
      <c r="AP211" s="2">
        <v>36</v>
      </c>
      <c r="AQ211" s="74">
        <f t="shared" si="181"/>
        <v>296</v>
      </c>
      <c r="AR211" s="31">
        <f t="shared" si="182"/>
        <v>1</v>
      </c>
      <c r="AS211" s="2">
        <f t="shared" si="183"/>
        <v>0</v>
      </c>
      <c r="AT211" s="33">
        <f t="shared" si="184"/>
        <v>0</v>
      </c>
      <c r="AU211" s="31">
        <f t="shared" si="185"/>
        <v>1</v>
      </c>
      <c r="AV211" s="2">
        <f t="shared" si="186"/>
        <v>1.5</v>
      </c>
      <c r="AW211" s="33">
        <f t="shared" si="187"/>
        <v>0</v>
      </c>
      <c r="AX211" s="31">
        <f t="shared" si="188"/>
        <v>1</v>
      </c>
      <c r="AY211" s="33">
        <f t="shared" si="189"/>
        <v>3</v>
      </c>
      <c r="AZ211" s="2"/>
      <c r="BA211" s="101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 ht="12" customHeight="1">
      <c r="A212" s="2"/>
      <c r="B212" s="107">
        <v>137</v>
      </c>
      <c r="C212" s="31">
        <v>10</v>
      </c>
      <c r="D212" s="106" t="s">
        <v>7</v>
      </c>
      <c r="E212" s="2" t="s">
        <v>151</v>
      </c>
      <c r="F212" s="2"/>
      <c r="G212" s="2"/>
      <c r="H212" s="33"/>
      <c r="I212" s="99">
        <f t="shared" si="0"/>
        <v>241.50879102547546</v>
      </c>
      <c r="J212" s="101">
        <f t="shared" si="1"/>
        <v>24.666666666666668</v>
      </c>
      <c r="K212" s="101">
        <f t="shared" si="2"/>
        <v>866</v>
      </c>
      <c r="L212" s="74">
        <f t="shared" si="3"/>
        <v>343</v>
      </c>
      <c r="M212" s="99">
        <f t="shared" si="171"/>
        <v>1449.0527461528527</v>
      </c>
      <c r="N212" s="108">
        <f t="shared" si="92"/>
        <v>1449.0527461528527</v>
      </c>
      <c r="O212" s="108"/>
      <c r="P212" s="108"/>
      <c r="Q212" s="108"/>
      <c r="R212" s="109">
        <f t="shared" si="172"/>
        <v>0</v>
      </c>
      <c r="S212" s="99">
        <f t="shared" si="6"/>
        <v>1097.4492714451219</v>
      </c>
      <c r="T212" s="108">
        <f t="shared" si="173"/>
        <v>1097.4492714451219</v>
      </c>
      <c r="U212" s="108"/>
      <c r="V212" s="108"/>
      <c r="W212" s="108"/>
      <c r="X212" s="109">
        <f t="shared" si="174"/>
        <v>0</v>
      </c>
      <c r="Y212" s="99">
        <f t="shared" si="8"/>
        <v>2194.8985428902438</v>
      </c>
      <c r="Z212" s="108">
        <f t="shared" si="9"/>
        <v>2194.8985428902438</v>
      </c>
      <c r="AA212" s="108"/>
      <c r="AB212" s="108"/>
      <c r="AC212" s="108"/>
      <c r="AD212" s="109">
        <f t="shared" si="175"/>
        <v>0</v>
      </c>
      <c r="AE212" s="99">
        <f t="shared" si="176"/>
        <v>6</v>
      </c>
      <c r="AF212" s="101">
        <f t="shared" si="177"/>
        <v>36</v>
      </c>
      <c r="AG212" s="101">
        <f t="shared" si="178"/>
        <v>19.001300000000001</v>
      </c>
      <c r="AH212" s="101">
        <f t="shared" si="129"/>
        <v>148</v>
      </c>
      <c r="AI212" s="101">
        <f t="shared" si="190"/>
        <v>268.61079999999998</v>
      </c>
      <c r="AJ212" s="108">
        <f t="shared" si="179"/>
        <v>1.1111111111111112</v>
      </c>
      <c r="AK212" s="101">
        <f t="shared" si="15"/>
        <v>1097.4492714451219</v>
      </c>
      <c r="AL212" s="101">
        <f t="shared" si="180"/>
        <v>1097.4492714451219</v>
      </c>
      <c r="AM212" s="101"/>
      <c r="AN212" s="101"/>
      <c r="AO212" s="1">
        <v>9</v>
      </c>
      <c r="AP212" s="2">
        <v>36</v>
      </c>
      <c r="AQ212" s="74">
        <f t="shared" si="181"/>
        <v>296</v>
      </c>
      <c r="AR212" s="31">
        <f t="shared" si="182"/>
        <v>0.5</v>
      </c>
      <c r="AS212" s="2">
        <f t="shared" si="183"/>
        <v>0</v>
      </c>
      <c r="AT212" s="33">
        <f t="shared" si="184"/>
        <v>0</v>
      </c>
      <c r="AU212" s="31">
        <f t="shared" si="185"/>
        <v>1</v>
      </c>
      <c r="AV212" s="2">
        <f t="shared" si="186"/>
        <v>1</v>
      </c>
      <c r="AW212" s="33">
        <f t="shared" si="187"/>
        <v>0</v>
      </c>
      <c r="AX212" s="31">
        <f t="shared" si="188"/>
        <v>1</v>
      </c>
      <c r="AY212" s="33">
        <f t="shared" si="189"/>
        <v>3</v>
      </c>
      <c r="AZ212" s="2"/>
      <c r="BA212" s="101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12" customHeight="1">
      <c r="A213" s="2"/>
      <c r="B213" s="107">
        <v>138</v>
      </c>
      <c r="C213" s="31">
        <v>10</v>
      </c>
      <c r="D213" s="106" t="s">
        <v>7</v>
      </c>
      <c r="E213" s="2" t="s">
        <v>165</v>
      </c>
      <c r="F213" s="2"/>
      <c r="G213" s="2"/>
      <c r="H213" s="33"/>
      <c r="I213" s="99">
        <f t="shared" si="0"/>
        <v>241.50879102547546</v>
      </c>
      <c r="J213" s="101">
        <f t="shared" si="1"/>
        <v>24.666666666666668</v>
      </c>
      <c r="K213" s="101">
        <f t="shared" si="2"/>
        <v>866</v>
      </c>
      <c r="L213" s="74">
        <f t="shared" si="3"/>
        <v>343</v>
      </c>
      <c r="M213" s="99">
        <f t="shared" si="171"/>
        <v>1449.0527461528527</v>
      </c>
      <c r="N213" s="108">
        <f t="shared" si="92"/>
        <v>1449.0527461528527</v>
      </c>
      <c r="O213" s="108"/>
      <c r="P213" s="108"/>
      <c r="Q213" s="108"/>
      <c r="R213" s="109">
        <f t="shared" si="172"/>
        <v>0</v>
      </c>
      <c r="S213" s="99">
        <f t="shared" si="6"/>
        <v>1097.4492714451219</v>
      </c>
      <c r="T213" s="108">
        <f t="shared" si="173"/>
        <v>1097.4492714451219</v>
      </c>
      <c r="U213" s="108"/>
      <c r="V213" s="108"/>
      <c r="W213" s="108"/>
      <c r="X213" s="109">
        <f t="shared" si="174"/>
        <v>0</v>
      </c>
      <c r="Y213" s="99">
        <f t="shared" si="8"/>
        <v>2194.8985428902438</v>
      </c>
      <c r="Z213" s="108">
        <f t="shared" si="9"/>
        <v>2194.8985428902438</v>
      </c>
      <c r="AA213" s="108"/>
      <c r="AB213" s="108"/>
      <c r="AC213" s="108"/>
      <c r="AD213" s="109">
        <f t="shared" si="175"/>
        <v>0</v>
      </c>
      <c r="AE213" s="99">
        <f t="shared" si="176"/>
        <v>6</v>
      </c>
      <c r="AF213" s="101">
        <f t="shared" si="177"/>
        <v>36</v>
      </c>
      <c r="AG213" s="101">
        <f t="shared" si="178"/>
        <v>19.001300000000001</v>
      </c>
      <c r="AH213" s="101">
        <f t="shared" si="129"/>
        <v>148</v>
      </c>
      <c r="AI213" s="101">
        <f t="shared" si="190"/>
        <v>268.61079999999998</v>
      </c>
      <c r="AJ213" s="108">
        <f t="shared" si="179"/>
        <v>0.88888888888888884</v>
      </c>
      <c r="AK213" s="101">
        <f t="shared" si="15"/>
        <v>1097.4492714451219</v>
      </c>
      <c r="AL213" s="101">
        <f t="shared" si="180"/>
        <v>1097.4492714451219</v>
      </c>
      <c r="AM213" s="101"/>
      <c r="AN213" s="101"/>
      <c r="AO213" s="1">
        <v>9</v>
      </c>
      <c r="AP213" s="2">
        <v>36</v>
      </c>
      <c r="AQ213" s="74">
        <f t="shared" si="181"/>
        <v>296</v>
      </c>
      <c r="AR213" s="31">
        <f t="shared" si="182"/>
        <v>0.5</v>
      </c>
      <c r="AS213" s="2">
        <f t="shared" si="183"/>
        <v>0</v>
      </c>
      <c r="AT213" s="33">
        <f t="shared" si="184"/>
        <v>0</v>
      </c>
      <c r="AU213" s="31">
        <f t="shared" si="185"/>
        <v>0.8</v>
      </c>
      <c r="AV213" s="2">
        <f t="shared" si="186"/>
        <v>1</v>
      </c>
      <c r="AW213" s="33">
        <f t="shared" si="187"/>
        <v>0</v>
      </c>
      <c r="AX213" s="31">
        <f t="shared" si="188"/>
        <v>1</v>
      </c>
      <c r="AY213" s="33">
        <f t="shared" si="189"/>
        <v>3</v>
      </c>
      <c r="AZ213" s="2"/>
      <c r="BA213" s="101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 ht="12" customHeight="1">
      <c r="A214" s="2"/>
      <c r="B214" s="107">
        <v>139</v>
      </c>
      <c r="C214" s="31">
        <v>10</v>
      </c>
      <c r="D214" s="106" t="s">
        <v>7</v>
      </c>
      <c r="E214" s="2" t="s">
        <v>154</v>
      </c>
      <c r="F214" s="2"/>
      <c r="G214" s="2"/>
      <c r="H214" s="33"/>
      <c r="I214" s="99">
        <f t="shared" si="0"/>
        <v>362.26318653821318</v>
      </c>
      <c r="J214" s="101">
        <f t="shared" si="1"/>
        <v>24.666666666666668</v>
      </c>
      <c r="K214" s="101">
        <f t="shared" si="2"/>
        <v>765</v>
      </c>
      <c r="L214" s="74">
        <f t="shared" si="3"/>
        <v>283</v>
      </c>
      <c r="M214" s="99">
        <f t="shared" si="171"/>
        <v>2173.5791192292791</v>
      </c>
      <c r="N214" s="108">
        <f t="shared" si="92"/>
        <v>2173.5791192292791</v>
      </c>
      <c r="O214" s="108"/>
      <c r="P214" s="108"/>
      <c r="Q214" s="108"/>
      <c r="R214" s="109">
        <f t="shared" si="172"/>
        <v>0</v>
      </c>
      <c r="S214" s="99">
        <f t="shared" si="6"/>
        <v>1646.173907167683</v>
      </c>
      <c r="T214" s="108">
        <f t="shared" si="173"/>
        <v>1646.173907167683</v>
      </c>
      <c r="U214" s="108"/>
      <c r="V214" s="108"/>
      <c r="W214" s="108"/>
      <c r="X214" s="109">
        <f t="shared" si="174"/>
        <v>0</v>
      </c>
      <c r="Y214" s="99">
        <f t="shared" si="8"/>
        <v>3292.3478143353659</v>
      </c>
      <c r="Z214" s="108">
        <f t="shared" si="9"/>
        <v>3292.3478143353659</v>
      </c>
      <c r="AA214" s="108"/>
      <c r="AB214" s="108"/>
      <c r="AC214" s="108"/>
      <c r="AD214" s="109">
        <f t="shared" si="175"/>
        <v>0</v>
      </c>
      <c r="AE214" s="99">
        <f t="shared" si="176"/>
        <v>6</v>
      </c>
      <c r="AF214" s="101">
        <f t="shared" si="177"/>
        <v>36</v>
      </c>
      <c r="AG214" s="101">
        <f t="shared" si="178"/>
        <v>19.001300000000001</v>
      </c>
      <c r="AH214" s="101">
        <f t="shared" si="129"/>
        <v>148</v>
      </c>
      <c r="AI214" s="101">
        <f t="shared" si="190"/>
        <v>268.61079999999998</v>
      </c>
      <c r="AJ214" s="108">
        <f t="shared" si="179"/>
        <v>1.1111111111111112</v>
      </c>
      <c r="AK214" s="101">
        <f t="shared" si="15"/>
        <v>1097.4492714451219</v>
      </c>
      <c r="AL214" s="101">
        <f t="shared" si="180"/>
        <v>1097.4492714451219</v>
      </c>
      <c r="AM214" s="101"/>
      <c r="AN214" s="101"/>
      <c r="AO214" s="1">
        <v>9</v>
      </c>
      <c r="AP214" s="2">
        <v>36</v>
      </c>
      <c r="AQ214" s="74">
        <f t="shared" si="181"/>
        <v>296</v>
      </c>
      <c r="AR214" s="31">
        <f t="shared" si="182"/>
        <v>0.5</v>
      </c>
      <c r="AS214" s="2">
        <f t="shared" si="183"/>
        <v>0</v>
      </c>
      <c r="AT214" s="33">
        <f t="shared" si="184"/>
        <v>0</v>
      </c>
      <c r="AU214" s="31">
        <f t="shared" si="185"/>
        <v>1</v>
      </c>
      <c r="AV214" s="2">
        <f t="shared" si="186"/>
        <v>1.5</v>
      </c>
      <c r="AW214" s="33">
        <f t="shared" si="187"/>
        <v>0</v>
      </c>
      <c r="AX214" s="31">
        <f t="shared" si="188"/>
        <v>1</v>
      </c>
      <c r="AY214" s="33">
        <f t="shared" si="189"/>
        <v>3</v>
      </c>
      <c r="AZ214" s="2"/>
      <c r="BA214" s="101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 ht="12" customHeight="1">
      <c r="A215" s="2"/>
      <c r="B215" s="107">
        <v>140</v>
      </c>
      <c r="C215" s="31">
        <v>10</v>
      </c>
      <c r="D215" s="106" t="s">
        <v>7</v>
      </c>
      <c r="E215" s="2" t="s">
        <v>99</v>
      </c>
      <c r="F215" s="2"/>
      <c r="G215" s="2" t="s">
        <v>184</v>
      </c>
      <c r="H215" s="33"/>
      <c r="I215" s="99">
        <f t="shared" si="0"/>
        <v>316.98028822093653</v>
      </c>
      <c r="J215" s="101">
        <f t="shared" si="1"/>
        <v>49.333333333333336</v>
      </c>
      <c r="K215" s="101">
        <f t="shared" si="2"/>
        <v>819</v>
      </c>
      <c r="L215" s="74">
        <f t="shared" si="3"/>
        <v>319</v>
      </c>
      <c r="M215" s="99">
        <f t="shared" si="171"/>
        <v>1901.8817293256191</v>
      </c>
      <c r="N215" s="108">
        <f t="shared" si="92"/>
        <v>1449.0527461528527</v>
      </c>
      <c r="O215" s="108"/>
      <c r="P215" s="108"/>
      <c r="Q215" s="108"/>
      <c r="R215" s="109">
        <f t="shared" si="172"/>
        <v>905.65796634553283</v>
      </c>
      <c r="S215" s="99">
        <f t="shared" si="6"/>
        <v>1783.3550660983231</v>
      </c>
      <c r="T215" s="108">
        <f t="shared" si="173"/>
        <v>1097.4492714451219</v>
      </c>
      <c r="U215" s="108"/>
      <c r="V215" s="108"/>
      <c r="W215" s="108"/>
      <c r="X215" s="109">
        <f t="shared" si="174"/>
        <v>685.90579465320116</v>
      </c>
      <c r="Y215" s="99">
        <f t="shared" si="8"/>
        <v>3566.7101321966461</v>
      </c>
      <c r="Z215" s="108">
        <f t="shared" si="9"/>
        <v>2194.8985428902438</v>
      </c>
      <c r="AA215" s="108"/>
      <c r="AB215" s="108"/>
      <c r="AC215" s="108"/>
      <c r="AD215" s="109">
        <f t="shared" si="175"/>
        <v>1371.8115893064023</v>
      </c>
      <c r="AE215" s="99">
        <f t="shared" si="176"/>
        <v>6</v>
      </c>
      <c r="AF215" s="101">
        <f t="shared" si="177"/>
        <v>36</v>
      </c>
      <c r="AG215" s="101">
        <f t="shared" si="178"/>
        <v>19.001300000000001</v>
      </c>
      <c r="AH215" s="101">
        <f t="shared" si="129"/>
        <v>296</v>
      </c>
      <c r="AI215" s="101">
        <f t="shared" si="190"/>
        <v>268.61079999999998</v>
      </c>
      <c r="AJ215" s="108">
        <f t="shared" si="179"/>
        <v>1.1111111111111112</v>
      </c>
      <c r="AK215" s="101">
        <f t="shared" si="15"/>
        <v>1097.4492714451219</v>
      </c>
      <c r="AL215" s="101">
        <f t="shared" si="180"/>
        <v>1097.4492714451219</v>
      </c>
      <c r="AM215" s="101"/>
      <c r="AN215" s="101"/>
      <c r="AO215" s="1">
        <v>9</v>
      </c>
      <c r="AP215" s="2">
        <v>36</v>
      </c>
      <c r="AQ215" s="74">
        <f t="shared" si="181"/>
        <v>296</v>
      </c>
      <c r="AR215" s="31">
        <f t="shared" si="182"/>
        <v>1</v>
      </c>
      <c r="AS215" s="2">
        <f t="shared" si="183"/>
        <v>0.625</v>
      </c>
      <c r="AT215" s="33">
        <f t="shared" si="184"/>
        <v>0</v>
      </c>
      <c r="AU215" s="31">
        <f t="shared" si="185"/>
        <v>1</v>
      </c>
      <c r="AV215" s="2">
        <f t="shared" si="186"/>
        <v>1</v>
      </c>
      <c r="AW215" s="33">
        <f t="shared" si="187"/>
        <v>0</v>
      </c>
      <c r="AX215" s="31">
        <f t="shared" si="188"/>
        <v>1</v>
      </c>
      <c r="AY215" s="33">
        <f t="shared" si="189"/>
        <v>3</v>
      </c>
      <c r="AZ215" s="2"/>
      <c r="BA215" s="101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 ht="12" customHeight="1">
      <c r="A216" s="2"/>
      <c r="B216" s="107">
        <v>141</v>
      </c>
      <c r="C216" s="31">
        <v>10</v>
      </c>
      <c r="D216" s="106" t="s">
        <v>7</v>
      </c>
      <c r="E216" s="2" t="s">
        <v>170</v>
      </c>
      <c r="F216" s="2"/>
      <c r="G216" s="2" t="s">
        <v>184</v>
      </c>
      <c r="H216" s="33"/>
      <c r="I216" s="99">
        <f t="shared" si="0"/>
        <v>316.98028822093653</v>
      </c>
      <c r="J216" s="101">
        <f t="shared" si="1"/>
        <v>49.333333333333336</v>
      </c>
      <c r="K216" s="101">
        <f t="shared" si="2"/>
        <v>819</v>
      </c>
      <c r="L216" s="74">
        <f t="shared" si="3"/>
        <v>319</v>
      </c>
      <c r="M216" s="99">
        <f t="shared" si="171"/>
        <v>1901.8817293256191</v>
      </c>
      <c r="N216" s="108">
        <f t="shared" si="92"/>
        <v>1449.0527461528527</v>
      </c>
      <c r="O216" s="108"/>
      <c r="P216" s="108"/>
      <c r="Q216" s="108"/>
      <c r="R216" s="109">
        <f t="shared" si="172"/>
        <v>905.65796634553283</v>
      </c>
      <c r="S216" s="99">
        <f t="shared" si="6"/>
        <v>1783.3550660983231</v>
      </c>
      <c r="T216" s="108">
        <f t="shared" si="173"/>
        <v>1097.4492714451219</v>
      </c>
      <c r="U216" s="108"/>
      <c r="V216" s="108"/>
      <c r="W216" s="108"/>
      <c r="X216" s="109">
        <f t="shared" si="174"/>
        <v>685.90579465320116</v>
      </c>
      <c r="Y216" s="99">
        <f t="shared" si="8"/>
        <v>3566.7101321966461</v>
      </c>
      <c r="Z216" s="108">
        <f t="shared" si="9"/>
        <v>2194.8985428902438</v>
      </c>
      <c r="AA216" s="108"/>
      <c r="AB216" s="108"/>
      <c r="AC216" s="108"/>
      <c r="AD216" s="109">
        <f t="shared" si="175"/>
        <v>1371.8115893064023</v>
      </c>
      <c r="AE216" s="99">
        <f t="shared" si="176"/>
        <v>6</v>
      </c>
      <c r="AF216" s="101">
        <f t="shared" si="177"/>
        <v>36</v>
      </c>
      <c r="AG216" s="101">
        <f t="shared" si="178"/>
        <v>19.001300000000001</v>
      </c>
      <c r="AH216" s="101">
        <f t="shared" si="129"/>
        <v>296</v>
      </c>
      <c r="AI216" s="101">
        <f t="shared" si="190"/>
        <v>268.61079999999998</v>
      </c>
      <c r="AJ216" s="108">
        <f t="shared" si="179"/>
        <v>0.88888888888888884</v>
      </c>
      <c r="AK216" s="101">
        <f t="shared" si="15"/>
        <v>1097.4492714451219</v>
      </c>
      <c r="AL216" s="101">
        <f t="shared" si="180"/>
        <v>1097.4492714451219</v>
      </c>
      <c r="AM216" s="101"/>
      <c r="AN216" s="101"/>
      <c r="AO216" s="1">
        <v>9</v>
      </c>
      <c r="AP216" s="2">
        <v>36</v>
      </c>
      <c r="AQ216" s="74">
        <f t="shared" si="181"/>
        <v>296</v>
      </c>
      <c r="AR216" s="31">
        <f t="shared" si="182"/>
        <v>1</v>
      </c>
      <c r="AS216" s="2">
        <f t="shared" si="183"/>
        <v>0.625</v>
      </c>
      <c r="AT216" s="33">
        <f t="shared" si="184"/>
        <v>0</v>
      </c>
      <c r="AU216" s="31">
        <f t="shared" si="185"/>
        <v>0.8</v>
      </c>
      <c r="AV216" s="2">
        <f t="shared" si="186"/>
        <v>1</v>
      </c>
      <c r="AW216" s="33">
        <f t="shared" si="187"/>
        <v>0</v>
      </c>
      <c r="AX216" s="31">
        <f t="shared" si="188"/>
        <v>1</v>
      </c>
      <c r="AY216" s="33">
        <f t="shared" si="189"/>
        <v>3</v>
      </c>
      <c r="AZ216" s="2"/>
      <c r="BA216" s="101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 ht="12" customHeight="1">
      <c r="A217" s="2"/>
      <c r="B217" s="107">
        <v>142</v>
      </c>
      <c r="C217" s="31">
        <v>10</v>
      </c>
      <c r="D217" s="106" t="s">
        <v>7</v>
      </c>
      <c r="E217" s="2" t="s">
        <v>102</v>
      </c>
      <c r="F217" s="2"/>
      <c r="G217" s="2" t="s">
        <v>184</v>
      </c>
      <c r="H217" s="33"/>
      <c r="I217" s="99">
        <f t="shared" si="0"/>
        <v>437.73468373367427</v>
      </c>
      <c r="J217" s="101">
        <f t="shared" si="1"/>
        <v>49.333333333333336</v>
      </c>
      <c r="K217" s="101">
        <f t="shared" si="2"/>
        <v>690</v>
      </c>
      <c r="L217" s="74">
        <f t="shared" si="3"/>
        <v>252</v>
      </c>
      <c r="M217" s="99">
        <f t="shared" si="171"/>
        <v>2626.4081024020456</v>
      </c>
      <c r="N217" s="108">
        <f t="shared" si="92"/>
        <v>2173.5791192292791</v>
      </c>
      <c r="O217" s="108"/>
      <c r="P217" s="108"/>
      <c r="Q217" s="108"/>
      <c r="R217" s="109">
        <f t="shared" si="172"/>
        <v>905.65796634553283</v>
      </c>
      <c r="S217" s="99">
        <f t="shared" si="6"/>
        <v>2332.0797018208841</v>
      </c>
      <c r="T217" s="108">
        <f t="shared" si="173"/>
        <v>1646.173907167683</v>
      </c>
      <c r="U217" s="108"/>
      <c r="V217" s="108"/>
      <c r="W217" s="108"/>
      <c r="X217" s="109">
        <f t="shared" si="174"/>
        <v>685.90579465320116</v>
      </c>
      <c r="Y217" s="99">
        <f t="shared" si="8"/>
        <v>4664.1594036417682</v>
      </c>
      <c r="Z217" s="108">
        <f t="shared" si="9"/>
        <v>3292.3478143353659</v>
      </c>
      <c r="AA217" s="108"/>
      <c r="AB217" s="108"/>
      <c r="AC217" s="108"/>
      <c r="AD217" s="109">
        <f t="shared" si="175"/>
        <v>1371.8115893064023</v>
      </c>
      <c r="AE217" s="99">
        <f t="shared" si="176"/>
        <v>6</v>
      </c>
      <c r="AF217" s="101">
        <f t="shared" si="177"/>
        <v>36</v>
      </c>
      <c r="AG217" s="101">
        <f t="shared" si="178"/>
        <v>19.001300000000001</v>
      </c>
      <c r="AH217" s="101">
        <f t="shared" si="129"/>
        <v>296</v>
      </c>
      <c r="AI217" s="101">
        <f t="shared" si="190"/>
        <v>268.61079999999998</v>
      </c>
      <c r="AJ217" s="108">
        <f t="shared" si="179"/>
        <v>1.1111111111111112</v>
      </c>
      <c r="AK217" s="101">
        <f t="shared" si="15"/>
        <v>1097.4492714451219</v>
      </c>
      <c r="AL217" s="101">
        <f t="shared" si="180"/>
        <v>1097.4492714451219</v>
      </c>
      <c r="AM217" s="101"/>
      <c r="AN217" s="101"/>
      <c r="AO217" s="1">
        <v>9</v>
      </c>
      <c r="AP217" s="2">
        <v>36</v>
      </c>
      <c r="AQ217" s="74">
        <f t="shared" si="181"/>
        <v>296</v>
      </c>
      <c r="AR217" s="31">
        <f t="shared" si="182"/>
        <v>1</v>
      </c>
      <c r="AS217" s="2">
        <f t="shared" si="183"/>
        <v>0.625</v>
      </c>
      <c r="AT217" s="33">
        <f t="shared" si="184"/>
        <v>0</v>
      </c>
      <c r="AU217" s="31">
        <f t="shared" si="185"/>
        <v>1</v>
      </c>
      <c r="AV217" s="2">
        <f t="shared" si="186"/>
        <v>1.5</v>
      </c>
      <c r="AW217" s="33">
        <f t="shared" si="187"/>
        <v>0</v>
      </c>
      <c r="AX217" s="31">
        <f t="shared" si="188"/>
        <v>1</v>
      </c>
      <c r="AY217" s="33">
        <f t="shared" si="189"/>
        <v>3</v>
      </c>
      <c r="AZ217" s="2"/>
      <c r="BA217" s="101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 ht="12" customHeight="1">
      <c r="A218" s="2"/>
      <c r="B218" s="107">
        <v>143</v>
      </c>
      <c r="C218" s="31">
        <v>7</v>
      </c>
      <c r="D218" s="106" t="s">
        <v>7</v>
      </c>
      <c r="E218" s="2" t="s">
        <v>67</v>
      </c>
      <c r="F218" s="2"/>
      <c r="G218" s="2"/>
      <c r="H218" s="33"/>
      <c r="I218" s="99">
        <f t="shared" si="0"/>
        <v>153.96555058974161</v>
      </c>
      <c r="J218" s="101">
        <f t="shared" si="1"/>
        <v>22.888888888888889</v>
      </c>
      <c r="K218" s="101">
        <f t="shared" si="2"/>
        <v>891</v>
      </c>
      <c r="L218" s="74">
        <f t="shared" si="3"/>
        <v>364</v>
      </c>
      <c r="M218" s="99">
        <f t="shared" si="171"/>
        <v>1385.6899553076744</v>
      </c>
      <c r="N218" s="108">
        <f t="shared" si="92"/>
        <v>1385.6899553076744</v>
      </c>
      <c r="O218" s="108"/>
      <c r="P218" s="108"/>
      <c r="Q218" s="108"/>
      <c r="R218" s="109">
        <f t="shared" si="172"/>
        <v>0</v>
      </c>
      <c r="S218" s="99">
        <f t="shared" si="6"/>
        <v>1049.4610606402439</v>
      </c>
      <c r="T218" s="108">
        <f t="shared" si="173"/>
        <v>1049.4610606402439</v>
      </c>
      <c r="U218" s="108"/>
      <c r="V218" s="108"/>
      <c r="W218" s="108"/>
      <c r="X218" s="109">
        <f t="shared" si="174"/>
        <v>0</v>
      </c>
      <c r="Y218" s="99">
        <f t="shared" si="8"/>
        <v>2098.9221212804878</v>
      </c>
      <c r="Z218" s="108">
        <f t="shared" si="9"/>
        <v>2098.9221212804878</v>
      </c>
      <c r="AA218" s="108"/>
      <c r="AB218" s="108"/>
      <c r="AC218" s="108"/>
      <c r="AD218" s="109">
        <f t="shared" si="175"/>
        <v>0</v>
      </c>
      <c r="AE218" s="99">
        <f t="shared" si="176"/>
        <v>9</v>
      </c>
      <c r="AF218" s="101">
        <f t="shared" si="177"/>
        <v>36</v>
      </c>
      <c r="AG218" s="101">
        <f t="shared" si="178"/>
        <v>19.001300000000001</v>
      </c>
      <c r="AH218" s="101">
        <f t="shared" si="129"/>
        <v>206</v>
      </c>
      <c r="AI218" s="101">
        <f t="shared" si="190"/>
        <v>268.61079999999998</v>
      </c>
      <c r="AJ218" s="108">
        <f t="shared" si="179"/>
        <v>1.1111111111111112</v>
      </c>
      <c r="AK218" s="101">
        <f t="shared" si="15"/>
        <v>1049.4610606402439</v>
      </c>
      <c r="AL218" s="101">
        <f t="shared" si="180"/>
        <v>1049.4610606402439</v>
      </c>
      <c r="AM218" s="101"/>
      <c r="AN218" s="101"/>
      <c r="AO218" s="1">
        <v>9</v>
      </c>
      <c r="AP218" s="2">
        <v>36</v>
      </c>
      <c r="AQ218" s="74">
        <f t="shared" si="181"/>
        <v>206</v>
      </c>
      <c r="AR218" s="31">
        <f t="shared" si="182"/>
        <v>1</v>
      </c>
      <c r="AS218" s="2">
        <f t="shared" si="183"/>
        <v>0</v>
      </c>
      <c r="AT218" s="33">
        <f t="shared" si="184"/>
        <v>0</v>
      </c>
      <c r="AU218" s="31">
        <f t="shared" si="185"/>
        <v>1</v>
      </c>
      <c r="AV218" s="2">
        <f t="shared" si="186"/>
        <v>1</v>
      </c>
      <c r="AW218" s="33">
        <f t="shared" si="187"/>
        <v>0</v>
      </c>
      <c r="AX218" s="31">
        <f t="shared" si="188"/>
        <v>1</v>
      </c>
      <c r="AY218" s="33">
        <f t="shared" si="189"/>
        <v>0</v>
      </c>
      <c r="AZ218" s="2"/>
      <c r="BA218" s="101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 ht="12" customHeight="1">
      <c r="A219" s="2"/>
      <c r="B219" s="107">
        <v>144</v>
      </c>
      <c r="C219" s="31">
        <v>7</v>
      </c>
      <c r="D219" s="106" t="s">
        <v>7</v>
      </c>
      <c r="E219" s="2" t="s">
        <v>136</v>
      </c>
      <c r="F219" s="2"/>
      <c r="G219" s="2"/>
      <c r="H219" s="33"/>
      <c r="I219" s="99">
        <f t="shared" si="0"/>
        <v>153.96555058974161</v>
      </c>
      <c r="J219" s="101">
        <f t="shared" si="1"/>
        <v>22.888888888888889</v>
      </c>
      <c r="K219" s="101">
        <f t="shared" si="2"/>
        <v>891</v>
      </c>
      <c r="L219" s="74">
        <f t="shared" si="3"/>
        <v>364</v>
      </c>
      <c r="M219" s="99">
        <f t="shared" si="171"/>
        <v>1385.6899553076744</v>
      </c>
      <c r="N219" s="108">
        <f t="shared" si="92"/>
        <v>1385.6899553076744</v>
      </c>
      <c r="O219" s="108"/>
      <c r="P219" s="108"/>
      <c r="Q219" s="108"/>
      <c r="R219" s="109">
        <f t="shared" si="172"/>
        <v>0</v>
      </c>
      <c r="S219" s="99">
        <f t="shared" si="6"/>
        <v>1049.4610606402439</v>
      </c>
      <c r="T219" s="108">
        <f t="shared" si="173"/>
        <v>1049.4610606402439</v>
      </c>
      <c r="U219" s="108"/>
      <c r="V219" s="108"/>
      <c r="W219" s="108"/>
      <c r="X219" s="109">
        <f t="shared" si="174"/>
        <v>0</v>
      </c>
      <c r="Y219" s="99">
        <f t="shared" si="8"/>
        <v>2098.9221212804878</v>
      </c>
      <c r="Z219" s="108">
        <f t="shared" si="9"/>
        <v>2098.9221212804878</v>
      </c>
      <c r="AA219" s="108"/>
      <c r="AB219" s="108"/>
      <c r="AC219" s="108"/>
      <c r="AD219" s="109">
        <f t="shared" si="175"/>
        <v>0</v>
      </c>
      <c r="AE219" s="99">
        <f t="shared" si="176"/>
        <v>9</v>
      </c>
      <c r="AF219" s="101">
        <f t="shared" si="177"/>
        <v>36</v>
      </c>
      <c r="AG219" s="101">
        <f t="shared" si="178"/>
        <v>19.001300000000001</v>
      </c>
      <c r="AH219" s="101">
        <f t="shared" si="129"/>
        <v>206</v>
      </c>
      <c r="AI219" s="101">
        <f t="shared" si="190"/>
        <v>268.61079999999998</v>
      </c>
      <c r="AJ219" s="108">
        <f t="shared" si="179"/>
        <v>0.88888888888888884</v>
      </c>
      <c r="AK219" s="101">
        <f t="shared" si="15"/>
        <v>1049.4610606402439</v>
      </c>
      <c r="AL219" s="101">
        <f t="shared" si="180"/>
        <v>1049.4610606402439</v>
      </c>
      <c r="AM219" s="101"/>
      <c r="AN219" s="101"/>
      <c r="AO219" s="1">
        <v>9</v>
      </c>
      <c r="AP219" s="2">
        <v>36</v>
      </c>
      <c r="AQ219" s="74">
        <f t="shared" si="181"/>
        <v>206</v>
      </c>
      <c r="AR219" s="31">
        <f t="shared" si="182"/>
        <v>1</v>
      </c>
      <c r="AS219" s="2">
        <f t="shared" si="183"/>
        <v>0</v>
      </c>
      <c r="AT219" s="33">
        <f t="shared" si="184"/>
        <v>0</v>
      </c>
      <c r="AU219" s="31">
        <f t="shared" si="185"/>
        <v>0.8</v>
      </c>
      <c r="AV219" s="2">
        <f t="shared" si="186"/>
        <v>1</v>
      </c>
      <c r="AW219" s="33">
        <f t="shared" si="187"/>
        <v>0</v>
      </c>
      <c r="AX219" s="31">
        <f t="shared" si="188"/>
        <v>1</v>
      </c>
      <c r="AY219" s="33">
        <f t="shared" si="189"/>
        <v>0</v>
      </c>
      <c r="AZ219" s="2"/>
      <c r="BA219" s="101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 ht="12" customHeight="1">
      <c r="A220" s="2"/>
      <c r="B220" s="107">
        <v>145</v>
      </c>
      <c r="C220" s="31">
        <v>7</v>
      </c>
      <c r="D220" s="106" t="s">
        <v>7</v>
      </c>
      <c r="E220" s="2" t="s">
        <v>89</v>
      </c>
      <c r="F220" s="2"/>
      <c r="G220" s="2"/>
      <c r="H220" s="33"/>
      <c r="I220" s="99">
        <f t="shared" si="0"/>
        <v>230.94832588461239</v>
      </c>
      <c r="J220" s="101">
        <f t="shared" si="1"/>
        <v>22.888888888888889</v>
      </c>
      <c r="K220" s="101">
        <f t="shared" si="2"/>
        <v>874</v>
      </c>
      <c r="L220" s="74">
        <f t="shared" si="3"/>
        <v>350</v>
      </c>
      <c r="M220" s="99">
        <f t="shared" si="171"/>
        <v>2078.5349329615115</v>
      </c>
      <c r="N220" s="108">
        <f t="shared" si="92"/>
        <v>2078.5349329615115</v>
      </c>
      <c r="O220" s="108"/>
      <c r="P220" s="108"/>
      <c r="Q220" s="108"/>
      <c r="R220" s="109">
        <f t="shared" si="172"/>
        <v>0</v>
      </c>
      <c r="S220" s="99">
        <f t="shared" si="6"/>
        <v>1574.1915909603658</v>
      </c>
      <c r="T220" s="108">
        <f t="shared" si="173"/>
        <v>1574.1915909603658</v>
      </c>
      <c r="U220" s="108"/>
      <c r="V220" s="108"/>
      <c r="W220" s="108"/>
      <c r="X220" s="109">
        <f t="shared" si="174"/>
        <v>0</v>
      </c>
      <c r="Y220" s="99">
        <f t="shared" si="8"/>
        <v>3148.3831819207317</v>
      </c>
      <c r="Z220" s="108">
        <f t="shared" si="9"/>
        <v>3148.3831819207317</v>
      </c>
      <c r="AA220" s="108"/>
      <c r="AB220" s="108"/>
      <c r="AC220" s="108"/>
      <c r="AD220" s="109">
        <f t="shared" si="175"/>
        <v>0</v>
      </c>
      <c r="AE220" s="99">
        <f t="shared" si="176"/>
        <v>9</v>
      </c>
      <c r="AF220" s="101">
        <f t="shared" si="177"/>
        <v>36</v>
      </c>
      <c r="AG220" s="101">
        <f t="shared" si="178"/>
        <v>19.001300000000001</v>
      </c>
      <c r="AH220" s="101">
        <f t="shared" si="129"/>
        <v>206</v>
      </c>
      <c r="AI220" s="101">
        <f t="shared" si="190"/>
        <v>268.61079999999998</v>
      </c>
      <c r="AJ220" s="108">
        <f t="shared" si="179"/>
        <v>1.1111111111111112</v>
      </c>
      <c r="AK220" s="101">
        <f t="shared" si="15"/>
        <v>1049.4610606402439</v>
      </c>
      <c r="AL220" s="101">
        <f t="shared" si="180"/>
        <v>1049.4610606402439</v>
      </c>
      <c r="AM220" s="101"/>
      <c r="AN220" s="101"/>
      <c r="AO220" s="1">
        <v>9</v>
      </c>
      <c r="AP220" s="2">
        <v>36</v>
      </c>
      <c r="AQ220" s="74">
        <f t="shared" si="181"/>
        <v>206</v>
      </c>
      <c r="AR220" s="31">
        <f t="shared" si="182"/>
        <v>1</v>
      </c>
      <c r="AS220" s="2">
        <f t="shared" si="183"/>
        <v>0</v>
      </c>
      <c r="AT220" s="33">
        <f t="shared" si="184"/>
        <v>0</v>
      </c>
      <c r="AU220" s="31">
        <f t="shared" si="185"/>
        <v>1</v>
      </c>
      <c r="AV220" s="2">
        <f t="shared" si="186"/>
        <v>1.5</v>
      </c>
      <c r="AW220" s="33">
        <f t="shared" si="187"/>
        <v>0</v>
      </c>
      <c r="AX220" s="31">
        <f t="shared" si="188"/>
        <v>1</v>
      </c>
      <c r="AY220" s="33">
        <f t="shared" si="189"/>
        <v>0</v>
      </c>
      <c r="AZ220" s="2"/>
      <c r="BA220" s="101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 ht="12" customHeight="1">
      <c r="A221" s="2"/>
      <c r="B221" s="107">
        <v>146</v>
      </c>
      <c r="C221" s="31">
        <v>7</v>
      </c>
      <c r="D221" s="106" t="s">
        <v>7</v>
      </c>
      <c r="E221" s="2" t="s">
        <v>148</v>
      </c>
      <c r="F221" s="2"/>
      <c r="G221" s="2"/>
      <c r="H221" s="33"/>
      <c r="I221" s="99">
        <f t="shared" si="0"/>
        <v>153.96555058974161</v>
      </c>
      <c r="J221" s="101">
        <f t="shared" si="1"/>
        <v>11.444444444444445</v>
      </c>
      <c r="K221" s="101">
        <f t="shared" si="2"/>
        <v>891</v>
      </c>
      <c r="L221" s="74">
        <f t="shared" si="3"/>
        <v>364</v>
      </c>
      <c r="M221" s="99">
        <f t="shared" si="171"/>
        <v>1385.6899553076744</v>
      </c>
      <c r="N221" s="108">
        <f t="shared" si="92"/>
        <v>1385.6899553076744</v>
      </c>
      <c r="O221" s="108"/>
      <c r="P221" s="108"/>
      <c r="Q221" s="108"/>
      <c r="R221" s="109">
        <f t="shared" si="172"/>
        <v>0</v>
      </c>
      <c r="S221" s="99">
        <f t="shared" si="6"/>
        <v>1049.4610606402439</v>
      </c>
      <c r="T221" s="108">
        <f t="shared" si="173"/>
        <v>1049.4610606402439</v>
      </c>
      <c r="U221" s="108"/>
      <c r="V221" s="108"/>
      <c r="W221" s="108"/>
      <c r="X221" s="109">
        <f t="shared" si="174"/>
        <v>0</v>
      </c>
      <c r="Y221" s="99">
        <f t="shared" si="8"/>
        <v>2098.9221212804878</v>
      </c>
      <c r="Z221" s="108">
        <f t="shared" si="9"/>
        <v>2098.9221212804878</v>
      </c>
      <c r="AA221" s="108"/>
      <c r="AB221" s="108"/>
      <c r="AC221" s="108"/>
      <c r="AD221" s="109">
        <f t="shared" si="175"/>
        <v>0</v>
      </c>
      <c r="AE221" s="99">
        <f t="shared" si="176"/>
        <v>9</v>
      </c>
      <c r="AF221" s="101">
        <f t="shared" si="177"/>
        <v>36</v>
      </c>
      <c r="AG221" s="101">
        <f t="shared" si="178"/>
        <v>19.001300000000001</v>
      </c>
      <c r="AH221" s="101">
        <f t="shared" si="129"/>
        <v>103</v>
      </c>
      <c r="AI221" s="101">
        <f t="shared" si="190"/>
        <v>268.61079999999998</v>
      </c>
      <c r="AJ221" s="108">
        <f t="shared" si="179"/>
        <v>1.1111111111111112</v>
      </c>
      <c r="AK221" s="101">
        <f t="shared" si="15"/>
        <v>1049.4610606402439</v>
      </c>
      <c r="AL221" s="101">
        <f t="shared" si="180"/>
        <v>1049.4610606402439</v>
      </c>
      <c r="AM221" s="101"/>
      <c r="AN221" s="101"/>
      <c r="AO221" s="1">
        <v>9</v>
      </c>
      <c r="AP221" s="2">
        <v>36</v>
      </c>
      <c r="AQ221" s="74">
        <f t="shared" si="181"/>
        <v>206</v>
      </c>
      <c r="AR221" s="31">
        <f t="shared" si="182"/>
        <v>0.5</v>
      </c>
      <c r="AS221" s="2">
        <f t="shared" si="183"/>
        <v>0</v>
      </c>
      <c r="AT221" s="33">
        <f t="shared" si="184"/>
        <v>0</v>
      </c>
      <c r="AU221" s="31">
        <f t="shared" si="185"/>
        <v>1</v>
      </c>
      <c r="AV221" s="2">
        <f t="shared" si="186"/>
        <v>1</v>
      </c>
      <c r="AW221" s="33">
        <f t="shared" si="187"/>
        <v>0</v>
      </c>
      <c r="AX221" s="31">
        <f t="shared" si="188"/>
        <v>1</v>
      </c>
      <c r="AY221" s="33">
        <f t="shared" si="189"/>
        <v>0</v>
      </c>
      <c r="AZ221" s="2"/>
      <c r="BA221" s="101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12" customHeight="1">
      <c r="A222" s="2"/>
      <c r="B222" s="107">
        <v>147</v>
      </c>
      <c r="C222" s="31">
        <v>7</v>
      </c>
      <c r="D222" s="106" t="s">
        <v>7</v>
      </c>
      <c r="E222" s="2" t="s">
        <v>163</v>
      </c>
      <c r="F222" s="2"/>
      <c r="G222" s="2"/>
      <c r="H222" s="33"/>
      <c r="I222" s="99">
        <f t="shared" si="0"/>
        <v>153.96555058974161</v>
      </c>
      <c r="J222" s="101">
        <f t="shared" si="1"/>
        <v>11.444444444444445</v>
      </c>
      <c r="K222" s="101">
        <f t="shared" si="2"/>
        <v>891</v>
      </c>
      <c r="L222" s="74">
        <f t="shared" si="3"/>
        <v>364</v>
      </c>
      <c r="M222" s="99">
        <f t="shared" si="171"/>
        <v>1385.6899553076744</v>
      </c>
      <c r="N222" s="108">
        <f t="shared" si="92"/>
        <v>1385.6899553076744</v>
      </c>
      <c r="O222" s="108"/>
      <c r="P222" s="108"/>
      <c r="Q222" s="108"/>
      <c r="R222" s="109">
        <f t="shared" si="172"/>
        <v>0</v>
      </c>
      <c r="S222" s="99">
        <f t="shared" si="6"/>
        <v>1049.4610606402439</v>
      </c>
      <c r="T222" s="108">
        <f t="shared" si="173"/>
        <v>1049.4610606402439</v>
      </c>
      <c r="U222" s="108"/>
      <c r="V222" s="108"/>
      <c r="W222" s="108"/>
      <c r="X222" s="109">
        <f t="shared" si="174"/>
        <v>0</v>
      </c>
      <c r="Y222" s="99">
        <f t="shared" si="8"/>
        <v>2098.9221212804878</v>
      </c>
      <c r="Z222" s="108">
        <f t="shared" si="9"/>
        <v>2098.9221212804878</v>
      </c>
      <c r="AA222" s="108"/>
      <c r="AB222" s="108"/>
      <c r="AC222" s="108"/>
      <c r="AD222" s="109">
        <f t="shared" si="175"/>
        <v>0</v>
      </c>
      <c r="AE222" s="99">
        <f t="shared" si="176"/>
        <v>9</v>
      </c>
      <c r="AF222" s="101">
        <f t="shared" si="177"/>
        <v>36</v>
      </c>
      <c r="AG222" s="101">
        <f t="shared" si="178"/>
        <v>19.001300000000001</v>
      </c>
      <c r="AH222" s="101">
        <f t="shared" si="129"/>
        <v>103</v>
      </c>
      <c r="AI222" s="101">
        <f t="shared" si="190"/>
        <v>268.61079999999998</v>
      </c>
      <c r="AJ222" s="108">
        <f t="shared" si="179"/>
        <v>0.88888888888888884</v>
      </c>
      <c r="AK222" s="101">
        <f t="shared" si="15"/>
        <v>1049.4610606402439</v>
      </c>
      <c r="AL222" s="101">
        <f t="shared" si="180"/>
        <v>1049.4610606402439</v>
      </c>
      <c r="AM222" s="101"/>
      <c r="AN222" s="101"/>
      <c r="AO222" s="1">
        <v>9</v>
      </c>
      <c r="AP222" s="2">
        <v>36</v>
      </c>
      <c r="AQ222" s="74">
        <f t="shared" si="181"/>
        <v>206</v>
      </c>
      <c r="AR222" s="31">
        <f t="shared" si="182"/>
        <v>0.5</v>
      </c>
      <c r="AS222" s="2">
        <f t="shared" si="183"/>
        <v>0</v>
      </c>
      <c r="AT222" s="33">
        <f t="shared" si="184"/>
        <v>0</v>
      </c>
      <c r="AU222" s="31">
        <f t="shared" si="185"/>
        <v>0.8</v>
      </c>
      <c r="AV222" s="2">
        <f t="shared" si="186"/>
        <v>1</v>
      </c>
      <c r="AW222" s="33">
        <f t="shared" si="187"/>
        <v>0</v>
      </c>
      <c r="AX222" s="31">
        <f t="shared" si="188"/>
        <v>1</v>
      </c>
      <c r="AY222" s="33">
        <f t="shared" si="189"/>
        <v>0</v>
      </c>
      <c r="AZ222" s="2"/>
      <c r="BA222" s="101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 ht="12" customHeight="1">
      <c r="A223" s="2"/>
      <c r="B223" s="107">
        <v>148</v>
      </c>
      <c r="C223" s="31">
        <v>7</v>
      </c>
      <c r="D223" s="106" t="s">
        <v>7</v>
      </c>
      <c r="E223" s="2" t="s">
        <v>152</v>
      </c>
      <c r="F223" s="2"/>
      <c r="G223" s="2"/>
      <c r="H223" s="33"/>
      <c r="I223" s="99">
        <f t="shared" si="0"/>
        <v>230.94832588461239</v>
      </c>
      <c r="J223" s="101">
        <f t="shared" si="1"/>
        <v>11.444444444444445</v>
      </c>
      <c r="K223" s="101">
        <f t="shared" si="2"/>
        <v>874</v>
      </c>
      <c r="L223" s="74">
        <f t="shared" si="3"/>
        <v>350</v>
      </c>
      <c r="M223" s="99">
        <f t="shared" si="171"/>
        <v>2078.5349329615115</v>
      </c>
      <c r="N223" s="108">
        <f t="shared" si="92"/>
        <v>2078.5349329615115</v>
      </c>
      <c r="O223" s="108"/>
      <c r="P223" s="108"/>
      <c r="Q223" s="108"/>
      <c r="R223" s="109">
        <f t="shared" si="172"/>
        <v>0</v>
      </c>
      <c r="S223" s="99">
        <f t="shared" si="6"/>
        <v>1574.1915909603658</v>
      </c>
      <c r="T223" s="108">
        <f t="shared" si="173"/>
        <v>1574.1915909603658</v>
      </c>
      <c r="U223" s="108"/>
      <c r="V223" s="108"/>
      <c r="W223" s="108"/>
      <c r="X223" s="109">
        <f t="shared" si="174"/>
        <v>0</v>
      </c>
      <c r="Y223" s="99">
        <f t="shared" si="8"/>
        <v>3148.3831819207317</v>
      </c>
      <c r="Z223" s="108">
        <f t="shared" si="9"/>
        <v>3148.3831819207317</v>
      </c>
      <c r="AA223" s="108"/>
      <c r="AB223" s="108"/>
      <c r="AC223" s="108"/>
      <c r="AD223" s="109">
        <f t="shared" si="175"/>
        <v>0</v>
      </c>
      <c r="AE223" s="99">
        <f t="shared" si="176"/>
        <v>9</v>
      </c>
      <c r="AF223" s="101">
        <f t="shared" si="177"/>
        <v>36</v>
      </c>
      <c r="AG223" s="101">
        <f t="shared" si="178"/>
        <v>19.001300000000001</v>
      </c>
      <c r="AH223" s="101">
        <f t="shared" si="129"/>
        <v>103</v>
      </c>
      <c r="AI223" s="101">
        <f t="shared" si="190"/>
        <v>268.61079999999998</v>
      </c>
      <c r="AJ223" s="108">
        <f t="shared" si="179"/>
        <v>1.1111111111111112</v>
      </c>
      <c r="AK223" s="101">
        <f t="shared" si="15"/>
        <v>1049.4610606402439</v>
      </c>
      <c r="AL223" s="101">
        <f t="shared" si="180"/>
        <v>1049.4610606402439</v>
      </c>
      <c r="AM223" s="101"/>
      <c r="AN223" s="101"/>
      <c r="AO223" s="1">
        <v>9</v>
      </c>
      <c r="AP223" s="2">
        <v>36</v>
      </c>
      <c r="AQ223" s="74">
        <f t="shared" si="181"/>
        <v>206</v>
      </c>
      <c r="AR223" s="31">
        <f t="shared" si="182"/>
        <v>0.5</v>
      </c>
      <c r="AS223" s="2">
        <f t="shared" si="183"/>
        <v>0</v>
      </c>
      <c r="AT223" s="33">
        <f t="shared" si="184"/>
        <v>0</v>
      </c>
      <c r="AU223" s="31">
        <f t="shared" si="185"/>
        <v>1</v>
      </c>
      <c r="AV223" s="2">
        <f t="shared" si="186"/>
        <v>1.5</v>
      </c>
      <c r="AW223" s="33">
        <f t="shared" si="187"/>
        <v>0</v>
      </c>
      <c r="AX223" s="31">
        <f t="shared" si="188"/>
        <v>1</v>
      </c>
      <c r="AY223" s="33">
        <f t="shared" si="189"/>
        <v>0</v>
      </c>
      <c r="AZ223" s="2"/>
      <c r="BA223" s="101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 ht="12" customHeight="1">
      <c r="A224" s="2"/>
      <c r="B224" s="107">
        <v>149</v>
      </c>
      <c r="C224" s="31">
        <v>7</v>
      </c>
      <c r="D224" s="106" t="s">
        <v>7</v>
      </c>
      <c r="E224" s="2" t="s">
        <v>79</v>
      </c>
      <c r="F224" s="2"/>
      <c r="G224" s="2" t="s">
        <v>184</v>
      </c>
      <c r="H224" s="33"/>
      <c r="I224" s="99">
        <f t="shared" si="0"/>
        <v>202.07978514903584</v>
      </c>
      <c r="J224" s="101">
        <f t="shared" si="1"/>
        <v>22.888888888888889</v>
      </c>
      <c r="K224" s="101">
        <f t="shared" si="2"/>
        <v>884</v>
      </c>
      <c r="L224" s="74">
        <f t="shared" si="3"/>
        <v>357</v>
      </c>
      <c r="M224" s="99">
        <f t="shared" si="171"/>
        <v>1818.7180663413226</v>
      </c>
      <c r="N224" s="108">
        <f t="shared" si="92"/>
        <v>1385.6899553076744</v>
      </c>
      <c r="O224" s="108"/>
      <c r="P224" s="108"/>
      <c r="Q224" s="108"/>
      <c r="R224" s="109">
        <f t="shared" si="172"/>
        <v>866.05622206729652</v>
      </c>
      <c r="S224" s="99">
        <f t="shared" si="6"/>
        <v>1705.3742235403963</v>
      </c>
      <c r="T224" s="108">
        <f t="shared" si="173"/>
        <v>1049.4610606402439</v>
      </c>
      <c r="U224" s="108"/>
      <c r="V224" s="108"/>
      <c r="W224" s="108"/>
      <c r="X224" s="109">
        <f t="shared" si="174"/>
        <v>655.91316290015243</v>
      </c>
      <c r="Y224" s="99">
        <f t="shared" si="8"/>
        <v>3410.7484470807926</v>
      </c>
      <c r="Z224" s="108">
        <f t="shared" si="9"/>
        <v>2098.9221212804878</v>
      </c>
      <c r="AA224" s="108"/>
      <c r="AB224" s="108"/>
      <c r="AC224" s="108"/>
      <c r="AD224" s="109">
        <f t="shared" si="175"/>
        <v>1311.8263258003049</v>
      </c>
      <c r="AE224" s="99">
        <f t="shared" si="176"/>
        <v>9</v>
      </c>
      <c r="AF224" s="101">
        <f t="shared" si="177"/>
        <v>36</v>
      </c>
      <c r="AG224" s="101">
        <f t="shared" si="178"/>
        <v>19.001300000000001</v>
      </c>
      <c r="AH224" s="101">
        <f t="shared" si="129"/>
        <v>206</v>
      </c>
      <c r="AI224" s="101">
        <f t="shared" si="190"/>
        <v>268.61079999999998</v>
      </c>
      <c r="AJ224" s="108">
        <f t="shared" si="179"/>
        <v>1.1111111111111112</v>
      </c>
      <c r="AK224" s="101">
        <f t="shared" si="15"/>
        <v>1049.4610606402439</v>
      </c>
      <c r="AL224" s="101">
        <f t="shared" si="180"/>
        <v>1049.4610606402439</v>
      </c>
      <c r="AM224" s="101"/>
      <c r="AN224" s="101"/>
      <c r="AO224" s="1">
        <v>9</v>
      </c>
      <c r="AP224" s="2">
        <v>36</v>
      </c>
      <c r="AQ224" s="74">
        <f t="shared" si="181"/>
        <v>206</v>
      </c>
      <c r="AR224" s="31">
        <f t="shared" si="182"/>
        <v>1</v>
      </c>
      <c r="AS224" s="2">
        <f t="shared" si="183"/>
        <v>0.625</v>
      </c>
      <c r="AT224" s="33">
        <f t="shared" si="184"/>
        <v>0</v>
      </c>
      <c r="AU224" s="31">
        <f t="shared" si="185"/>
        <v>1</v>
      </c>
      <c r="AV224" s="2">
        <f t="shared" si="186"/>
        <v>1</v>
      </c>
      <c r="AW224" s="33">
        <f t="shared" si="187"/>
        <v>0</v>
      </c>
      <c r="AX224" s="31">
        <f t="shared" si="188"/>
        <v>1</v>
      </c>
      <c r="AY224" s="33">
        <f t="shared" si="189"/>
        <v>0</v>
      </c>
      <c r="AZ224" s="2"/>
      <c r="BA224" s="101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 ht="12" customHeight="1">
      <c r="A225" s="2"/>
      <c r="B225" s="107">
        <v>150</v>
      </c>
      <c r="C225" s="31">
        <v>7</v>
      </c>
      <c r="D225" s="106" t="s">
        <v>7</v>
      </c>
      <c r="E225" s="2" t="s">
        <v>168</v>
      </c>
      <c r="F225" s="2"/>
      <c r="G225" s="2" t="s">
        <v>184</v>
      </c>
      <c r="H225" s="33"/>
      <c r="I225" s="99">
        <f t="shared" si="0"/>
        <v>202.07978514903584</v>
      </c>
      <c r="J225" s="101">
        <f t="shared" si="1"/>
        <v>22.888888888888889</v>
      </c>
      <c r="K225" s="101">
        <f t="shared" si="2"/>
        <v>884</v>
      </c>
      <c r="L225" s="74">
        <f t="shared" si="3"/>
        <v>357</v>
      </c>
      <c r="M225" s="99">
        <f t="shared" si="171"/>
        <v>1818.7180663413226</v>
      </c>
      <c r="N225" s="108">
        <f t="shared" si="92"/>
        <v>1385.6899553076744</v>
      </c>
      <c r="O225" s="108"/>
      <c r="P225" s="108"/>
      <c r="Q225" s="108"/>
      <c r="R225" s="109">
        <f t="shared" si="172"/>
        <v>866.05622206729652</v>
      </c>
      <c r="S225" s="99">
        <f t="shared" si="6"/>
        <v>1705.3742235403963</v>
      </c>
      <c r="T225" s="108">
        <f t="shared" si="173"/>
        <v>1049.4610606402439</v>
      </c>
      <c r="U225" s="108"/>
      <c r="V225" s="108"/>
      <c r="W225" s="108"/>
      <c r="X225" s="109">
        <f t="shared" si="174"/>
        <v>655.91316290015243</v>
      </c>
      <c r="Y225" s="99">
        <f t="shared" si="8"/>
        <v>3410.7484470807926</v>
      </c>
      <c r="Z225" s="108">
        <f t="shared" si="9"/>
        <v>2098.9221212804878</v>
      </c>
      <c r="AA225" s="108"/>
      <c r="AB225" s="108"/>
      <c r="AC225" s="108"/>
      <c r="AD225" s="109">
        <f t="shared" si="175"/>
        <v>1311.8263258003049</v>
      </c>
      <c r="AE225" s="99">
        <f t="shared" si="176"/>
        <v>9</v>
      </c>
      <c r="AF225" s="101">
        <f t="shared" si="177"/>
        <v>36</v>
      </c>
      <c r="AG225" s="101">
        <f t="shared" si="178"/>
        <v>19.001300000000001</v>
      </c>
      <c r="AH225" s="101">
        <f t="shared" si="129"/>
        <v>206</v>
      </c>
      <c r="AI225" s="101">
        <f t="shared" si="190"/>
        <v>268.61079999999998</v>
      </c>
      <c r="AJ225" s="108">
        <f t="shared" si="179"/>
        <v>0.88888888888888884</v>
      </c>
      <c r="AK225" s="101">
        <f t="shared" si="15"/>
        <v>1049.4610606402439</v>
      </c>
      <c r="AL225" s="101">
        <f t="shared" si="180"/>
        <v>1049.4610606402439</v>
      </c>
      <c r="AM225" s="101"/>
      <c r="AN225" s="101"/>
      <c r="AO225" s="1">
        <v>9</v>
      </c>
      <c r="AP225" s="2">
        <v>36</v>
      </c>
      <c r="AQ225" s="74">
        <f t="shared" si="181"/>
        <v>206</v>
      </c>
      <c r="AR225" s="31">
        <f t="shared" si="182"/>
        <v>1</v>
      </c>
      <c r="AS225" s="2">
        <f t="shared" si="183"/>
        <v>0.625</v>
      </c>
      <c r="AT225" s="33">
        <f t="shared" si="184"/>
        <v>0</v>
      </c>
      <c r="AU225" s="31">
        <f t="shared" si="185"/>
        <v>0.8</v>
      </c>
      <c r="AV225" s="2">
        <f t="shared" si="186"/>
        <v>1</v>
      </c>
      <c r="AW225" s="33">
        <f t="shared" si="187"/>
        <v>0</v>
      </c>
      <c r="AX225" s="31">
        <f t="shared" si="188"/>
        <v>1</v>
      </c>
      <c r="AY225" s="33">
        <f t="shared" si="189"/>
        <v>0</v>
      </c>
      <c r="AZ225" s="2"/>
      <c r="BA225" s="101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 ht="12" customHeight="1">
      <c r="A226" s="2"/>
      <c r="B226" s="107">
        <v>151</v>
      </c>
      <c r="C226" s="31">
        <v>7</v>
      </c>
      <c r="D226" s="106" t="s">
        <v>7</v>
      </c>
      <c r="E226" s="2" t="s">
        <v>101</v>
      </c>
      <c r="F226" s="2"/>
      <c r="G226" s="2" t="s">
        <v>184</v>
      </c>
      <c r="H226" s="33"/>
      <c r="I226" s="99">
        <f t="shared" si="0"/>
        <v>279.06256044390665</v>
      </c>
      <c r="J226" s="101">
        <f t="shared" si="1"/>
        <v>22.888888888888889</v>
      </c>
      <c r="K226" s="101">
        <f t="shared" si="2"/>
        <v>852</v>
      </c>
      <c r="L226" s="74">
        <f t="shared" si="3"/>
        <v>334</v>
      </c>
      <c r="M226" s="99">
        <f t="shared" si="171"/>
        <v>2511.5630439951597</v>
      </c>
      <c r="N226" s="108">
        <f t="shared" si="92"/>
        <v>2078.5349329615115</v>
      </c>
      <c r="O226" s="108"/>
      <c r="P226" s="108"/>
      <c r="Q226" s="108"/>
      <c r="R226" s="109">
        <f t="shared" si="172"/>
        <v>866.05622206729652</v>
      </c>
      <c r="S226" s="99">
        <f t="shared" si="6"/>
        <v>2230.104753860518</v>
      </c>
      <c r="T226" s="108">
        <f t="shared" si="173"/>
        <v>1574.1915909603658</v>
      </c>
      <c r="U226" s="108"/>
      <c r="V226" s="108"/>
      <c r="W226" s="108"/>
      <c r="X226" s="109">
        <f t="shared" si="174"/>
        <v>655.91316290015243</v>
      </c>
      <c r="Y226" s="99">
        <f t="shared" si="8"/>
        <v>4460.2095077210361</v>
      </c>
      <c r="Z226" s="108">
        <f t="shared" si="9"/>
        <v>3148.3831819207317</v>
      </c>
      <c r="AA226" s="108"/>
      <c r="AB226" s="108"/>
      <c r="AC226" s="108"/>
      <c r="AD226" s="109">
        <f t="shared" si="175"/>
        <v>1311.8263258003049</v>
      </c>
      <c r="AE226" s="99">
        <f t="shared" si="176"/>
        <v>9</v>
      </c>
      <c r="AF226" s="101">
        <f t="shared" si="177"/>
        <v>36</v>
      </c>
      <c r="AG226" s="101">
        <f t="shared" si="178"/>
        <v>19.001300000000001</v>
      </c>
      <c r="AH226" s="101">
        <f t="shared" si="129"/>
        <v>206</v>
      </c>
      <c r="AI226" s="101">
        <f t="shared" si="190"/>
        <v>268.61079999999998</v>
      </c>
      <c r="AJ226" s="108">
        <f t="shared" si="179"/>
        <v>1.1111111111111112</v>
      </c>
      <c r="AK226" s="101">
        <f t="shared" si="15"/>
        <v>1049.4610606402439</v>
      </c>
      <c r="AL226" s="101">
        <f t="shared" si="180"/>
        <v>1049.4610606402439</v>
      </c>
      <c r="AM226" s="101"/>
      <c r="AN226" s="101"/>
      <c r="AO226" s="1">
        <v>9</v>
      </c>
      <c r="AP226" s="2">
        <v>36</v>
      </c>
      <c r="AQ226" s="74">
        <f t="shared" si="181"/>
        <v>206</v>
      </c>
      <c r="AR226" s="31">
        <f t="shared" si="182"/>
        <v>1</v>
      </c>
      <c r="AS226" s="2">
        <f t="shared" si="183"/>
        <v>0.625</v>
      </c>
      <c r="AT226" s="33">
        <f t="shared" si="184"/>
        <v>0</v>
      </c>
      <c r="AU226" s="31">
        <f t="shared" si="185"/>
        <v>1</v>
      </c>
      <c r="AV226" s="2">
        <f t="shared" si="186"/>
        <v>1.5</v>
      </c>
      <c r="AW226" s="33">
        <f t="shared" si="187"/>
        <v>0</v>
      </c>
      <c r="AX226" s="31">
        <f t="shared" si="188"/>
        <v>1</v>
      </c>
      <c r="AY226" s="33">
        <f t="shared" si="189"/>
        <v>0</v>
      </c>
      <c r="AZ226" s="2"/>
      <c r="BA226" s="101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 ht="12" customHeight="1">
      <c r="A227" s="2"/>
      <c r="B227" s="107">
        <v>152</v>
      </c>
      <c r="C227" s="31">
        <v>4</v>
      </c>
      <c r="D227" s="106" t="s">
        <v>7</v>
      </c>
      <c r="E227" s="2" t="s">
        <v>67</v>
      </c>
      <c r="F227" s="2"/>
      <c r="G227" s="2"/>
      <c r="H227" s="33"/>
      <c r="I227" s="99">
        <f t="shared" si="0"/>
        <v>142.74800137066649</v>
      </c>
      <c r="J227" s="101">
        <f t="shared" si="1"/>
        <v>12.555555555555555</v>
      </c>
      <c r="K227" s="101">
        <f t="shared" si="2"/>
        <v>895</v>
      </c>
      <c r="L227" s="74">
        <f t="shared" si="3"/>
        <v>368</v>
      </c>
      <c r="M227" s="99">
        <f t="shared" si="171"/>
        <v>1284.7320123359984</v>
      </c>
      <c r="N227" s="108">
        <f t="shared" si="92"/>
        <v>1284.7320123359984</v>
      </c>
      <c r="O227" s="108"/>
      <c r="P227" s="108"/>
      <c r="Q227" s="108"/>
      <c r="R227" s="109">
        <f t="shared" si="172"/>
        <v>0</v>
      </c>
      <c r="S227" s="99">
        <f t="shared" si="6"/>
        <v>972.99992335243905</v>
      </c>
      <c r="T227" s="108">
        <f t="shared" si="173"/>
        <v>972.99992335243905</v>
      </c>
      <c r="U227" s="108"/>
      <c r="V227" s="108"/>
      <c r="W227" s="108"/>
      <c r="X227" s="109">
        <f t="shared" si="174"/>
        <v>0</v>
      </c>
      <c r="Y227" s="99">
        <f t="shared" si="8"/>
        <v>1945.9998467048781</v>
      </c>
      <c r="Z227" s="108">
        <f t="shared" si="9"/>
        <v>1945.9998467048781</v>
      </c>
      <c r="AA227" s="108"/>
      <c r="AB227" s="108"/>
      <c r="AC227" s="108"/>
      <c r="AD227" s="109">
        <f t="shared" si="175"/>
        <v>0</v>
      </c>
      <c r="AE227" s="99">
        <f t="shared" si="176"/>
        <v>9</v>
      </c>
      <c r="AF227" s="101">
        <f t="shared" si="177"/>
        <v>36</v>
      </c>
      <c r="AG227" s="101">
        <f t="shared" si="178"/>
        <v>19.001300000000001</v>
      </c>
      <c r="AH227" s="101">
        <f t="shared" si="129"/>
        <v>113</v>
      </c>
      <c r="AI227" s="101">
        <f t="shared" si="190"/>
        <v>268.61079999999998</v>
      </c>
      <c r="AJ227" s="108">
        <f t="shared" si="179"/>
        <v>1.1111111111111112</v>
      </c>
      <c r="AK227" s="101">
        <f t="shared" si="15"/>
        <v>972.99992335243905</v>
      </c>
      <c r="AL227" s="101">
        <f t="shared" si="180"/>
        <v>972.99992335243905</v>
      </c>
      <c r="AM227" s="101"/>
      <c r="AN227" s="101"/>
      <c r="AO227" s="1">
        <v>9</v>
      </c>
      <c r="AP227" s="2">
        <v>36</v>
      </c>
      <c r="AQ227" s="74">
        <f t="shared" si="181"/>
        <v>113</v>
      </c>
      <c r="AR227" s="31">
        <f t="shared" si="182"/>
        <v>1</v>
      </c>
      <c r="AS227" s="2">
        <f t="shared" si="183"/>
        <v>0</v>
      </c>
      <c r="AT227" s="33">
        <f t="shared" si="184"/>
        <v>0</v>
      </c>
      <c r="AU227" s="31">
        <f t="shared" si="185"/>
        <v>1</v>
      </c>
      <c r="AV227" s="2">
        <f t="shared" si="186"/>
        <v>1</v>
      </c>
      <c r="AW227" s="33">
        <f t="shared" si="187"/>
        <v>0</v>
      </c>
      <c r="AX227" s="31">
        <f t="shared" si="188"/>
        <v>1</v>
      </c>
      <c r="AY227" s="33">
        <f t="shared" si="189"/>
        <v>0</v>
      </c>
      <c r="AZ227" s="2"/>
      <c r="BA227" s="101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12" customHeight="1">
      <c r="A228" s="2"/>
      <c r="B228" s="107">
        <v>153</v>
      </c>
      <c r="C228" s="31">
        <v>4</v>
      </c>
      <c r="D228" s="106" t="s">
        <v>7</v>
      </c>
      <c r="E228" s="2" t="s">
        <v>148</v>
      </c>
      <c r="F228" s="2"/>
      <c r="G228" s="2"/>
      <c r="H228" s="33"/>
      <c r="I228" s="99">
        <f t="shared" si="0"/>
        <v>142.74800137066649</v>
      </c>
      <c r="J228" s="101">
        <f t="shared" si="1"/>
        <v>6.2777777777777777</v>
      </c>
      <c r="K228" s="101">
        <f t="shared" si="2"/>
        <v>895</v>
      </c>
      <c r="L228" s="74">
        <f t="shared" si="3"/>
        <v>368</v>
      </c>
      <c r="M228" s="99">
        <f t="shared" si="171"/>
        <v>1284.7320123359984</v>
      </c>
      <c r="N228" s="108">
        <f t="shared" si="92"/>
        <v>1284.7320123359984</v>
      </c>
      <c r="O228" s="108"/>
      <c r="P228" s="108"/>
      <c r="Q228" s="108"/>
      <c r="R228" s="109">
        <f t="shared" si="172"/>
        <v>0</v>
      </c>
      <c r="S228" s="99">
        <f t="shared" si="6"/>
        <v>972.99992335243905</v>
      </c>
      <c r="T228" s="108">
        <f t="shared" si="173"/>
        <v>972.99992335243905</v>
      </c>
      <c r="U228" s="108"/>
      <c r="V228" s="108"/>
      <c r="W228" s="108"/>
      <c r="X228" s="109">
        <f t="shared" si="174"/>
        <v>0</v>
      </c>
      <c r="Y228" s="99">
        <f t="shared" si="8"/>
        <v>1945.9998467048781</v>
      </c>
      <c r="Z228" s="108">
        <f t="shared" si="9"/>
        <v>1945.9998467048781</v>
      </c>
      <c r="AA228" s="108"/>
      <c r="AB228" s="108"/>
      <c r="AC228" s="108"/>
      <c r="AD228" s="109">
        <f t="shared" si="175"/>
        <v>0</v>
      </c>
      <c r="AE228" s="99">
        <f t="shared" si="176"/>
        <v>9</v>
      </c>
      <c r="AF228" s="101">
        <f t="shared" si="177"/>
        <v>36</v>
      </c>
      <c r="AG228" s="101">
        <f t="shared" si="178"/>
        <v>19.001300000000001</v>
      </c>
      <c r="AH228" s="101">
        <f t="shared" si="129"/>
        <v>56.5</v>
      </c>
      <c r="AI228" s="101">
        <f t="shared" si="190"/>
        <v>268.61079999999998</v>
      </c>
      <c r="AJ228" s="108">
        <f t="shared" si="179"/>
        <v>1.1111111111111112</v>
      </c>
      <c r="AK228" s="101">
        <f t="shared" si="15"/>
        <v>972.99992335243905</v>
      </c>
      <c r="AL228" s="101">
        <f t="shared" si="180"/>
        <v>972.99992335243905</v>
      </c>
      <c r="AM228" s="101"/>
      <c r="AN228" s="101"/>
      <c r="AO228" s="1">
        <v>9</v>
      </c>
      <c r="AP228" s="2">
        <v>36</v>
      </c>
      <c r="AQ228" s="74">
        <f t="shared" si="181"/>
        <v>113</v>
      </c>
      <c r="AR228" s="31">
        <f t="shared" si="182"/>
        <v>0.5</v>
      </c>
      <c r="AS228" s="2">
        <f t="shared" si="183"/>
        <v>0</v>
      </c>
      <c r="AT228" s="33">
        <f t="shared" si="184"/>
        <v>0</v>
      </c>
      <c r="AU228" s="31">
        <f t="shared" si="185"/>
        <v>1</v>
      </c>
      <c r="AV228" s="2">
        <f t="shared" si="186"/>
        <v>1</v>
      </c>
      <c r="AW228" s="33">
        <f t="shared" si="187"/>
        <v>0</v>
      </c>
      <c r="AX228" s="31">
        <f t="shared" si="188"/>
        <v>1</v>
      </c>
      <c r="AY228" s="33">
        <f t="shared" si="189"/>
        <v>0</v>
      </c>
      <c r="AZ228" s="2"/>
      <c r="BA228" s="101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12" customHeight="1">
      <c r="A229" s="2"/>
      <c r="B229" s="107">
        <v>154</v>
      </c>
      <c r="C229" s="31">
        <v>4</v>
      </c>
      <c r="D229" s="106" t="s">
        <v>7</v>
      </c>
      <c r="E229" s="2" t="s">
        <v>79</v>
      </c>
      <c r="F229" s="2"/>
      <c r="G229" s="2" t="s">
        <v>184</v>
      </c>
      <c r="H229" s="33"/>
      <c r="I229" s="99">
        <f t="shared" si="0"/>
        <v>187.3567517989998</v>
      </c>
      <c r="J229" s="101">
        <f t="shared" si="1"/>
        <v>12.555555555555555</v>
      </c>
      <c r="K229" s="101">
        <f t="shared" si="2"/>
        <v>889</v>
      </c>
      <c r="L229" s="74">
        <f t="shared" si="3"/>
        <v>362</v>
      </c>
      <c r="M229" s="99">
        <f t="shared" si="171"/>
        <v>1686.2107661909981</v>
      </c>
      <c r="N229" s="108">
        <f t="shared" si="92"/>
        <v>1284.7320123359984</v>
      </c>
      <c r="O229" s="108"/>
      <c r="P229" s="108"/>
      <c r="Q229" s="108"/>
      <c r="R229" s="109">
        <f t="shared" si="172"/>
        <v>802.95750770999916</v>
      </c>
      <c r="S229" s="99">
        <f t="shared" si="6"/>
        <v>1581.1248754477135</v>
      </c>
      <c r="T229" s="108">
        <f t="shared" si="173"/>
        <v>972.99992335243905</v>
      </c>
      <c r="U229" s="108"/>
      <c r="V229" s="108"/>
      <c r="W229" s="108"/>
      <c r="X229" s="109">
        <f t="shared" si="174"/>
        <v>608.12495209527447</v>
      </c>
      <c r="Y229" s="99">
        <f t="shared" si="8"/>
        <v>3162.249750895427</v>
      </c>
      <c r="Z229" s="108">
        <f t="shared" si="9"/>
        <v>1945.9998467048781</v>
      </c>
      <c r="AA229" s="108"/>
      <c r="AB229" s="108"/>
      <c r="AC229" s="108"/>
      <c r="AD229" s="109">
        <f t="shared" si="175"/>
        <v>1216.2499041905489</v>
      </c>
      <c r="AE229" s="99">
        <f t="shared" si="176"/>
        <v>9</v>
      </c>
      <c r="AF229" s="101">
        <f t="shared" si="177"/>
        <v>36</v>
      </c>
      <c r="AG229" s="101">
        <f t="shared" si="178"/>
        <v>19.001300000000001</v>
      </c>
      <c r="AH229" s="101">
        <f t="shared" si="129"/>
        <v>113</v>
      </c>
      <c r="AI229" s="101">
        <f t="shared" si="190"/>
        <v>268.61079999999998</v>
      </c>
      <c r="AJ229" s="108">
        <f t="shared" si="179"/>
        <v>1.1111111111111112</v>
      </c>
      <c r="AK229" s="101">
        <f t="shared" si="15"/>
        <v>972.99992335243905</v>
      </c>
      <c r="AL229" s="101">
        <f t="shared" si="180"/>
        <v>972.99992335243905</v>
      </c>
      <c r="AM229" s="101"/>
      <c r="AN229" s="101"/>
      <c r="AO229" s="1">
        <v>9</v>
      </c>
      <c r="AP229" s="2">
        <v>36</v>
      </c>
      <c r="AQ229" s="74">
        <f t="shared" si="181"/>
        <v>113</v>
      </c>
      <c r="AR229" s="31">
        <f t="shared" si="182"/>
        <v>1</v>
      </c>
      <c r="AS229" s="2">
        <f t="shared" si="183"/>
        <v>0.625</v>
      </c>
      <c r="AT229" s="33">
        <f t="shared" si="184"/>
        <v>0</v>
      </c>
      <c r="AU229" s="31">
        <f t="shared" si="185"/>
        <v>1</v>
      </c>
      <c r="AV229" s="2">
        <f t="shared" si="186"/>
        <v>1</v>
      </c>
      <c r="AW229" s="33">
        <f t="shared" si="187"/>
        <v>0</v>
      </c>
      <c r="AX229" s="31">
        <f t="shared" si="188"/>
        <v>1</v>
      </c>
      <c r="AY229" s="33">
        <f t="shared" si="189"/>
        <v>0</v>
      </c>
      <c r="AZ229" s="2"/>
      <c r="BA229" s="101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 ht="12" customHeight="1">
      <c r="A230" s="2"/>
      <c r="B230" s="107">
        <v>155</v>
      </c>
      <c r="C230" s="31">
        <v>1</v>
      </c>
      <c r="D230" s="106" t="s">
        <v>7</v>
      </c>
      <c r="E230" s="2" t="s">
        <v>67</v>
      </c>
      <c r="F230" s="2"/>
      <c r="G230" s="2"/>
      <c r="H230" s="33"/>
      <c r="I230" s="99">
        <f t="shared" si="0"/>
        <v>114.4933860075479</v>
      </c>
      <c r="J230" s="101">
        <f t="shared" si="1"/>
        <v>6.333333333333333</v>
      </c>
      <c r="K230" s="101">
        <f t="shared" si="2"/>
        <v>898</v>
      </c>
      <c r="L230" s="74">
        <f t="shared" si="3"/>
        <v>371</v>
      </c>
      <c r="M230" s="99">
        <f t="shared" si="171"/>
        <v>1030.4404740679311</v>
      </c>
      <c r="N230" s="108">
        <f t="shared" si="92"/>
        <v>1030.4404740679311</v>
      </c>
      <c r="O230" s="108"/>
      <c r="P230" s="108"/>
      <c r="Q230" s="108"/>
      <c r="R230" s="109">
        <f t="shared" si="172"/>
        <v>0</v>
      </c>
      <c r="S230" s="99">
        <f t="shared" si="6"/>
        <v>780.41061689146341</v>
      </c>
      <c r="T230" s="108">
        <f t="shared" si="173"/>
        <v>780.41061689146341</v>
      </c>
      <c r="U230" s="108"/>
      <c r="V230" s="108"/>
      <c r="W230" s="108"/>
      <c r="X230" s="109">
        <f t="shared" si="174"/>
        <v>0</v>
      </c>
      <c r="Y230" s="99">
        <f t="shared" si="8"/>
        <v>1560.8212337829268</v>
      </c>
      <c r="Z230" s="108">
        <f t="shared" si="9"/>
        <v>1560.8212337829268</v>
      </c>
      <c r="AA230" s="108"/>
      <c r="AB230" s="108"/>
      <c r="AC230" s="108"/>
      <c r="AD230" s="109">
        <f t="shared" si="175"/>
        <v>0</v>
      </c>
      <c r="AE230" s="99">
        <f t="shared" si="176"/>
        <v>9</v>
      </c>
      <c r="AF230" s="101">
        <f t="shared" si="177"/>
        <v>36</v>
      </c>
      <c r="AG230" s="101">
        <f t="shared" si="178"/>
        <v>19.001300000000001</v>
      </c>
      <c r="AH230" s="101">
        <f t="shared" si="129"/>
        <v>57</v>
      </c>
      <c r="AI230" s="101">
        <f t="shared" si="190"/>
        <v>268.61079999999998</v>
      </c>
      <c r="AJ230" s="108">
        <f t="shared" si="179"/>
        <v>1.1111111111111112</v>
      </c>
      <c r="AK230" s="101">
        <f t="shared" si="15"/>
        <v>780.41061689146341</v>
      </c>
      <c r="AL230" s="101">
        <f t="shared" si="180"/>
        <v>780.41061689146341</v>
      </c>
      <c r="AM230" s="101"/>
      <c r="AN230" s="101"/>
      <c r="AO230" s="1">
        <v>9</v>
      </c>
      <c r="AP230" s="2">
        <v>36</v>
      </c>
      <c r="AQ230" s="74">
        <f t="shared" si="181"/>
        <v>57</v>
      </c>
      <c r="AR230" s="31">
        <f t="shared" si="182"/>
        <v>1</v>
      </c>
      <c r="AS230" s="2">
        <f t="shared" si="183"/>
        <v>0</v>
      </c>
      <c r="AT230" s="33">
        <f t="shared" si="184"/>
        <v>0</v>
      </c>
      <c r="AU230" s="31">
        <f t="shared" si="185"/>
        <v>1</v>
      </c>
      <c r="AV230" s="2">
        <f t="shared" si="186"/>
        <v>1</v>
      </c>
      <c r="AW230" s="33">
        <f t="shared" si="187"/>
        <v>0</v>
      </c>
      <c r="AX230" s="31">
        <f t="shared" si="188"/>
        <v>1</v>
      </c>
      <c r="AY230" s="33">
        <f t="shared" si="189"/>
        <v>0</v>
      </c>
      <c r="AZ230" s="2"/>
      <c r="BA230" s="101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 ht="12" customHeight="1">
      <c r="A231" s="2"/>
      <c r="B231" s="107">
        <v>156</v>
      </c>
      <c r="C231" s="31">
        <v>10</v>
      </c>
      <c r="D231" s="106" t="s">
        <v>10</v>
      </c>
      <c r="E231" s="2" t="s">
        <v>144</v>
      </c>
      <c r="F231" s="2" t="s">
        <v>149</v>
      </c>
      <c r="G231" s="2" t="s">
        <v>137</v>
      </c>
      <c r="H231" s="33"/>
      <c r="I231" s="99">
        <f t="shared" si="0"/>
        <v>1006.7820020710392</v>
      </c>
      <c r="J231" s="101">
        <f t="shared" si="1"/>
        <v>25.75</v>
      </c>
      <c r="K231" s="101">
        <f t="shared" si="2"/>
        <v>158</v>
      </c>
      <c r="L231" s="74">
        <f t="shared" si="3"/>
        <v>35</v>
      </c>
      <c r="M231" s="99">
        <f t="shared" ref="M231:M866" si="191">SUM(N231:R231)</f>
        <v>16108.512033136627</v>
      </c>
      <c r="N231" s="108">
        <f t="shared" ref="N231:N292" si="192">T231*(1+((AG231+IF(F231="백어택",20,0))/100)*(AI231/100-1))</f>
        <v>16108.512033136627</v>
      </c>
      <c r="O231" s="108"/>
      <c r="P231" s="108"/>
      <c r="Q231" s="108"/>
      <c r="R231" s="109"/>
      <c r="S231" s="99">
        <f t="shared" si="6"/>
        <v>9717.9493113014632</v>
      </c>
      <c r="T231" s="108">
        <f t="shared" ref="T231:T292" si="193">AL231*AS231*AU231*AX231*IF(AY231=0,1,0.5)*IF(F231="백어택",1.2,1)</f>
        <v>9717.9493113014632</v>
      </c>
      <c r="U231" s="108"/>
      <c r="V231" s="108"/>
      <c r="W231" s="108"/>
      <c r="X231" s="109"/>
      <c r="Y231" s="99">
        <f t="shared" si="8"/>
        <v>26103.461388681349</v>
      </c>
      <c r="Z231" s="108">
        <f t="shared" ref="Z231:Z292" si="194">T231*AI231/100</f>
        <v>26103.461388681349</v>
      </c>
      <c r="AA231" s="108"/>
      <c r="AB231" s="108"/>
      <c r="AC231" s="108"/>
      <c r="AD231" s="109"/>
      <c r="AE231" s="99">
        <f t="shared" ref="AE231:AF231" si="195">AO231</f>
        <v>16</v>
      </c>
      <c r="AF231" s="101">
        <f t="shared" si="195"/>
        <v>36</v>
      </c>
      <c r="AG231" s="101">
        <f t="shared" ref="AG231:AG292" si="196">IF($D$57+AV231&gt;100,100,$D$57+AV231)</f>
        <v>19.001300000000001</v>
      </c>
      <c r="AH231" s="101">
        <f t="shared" ref="AH231:AH313" si="197">AQ231</f>
        <v>412</v>
      </c>
      <c r="AI231" s="101">
        <f t="shared" si="190"/>
        <v>268.61079999999998</v>
      </c>
      <c r="AJ231" s="108">
        <f t="shared" ref="AJ231:AJ292" si="198">10*AR231/(7-IF(AX231=1,0,3))</f>
        <v>1.4285714285714286</v>
      </c>
      <c r="AK231" s="101">
        <f t="shared" si="15"/>
        <v>8098.2910927512203</v>
      </c>
      <c r="AL231" s="101">
        <f t="shared" ref="AL231:AL292" si="199">(VLOOKUP(C231,$B$36:$AG$39,13,FALSE)+VLOOKUP(C231,$B$40:$AG$43,13,FALSE)*$D$54)*$D$59/100</f>
        <v>8098.2910927512203</v>
      </c>
      <c r="AM231" s="101"/>
      <c r="AN231" s="101"/>
      <c r="AO231" s="1">
        <v>16</v>
      </c>
      <c r="AP231" s="2">
        <v>36</v>
      </c>
      <c r="AQ231" s="74">
        <f t="shared" ref="AQ231:AQ292" si="200">VLOOKUP(C231,$B$45:$AA$48,13,FALSE)</f>
        <v>412</v>
      </c>
      <c r="AR231" s="31">
        <f t="shared" ref="AR231:AR292" si="201">IF(LEFT(E231,1)*1=1,$S$60,$R$60)</f>
        <v>1</v>
      </c>
      <c r="AS231" s="2">
        <f t="shared" ref="AS231:AS292" si="202">IF(LEFT(E231,1)*1=2,$U$60,$T$60)</f>
        <v>1</v>
      </c>
      <c r="AT231" s="33">
        <f t="shared" ref="AT231:AT292" si="203">IF(LEFT(E231,1)*1=3,$W$60,$V$60)</f>
        <v>0</v>
      </c>
      <c r="AU231" s="31">
        <f t="shared" ref="AU231:AU292" si="204">IF(MID(E231,3,1)*1=1,$Y$60,$X$60)</f>
        <v>1</v>
      </c>
      <c r="AV231" s="2">
        <f t="shared" ref="AV231:AV292" si="205">IF(MID(E231,3,1)*1=2,$AA$60,$Z$60)</f>
        <v>0</v>
      </c>
      <c r="AW231" s="33">
        <f t="shared" ref="AW231:AW292" si="206">IF(MID(E231,3,1)*1=3,$AC$60,$AB$60)</f>
        <v>0</v>
      </c>
      <c r="AX231" s="31">
        <f t="shared" ref="AX231:AX292" si="207">IF(MID(E231,5,1)*1=1,$AE$60,$AD$60)</f>
        <v>1</v>
      </c>
      <c r="AY231" s="33">
        <f t="shared" ref="AY231:AY292" si="208">IF(MID(E231,5,1)*1=2,$AG$60,$AF$60)</f>
        <v>0</v>
      </c>
      <c r="AZ231" s="2"/>
      <c r="BA231" s="101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 ht="12" customHeight="1">
      <c r="A232" s="2"/>
      <c r="B232" s="107">
        <v>157</v>
      </c>
      <c r="C232" s="31">
        <v>10</v>
      </c>
      <c r="D232" s="106" t="s">
        <v>10</v>
      </c>
      <c r="E232" s="2" t="s">
        <v>138</v>
      </c>
      <c r="F232" s="2" t="s">
        <v>149</v>
      </c>
      <c r="G232" s="2" t="s">
        <v>137</v>
      </c>
      <c r="H232" s="33"/>
      <c r="I232" s="99">
        <f t="shared" si="0"/>
        <v>1258.4775025887991</v>
      </c>
      <c r="J232" s="101">
        <f t="shared" si="1"/>
        <v>25.75</v>
      </c>
      <c r="K232" s="101">
        <f t="shared" si="2"/>
        <v>78</v>
      </c>
      <c r="L232" s="74">
        <f t="shared" si="3"/>
        <v>8</v>
      </c>
      <c r="M232" s="99">
        <f t="shared" si="191"/>
        <v>20135.640041420786</v>
      </c>
      <c r="N232" s="108">
        <f t="shared" si="192"/>
        <v>20135.640041420786</v>
      </c>
      <c r="O232" s="108"/>
      <c r="P232" s="108"/>
      <c r="Q232" s="108"/>
      <c r="R232" s="109"/>
      <c r="S232" s="99">
        <f t="shared" si="6"/>
        <v>12147.43663912683</v>
      </c>
      <c r="T232" s="108">
        <f t="shared" si="193"/>
        <v>12147.43663912683</v>
      </c>
      <c r="U232" s="108"/>
      <c r="V232" s="108"/>
      <c r="W232" s="108"/>
      <c r="X232" s="109"/>
      <c r="Y232" s="99">
        <f t="shared" si="8"/>
        <v>32629.32673585169</v>
      </c>
      <c r="Z232" s="108">
        <f t="shared" si="194"/>
        <v>32629.32673585169</v>
      </c>
      <c r="AA232" s="108"/>
      <c r="AB232" s="108"/>
      <c r="AC232" s="108"/>
      <c r="AD232" s="109"/>
      <c r="AE232" s="99">
        <f t="shared" ref="AE232:AF232" si="209">AO232</f>
        <v>16</v>
      </c>
      <c r="AF232" s="101">
        <f t="shared" si="209"/>
        <v>36</v>
      </c>
      <c r="AG232" s="101">
        <f t="shared" si="196"/>
        <v>19.001300000000001</v>
      </c>
      <c r="AH232" s="101">
        <f t="shared" si="197"/>
        <v>412</v>
      </c>
      <c r="AI232" s="101">
        <f t="shared" si="190"/>
        <v>268.61079999999998</v>
      </c>
      <c r="AJ232" s="108">
        <f t="shared" si="198"/>
        <v>1.4285714285714286</v>
      </c>
      <c r="AK232" s="101">
        <f t="shared" si="15"/>
        <v>8098.2910927512203</v>
      </c>
      <c r="AL232" s="101">
        <f t="shared" si="199"/>
        <v>8098.2910927512203</v>
      </c>
      <c r="AM232" s="101"/>
      <c r="AN232" s="101"/>
      <c r="AO232" s="1">
        <v>16</v>
      </c>
      <c r="AP232" s="2">
        <v>36</v>
      </c>
      <c r="AQ232" s="74">
        <f t="shared" si="200"/>
        <v>412</v>
      </c>
      <c r="AR232" s="31">
        <f t="shared" si="201"/>
        <v>1</v>
      </c>
      <c r="AS232" s="2">
        <f t="shared" si="202"/>
        <v>1</v>
      </c>
      <c r="AT232" s="33">
        <f t="shared" si="203"/>
        <v>0</v>
      </c>
      <c r="AU232" s="31">
        <f t="shared" si="204"/>
        <v>1.25</v>
      </c>
      <c r="AV232" s="2">
        <f t="shared" si="205"/>
        <v>0</v>
      </c>
      <c r="AW232" s="33">
        <f t="shared" si="206"/>
        <v>0</v>
      </c>
      <c r="AX232" s="31">
        <f t="shared" si="207"/>
        <v>1</v>
      </c>
      <c r="AY232" s="33">
        <f t="shared" si="208"/>
        <v>0</v>
      </c>
      <c r="AZ232" s="2"/>
      <c r="BA232" s="101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 ht="12" customHeight="1">
      <c r="A233" s="2"/>
      <c r="B233" s="107">
        <v>158</v>
      </c>
      <c r="C233" s="31">
        <v>10</v>
      </c>
      <c r="D233" s="106" t="s">
        <v>10</v>
      </c>
      <c r="E233" s="2" t="s">
        <v>140</v>
      </c>
      <c r="F233" s="2" t="s">
        <v>149</v>
      </c>
      <c r="G233" s="2" t="s">
        <v>137</v>
      </c>
      <c r="H233" s="33"/>
      <c r="I233" s="99">
        <f t="shared" si="0"/>
        <v>1314.0103535219121</v>
      </c>
      <c r="J233" s="101">
        <f t="shared" si="1"/>
        <v>25.75</v>
      </c>
      <c r="K233" s="101">
        <f t="shared" si="2"/>
        <v>73</v>
      </c>
      <c r="L233" s="74">
        <f t="shared" si="3"/>
        <v>5</v>
      </c>
      <c r="M233" s="99">
        <f t="shared" si="191"/>
        <v>21024.165656350593</v>
      </c>
      <c r="N233" s="108">
        <f t="shared" si="192"/>
        <v>21024.165656350593</v>
      </c>
      <c r="O233" s="108"/>
      <c r="P233" s="108"/>
      <c r="Q233" s="108"/>
      <c r="R233" s="109"/>
      <c r="S233" s="99">
        <f t="shared" si="6"/>
        <v>9717.9493113014632</v>
      </c>
      <c r="T233" s="108">
        <f t="shared" si="193"/>
        <v>9717.9493113014632</v>
      </c>
      <c r="U233" s="108"/>
      <c r="V233" s="108"/>
      <c r="W233" s="108"/>
      <c r="X233" s="109"/>
      <c r="Y233" s="99">
        <f t="shared" si="8"/>
        <v>26103.461388681349</v>
      </c>
      <c r="Z233" s="108">
        <f t="shared" si="194"/>
        <v>26103.461388681349</v>
      </c>
      <c r="AA233" s="108"/>
      <c r="AB233" s="108"/>
      <c r="AC233" s="108"/>
      <c r="AD233" s="109"/>
      <c r="AE233" s="99">
        <f t="shared" ref="AE233:AF233" si="210">AO233</f>
        <v>16</v>
      </c>
      <c r="AF233" s="101">
        <f t="shared" si="210"/>
        <v>36</v>
      </c>
      <c r="AG233" s="101">
        <f t="shared" si="196"/>
        <v>49.001300000000001</v>
      </c>
      <c r="AH233" s="101">
        <f t="shared" si="197"/>
        <v>412</v>
      </c>
      <c r="AI233" s="101">
        <f t="shared" si="190"/>
        <v>268.61079999999998</v>
      </c>
      <c r="AJ233" s="108">
        <f t="shared" si="198"/>
        <v>1.4285714285714286</v>
      </c>
      <c r="AK233" s="101">
        <f t="shared" si="15"/>
        <v>8098.2910927512203</v>
      </c>
      <c r="AL233" s="101">
        <f t="shared" si="199"/>
        <v>8098.2910927512203</v>
      </c>
      <c r="AM233" s="101"/>
      <c r="AN233" s="101"/>
      <c r="AO233" s="1">
        <v>16</v>
      </c>
      <c r="AP233" s="2">
        <v>36</v>
      </c>
      <c r="AQ233" s="74">
        <f t="shared" si="200"/>
        <v>412</v>
      </c>
      <c r="AR233" s="31">
        <f t="shared" si="201"/>
        <v>1</v>
      </c>
      <c r="AS233" s="2">
        <f t="shared" si="202"/>
        <v>1</v>
      </c>
      <c r="AT233" s="33">
        <f t="shared" si="203"/>
        <v>0</v>
      </c>
      <c r="AU233" s="31">
        <f t="shared" si="204"/>
        <v>1</v>
      </c>
      <c r="AV233" s="2">
        <f t="shared" si="205"/>
        <v>30</v>
      </c>
      <c r="AW233" s="33">
        <f t="shared" si="206"/>
        <v>0</v>
      </c>
      <c r="AX233" s="31">
        <f t="shared" si="207"/>
        <v>1</v>
      </c>
      <c r="AY233" s="33">
        <f t="shared" si="208"/>
        <v>0</v>
      </c>
      <c r="AZ233" s="2"/>
      <c r="BA233" s="101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 ht="12" customHeight="1">
      <c r="A234" s="2"/>
      <c r="B234" s="107">
        <v>159</v>
      </c>
      <c r="C234" s="31">
        <v>10</v>
      </c>
      <c r="D234" s="106" t="s">
        <v>10</v>
      </c>
      <c r="E234" s="2" t="s">
        <v>150</v>
      </c>
      <c r="F234" s="2" t="s">
        <v>149</v>
      </c>
      <c r="G234" s="2" t="s">
        <v>137</v>
      </c>
      <c r="H234" s="33"/>
      <c r="I234" s="99">
        <f t="shared" si="0"/>
        <v>1006.7820020710392</v>
      </c>
      <c r="J234" s="101">
        <f t="shared" si="1"/>
        <v>25.75</v>
      </c>
      <c r="K234" s="101">
        <f t="shared" si="2"/>
        <v>158</v>
      </c>
      <c r="L234" s="74">
        <f t="shared" si="3"/>
        <v>35</v>
      </c>
      <c r="M234" s="99">
        <f t="shared" si="191"/>
        <v>16108.512033136627</v>
      </c>
      <c r="N234" s="108">
        <f t="shared" si="192"/>
        <v>16108.512033136627</v>
      </c>
      <c r="O234" s="108"/>
      <c r="P234" s="108"/>
      <c r="Q234" s="108"/>
      <c r="R234" s="109"/>
      <c r="S234" s="99">
        <f t="shared" si="6"/>
        <v>9717.9493113014632</v>
      </c>
      <c r="T234" s="108">
        <f t="shared" si="193"/>
        <v>9717.9493113014632</v>
      </c>
      <c r="U234" s="108"/>
      <c r="V234" s="108"/>
      <c r="W234" s="108"/>
      <c r="X234" s="109"/>
      <c r="Y234" s="99">
        <f t="shared" si="8"/>
        <v>26103.461388681349</v>
      </c>
      <c r="Z234" s="108">
        <f t="shared" si="194"/>
        <v>26103.461388681349</v>
      </c>
      <c r="AA234" s="108"/>
      <c r="AB234" s="108"/>
      <c r="AC234" s="108"/>
      <c r="AD234" s="109"/>
      <c r="AE234" s="99">
        <f t="shared" ref="AE234:AF234" si="211">AO234</f>
        <v>16</v>
      </c>
      <c r="AF234" s="101">
        <f t="shared" si="211"/>
        <v>36</v>
      </c>
      <c r="AG234" s="101">
        <f t="shared" si="196"/>
        <v>19.001300000000001</v>
      </c>
      <c r="AH234" s="101">
        <f t="shared" si="197"/>
        <v>412</v>
      </c>
      <c r="AI234" s="101">
        <f t="shared" si="190"/>
        <v>268.61079999999998</v>
      </c>
      <c r="AJ234" s="108">
        <f t="shared" si="198"/>
        <v>1.2142857142857142</v>
      </c>
      <c r="AK234" s="101">
        <f t="shared" si="15"/>
        <v>8098.2910927512203</v>
      </c>
      <c r="AL234" s="101">
        <f t="shared" si="199"/>
        <v>8098.2910927512203</v>
      </c>
      <c r="AM234" s="101"/>
      <c r="AN234" s="101"/>
      <c r="AO234" s="1">
        <v>16</v>
      </c>
      <c r="AP234" s="2">
        <v>36</v>
      </c>
      <c r="AQ234" s="74">
        <f t="shared" si="200"/>
        <v>412</v>
      </c>
      <c r="AR234" s="31">
        <f t="shared" si="201"/>
        <v>0.85</v>
      </c>
      <c r="AS234" s="2">
        <f t="shared" si="202"/>
        <v>1</v>
      </c>
      <c r="AT234" s="33">
        <f t="shared" si="203"/>
        <v>0</v>
      </c>
      <c r="AU234" s="31">
        <f t="shared" si="204"/>
        <v>1</v>
      </c>
      <c r="AV234" s="2">
        <f t="shared" si="205"/>
        <v>0</v>
      </c>
      <c r="AW234" s="33">
        <f t="shared" si="206"/>
        <v>0</v>
      </c>
      <c r="AX234" s="31">
        <f t="shared" si="207"/>
        <v>1</v>
      </c>
      <c r="AY234" s="33">
        <f t="shared" si="208"/>
        <v>0</v>
      </c>
      <c r="AZ234" s="2"/>
      <c r="BA234" s="101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 ht="12" customHeight="1">
      <c r="A235" s="2"/>
      <c r="B235" s="107">
        <v>160</v>
      </c>
      <c r="C235" s="31">
        <v>10</v>
      </c>
      <c r="D235" s="106" t="s">
        <v>10</v>
      </c>
      <c r="E235" s="2" t="s">
        <v>164</v>
      </c>
      <c r="F235" s="2" t="s">
        <v>149</v>
      </c>
      <c r="G235" s="2" t="s">
        <v>137</v>
      </c>
      <c r="H235" s="33"/>
      <c r="I235" s="99">
        <f t="shared" si="0"/>
        <v>1258.4775025887991</v>
      </c>
      <c r="J235" s="101">
        <f t="shared" si="1"/>
        <v>25.75</v>
      </c>
      <c r="K235" s="101">
        <f t="shared" si="2"/>
        <v>78</v>
      </c>
      <c r="L235" s="74">
        <f t="shared" si="3"/>
        <v>8</v>
      </c>
      <c r="M235" s="99">
        <f t="shared" si="191"/>
        <v>20135.640041420786</v>
      </c>
      <c r="N235" s="108">
        <f t="shared" si="192"/>
        <v>20135.640041420786</v>
      </c>
      <c r="O235" s="108"/>
      <c r="P235" s="108"/>
      <c r="Q235" s="108"/>
      <c r="R235" s="109"/>
      <c r="S235" s="99">
        <f t="shared" si="6"/>
        <v>12147.43663912683</v>
      </c>
      <c r="T235" s="108">
        <f t="shared" si="193"/>
        <v>12147.43663912683</v>
      </c>
      <c r="U235" s="108"/>
      <c r="V235" s="108"/>
      <c r="W235" s="108"/>
      <c r="X235" s="109"/>
      <c r="Y235" s="99">
        <f t="shared" si="8"/>
        <v>32629.32673585169</v>
      </c>
      <c r="Z235" s="108">
        <f t="shared" si="194"/>
        <v>32629.32673585169</v>
      </c>
      <c r="AA235" s="108"/>
      <c r="AB235" s="108"/>
      <c r="AC235" s="108"/>
      <c r="AD235" s="109"/>
      <c r="AE235" s="99">
        <f t="shared" ref="AE235:AF235" si="212">AO235</f>
        <v>16</v>
      </c>
      <c r="AF235" s="101">
        <f t="shared" si="212"/>
        <v>36</v>
      </c>
      <c r="AG235" s="101">
        <f t="shared" si="196"/>
        <v>19.001300000000001</v>
      </c>
      <c r="AH235" s="101">
        <f t="shared" si="197"/>
        <v>412</v>
      </c>
      <c r="AI235" s="101">
        <f t="shared" si="190"/>
        <v>268.61079999999998</v>
      </c>
      <c r="AJ235" s="108">
        <f t="shared" si="198"/>
        <v>1.2142857142857142</v>
      </c>
      <c r="AK235" s="101">
        <f t="shared" si="15"/>
        <v>8098.2910927512203</v>
      </c>
      <c r="AL235" s="101">
        <f t="shared" si="199"/>
        <v>8098.2910927512203</v>
      </c>
      <c r="AM235" s="101"/>
      <c r="AN235" s="101"/>
      <c r="AO235" s="1">
        <v>16</v>
      </c>
      <c r="AP235" s="2">
        <v>36</v>
      </c>
      <c r="AQ235" s="74">
        <f t="shared" si="200"/>
        <v>412</v>
      </c>
      <c r="AR235" s="31">
        <f t="shared" si="201"/>
        <v>0.85</v>
      </c>
      <c r="AS235" s="2">
        <f t="shared" si="202"/>
        <v>1</v>
      </c>
      <c r="AT235" s="33">
        <f t="shared" si="203"/>
        <v>0</v>
      </c>
      <c r="AU235" s="31">
        <f t="shared" si="204"/>
        <v>1.25</v>
      </c>
      <c r="AV235" s="2">
        <f t="shared" si="205"/>
        <v>0</v>
      </c>
      <c r="AW235" s="33">
        <f t="shared" si="206"/>
        <v>0</v>
      </c>
      <c r="AX235" s="31">
        <f t="shared" si="207"/>
        <v>1</v>
      </c>
      <c r="AY235" s="33">
        <f t="shared" si="208"/>
        <v>0</v>
      </c>
      <c r="AZ235" s="2"/>
      <c r="BA235" s="101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 ht="12" customHeight="1">
      <c r="A236" s="2"/>
      <c r="B236" s="107">
        <v>161</v>
      </c>
      <c r="C236" s="31">
        <v>10</v>
      </c>
      <c r="D236" s="106" t="s">
        <v>10</v>
      </c>
      <c r="E236" s="2" t="s">
        <v>153</v>
      </c>
      <c r="F236" s="2" t="s">
        <v>149</v>
      </c>
      <c r="G236" s="2" t="s">
        <v>137</v>
      </c>
      <c r="H236" s="33"/>
      <c r="I236" s="99">
        <f t="shared" si="0"/>
        <v>1314.0103535219121</v>
      </c>
      <c r="J236" s="101">
        <f t="shared" si="1"/>
        <v>25.75</v>
      </c>
      <c r="K236" s="101">
        <f t="shared" si="2"/>
        <v>73</v>
      </c>
      <c r="L236" s="74">
        <f t="shared" si="3"/>
        <v>5</v>
      </c>
      <c r="M236" s="99">
        <f t="shared" si="191"/>
        <v>21024.165656350593</v>
      </c>
      <c r="N236" s="108">
        <f t="shared" si="192"/>
        <v>21024.165656350593</v>
      </c>
      <c r="O236" s="108"/>
      <c r="P236" s="108"/>
      <c r="Q236" s="108"/>
      <c r="R236" s="109"/>
      <c r="S236" s="99">
        <f t="shared" si="6"/>
        <v>9717.9493113014632</v>
      </c>
      <c r="T236" s="108">
        <f t="shared" si="193"/>
        <v>9717.9493113014632</v>
      </c>
      <c r="U236" s="108"/>
      <c r="V236" s="108"/>
      <c r="W236" s="108"/>
      <c r="X236" s="109"/>
      <c r="Y236" s="99">
        <f t="shared" si="8"/>
        <v>26103.461388681349</v>
      </c>
      <c r="Z236" s="108">
        <f t="shared" si="194"/>
        <v>26103.461388681349</v>
      </c>
      <c r="AA236" s="108"/>
      <c r="AB236" s="108"/>
      <c r="AC236" s="108"/>
      <c r="AD236" s="109"/>
      <c r="AE236" s="99">
        <f t="shared" ref="AE236:AF236" si="213">AO236</f>
        <v>16</v>
      </c>
      <c r="AF236" s="101">
        <f t="shared" si="213"/>
        <v>36</v>
      </c>
      <c r="AG236" s="101">
        <f t="shared" si="196"/>
        <v>49.001300000000001</v>
      </c>
      <c r="AH236" s="101">
        <f t="shared" si="197"/>
        <v>412</v>
      </c>
      <c r="AI236" s="101">
        <f t="shared" si="190"/>
        <v>268.61079999999998</v>
      </c>
      <c r="AJ236" s="108">
        <f t="shared" si="198"/>
        <v>1.2142857142857142</v>
      </c>
      <c r="AK236" s="101">
        <f t="shared" si="15"/>
        <v>8098.2910927512203</v>
      </c>
      <c r="AL236" s="101">
        <f t="shared" si="199"/>
        <v>8098.2910927512203</v>
      </c>
      <c r="AM236" s="101"/>
      <c r="AN236" s="101"/>
      <c r="AO236" s="1">
        <v>16</v>
      </c>
      <c r="AP236" s="2">
        <v>36</v>
      </c>
      <c r="AQ236" s="74">
        <f t="shared" si="200"/>
        <v>412</v>
      </c>
      <c r="AR236" s="31">
        <f t="shared" si="201"/>
        <v>0.85</v>
      </c>
      <c r="AS236" s="2">
        <f t="shared" si="202"/>
        <v>1</v>
      </c>
      <c r="AT236" s="33">
        <f t="shared" si="203"/>
        <v>0</v>
      </c>
      <c r="AU236" s="31">
        <f t="shared" si="204"/>
        <v>1</v>
      </c>
      <c r="AV236" s="2">
        <f t="shared" si="205"/>
        <v>30</v>
      </c>
      <c r="AW236" s="33">
        <f t="shared" si="206"/>
        <v>0</v>
      </c>
      <c r="AX236" s="31">
        <f t="shared" si="207"/>
        <v>1</v>
      </c>
      <c r="AY236" s="33">
        <f t="shared" si="208"/>
        <v>0</v>
      </c>
      <c r="AZ236" s="2"/>
      <c r="BA236" s="101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 ht="12" customHeight="1">
      <c r="A237" s="2"/>
      <c r="B237" s="107">
        <v>162</v>
      </c>
      <c r="C237" s="31">
        <v>10</v>
      </c>
      <c r="D237" s="106" t="s">
        <v>10</v>
      </c>
      <c r="E237" s="2" t="s">
        <v>161</v>
      </c>
      <c r="F237" s="2" t="s">
        <v>149</v>
      </c>
      <c r="G237" s="2" t="s">
        <v>185</v>
      </c>
      <c r="H237" s="33"/>
      <c r="I237" s="99">
        <f t="shared" si="0"/>
        <v>1188.0027624438262</v>
      </c>
      <c r="J237" s="101">
        <f t="shared" si="1"/>
        <v>25.75</v>
      </c>
      <c r="K237" s="101">
        <f t="shared" si="2"/>
        <v>99</v>
      </c>
      <c r="L237" s="74">
        <f t="shared" si="3"/>
        <v>15</v>
      </c>
      <c r="M237" s="99">
        <f t="shared" si="191"/>
        <v>19008.044199101219</v>
      </c>
      <c r="N237" s="108">
        <f t="shared" si="192"/>
        <v>19008.044199101219</v>
      </c>
      <c r="O237" s="108"/>
      <c r="P237" s="108"/>
      <c r="Q237" s="108"/>
      <c r="R237" s="109"/>
      <c r="S237" s="99">
        <f t="shared" si="6"/>
        <v>11467.180187335727</v>
      </c>
      <c r="T237" s="108">
        <f t="shared" si="193"/>
        <v>11467.180187335727</v>
      </c>
      <c r="U237" s="108"/>
      <c r="V237" s="108"/>
      <c r="W237" s="108"/>
      <c r="X237" s="109"/>
      <c r="Y237" s="99">
        <f t="shared" si="8"/>
        <v>30802.084438643997</v>
      </c>
      <c r="Z237" s="108">
        <f t="shared" si="194"/>
        <v>30802.084438643997</v>
      </c>
      <c r="AA237" s="108"/>
      <c r="AB237" s="108"/>
      <c r="AC237" s="108"/>
      <c r="AD237" s="109"/>
      <c r="AE237" s="99">
        <f t="shared" ref="AE237:AF237" si="214">AO237</f>
        <v>16</v>
      </c>
      <c r="AF237" s="101">
        <f t="shared" si="214"/>
        <v>36</v>
      </c>
      <c r="AG237" s="101">
        <f t="shared" si="196"/>
        <v>19.001300000000001</v>
      </c>
      <c r="AH237" s="101">
        <f t="shared" si="197"/>
        <v>412</v>
      </c>
      <c r="AI237" s="101">
        <f t="shared" si="190"/>
        <v>268.61079999999998</v>
      </c>
      <c r="AJ237" s="108">
        <f t="shared" si="198"/>
        <v>1.4285714285714286</v>
      </c>
      <c r="AK237" s="101">
        <f t="shared" si="15"/>
        <v>8098.2910927512203</v>
      </c>
      <c r="AL237" s="101">
        <f t="shared" si="199"/>
        <v>8098.2910927512203</v>
      </c>
      <c r="AM237" s="101"/>
      <c r="AN237" s="101"/>
      <c r="AO237" s="1">
        <v>16</v>
      </c>
      <c r="AP237" s="2">
        <v>36</v>
      </c>
      <c r="AQ237" s="74">
        <f t="shared" si="200"/>
        <v>412</v>
      </c>
      <c r="AR237" s="31">
        <f t="shared" si="201"/>
        <v>1</v>
      </c>
      <c r="AS237" s="2">
        <f t="shared" si="202"/>
        <v>1.18</v>
      </c>
      <c r="AT237" s="33">
        <f t="shared" si="203"/>
        <v>0</v>
      </c>
      <c r="AU237" s="31">
        <f t="shared" si="204"/>
        <v>1</v>
      </c>
      <c r="AV237" s="2">
        <f t="shared" si="205"/>
        <v>0</v>
      </c>
      <c r="AW237" s="33">
        <f t="shared" si="206"/>
        <v>0</v>
      </c>
      <c r="AX237" s="31">
        <f t="shared" si="207"/>
        <v>1</v>
      </c>
      <c r="AY237" s="33">
        <f t="shared" si="208"/>
        <v>0</v>
      </c>
      <c r="AZ237" s="2"/>
      <c r="BA237" s="101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 ht="12" customHeight="1">
      <c r="A238" s="2"/>
      <c r="B238" s="107">
        <v>163</v>
      </c>
      <c r="C238" s="31">
        <v>10</v>
      </c>
      <c r="D238" s="106" t="s">
        <v>10</v>
      </c>
      <c r="E238" s="2" t="s">
        <v>169</v>
      </c>
      <c r="F238" s="2" t="s">
        <v>149</v>
      </c>
      <c r="G238" s="2" t="s">
        <v>185</v>
      </c>
      <c r="H238" s="33"/>
      <c r="I238" s="99">
        <f t="shared" si="0"/>
        <v>1485.003453054783</v>
      </c>
      <c r="J238" s="101">
        <f t="shared" si="1"/>
        <v>25.75</v>
      </c>
      <c r="K238" s="101">
        <f t="shared" si="2"/>
        <v>42</v>
      </c>
      <c r="L238" s="74">
        <f t="shared" si="3"/>
        <v>2</v>
      </c>
      <c r="M238" s="99">
        <f t="shared" si="191"/>
        <v>23760.055248876528</v>
      </c>
      <c r="N238" s="108">
        <f t="shared" si="192"/>
        <v>23760.055248876528</v>
      </c>
      <c r="O238" s="108"/>
      <c r="P238" s="108"/>
      <c r="Q238" s="108"/>
      <c r="R238" s="109"/>
      <c r="S238" s="99">
        <f t="shared" si="6"/>
        <v>14333.97523416966</v>
      </c>
      <c r="T238" s="108">
        <f t="shared" si="193"/>
        <v>14333.97523416966</v>
      </c>
      <c r="U238" s="108"/>
      <c r="V238" s="108"/>
      <c r="W238" s="108"/>
      <c r="X238" s="109"/>
      <c r="Y238" s="99">
        <f t="shared" si="8"/>
        <v>38502.605548304993</v>
      </c>
      <c r="Z238" s="108">
        <f t="shared" si="194"/>
        <v>38502.605548304993</v>
      </c>
      <c r="AA238" s="108"/>
      <c r="AB238" s="108"/>
      <c r="AC238" s="108"/>
      <c r="AD238" s="109"/>
      <c r="AE238" s="99">
        <f t="shared" ref="AE238:AF238" si="215">AO238</f>
        <v>16</v>
      </c>
      <c r="AF238" s="101">
        <f t="shared" si="215"/>
        <v>36</v>
      </c>
      <c r="AG238" s="101">
        <f t="shared" si="196"/>
        <v>19.001300000000001</v>
      </c>
      <c r="AH238" s="101">
        <f t="shared" si="197"/>
        <v>412</v>
      </c>
      <c r="AI238" s="101">
        <f t="shared" si="190"/>
        <v>268.61079999999998</v>
      </c>
      <c r="AJ238" s="108">
        <f t="shared" si="198"/>
        <v>1.4285714285714286</v>
      </c>
      <c r="AK238" s="101">
        <f t="shared" si="15"/>
        <v>8098.2910927512203</v>
      </c>
      <c r="AL238" s="101">
        <f t="shared" si="199"/>
        <v>8098.2910927512203</v>
      </c>
      <c r="AM238" s="101"/>
      <c r="AN238" s="101"/>
      <c r="AO238" s="1">
        <v>16</v>
      </c>
      <c r="AP238" s="2">
        <v>36</v>
      </c>
      <c r="AQ238" s="74">
        <f t="shared" si="200"/>
        <v>412</v>
      </c>
      <c r="AR238" s="31">
        <f t="shared" si="201"/>
        <v>1</v>
      </c>
      <c r="AS238" s="2">
        <f t="shared" si="202"/>
        <v>1.18</v>
      </c>
      <c r="AT238" s="33">
        <f t="shared" si="203"/>
        <v>0</v>
      </c>
      <c r="AU238" s="31">
        <f t="shared" si="204"/>
        <v>1.25</v>
      </c>
      <c r="AV238" s="2">
        <f t="shared" si="205"/>
        <v>0</v>
      </c>
      <c r="AW238" s="33">
        <f t="shared" si="206"/>
        <v>0</v>
      </c>
      <c r="AX238" s="31">
        <f t="shared" si="207"/>
        <v>1</v>
      </c>
      <c r="AY238" s="33">
        <f t="shared" si="208"/>
        <v>0</v>
      </c>
      <c r="AZ238" s="2"/>
      <c r="BA238" s="101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 ht="12" customHeight="1">
      <c r="A239" s="2"/>
      <c r="B239" s="107">
        <v>164</v>
      </c>
      <c r="C239" s="31">
        <v>10</v>
      </c>
      <c r="D239" s="106" t="s">
        <v>10</v>
      </c>
      <c r="E239" s="2" t="s">
        <v>162</v>
      </c>
      <c r="F239" s="2" t="s">
        <v>149</v>
      </c>
      <c r="G239" s="2" t="s">
        <v>185</v>
      </c>
      <c r="H239" s="33"/>
      <c r="I239" s="99">
        <f t="shared" si="0"/>
        <v>1550.5322171558564</v>
      </c>
      <c r="J239" s="101">
        <f t="shared" si="1"/>
        <v>25.75</v>
      </c>
      <c r="K239" s="101">
        <f t="shared" si="2"/>
        <v>39</v>
      </c>
      <c r="L239" s="74">
        <f t="shared" si="3"/>
        <v>1</v>
      </c>
      <c r="M239" s="99">
        <f t="shared" si="191"/>
        <v>24808.515474493703</v>
      </c>
      <c r="N239" s="108">
        <f t="shared" si="192"/>
        <v>24808.515474493703</v>
      </c>
      <c r="O239" s="108"/>
      <c r="P239" s="108"/>
      <c r="Q239" s="108"/>
      <c r="R239" s="109"/>
      <c r="S239" s="99">
        <f t="shared" si="6"/>
        <v>11467.180187335727</v>
      </c>
      <c r="T239" s="108">
        <f t="shared" si="193"/>
        <v>11467.180187335727</v>
      </c>
      <c r="U239" s="108"/>
      <c r="V239" s="108"/>
      <c r="W239" s="108"/>
      <c r="X239" s="109"/>
      <c r="Y239" s="99">
        <f t="shared" si="8"/>
        <v>30802.084438643997</v>
      </c>
      <c r="Z239" s="108">
        <f t="shared" si="194"/>
        <v>30802.084438643997</v>
      </c>
      <c r="AA239" s="108"/>
      <c r="AB239" s="108"/>
      <c r="AC239" s="108"/>
      <c r="AD239" s="109"/>
      <c r="AE239" s="99">
        <f t="shared" ref="AE239:AF239" si="216">AO239</f>
        <v>16</v>
      </c>
      <c r="AF239" s="101">
        <f t="shared" si="216"/>
        <v>36</v>
      </c>
      <c r="AG239" s="101">
        <f t="shared" si="196"/>
        <v>49.001300000000001</v>
      </c>
      <c r="AH239" s="101">
        <f t="shared" si="197"/>
        <v>412</v>
      </c>
      <c r="AI239" s="101">
        <f t="shared" si="190"/>
        <v>268.61079999999998</v>
      </c>
      <c r="AJ239" s="108">
        <f t="shared" si="198"/>
        <v>1.4285714285714286</v>
      </c>
      <c r="AK239" s="101">
        <f t="shared" si="15"/>
        <v>8098.2910927512203</v>
      </c>
      <c r="AL239" s="101">
        <f t="shared" si="199"/>
        <v>8098.2910927512203</v>
      </c>
      <c r="AM239" s="101"/>
      <c r="AN239" s="101"/>
      <c r="AO239" s="1">
        <v>16</v>
      </c>
      <c r="AP239" s="2">
        <v>36</v>
      </c>
      <c r="AQ239" s="74">
        <f t="shared" si="200"/>
        <v>412</v>
      </c>
      <c r="AR239" s="31">
        <f t="shared" si="201"/>
        <v>1</v>
      </c>
      <c r="AS239" s="2">
        <f t="shared" si="202"/>
        <v>1.18</v>
      </c>
      <c r="AT239" s="33">
        <f t="shared" si="203"/>
        <v>0</v>
      </c>
      <c r="AU239" s="31">
        <f t="shared" si="204"/>
        <v>1</v>
      </c>
      <c r="AV239" s="2">
        <f t="shared" si="205"/>
        <v>30</v>
      </c>
      <c r="AW239" s="33">
        <f t="shared" si="206"/>
        <v>0</v>
      </c>
      <c r="AX239" s="31">
        <f t="shared" si="207"/>
        <v>1</v>
      </c>
      <c r="AY239" s="33">
        <f t="shared" si="208"/>
        <v>0</v>
      </c>
      <c r="AZ239" s="2"/>
      <c r="BA239" s="101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 ht="12" customHeight="1">
      <c r="A240" s="2"/>
      <c r="B240" s="107">
        <v>165</v>
      </c>
      <c r="C240" s="31">
        <v>10</v>
      </c>
      <c r="D240" s="106" t="s">
        <v>10</v>
      </c>
      <c r="E240" s="2" t="s">
        <v>92</v>
      </c>
      <c r="F240" s="2" t="s">
        <v>149</v>
      </c>
      <c r="G240" s="2"/>
      <c r="H240" s="33"/>
      <c r="I240" s="99">
        <f t="shared" si="0"/>
        <v>503.39100103551959</v>
      </c>
      <c r="J240" s="101">
        <f t="shared" si="1"/>
        <v>25.75</v>
      </c>
      <c r="K240" s="101">
        <f t="shared" si="2"/>
        <v>594</v>
      </c>
      <c r="L240" s="74">
        <f t="shared" si="3"/>
        <v>210</v>
      </c>
      <c r="M240" s="99">
        <f t="shared" si="191"/>
        <v>8054.2560165683135</v>
      </c>
      <c r="N240" s="108">
        <f t="shared" si="192"/>
        <v>8054.2560165683135</v>
      </c>
      <c r="O240" s="108"/>
      <c r="P240" s="108"/>
      <c r="Q240" s="108"/>
      <c r="R240" s="109"/>
      <c r="S240" s="99">
        <f t="shared" si="6"/>
        <v>4858.9746556507316</v>
      </c>
      <c r="T240" s="108">
        <f t="shared" si="193"/>
        <v>4858.9746556507316</v>
      </c>
      <c r="U240" s="108"/>
      <c r="V240" s="108"/>
      <c r="W240" s="108"/>
      <c r="X240" s="109"/>
      <c r="Y240" s="99">
        <f t="shared" si="8"/>
        <v>13051.730694340675</v>
      </c>
      <c r="Z240" s="108">
        <f t="shared" si="194"/>
        <v>13051.730694340675</v>
      </c>
      <c r="AA240" s="108"/>
      <c r="AB240" s="108"/>
      <c r="AC240" s="108"/>
      <c r="AD240" s="109"/>
      <c r="AE240" s="99">
        <f t="shared" ref="AE240:AF240" si="217">AO240</f>
        <v>16</v>
      </c>
      <c r="AF240" s="101">
        <f t="shared" si="217"/>
        <v>36</v>
      </c>
      <c r="AG240" s="101">
        <f t="shared" si="196"/>
        <v>19.001300000000001</v>
      </c>
      <c r="AH240" s="101">
        <f t="shared" si="197"/>
        <v>412</v>
      </c>
      <c r="AI240" s="101">
        <f t="shared" si="190"/>
        <v>268.61079999999998</v>
      </c>
      <c r="AJ240" s="108">
        <f t="shared" si="198"/>
        <v>1.4285714285714286</v>
      </c>
      <c r="AK240" s="101">
        <f t="shared" si="15"/>
        <v>8098.2910927512203</v>
      </c>
      <c r="AL240" s="101">
        <f t="shared" si="199"/>
        <v>8098.2910927512203</v>
      </c>
      <c r="AM240" s="101"/>
      <c r="AN240" s="101"/>
      <c r="AO240" s="1">
        <v>16</v>
      </c>
      <c r="AP240" s="2">
        <v>36</v>
      </c>
      <c r="AQ240" s="74">
        <f t="shared" si="200"/>
        <v>412</v>
      </c>
      <c r="AR240" s="31">
        <f t="shared" si="201"/>
        <v>1</v>
      </c>
      <c r="AS240" s="2">
        <f t="shared" si="202"/>
        <v>1</v>
      </c>
      <c r="AT240" s="33">
        <f t="shared" si="203"/>
        <v>0</v>
      </c>
      <c r="AU240" s="31">
        <f t="shared" si="204"/>
        <v>1</v>
      </c>
      <c r="AV240" s="2">
        <f t="shared" si="205"/>
        <v>0</v>
      </c>
      <c r="AW240" s="33">
        <f t="shared" si="206"/>
        <v>0</v>
      </c>
      <c r="AX240" s="31">
        <f t="shared" si="207"/>
        <v>1</v>
      </c>
      <c r="AY240" s="33">
        <f t="shared" si="208"/>
        <v>100</v>
      </c>
      <c r="AZ240" s="2"/>
      <c r="BA240" s="101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 ht="12" customHeight="1">
      <c r="A241" s="2"/>
      <c r="B241" s="107">
        <v>166</v>
      </c>
      <c r="C241" s="31">
        <v>10</v>
      </c>
      <c r="D241" s="106" t="s">
        <v>10</v>
      </c>
      <c r="E241" s="2" t="s">
        <v>139</v>
      </c>
      <c r="F241" s="2" t="s">
        <v>149</v>
      </c>
      <c r="G241" s="2"/>
      <c r="H241" s="33"/>
      <c r="I241" s="99">
        <f t="shared" si="0"/>
        <v>629.23875129439955</v>
      </c>
      <c r="J241" s="101">
        <f t="shared" si="1"/>
        <v>25.75</v>
      </c>
      <c r="K241" s="101">
        <f t="shared" si="2"/>
        <v>433</v>
      </c>
      <c r="L241" s="74">
        <f t="shared" si="3"/>
        <v>143</v>
      </c>
      <c r="M241" s="99">
        <f t="shared" si="191"/>
        <v>10067.820020710393</v>
      </c>
      <c r="N241" s="108">
        <f t="shared" si="192"/>
        <v>10067.820020710393</v>
      </c>
      <c r="O241" s="108"/>
      <c r="P241" s="108"/>
      <c r="Q241" s="108"/>
      <c r="R241" s="109"/>
      <c r="S241" s="99">
        <f t="shared" si="6"/>
        <v>6073.7183195634152</v>
      </c>
      <c r="T241" s="108">
        <f t="shared" si="193"/>
        <v>6073.7183195634152</v>
      </c>
      <c r="U241" s="108"/>
      <c r="V241" s="108"/>
      <c r="W241" s="108"/>
      <c r="X241" s="109"/>
      <c r="Y241" s="99">
        <f t="shared" si="8"/>
        <v>16314.663367925845</v>
      </c>
      <c r="Z241" s="108">
        <f t="shared" si="194"/>
        <v>16314.663367925845</v>
      </c>
      <c r="AA241" s="108"/>
      <c r="AB241" s="108"/>
      <c r="AC241" s="108"/>
      <c r="AD241" s="109"/>
      <c r="AE241" s="99">
        <f t="shared" ref="AE241:AF241" si="218">AO241</f>
        <v>16</v>
      </c>
      <c r="AF241" s="101">
        <f t="shared" si="218"/>
        <v>36</v>
      </c>
      <c r="AG241" s="101">
        <f t="shared" si="196"/>
        <v>19.001300000000001</v>
      </c>
      <c r="AH241" s="101">
        <f t="shared" si="197"/>
        <v>412</v>
      </c>
      <c r="AI241" s="101">
        <f t="shared" si="190"/>
        <v>268.61079999999998</v>
      </c>
      <c r="AJ241" s="108">
        <f t="shared" si="198"/>
        <v>1.4285714285714286</v>
      </c>
      <c r="AK241" s="101">
        <f t="shared" si="15"/>
        <v>8098.2910927512203</v>
      </c>
      <c r="AL241" s="101">
        <f t="shared" si="199"/>
        <v>8098.2910927512203</v>
      </c>
      <c r="AM241" s="101"/>
      <c r="AN241" s="101"/>
      <c r="AO241" s="1">
        <v>16</v>
      </c>
      <c r="AP241" s="2">
        <v>36</v>
      </c>
      <c r="AQ241" s="74">
        <f t="shared" si="200"/>
        <v>412</v>
      </c>
      <c r="AR241" s="31">
        <f t="shared" si="201"/>
        <v>1</v>
      </c>
      <c r="AS241" s="2">
        <f t="shared" si="202"/>
        <v>1</v>
      </c>
      <c r="AT241" s="33">
        <f t="shared" si="203"/>
        <v>0</v>
      </c>
      <c r="AU241" s="31">
        <f t="shared" si="204"/>
        <v>1.25</v>
      </c>
      <c r="AV241" s="2">
        <f t="shared" si="205"/>
        <v>0</v>
      </c>
      <c r="AW241" s="33">
        <f t="shared" si="206"/>
        <v>0</v>
      </c>
      <c r="AX241" s="31">
        <f t="shared" si="207"/>
        <v>1</v>
      </c>
      <c r="AY241" s="33">
        <f t="shared" si="208"/>
        <v>100</v>
      </c>
      <c r="AZ241" s="2"/>
      <c r="BA241" s="101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 ht="12" customHeight="1">
      <c r="A242" s="2"/>
      <c r="B242" s="107">
        <v>167</v>
      </c>
      <c r="C242" s="31">
        <v>10</v>
      </c>
      <c r="D242" s="106" t="s">
        <v>10</v>
      </c>
      <c r="E242" s="2" t="s">
        <v>95</v>
      </c>
      <c r="F242" s="2" t="s">
        <v>149</v>
      </c>
      <c r="G242" s="2"/>
      <c r="H242" s="33"/>
      <c r="I242" s="99">
        <f t="shared" si="0"/>
        <v>657.00517676095603</v>
      </c>
      <c r="J242" s="101">
        <f t="shared" si="1"/>
        <v>25.75</v>
      </c>
      <c r="K242" s="101">
        <f t="shared" si="2"/>
        <v>397</v>
      </c>
      <c r="L242" s="74">
        <f t="shared" si="3"/>
        <v>123</v>
      </c>
      <c r="M242" s="99">
        <f t="shared" si="191"/>
        <v>10512.082828175297</v>
      </c>
      <c r="N242" s="108">
        <f t="shared" si="192"/>
        <v>10512.082828175297</v>
      </c>
      <c r="O242" s="108"/>
      <c r="P242" s="108"/>
      <c r="Q242" s="108"/>
      <c r="R242" s="109"/>
      <c r="S242" s="99">
        <f t="shared" si="6"/>
        <v>4858.9746556507316</v>
      </c>
      <c r="T242" s="108">
        <f t="shared" si="193"/>
        <v>4858.9746556507316</v>
      </c>
      <c r="U242" s="108"/>
      <c r="V242" s="108"/>
      <c r="W242" s="108"/>
      <c r="X242" s="109"/>
      <c r="Y242" s="99">
        <f t="shared" si="8"/>
        <v>13051.730694340675</v>
      </c>
      <c r="Z242" s="108">
        <f t="shared" si="194"/>
        <v>13051.730694340675</v>
      </c>
      <c r="AA242" s="108"/>
      <c r="AB242" s="108"/>
      <c r="AC242" s="108"/>
      <c r="AD242" s="109"/>
      <c r="AE242" s="99">
        <f t="shared" ref="AE242:AF242" si="219">AO242</f>
        <v>16</v>
      </c>
      <c r="AF242" s="101">
        <f t="shared" si="219"/>
        <v>36</v>
      </c>
      <c r="AG242" s="101">
        <f t="shared" si="196"/>
        <v>49.001300000000001</v>
      </c>
      <c r="AH242" s="101">
        <f t="shared" si="197"/>
        <v>412</v>
      </c>
      <c r="AI242" s="101">
        <f t="shared" si="190"/>
        <v>268.61079999999998</v>
      </c>
      <c r="AJ242" s="108">
        <f t="shared" si="198"/>
        <v>1.4285714285714286</v>
      </c>
      <c r="AK242" s="101">
        <f t="shared" si="15"/>
        <v>8098.2910927512203</v>
      </c>
      <c r="AL242" s="101">
        <f t="shared" si="199"/>
        <v>8098.2910927512203</v>
      </c>
      <c r="AM242" s="101"/>
      <c r="AN242" s="101"/>
      <c r="AO242" s="1">
        <v>16</v>
      </c>
      <c r="AP242" s="2">
        <v>36</v>
      </c>
      <c r="AQ242" s="74">
        <f t="shared" si="200"/>
        <v>412</v>
      </c>
      <c r="AR242" s="31">
        <f t="shared" si="201"/>
        <v>1</v>
      </c>
      <c r="AS242" s="2">
        <f t="shared" si="202"/>
        <v>1</v>
      </c>
      <c r="AT242" s="33">
        <f t="shared" si="203"/>
        <v>0</v>
      </c>
      <c r="AU242" s="31">
        <f t="shared" si="204"/>
        <v>1</v>
      </c>
      <c r="AV242" s="2">
        <f t="shared" si="205"/>
        <v>30</v>
      </c>
      <c r="AW242" s="33">
        <f t="shared" si="206"/>
        <v>0</v>
      </c>
      <c r="AX242" s="31">
        <f t="shared" si="207"/>
        <v>1</v>
      </c>
      <c r="AY242" s="33">
        <f t="shared" si="208"/>
        <v>100</v>
      </c>
      <c r="AZ242" s="2"/>
      <c r="BA242" s="101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 ht="12" customHeight="1">
      <c r="A243" s="2"/>
      <c r="B243" s="107">
        <v>168</v>
      </c>
      <c r="C243" s="31">
        <v>10</v>
      </c>
      <c r="D243" s="106" t="s">
        <v>10</v>
      </c>
      <c r="E243" s="2" t="s">
        <v>151</v>
      </c>
      <c r="F243" s="2" t="s">
        <v>149</v>
      </c>
      <c r="G243" s="2"/>
      <c r="H243" s="33"/>
      <c r="I243" s="99">
        <f t="shared" si="0"/>
        <v>503.39100103551959</v>
      </c>
      <c r="J243" s="101">
        <f t="shared" si="1"/>
        <v>25.75</v>
      </c>
      <c r="K243" s="101">
        <f t="shared" si="2"/>
        <v>594</v>
      </c>
      <c r="L243" s="74">
        <f t="shared" si="3"/>
        <v>210</v>
      </c>
      <c r="M243" s="99">
        <f t="shared" si="191"/>
        <v>8054.2560165683135</v>
      </c>
      <c r="N243" s="108">
        <f t="shared" si="192"/>
        <v>8054.2560165683135</v>
      </c>
      <c r="O243" s="108"/>
      <c r="P243" s="108"/>
      <c r="Q243" s="108"/>
      <c r="R243" s="109"/>
      <c r="S243" s="99">
        <f t="shared" si="6"/>
        <v>4858.9746556507316</v>
      </c>
      <c r="T243" s="108">
        <f t="shared" si="193"/>
        <v>4858.9746556507316</v>
      </c>
      <c r="U243" s="108"/>
      <c r="V243" s="108"/>
      <c r="W243" s="108"/>
      <c r="X243" s="109"/>
      <c r="Y243" s="99">
        <f t="shared" si="8"/>
        <v>13051.730694340675</v>
      </c>
      <c r="Z243" s="108">
        <f t="shared" si="194"/>
        <v>13051.730694340675</v>
      </c>
      <c r="AA243" s="108"/>
      <c r="AB243" s="108"/>
      <c r="AC243" s="108"/>
      <c r="AD243" s="109"/>
      <c r="AE243" s="99">
        <f t="shared" ref="AE243:AF243" si="220">AO243</f>
        <v>16</v>
      </c>
      <c r="AF243" s="101">
        <f t="shared" si="220"/>
        <v>36</v>
      </c>
      <c r="AG243" s="101">
        <f t="shared" si="196"/>
        <v>19.001300000000001</v>
      </c>
      <c r="AH243" s="101">
        <f t="shared" si="197"/>
        <v>412</v>
      </c>
      <c r="AI243" s="101">
        <f t="shared" si="190"/>
        <v>268.61079999999998</v>
      </c>
      <c r="AJ243" s="108">
        <f t="shared" si="198"/>
        <v>1.2142857142857142</v>
      </c>
      <c r="AK243" s="101">
        <f t="shared" si="15"/>
        <v>8098.2910927512203</v>
      </c>
      <c r="AL243" s="101">
        <f t="shared" si="199"/>
        <v>8098.2910927512203</v>
      </c>
      <c r="AM243" s="101"/>
      <c r="AN243" s="101"/>
      <c r="AO243" s="1">
        <v>16</v>
      </c>
      <c r="AP243" s="2">
        <v>36</v>
      </c>
      <c r="AQ243" s="74">
        <f t="shared" si="200"/>
        <v>412</v>
      </c>
      <c r="AR243" s="31">
        <f t="shared" si="201"/>
        <v>0.85</v>
      </c>
      <c r="AS243" s="2">
        <f t="shared" si="202"/>
        <v>1</v>
      </c>
      <c r="AT243" s="33">
        <f t="shared" si="203"/>
        <v>0</v>
      </c>
      <c r="AU243" s="31">
        <f t="shared" si="204"/>
        <v>1</v>
      </c>
      <c r="AV243" s="2">
        <f t="shared" si="205"/>
        <v>0</v>
      </c>
      <c r="AW243" s="33">
        <f t="shared" si="206"/>
        <v>0</v>
      </c>
      <c r="AX243" s="31">
        <f t="shared" si="207"/>
        <v>1</v>
      </c>
      <c r="AY243" s="33">
        <f t="shared" si="208"/>
        <v>100</v>
      </c>
      <c r="AZ243" s="2"/>
      <c r="BA243" s="101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 ht="12" customHeight="1">
      <c r="A244" s="2"/>
      <c r="B244" s="107">
        <v>169</v>
      </c>
      <c r="C244" s="31">
        <v>10</v>
      </c>
      <c r="D244" s="106" t="s">
        <v>10</v>
      </c>
      <c r="E244" s="2" t="s">
        <v>165</v>
      </c>
      <c r="F244" s="2" t="s">
        <v>149</v>
      </c>
      <c r="G244" s="2"/>
      <c r="H244" s="33"/>
      <c r="I244" s="99">
        <f t="shared" si="0"/>
        <v>629.23875129439955</v>
      </c>
      <c r="J244" s="101">
        <f t="shared" si="1"/>
        <v>25.75</v>
      </c>
      <c r="K244" s="101">
        <f t="shared" si="2"/>
        <v>433</v>
      </c>
      <c r="L244" s="74">
        <f t="shared" si="3"/>
        <v>143</v>
      </c>
      <c r="M244" s="99">
        <f t="shared" si="191"/>
        <v>10067.820020710393</v>
      </c>
      <c r="N244" s="108">
        <f t="shared" si="192"/>
        <v>10067.820020710393</v>
      </c>
      <c r="O244" s="108"/>
      <c r="P244" s="108"/>
      <c r="Q244" s="108"/>
      <c r="R244" s="109"/>
      <c r="S244" s="99">
        <f t="shared" si="6"/>
        <v>6073.7183195634152</v>
      </c>
      <c r="T244" s="108">
        <f t="shared" si="193"/>
        <v>6073.7183195634152</v>
      </c>
      <c r="U244" s="108"/>
      <c r="V244" s="108"/>
      <c r="W244" s="108"/>
      <c r="X244" s="109"/>
      <c r="Y244" s="99">
        <f t="shared" si="8"/>
        <v>16314.663367925845</v>
      </c>
      <c r="Z244" s="108">
        <f t="shared" si="194"/>
        <v>16314.663367925845</v>
      </c>
      <c r="AA244" s="108"/>
      <c r="AB244" s="108"/>
      <c r="AC244" s="108"/>
      <c r="AD244" s="109"/>
      <c r="AE244" s="99">
        <f t="shared" ref="AE244:AF244" si="221">AO244</f>
        <v>16</v>
      </c>
      <c r="AF244" s="101">
        <f t="shared" si="221"/>
        <v>36</v>
      </c>
      <c r="AG244" s="101">
        <f t="shared" si="196"/>
        <v>19.001300000000001</v>
      </c>
      <c r="AH244" s="101">
        <f t="shared" si="197"/>
        <v>412</v>
      </c>
      <c r="AI244" s="101">
        <f t="shared" si="190"/>
        <v>268.61079999999998</v>
      </c>
      <c r="AJ244" s="108">
        <f t="shared" si="198"/>
        <v>1.2142857142857142</v>
      </c>
      <c r="AK244" s="101">
        <f t="shared" si="15"/>
        <v>8098.2910927512203</v>
      </c>
      <c r="AL244" s="101">
        <f t="shared" si="199"/>
        <v>8098.2910927512203</v>
      </c>
      <c r="AM244" s="101"/>
      <c r="AN244" s="101"/>
      <c r="AO244" s="1">
        <v>16</v>
      </c>
      <c r="AP244" s="2">
        <v>36</v>
      </c>
      <c r="AQ244" s="74">
        <f t="shared" si="200"/>
        <v>412</v>
      </c>
      <c r="AR244" s="31">
        <f t="shared" si="201"/>
        <v>0.85</v>
      </c>
      <c r="AS244" s="2">
        <f t="shared" si="202"/>
        <v>1</v>
      </c>
      <c r="AT244" s="33">
        <f t="shared" si="203"/>
        <v>0</v>
      </c>
      <c r="AU244" s="31">
        <f t="shared" si="204"/>
        <v>1.25</v>
      </c>
      <c r="AV244" s="2">
        <f t="shared" si="205"/>
        <v>0</v>
      </c>
      <c r="AW244" s="33">
        <f t="shared" si="206"/>
        <v>0</v>
      </c>
      <c r="AX244" s="31">
        <f t="shared" si="207"/>
        <v>1</v>
      </c>
      <c r="AY244" s="33">
        <f t="shared" si="208"/>
        <v>100</v>
      </c>
      <c r="AZ244" s="2"/>
      <c r="BA244" s="101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 ht="12" customHeight="1">
      <c r="A245" s="2"/>
      <c r="B245" s="107">
        <v>170</v>
      </c>
      <c r="C245" s="31">
        <v>10</v>
      </c>
      <c r="D245" s="106" t="s">
        <v>10</v>
      </c>
      <c r="E245" s="2" t="s">
        <v>154</v>
      </c>
      <c r="F245" s="2" t="s">
        <v>149</v>
      </c>
      <c r="G245" s="2"/>
      <c r="H245" s="33"/>
      <c r="I245" s="99">
        <f t="shared" si="0"/>
        <v>657.00517676095603</v>
      </c>
      <c r="J245" s="101">
        <f t="shared" si="1"/>
        <v>25.75</v>
      </c>
      <c r="K245" s="101">
        <f t="shared" si="2"/>
        <v>397</v>
      </c>
      <c r="L245" s="74">
        <f t="shared" si="3"/>
        <v>123</v>
      </c>
      <c r="M245" s="99">
        <f t="shared" si="191"/>
        <v>10512.082828175297</v>
      </c>
      <c r="N245" s="108">
        <f t="shared" si="192"/>
        <v>10512.082828175297</v>
      </c>
      <c r="O245" s="108"/>
      <c r="P245" s="108"/>
      <c r="Q245" s="108"/>
      <c r="R245" s="109"/>
      <c r="S245" s="99">
        <f t="shared" si="6"/>
        <v>4858.9746556507316</v>
      </c>
      <c r="T245" s="108">
        <f t="shared" si="193"/>
        <v>4858.9746556507316</v>
      </c>
      <c r="U245" s="108"/>
      <c r="V245" s="108"/>
      <c r="W245" s="108"/>
      <c r="X245" s="109"/>
      <c r="Y245" s="99">
        <f t="shared" si="8"/>
        <v>13051.730694340675</v>
      </c>
      <c r="Z245" s="108">
        <f t="shared" si="194"/>
        <v>13051.730694340675</v>
      </c>
      <c r="AA245" s="108"/>
      <c r="AB245" s="108"/>
      <c r="AC245" s="108"/>
      <c r="AD245" s="109"/>
      <c r="AE245" s="99">
        <f t="shared" ref="AE245:AF245" si="222">AO245</f>
        <v>16</v>
      </c>
      <c r="AF245" s="101">
        <f t="shared" si="222"/>
        <v>36</v>
      </c>
      <c r="AG245" s="101">
        <f t="shared" si="196"/>
        <v>49.001300000000001</v>
      </c>
      <c r="AH245" s="101">
        <f t="shared" si="197"/>
        <v>412</v>
      </c>
      <c r="AI245" s="101">
        <f t="shared" si="190"/>
        <v>268.61079999999998</v>
      </c>
      <c r="AJ245" s="108">
        <f t="shared" si="198"/>
        <v>1.2142857142857142</v>
      </c>
      <c r="AK245" s="101">
        <f t="shared" si="15"/>
        <v>8098.2910927512203</v>
      </c>
      <c r="AL245" s="101">
        <f t="shared" si="199"/>
        <v>8098.2910927512203</v>
      </c>
      <c r="AM245" s="101"/>
      <c r="AN245" s="101"/>
      <c r="AO245" s="1">
        <v>16</v>
      </c>
      <c r="AP245" s="2">
        <v>36</v>
      </c>
      <c r="AQ245" s="74">
        <f t="shared" si="200"/>
        <v>412</v>
      </c>
      <c r="AR245" s="31">
        <f t="shared" si="201"/>
        <v>0.85</v>
      </c>
      <c r="AS245" s="2">
        <f t="shared" si="202"/>
        <v>1</v>
      </c>
      <c r="AT245" s="33">
        <f t="shared" si="203"/>
        <v>0</v>
      </c>
      <c r="AU245" s="31">
        <f t="shared" si="204"/>
        <v>1</v>
      </c>
      <c r="AV245" s="2">
        <f t="shared" si="205"/>
        <v>30</v>
      </c>
      <c r="AW245" s="33">
        <f t="shared" si="206"/>
        <v>0</v>
      </c>
      <c r="AX245" s="31">
        <f t="shared" si="207"/>
        <v>1</v>
      </c>
      <c r="AY245" s="33">
        <f t="shared" si="208"/>
        <v>100</v>
      </c>
      <c r="AZ245" s="2"/>
      <c r="BA245" s="101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 ht="12" customHeight="1">
      <c r="A246" s="2"/>
      <c r="B246" s="107">
        <v>171</v>
      </c>
      <c r="C246" s="31">
        <v>10</v>
      </c>
      <c r="D246" s="106" t="s">
        <v>10</v>
      </c>
      <c r="E246" s="2" t="s">
        <v>99</v>
      </c>
      <c r="F246" s="2" t="s">
        <v>149</v>
      </c>
      <c r="G246" s="2" t="s">
        <v>184</v>
      </c>
      <c r="H246" s="33"/>
      <c r="I246" s="99">
        <f t="shared" si="0"/>
        <v>594.00138122191311</v>
      </c>
      <c r="J246" s="101">
        <f t="shared" si="1"/>
        <v>25.75</v>
      </c>
      <c r="K246" s="101">
        <f t="shared" si="2"/>
        <v>478</v>
      </c>
      <c r="L246" s="74">
        <f t="shared" si="3"/>
        <v>163</v>
      </c>
      <c r="M246" s="99">
        <f t="shared" si="191"/>
        <v>9504.0220995506097</v>
      </c>
      <c r="N246" s="108">
        <f t="shared" si="192"/>
        <v>9504.0220995506097</v>
      </c>
      <c r="O246" s="108"/>
      <c r="P246" s="108"/>
      <c r="Q246" s="108"/>
      <c r="R246" s="109"/>
      <c r="S246" s="99">
        <f t="shared" si="6"/>
        <v>5733.5900936678636</v>
      </c>
      <c r="T246" s="108">
        <f t="shared" si="193"/>
        <v>5733.5900936678636</v>
      </c>
      <c r="U246" s="108"/>
      <c r="V246" s="108"/>
      <c r="W246" s="108"/>
      <c r="X246" s="109"/>
      <c r="Y246" s="99">
        <f t="shared" si="8"/>
        <v>15401.042219321998</v>
      </c>
      <c r="Z246" s="108">
        <f t="shared" si="194"/>
        <v>15401.042219321998</v>
      </c>
      <c r="AA246" s="108"/>
      <c r="AB246" s="108"/>
      <c r="AC246" s="108"/>
      <c r="AD246" s="109"/>
      <c r="AE246" s="99">
        <f t="shared" ref="AE246:AF246" si="223">AO246</f>
        <v>16</v>
      </c>
      <c r="AF246" s="101">
        <f t="shared" si="223"/>
        <v>36</v>
      </c>
      <c r="AG246" s="101">
        <f t="shared" si="196"/>
        <v>19.001300000000001</v>
      </c>
      <c r="AH246" s="101">
        <f t="shared" si="197"/>
        <v>412</v>
      </c>
      <c r="AI246" s="101">
        <f t="shared" si="190"/>
        <v>268.61079999999998</v>
      </c>
      <c r="AJ246" s="108">
        <f t="shared" si="198"/>
        <v>1.4285714285714286</v>
      </c>
      <c r="AK246" s="101">
        <f t="shared" si="15"/>
        <v>8098.2910927512203</v>
      </c>
      <c r="AL246" s="101">
        <f t="shared" si="199"/>
        <v>8098.2910927512203</v>
      </c>
      <c r="AM246" s="101"/>
      <c r="AN246" s="101"/>
      <c r="AO246" s="1">
        <v>16</v>
      </c>
      <c r="AP246" s="2">
        <v>36</v>
      </c>
      <c r="AQ246" s="74">
        <f t="shared" si="200"/>
        <v>412</v>
      </c>
      <c r="AR246" s="31">
        <f t="shared" si="201"/>
        <v>1</v>
      </c>
      <c r="AS246" s="2">
        <f t="shared" si="202"/>
        <v>1.18</v>
      </c>
      <c r="AT246" s="33">
        <f t="shared" si="203"/>
        <v>0</v>
      </c>
      <c r="AU246" s="31">
        <f t="shared" si="204"/>
        <v>1</v>
      </c>
      <c r="AV246" s="2">
        <f t="shared" si="205"/>
        <v>0</v>
      </c>
      <c r="AW246" s="33">
        <f t="shared" si="206"/>
        <v>0</v>
      </c>
      <c r="AX246" s="31">
        <f t="shared" si="207"/>
        <v>1</v>
      </c>
      <c r="AY246" s="33">
        <f t="shared" si="208"/>
        <v>100</v>
      </c>
      <c r="AZ246" s="2"/>
      <c r="BA246" s="101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 ht="12" customHeight="1">
      <c r="A247" s="2"/>
      <c r="B247" s="107">
        <v>172</v>
      </c>
      <c r="C247" s="31">
        <v>10</v>
      </c>
      <c r="D247" s="106" t="s">
        <v>10</v>
      </c>
      <c r="E247" s="2" t="s">
        <v>170</v>
      </c>
      <c r="F247" s="2" t="s">
        <v>149</v>
      </c>
      <c r="G247" s="2" t="s">
        <v>184</v>
      </c>
      <c r="H247" s="33"/>
      <c r="I247" s="99">
        <f t="shared" si="0"/>
        <v>742.5017265273915</v>
      </c>
      <c r="J247" s="101">
        <f t="shared" si="1"/>
        <v>25.75</v>
      </c>
      <c r="K247" s="101">
        <f t="shared" si="2"/>
        <v>314</v>
      </c>
      <c r="L247" s="74">
        <f t="shared" si="3"/>
        <v>89</v>
      </c>
      <c r="M247" s="99">
        <f t="shared" si="191"/>
        <v>11880.027624438264</v>
      </c>
      <c r="N247" s="108">
        <f t="shared" si="192"/>
        <v>11880.027624438264</v>
      </c>
      <c r="O247" s="108"/>
      <c r="P247" s="108"/>
      <c r="Q247" s="108"/>
      <c r="R247" s="109"/>
      <c r="S247" s="99">
        <f t="shared" si="6"/>
        <v>7166.9876170848302</v>
      </c>
      <c r="T247" s="108">
        <f t="shared" si="193"/>
        <v>7166.9876170848302</v>
      </c>
      <c r="U247" s="108"/>
      <c r="V247" s="108"/>
      <c r="W247" s="108"/>
      <c r="X247" s="109"/>
      <c r="Y247" s="99">
        <f t="shared" si="8"/>
        <v>19251.302774152497</v>
      </c>
      <c r="Z247" s="108">
        <f t="shared" si="194"/>
        <v>19251.302774152497</v>
      </c>
      <c r="AA247" s="108"/>
      <c r="AB247" s="108"/>
      <c r="AC247" s="108"/>
      <c r="AD247" s="109"/>
      <c r="AE247" s="99">
        <f t="shared" ref="AE247:AF247" si="224">AO247</f>
        <v>16</v>
      </c>
      <c r="AF247" s="101">
        <f t="shared" si="224"/>
        <v>36</v>
      </c>
      <c r="AG247" s="101">
        <f t="shared" si="196"/>
        <v>19.001300000000001</v>
      </c>
      <c r="AH247" s="101">
        <f t="shared" si="197"/>
        <v>412</v>
      </c>
      <c r="AI247" s="101">
        <f t="shared" si="190"/>
        <v>268.61079999999998</v>
      </c>
      <c r="AJ247" s="108">
        <f t="shared" si="198"/>
        <v>1.4285714285714286</v>
      </c>
      <c r="AK247" s="101">
        <f t="shared" si="15"/>
        <v>8098.2910927512203</v>
      </c>
      <c r="AL247" s="101">
        <f t="shared" si="199"/>
        <v>8098.2910927512203</v>
      </c>
      <c r="AM247" s="101"/>
      <c r="AN247" s="101"/>
      <c r="AO247" s="1">
        <v>16</v>
      </c>
      <c r="AP247" s="2">
        <v>36</v>
      </c>
      <c r="AQ247" s="74">
        <f t="shared" si="200"/>
        <v>412</v>
      </c>
      <c r="AR247" s="31">
        <f t="shared" si="201"/>
        <v>1</v>
      </c>
      <c r="AS247" s="2">
        <f t="shared" si="202"/>
        <v>1.18</v>
      </c>
      <c r="AT247" s="33">
        <f t="shared" si="203"/>
        <v>0</v>
      </c>
      <c r="AU247" s="31">
        <f t="shared" si="204"/>
        <v>1.25</v>
      </c>
      <c r="AV247" s="2">
        <f t="shared" si="205"/>
        <v>0</v>
      </c>
      <c r="AW247" s="33">
        <f t="shared" si="206"/>
        <v>0</v>
      </c>
      <c r="AX247" s="31">
        <f t="shared" si="207"/>
        <v>1</v>
      </c>
      <c r="AY247" s="33">
        <f t="shared" si="208"/>
        <v>100</v>
      </c>
      <c r="AZ247" s="2"/>
      <c r="BA247" s="101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 ht="12" customHeight="1">
      <c r="A248" s="2"/>
      <c r="B248" s="107">
        <v>173</v>
      </c>
      <c r="C248" s="31">
        <v>10</v>
      </c>
      <c r="D248" s="106" t="s">
        <v>10</v>
      </c>
      <c r="E248" s="2" t="s">
        <v>102</v>
      </c>
      <c r="F248" s="2" t="s">
        <v>149</v>
      </c>
      <c r="G248" s="2" t="s">
        <v>184</v>
      </c>
      <c r="H248" s="33"/>
      <c r="I248" s="99">
        <f t="shared" si="0"/>
        <v>775.26610857792821</v>
      </c>
      <c r="J248" s="101">
        <f t="shared" si="1"/>
        <v>25.75</v>
      </c>
      <c r="K248" s="101">
        <f t="shared" si="2"/>
        <v>279</v>
      </c>
      <c r="L248" s="74">
        <f t="shared" si="3"/>
        <v>75</v>
      </c>
      <c r="M248" s="99">
        <f t="shared" si="191"/>
        <v>12404.257737246851</v>
      </c>
      <c r="N248" s="108">
        <f t="shared" si="192"/>
        <v>12404.257737246851</v>
      </c>
      <c r="O248" s="108"/>
      <c r="P248" s="108"/>
      <c r="Q248" s="108"/>
      <c r="R248" s="109"/>
      <c r="S248" s="99">
        <f t="shared" si="6"/>
        <v>5733.5900936678636</v>
      </c>
      <c r="T248" s="108">
        <f t="shared" si="193"/>
        <v>5733.5900936678636</v>
      </c>
      <c r="U248" s="108"/>
      <c r="V248" s="108"/>
      <c r="W248" s="108"/>
      <c r="X248" s="109"/>
      <c r="Y248" s="99">
        <f t="shared" si="8"/>
        <v>15401.042219321998</v>
      </c>
      <c r="Z248" s="108">
        <f t="shared" si="194"/>
        <v>15401.042219321998</v>
      </c>
      <c r="AA248" s="108"/>
      <c r="AB248" s="108"/>
      <c r="AC248" s="108"/>
      <c r="AD248" s="109"/>
      <c r="AE248" s="99">
        <f t="shared" ref="AE248:AF248" si="225">AO248</f>
        <v>16</v>
      </c>
      <c r="AF248" s="101">
        <f t="shared" si="225"/>
        <v>36</v>
      </c>
      <c r="AG248" s="101">
        <f t="shared" si="196"/>
        <v>49.001300000000001</v>
      </c>
      <c r="AH248" s="101">
        <f t="shared" si="197"/>
        <v>412</v>
      </c>
      <c r="AI248" s="101">
        <f t="shared" si="190"/>
        <v>268.61079999999998</v>
      </c>
      <c r="AJ248" s="108">
        <f t="shared" si="198"/>
        <v>1.4285714285714286</v>
      </c>
      <c r="AK248" s="101">
        <f t="shared" si="15"/>
        <v>8098.2910927512203</v>
      </c>
      <c r="AL248" s="101">
        <f t="shared" si="199"/>
        <v>8098.2910927512203</v>
      </c>
      <c r="AM248" s="101"/>
      <c r="AN248" s="101"/>
      <c r="AO248" s="1">
        <v>16</v>
      </c>
      <c r="AP248" s="2">
        <v>36</v>
      </c>
      <c r="AQ248" s="74">
        <f t="shared" si="200"/>
        <v>412</v>
      </c>
      <c r="AR248" s="31">
        <f t="shared" si="201"/>
        <v>1</v>
      </c>
      <c r="AS248" s="2">
        <f t="shared" si="202"/>
        <v>1.18</v>
      </c>
      <c r="AT248" s="33">
        <f t="shared" si="203"/>
        <v>0</v>
      </c>
      <c r="AU248" s="31">
        <f t="shared" si="204"/>
        <v>1</v>
      </c>
      <c r="AV248" s="2">
        <f t="shared" si="205"/>
        <v>30</v>
      </c>
      <c r="AW248" s="33">
        <f t="shared" si="206"/>
        <v>0</v>
      </c>
      <c r="AX248" s="31">
        <f t="shared" si="207"/>
        <v>1</v>
      </c>
      <c r="AY248" s="33">
        <f t="shared" si="208"/>
        <v>100</v>
      </c>
      <c r="AZ248" s="2"/>
      <c r="BA248" s="101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 ht="12" customHeight="1">
      <c r="A249" s="2"/>
      <c r="B249" s="107">
        <v>174</v>
      </c>
      <c r="C249" s="31">
        <v>7</v>
      </c>
      <c r="D249" s="106" t="s">
        <v>10</v>
      </c>
      <c r="E249" s="2" t="s">
        <v>67</v>
      </c>
      <c r="F249" s="2" t="s">
        <v>149</v>
      </c>
      <c r="G249" s="2"/>
      <c r="H249" s="33"/>
      <c r="I249" s="99">
        <f t="shared" si="0"/>
        <v>963.91682200561024</v>
      </c>
      <c r="J249" s="101">
        <f t="shared" si="1"/>
        <v>17.9375</v>
      </c>
      <c r="K249" s="101">
        <f t="shared" si="2"/>
        <v>177</v>
      </c>
      <c r="L249" s="74">
        <f t="shared" si="3"/>
        <v>38</v>
      </c>
      <c r="M249" s="99">
        <f t="shared" si="191"/>
        <v>15422.669152089764</v>
      </c>
      <c r="N249" s="108">
        <f t="shared" si="192"/>
        <v>15422.669152089764</v>
      </c>
      <c r="O249" s="108"/>
      <c r="P249" s="108"/>
      <c r="Q249" s="108"/>
      <c r="R249" s="109"/>
      <c r="S249" s="99">
        <f t="shared" si="6"/>
        <v>9304.1937552439013</v>
      </c>
      <c r="T249" s="108">
        <f t="shared" si="193"/>
        <v>9304.1937552439013</v>
      </c>
      <c r="U249" s="108"/>
      <c r="V249" s="108"/>
      <c r="W249" s="108"/>
      <c r="X249" s="109"/>
      <c r="Y249" s="99">
        <f t="shared" si="8"/>
        <v>24992.069279510681</v>
      </c>
      <c r="Z249" s="108">
        <f t="shared" si="194"/>
        <v>24992.069279510681</v>
      </c>
      <c r="AA249" s="108"/>
      <c r="AB249" s="108"/>
      <c r="AC249" s="108"/>
      <c r="AD249" s="109"/>
      <c r="AE249" s="99">
        <f t="shared" ref="AE249:AF249" si="226">AO249</f>
        <v>16</v>
      </c>
      <c r="AF249" s="101">
        <f t="shared" si="226"/>
        <v>36</v>
      </c>
      <c r="AG249" s="101">
        <f t="shared" si="196"/>
        <v>19.001300000000001</v>
      </c>
      <c r="AH249" s="101">
        <f t="shared" si="197"/>
        <v>287</v>
      </c>
      <c r="AI249" s="101">
        <f t="shared" si="190"/>
        <v>268.61079999999998</v>
      </c>
      <c r="AJ249" s="108">
        <f t="shared" si="198"/>
        <v>1.4285714285714286</v>
      </c>
      <c r="AK249" s="101">
        <f t="shared" si="15"/>
        <v>7753.4947960365853</v>
      </c>
      <c r="AL249" s="101">
        <f t="shared" si="199"/>
        <v>7753.4947960365853</v>
      </c>
      <c r="AM249" s="101"/>
      <c r="AN249" s="101"/>
      <c r="AO249" s="1">
        <v>16</v>
      </c>
      <c r="AP249" s="2">
        <v>36</v>
      </c>
      <c r="AQ249" s="74">
        <f t="shared" si="200"/>
        <v>287</v>
      </c>
      <c r="AR249" s="31">
        <f t="shared" si="201"/>
        <v>1</v>
      </c>
      <c r="AS249" s="2">
        <f t="shared" si="202"/>
        <v>1</v>
      </c>
      <c r="AT249" s="33">
        <f t="shared" si="203"/>
        <v>0</v>
      </c>
      <c r="AU249" s="31">
        <f t="shared" si="204"/>
        <v>1</v>
      </c>
      <c r="AV249" s="2">
        <f t="shared" si="205"/>
        <v>0</v>
      </c>
      <c r="AW249" s="33">
        <f t="shared" si="206"/>
        <v>0</v>
      </c>
      <c r="AX249" s="31">
        <f t="shared" si="207"/>
        <v>1</v>
      </c>
      <c r="AY249" s="33">
        <f t="shared" si="208"/>
        <v>0</v>
      </c>
      <c r="AZ249" s="2"/>
      <c r="BA249" s="101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 ht="12" customHeight="1">
      <c r="A250" s="2"/>
      <c r="B250" s="107">
        <v>175</v>
      </c>
      <c r="C250" s="31">
        <v>7</v>
      </c>
      <c r="D250" s="106" t="s">
        <v>10</v>
      </c>
      <c r="E250" s="2" t="s">
        <v>136</v>
      </c>
      <c r="F250" s="2" t="s">
        <v>149</v>
      </c>
      <c r="G250" s="2"/>
      <c r="H250" s="33"/>
      <c r="I250" s="99">
        <f t="shared" si="0"/>
        <v>1204.8960275070128</v>
      </c>
      <c r="J250" s="101">
        <f t="shared" si="1"/>
        <v>17.9375</v>
      </c>
      <c r="K250" s="101">
        <f t="shared" si="2"/>
        <v>97</v>
      </c>
      <c r="L250" s="74">
        <f t="shared" si="3"/>
        <v>13</v>
      </c>
      <c r="M250" s="99">
        <f t="shared" si="191"/>
        <v>19278.336440112205</v>
      </c>
      <c r="N250" s="108">
        <f t="shared" si="192"/>
        <v>19278.336440112205</v>
      </c>
      <c r="O250" s="108"/>
      <c r="P250" s="108"/>
      <c r="Q250" s="108"/>
      <c r="R250" s="109"/>
      <c r="S250" s="99">
        <f t="shared" si="6"/>
        <v>11630.242194054877</v>
      </c>
      <c r="T250" s="108">
        <f t="shared" si="193"/>
        <v>11630.242194054877</v>
      </c>
      <c r="U250" s="108"/>
      <c r="V250" s="108"/>
      <c r="W250" s="108"/>
      <c r="X250" s="109"/>
      <c r="Y250" s="99">
        <f t="shared" si="8"/>
        <v>31240.086599388356</v>
      </c>
      <c r="Z250" s="108">
        <f t="shared" si="194"/>
        <v>31240.086599388356</v>
      </c>
      <c r="AA250" s="108"/>
      <c r="AB250" s="108"/>
      <c r="AC250" s="108"/>
      <c r="AD250" s="109"/>
      <c r="AE250" s="99">
        <f t="shared" ref="AE250:AF250" si="227">AO250</f>
        <v>16</v>
      </c>
      <c r="AF250" s="101">
        <f t="shared" si="227"/>
        <v>36</v>
      </c>
      <c r="AG250" s="101">
        <f t="shared" si="196"/>
        <v>19.001300000000001</v>
      </c>
      <c r="AH250" s="101">
        <f t="shared" si="197"/>
        <v>287</v>
      </c>
      <c r="AI250" s="101">
        <f t="shared" si="190"/>
        <v>268.61079999999998</v>
      </c>
      <c r="AJ250" s="108">
        <f t="shared" si="198"/>
        <v>1.4285714285714286</v>
      </c>
      <c r="AK250" s="101">
        <f t="shared" si="15"/>
        <v>7753.4947960365853</v>
      </c>
      <c r="AL250" s="101">
        <f t="shared" si="199"/>
        <v>7753.4947960365853</v>
      </c>
      <c r="AM250" s="101"/>
      <c r="AN250" s="101"/>
      <c r="AO250" s="1">
        <v>16</v>
      </c>
      <c r="AP250" s="2">
        <v>36</v>
      </c>
      <c r="AQ250" s="74">
        <f t="shared" si="200"/>
        <v>287</v>
      </c>
      <c r="AR250" s="31">
        <f t="shared" si="201"/>
        <v>1</v>
      </c>
      <c r="AS250" s="2">
        <f t="shared" si="202"/>
        <v>1</v>
      </c>
      <c r="AT250" s="33">
        <f t="shared" si="203"/>
        <v>0</v>
      </c>
      <c r="AU250" s="31">
        <f t="shared" si="204"/>
        <v>1.25</v>
      </c>
      <c r="AV250" s="2">
        <f t="shared" si="205"/>
        <v>0</v>
      </c>
      <c r="AW250" s="33">
        <f t="shared" si="206"/>
        <v>0</v>
      </c>
      <c r="AX250" s="31">
        <f t="shared" si="207"/>
        <v>1</v>
      </c>
      <c r="AY250" s="33">
        <f t="shared" si="208"/>
        <v>0</v>
      </c>
      <c r="AZ250" s="2"/>
      <c r="BA250" s="101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 ht="12" customHeight="1">
      <c r="A251" s="2"/>
      <c r="B251" s="107">
        <v>176</v>
      </c>
      <c r="C251" s="31">
        <v>7</v>
      </c>
      <c r="D251" s="106" t="s">
        <v>10</v>
      </c>
      <c r="E251" s="2" t="s">
        <v>89</v>
      </c>
      <c r="F251" s="2" t="s">
        <v>149</v>
      </c>
      <c r="G251" s="2"/>
      <c r="H251" s="33"/>
      <c r="I251" s="99">
        <f t="shared" si="0"/>
        <v>1258.0644880856125</v>
      </c>
      <c r="J251" s="101">
        <f t="shared" si="1"/>
        <v>17.9375</v>
      </c>
      <c r="K251" s="101">
        <f t="shared" si="2"/>
        <v>80</v>
      </c>
      <c r="L251" s="74">
        <f t="shared" si="3"/>
        <v>10</v>
      </c>
      <c r="M251" s="99">
        <f t="shared" si="191"/>
        <v>20129.031809369801</v>
      </c>
      <c r="N251" s="108">
        <f t="shared" si="192"/>
        <v>20129.031809369801</v>
      </c>
      <c r="O251" s="108"/>
      <c r="P251" s="108"/>
      <c r="Q251" s="108"/>
      <c r="R251" s="109"/>
      <c r="S251" s="99">
        <f t="shared" si="6"/>
        <v>9304.1937552439013</v>
      </c>
      <c r="T251" s="108">
        <f t="shared" si="193"/>
        <v>9304.1937552439013</v>
      </c>
      <c r="U251" s="108"/>
      <c r="V251" s="108"/>
      <c r="W251" s="108"/>
      <c r="X251" s="109"/>
      <c r="Y251" s="99">
        <f t="shared" si="8"/>
        <v>24992.069279510681</v>
      </c>
      <c r="Z251" s="108">
        <f t="shared" si="194"/>
        <v>24992.069279510681</v>
      </c>
      <c r="AA251" s="108"/>
      <c r="AB251" s="108"/>
      <c r="AC251" s="108"/>
      <c r="AD251" s="109"/>
      <c r="AE251" s="99">
        <f t="shared" ref="AE251:AF251" si="228">AO251</f>
        <v>16</v>
      </c>
      <c r="AF251" s="101">
        <f t="shared" si="228"/>
        <v>36</v>
      </c>
      <c r="AG251" s="101">
        <f t="shared" si="196"/>
        <v>49.001300000000001</v>
      </c>
      <c r="AH251" s="101">
        <f t="shared" si="197"/>
        <v>287</v>
      </c>
      <c r="AI251" s="101">
        <f t="shared" si="190"/>
        <v>268.61079999999998</v>
      </c>
      <c r="AJ251" s="108">
        <f t="shared" si="198"/>
        <v>1.4285714285714286</v>
      </c>
      <c r="AK251" s="101">
        <f t="shared" si="15"/>
        <v>7753.4947960365853</v>
      </c>
      <c r="AL251" s="101">
        <f t="shared" si="199"/>
        <v>7753.4947960365853</v>
      </c>
      <c r="AM251" s="101"/>
      <c r="AN251" s="101"/>
      <c r="AO251" s="1">
        <v>16</v>
      </c>
      <c r="AP251" s="2">
        <v>36</v>
      </c>
      <c r="AQ251" s="74">
        <f t="shared" si="200"/>
        <v>287</v>
      </c>
      <c r="AR251" s="31">
        <f t="shared" si="201"/>
        <v>1</v>
      </c>
      <c r="AS251" s="2">
        <f t="shared" si="202"/>
        <v>1</v>
      </c>
      <c r="AT251" s="33">
        <f t="shared" si="203"/>
        <v>0</v>
      </c>
      <c r="AU251" s="31">
        <f t="shared" si="204"/>
        <v>1</v>
      </c>
      <c r="AV251" s="2">
        <f t="shared" si="205"/>
        <v>30</v>
      </c>
      <c r="AW251" s="33">
        <f t="shared" si="206"/>
        <v>0</v>
      </c>
      <c r="AX251" s="31">
        <f t="shared" si="207"/>
        <v>1</v>
      </c>
      <c r="AY251" s="33">
        <f t="shared" si="208"/>
        <v>0</v>
      </c>
      <c r="AZ251" s="2"/>
      <c r="BA251" s="101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 ht="12" customHeight="1">
      <c r="A252" s="2"/>
      <c r="B252" s="107">
        <v>177</v>
      </c>
      <c r="C252" s="31">
        <v>7</v>
      </c>
      <c r="D252" s="106" t="s">
        <v>10</v>
      </c>
      <c r="E252" s="2" t="s">
        <v>148</v>
      </c>
      <c r="F252" s="2" t="s">
        <v>149</v>
      </c>
      <c r="G252" s="2"/>
      <c r="H252" s="33"/>
      <c r="I252" s="99">
        <f t="shared" si="0"/>
        <v>963.91682200561024</v>
      </c>
      <c r="J252" s="101">
        <f t="shared" si="1"/>
        <v>17.9375</v>
      </c>
      <c r="K252" s="101">
        <f t="shared" si="2"/>
        <v>177</v>
      </c>
      <c r="L252" s="74">
        <f t="shared" si="3"/>
        <v>38</v>
      </c>
      <c r="M252" s="99">
        <f t="shared" si="191"/>
        <v>15422.669152089764</v>
      </c>
      <c r="N252" s="108">
        <f t="shared" si="192"/>
        <v>15422.669152089764</v>
      </c>
      <c r="O252" s="108"/>
      <c r="P252" s="108"/>
      <c r="Q252" s="108"/>
      <c r="R252" s="109"/>
      <c r="S252" s="99">
        <f t="shared" si="6"/>
        <v>9304.1937552439013</v>
      </c>
      <c r="T252" s="108">
        <f t="shared" si="193"/>
        <v>9304.1937552439013</v>
      </c>
      <c r="U252" s="108"/>
      <c r="V252" s="108"/>
      <c r="W252" s="108"/>
      <c r="X252" s="109"/>
      <c r="Y252" s="99">
        <f t="shared" si="8"/>
        <v>24992.069279510681</v>
      </c>
      <c r="Z252" s="108">
        <f t="shared" si="194"/>
        <v>24992.069279510681</v>
      </c>
      <c r="AA252" s="108"/>
      <c r="AB252" s="108"/>
      <c r="AC252" s="108"/>
      <c r="AD252" s="109"/>
      <c r="AE252" s="99">
        <f t="shared" ref="AE252:AF252" si="229">AO252</f>
        <v>16</v>
      </c>
      <c r="AF252" s="101">
        <f t="shared" si="229"/>
        <v>36</v>
      </c>
      <c r="AG252" s="101">
        <f t="shared" si="196"/>
        <v>19.001300000000001</v>
      </c>
      <c r="AH252" s="101">
        <f t="shared" si="197"/>
        <v>287</v>
      </c>
      <c r="AI252" s="101">
        <f t="shared" si="190"/>
        <v>268.61079999999998</v>
      </c>
      <c r="AJ252" s="108">
        <f t="shared" si="198"/>
        <v>1.2142857142857142</v>
      </c>
      <c r="AK252" s="101">
        <f t="shared" si="15"/>
        <v>7753.4947960365853</v>
      </c>
      <c r="AL252" s="101">
        <f t="shared" si="199"/>
        <v>7753.4947960365853</v>
      </c>
      <c r="AM252" s="101"/>
      <c r="AN252" s="101"/>
      <c r="AO252" s="1">
        <v>16</v>
      </c>
      <c r="AP252" s="2">
        <v>36</v>
      </c>
      <c r="AQ252" s="74">
        <f t="shared" si="200"/>
        <v>287</v>
      </c>
      <c r="AR252" s="31">
        <f t="shared" si="201"/>
        <v>0.85</v>
      </c>
      <c r="AS252" s="2">
        <f t="shared" si="202"/>
        <v>1</v>
      </c>
      <c r="AT252" s="33">
        <f t="shared" si="203"/>
        <v>0</v>
      </c>
      <c r="AU252" s="31">
        <f t="shared" si="204"/>
        <v>1</v>
      </c>
      <c r="AV252" s="2">
        <f t="shared" si="205"/>
        <v>0</v>
      </c>
      <c r="AW252" s="33">
        <f t="shared" si="206"/>
        <v>0</v>
      </c>
      <c r="AX252" s="31">
        <f t="shared" si="207"/>
        <v>1</v>
      </c>
      <c r="AY252" s="33">
        <f t="shared" si="208"/>
        <v>0</v>
      </c>
      <c r="AZ252" s="2"/>
      <c r="BA252" s="101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 ht="12" customHeight="1">
      <c r="A253" s="2"/>
      <c r="B253" s="107">
        <v>178</v>
      </c>
      <c r="C253" s="31">
        <v>7</v>
      </c>
      <c r="D253" s="106" t="s">
        <v>10</v>
      </c>
      <c r="E253" s="2" t="s">
        <v>163</v>
      </c>
      <c r="F253" s="2" t="s">
        <v>149</v>
      </c>
      <c r="G253" s="2"/>
      <c r="H253" s="33"/>
      <c r="I253" s="99">
        <f t="shared" si="0"/>
        <v>1204.8960275070128</v>
      </c>
      <c r="J253" s="101">
        <f t="shared" si="1"/>
        <v>17.9375</v>
      </c>
      <c r="K253" s="101">
        <f t="shared" si="2"/>
        <v>97</v>
      </c>
      <c r="L253" s="74">
        <f t="shared" si="3"/>
        <v>13</v>
      </c>
      <c r="M253" s="99">
        <f t="shared" si="191"/>
        <v>19278.336440112205</v>
      </c>
      <c r="N253" s="108">
        <f t="shared" si="192"/>
        <v>19278.336440112205</v>
      </c>
      <c r="O253" s="108"/>
      <c r="P253" s="108"/>
      <c r="Q253" s="108"/>
      <c r="R253" s="109"/>
      <c r="S253" s="99">
        <f t="shared" si="6"/>
        <v>11630.242194054877</v>
      </c>
      <c r="T253" s="108">
        <f t="shared" si="193"/>
        <v>11630.242194054877</v>
      </c>
      <c r="U253" s="108"/>
      <c r="V253" s="108"/>
      <c r="W253" s="108"/>
      <c r="X253" s="109"/>
      <c r="Y253" s="99">
        <f t="shared" si="8"/>
        <v>31240.086599388356</v>
      </c>
      <c r="Z253" s="108">
        <f t="shared" si="194"/>
        <v>31240.086599388356</v>
      </c>
      <c r="AA253" s="108"/>
      <c r="AB253" s="108"/>
      <c r="AC253" s="108"/>
      <c r="AD253" s="109"/>
      <c r="AE253" s="99">
        <f t="shared" ref="AE253:AF253" si="230">AO253</f>
        <v>16</v>
      </c>
      <c r="AF253" s="101">
        <f t="shared" si="230"/>
        <v>36</v>
      </c>
      <c r="AG253" s="101">
        <f t="shared" si="196"/>
        <v>19.001300000000001</v>
      </c>
      <c r="AH253" s="101">
        <f t="shared" si="197"/>
        <v>287</v>
      </c>
      <c r="AI253" s="101">
        <f t="shared" si="190"/>
        <v>268.61079999999998</v>
      </c>
      <c r="AJ253" s="108">
        <f t="shared" si="198"/>
        <v>1.2142857142857142</v>
      </c>
      <c r="AK253" s="101">
        <f t="shared" si="15"/>
        <v>7753.4947960365853</v>
      </c>
      <c r="AL253" s="101">
        <f t="shared" si="199"/>
        <v>7753.4947960365853</v>
      </c>
      <c r="AM253" s="101"/>
      <c r="AN253" s="101"/>
      <c r="AO253" s="1">
        <v>16</v>
      </c>
      <c r="AP253" s="2">
        <v>36</v>
      </c>
      <c r="AQ253" s="74">
        <f t="shared" si="200"/>
        <v>287</v>
      </c>
      <c r="AR253" s="31">
        <f t="shared" si="201"/>
        <v>0.85</v>
      </c>
      <c r="AS253" s="2">
        <f t="shared" si="202"/>
        <v>1</v>
      </c>
      <c r="AT253" s="33">
        <f t="shared" si="203"/>
        <v>0</v>
      </c>
      <c r="AU253" s="31">
        <f t="shared" si="204"/>
        <v>1.25</v>
      </c>
      <c r="AV253" s="2">
        <f t="shared" si="205"/>
        <v>0</v>
      </c>
      <c r="AW253" s="33">
        <f t="shared" si="206"/>
        <v>0</v>
      </c>
      <c r="AX253" s="31">
        <f t="shared" si="207"/>
        <v>1</v>
      </c>
      <c r="AY253" s="33">
        <f t="shared" si="208"/>
        <v>0</v>
      </c>
      <c r="AZ253" s="2"/>
      <c r="BA253" s="101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 ht="12" customHeight="1">
      <c r="A254" s="2"/>
      <c r="B254" s="107">
        <v>179</v>
      </c>
      <c r="C254" s="31">
        <v>7</v>
      </c>
      <c r="D254" s="106" t="s">
        <v>10</v>
      </c>
      <c r="E254" s="2" t="s">
        <v>152</v>
      </c>
      <c r="F254" s="2" t="s">
        <v>149</v>
      </c>
      <c r="G254" s="2"/>
      <c r="H254" s="33"/>
      <c r="I254" s="99">
        <f t="shared" si="0"/>
        <v>1258.0644880856125</v>
      </c>
      <c r="J254" s="101">
        <f t="shared" si="1"/>
        <v>17.9375</v>
      </c>
      <c r="K254" s="101">
        <f t="shared" si="2"/>
        <v>80</v>
      </c>
      <c r="L254" s="74">
        <f t="shared" si="3"/>
        <v>10</v>
      </c>
      <c r="M254" s="99">
        <f t="shared" si="191"/>
        <v>20129.031809369801</v>
      </c>
      <c r="N254" s="108">
        <f t="shared" si="192"/>
        <v>20129.031809369801</v>
      </c>
      <c r="O254" s="108"/>
      <c r="P254" s="108"/>
      <c r="Q254" s="108"/>
      <c r="R254" s="109"/>
      <c r="S254" s="99">
        <f t="shared" si="6"/>
        <v>9304.1937552439013</v>
      </c>
      <c r="T254" s="108">
        <f t="shared" si="193"/>
        <v>9304.1937552439013</v>
      </c>
      <c r="U254" s="108"/>
      <c r="V254" s="108"/>
      <c r="W254" s="108"/>
      <c r="X254" s="109"/>
      <c r="Y254" s="99">
        <f t="shared" si="8"/>
        <v>24992.069279510681</v>
      </c>
      <c r="Z254" s="108">
        <f t="shared" si="194"/>
        <v>24992.069279510681</v>
      </c>
      <c r="AA254" s="108"/>
      <c r="AB254" s="108"/>
      <c r="AC254" s="108"/>
      <c r="AD254" s="109"/>
      <c r="AE254" s="99">
        <f t="shared" ref="AE254:AF254" si="231">AO254</f>
        <v>16</v>
      </c>
      <c r="AF254" s="101">
        <f t="shared" si="231"/>
        <v>36</v>
      </c>
      <c r="AG254" s="101">
        <f t="shared" si="196"/>
        <v>49.001300000000001</v>
      </c>
      <c r="AH254" s="101">
        <f t="shared" si="197"/>
        <v>287</v>
      </c>
      <c r="AI254" s="101">
        <f t="shared" si="190"/>
        <v>268.61079999999998</v>
      </c>
      <c r="AJ254" s="108">
        <f t="shared" si="198"/>
        <v>1.2142857142857142</v>
      </c>
      <c r="AK254" s="101">
        <f t="shared" si="15"/>
        <v>7753.4947960365853</v>
      </c>
      <c r="AL254" s="101">
        <f t="shared" si="199"/>
        <v>7753.4947960365853</v>
      </c>
      <c r="AM254" s="101"/>
      <c r="AN254" s="101"/>
      <c r="AO254" s="1">
        <v>16</v>
      </c>
      <c r="AP254" s="2">
        <v>36</v>
      </c>
      <c r="AQ254" s="74">
        <f t="shared" si="200"/>
        <v>287</v>
      </c>
      <c r="AR254" s="31">
        <f t="shared" si="201"/>
        <v>0.85</v>
      </c>
      <c r="AS254" s="2">
        <f t="shared" si="202"/>
        <v>1</v>
      </c>
      <c r="AT254" s="33">
        <f t="shared" si="203"/>
        <v>0</v>
      </c>
      <c r="AU254" s="31">
        <f t="shared" si="204"/>
        <v>1</v>
      </c>
      <c r="AV254" s="2">
        <f t="shared" si="205"/>
        <v>30</v>
      </c>
      <c r="AW254" s="33">
        <f t="shared" si="206"/>
        <v>0</v>
      </c>
      <c r="AX254" s="31">
        <f t="shared" si="207"/>
        <v>1</v>
      </c>
      <c r="AY254" s="33">
        <f t="shared" si="208"/>
        <v>0</v>
      </c>
      <c r="AZ254" s="2"/>
      <c r="BA254" s="101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2" customHeight="1">
      <c r="A255" s="2"/>
      <c r="B255" s="107">
        <v>180</v>
      </c>
      <c r="C255" s="31">
        <v>7</v>
      </c>
      <c r="D255" s="106" t="s">
        <v>10</v>
      </c>
      <c r="E255" s="2" t="s">
        <v>79</v>
      </c>
      <c r="F255" s="2" t="s">
        <v>149</v>
      </c>
      <c r="G255" s="2" t="s">
        <v>184</v>
      </c>
      <c r="H255" s="33"/>
      <c r="I255" s="99">
        <f t="shared" si="0"/>
        <v>1137.4218499666201</v>
      </c>
      <c r="J255" s="101">
        <f t="shared" si="1"/>
        <v>17.9375</v>
      </c>
      <c r="K255" s="101">
        <f t="shared" si="2"/>
        <v>111</v>
      </c>
      <c r="L255" s="74">
        <f t="shared" si="3"/>
        <v>18</v>
      </c>
      <c r="M255" s="99">
        <f t="shared" si="191"/>
        <v>18198.749599465922</v>
      </c>
      <c r="N255" s="108">
        <f t="shared" si="192"/>
        <v>18198.749599465922</v>
      </c>
      <c r="O255" s="108"/>
      <c r="P255" s="108"/>
      <c r="Q255" s="108"/>
      <c r="R255" s="109"/>
      <c r="S255" s="99">
        <f t="shared" si="6"/>
        <v>10978.948631187804</v>
      </c>
      <c r="T255" s="108">
        <f t="shared" si="193"/>
        <v>10978.948631187804</v>
      </c>
      <c r="U255" s="108"/>
      <c r="V255" s="108"/>
      <c r="W255" s="108"/>
      <c r="X255" s="109"/>
      <c r="Y255" s="99">
        <f t="shared" si="8"/>
        <v>29490.641749822607</v>
      </c>
      <c r="Z255" s="108">
        <f t="shared" si="194"/>
        <v>29490.641749822607</v>
      </c>
      <c r="AA255" s="108"/>
      <c r="AB255" s="108"/>
      <c r="AC255" s="108"/>
      <c r="AD255" s="109"/>
      <c r="AE255" s="99">
        <f t="shared" ref="AE255:AF255" si="232">AO255</f>
        <v>16</v>
      </c>
      <c r="AF255" s="101">
        <f t="shared" si="232"/>
        <v>36</v>
      </c>
      <c r="AG255" s="101">
        <f t="shared" si="196"/>
        <v>19.001300000000001</v>
      </c>
      <c r="AH255" s="101">
        <f t="shared" si="197"/>
        <v>287</v>
      </c>
      <c r="AI255" s="101">
        <f t="shared" si="190"/>
        <v>268.61079999999998</v>
      </c>
      <c r="AJ255" s="108">
        <f t="shared" si="198"/>
        <v>1.4285714285714286</v>
      </c>
      <c r="AK255" s="101">
        <f t="shared" si="15"/>
        <v>7753.4947960365853</v>
      </c>
      <c r="AL255" s="101">
        <f t="shared" si="199"/>
        <v>7753.4947960365853</v>
      </c>
      <c r="AM255" s="101"/>
      <c r="AN255" s="101"/>
      <c r="AO255" s="1">
        <v>16</v>
      </c>
      <c r="AP255" s="2">
        <v>36</v>
      </c>
      <c r="AQ255" s="74">
        <f t="shared" si="200"/>
        <v>287</v>
      </c>
      <c r="AR255" s="31">
        <f t="shared" si="201"/>
        <v>1</v>
      </c>
      <c r="AS255" s="2">
        <f t="shared" si="202"/>
        <v>1.18</v>
      </c>
      <c r="AT255" s="33">
        <f t="shared" si="203"/>
        <v>0</v>
      </c>
      <c r="AU255" s="31">
        <f t="shared" si="204"/>
        <v>1</v>
      </c>
      <c r="AV255" s="2">
        <f t="shared" si="205"/>
        <v>0</v>
      </c>
      <c r="AW255" s="33">
        <f t="shared" si="206"/>
        <v>0</v>
      </c>
      <c r="AX255" s="31">
        <f t="shared" si="207"/>
        <v>1</v>
      </c>
      <c r="AY255" s="33">
        <f t="shared" si="208"/>
        <v>0</v>
      </c>
      <c r="AZ255" s="2"/>
      <c r="BA255" s="101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 ht="12" customHeight="1">
      <c r="A256" s="2"/>
      <c r="B256" s="107">
        <v>181</v>
      </c>
      <c r="C256" s="31">
        <v>7</v>
      </c>
      <c r="D256" s="106" t="s">
        <v>10</v>
      </c>
      <c r="E256" s="2" t="s">
        <v>168</v>
      </c>
      <c r="F256" s="2" t="s">
        <v>149</v>
      </c>
      <c r="G256" s="2" t="s">
        <v>184</v>
      </c>
      <c r="H256" s="33"/>
      <c r="I256" s="99">
        <f t="shared" si="0"/>
        <v>1421.777312458275</v>
      </c>
      <c r="J256" s="101">
        <f t="shared" si="1"/>
        <v>17.9375</v>
      </c>
      <c r="K256" s="101">
        <f t="shared" si="2"/>
        <v>56</v>
      </c>
      <c r="L256" s="74">
        <f t="shared" si="3"/>
        <v>4</v>
      </c>
      <c r="M256" s="99">
        <f t="shared" si="191"/>
        <v>22748.4369993324</v>
      </c>
      <c r="N256" s="108">
        <f t="shared" si="192"/>
        <v>22748.4369993324</v>
      </c>
      <c r="O256" s="108"/>
      <c r="P256" s="108"/>
      <c r="Q256" s="108"/>
      <c r="R256" s="109"/>
      <c r="S256" s="99">
        <f t="shared" si="6"/>
        <v>13723.685788984754</v>
      </c>
      <c r="T256" s="108">
        <f t="shared" si="193"/>
        <v>13723.685788984754</v>
      </c>
      <c r="U256" s="108"/>
      <c r="V256" s="108"/>
      <c r="W256" s="108"/>
      <c r="X256" s="109"/>
      <c r="Y256" s="99">
        <f t="shared" si="8"/>
        <v>36863.302187278256</v>
      </c>
      <c r="Z256" s="108">
        <f t="shared" si="194"/>
        <v>36863.302187278256</v>
      </c>
      <c r="AA256" s="108"/>
      <c r="AB256" s="108"/>
      <c r="AC256" s="108"/>
      <c r="AD256" s="109"/>
      <c r="AE256" s="99">
        <f t="shared" ref="AE256:AF256" si="233">AO256</f>
        <v>16</v>
      </c>
      <c r="AF256" s="101">
        <f t="shared" si="233"/>
        <v>36</v>
      </c>
      <c r="AG256" s="101">
        <f t="shared" si="196"/>
        <v>19.001300000000001</v>
      </c>
      <c r="AH256" s="101">
        <f t="shared" si="197"/>
        <v>287</v>
      </c>
      <c r="AI256" s="101">
        <f t="shared" si="190"/>
        <v>268.61079999999998</v>
      </c>
      <c r="AJ256" s="108">
        <f t="shared" si="198"/>
        <v>1.4285714285714286</v>
      </c>
      <c r="AK256" s="101">
        <f t="shared" si="15"/>
        <v>7753.4947960365853</v>
      </c>
      <c r="AL256" s="101">
        <f t="shared" si="199"/>
        <v>7753.4947960365853</v>
      </c>
      <c r="AM256" s="101"/>
      <c r="AN256" s="101"/>
      <c r="AO256" s="1">
        <v>16</v>
      </c>
      <c r="AP256" s="2">
        <v>36</v>
      </c>
      <c r="AQ256" s="74">
        <f t="shared" si="200"/>
        <v>287</v>
      </c>
      <c r="AR256" s="31">
        <f t="shared" si="201"/>
        <v>1</v>
      </c>
      <c r="AS256" s="2">
        <f t="shared" si="202"/>
        <v>1.18</v>
      </c>
      <c r="AT256" s="33">
        <f t="shared" si="203"/>
        <v>0</v>
      </c>
      <c r="AU256" s="31">
        <f t="shared" si="204"/>
        <v>1.25</v>
      </c>
      <c r="AV256" s="2">
        <f t="shared" si="205"/>
        <v>0</v>
      </c>
      <c r="AW256" s="33">
        <f t="shared" si="206"/>
        <v>0</v>
      </c>
      <c r="AX256" s="31">
        <f t="shared" si="207"/>
        <v>1</v>
      </c>
      <c r="AY256" s="33">
        <f t="shared" si="208"/>
        <v>0</v>
      </c>
      <c r="AZ256" s="2"/>
      <c r="BA256" s="101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 ht="12" customHeight="1">
      <c r="A257" s="2"/>
      <c r="B257" s="107">
        <v>182</v>
      </c>
      <c r="C257" s="31">
        <v>7</v>
      </c>
      <c r="D257" s="106" t="s">
        <v>10</v>
      </c>
      <c r="E257" s="2" t="s">
        <v>101</v>
      </c>
      <c r="F257" s="2" t="s">
        <v>149</v>
      </c>
      <c r="G257" s="2" t="s">
        <v>184</v>
      </c>
      <c r="H257" s="33"/>
      <c r="I257" s="99">
        <f t="shared" si="0"/>
        <v>1484.5160959410227</v>
      </c>
      <c r="J257" s="101">
        <f t="shared" si="1"/>
        <v>17.9375</v>
      </c>
      <c r="K257" s="101">
        <f t="shared" si="2"/>
        <v>43</v>
      </c>
      <c r="L257" s="74">
        <f t="shared" si="3"/>
        <v>3</v>
      </c>
      <c r="M257" s="99">
        <f t="shared" si="191"/>
        <v>23752.257535056364</v>
      </c>
      <c r="N257" s="108">
        <f t="shared" si="192"/>
        <v>23752.257535056364</v>
      </c>
      <c r="O257" s="108"/>
      <c r="P257" s="108"/>
      <c r="Q257" s="108"/>
      <c r="R257" s="109"/>
      <c r="S257" s="99">
        <f t="shared" si="6"/>
        <v>10978.948631187804</v>
      </c>
      <c r="T257" s="108">
        <f t="shared" si="193"/>
        <v>10978.948631187804</v>
      </c>
      <c r="U257" s="108"/>
      <c r="V257" s="108"/>
      <c r="W257" s="108"/>
      <c r="X257" s="109"/>
      <c r="Y257" s="99">
        <f t="shared" si="8"/>
        <v>29490.641749822607</v>
      </c>
      <c r="Z257" s="108">
        <f t="shared" si="194"/>
        <v>29490.641749822607</v>
      </c>
      <c r="AA257" s="108"/>
      <c r="AB257" s="108"/>
      <c r="AC257" s="108"/>
      <c r="AD257" s="109"/>
      <c r="AE257" s="99">
        <f t="shared" ref="AE257:AF257" si="234">AO257</f>
        <v>16</v>
      </c>
      <c r="AF257" s="101">
        <f t="shared" si="234"/>
        <v>36</v>
      </c>
      <c r="AG257" s="101">
        <f t="shared" si="196"/>
        <v>49.001300000000001</v>
      </c>
      <c r="AH257" s="101">
        <f t="shared" si="197"/>
        <v>287</v>
      </c>
      <c r="AI257" s="101">
        <f t="shared" si="190"/>
        <v>268.61079999999998</v>
      </c>
      <c r="AJ257" s="108">
        <f t="shared" si="198"/>
        <v>1.4285714285714286</v>
      </c>
      <c r="AK257" s="101">
        <f t="shared" si="15"/>
        <v>7753.4947960365853</v>
      </c>
      <c r="AL257" s="101">
        <f t="shared" si="199"/>
        <v>7753.4947960365853</v>
      </c>
      <c r="AM257" s="101"/>
      <c r="AN257" s="101"/>
      <c r="AO257" s="1">
        <v>16</v>
      </c>
      <c r="AP257" s="2">
        <v>36</v>
      </c>
      <c r="AQ257" s="74">
        <f t="shared" si="200"/>
        <v>287</v>
      </c>
      <c r="AR257" s="31">
        <f t="shared" si="201"/>
        <v>1</v>
      </c>
      <c r="AS257" s="2">
        <f t="shared" si="202"/>
        <v>1.18</v>
      </c>
      <c r="AT257" s="33">
        <f t="shared" si="203"/>
        <v>0</v>
      </c>
      <c r="AU257" s="31">
        <f t="shared" si="204"/>
        <v>1</v>
      </c>
      <c r="AV257" s="2">
        <f t="shared" si="205"/>
        <v>30</v>
      </c>
      <c r="AW257" s="33">
        <f t="shared" si="206"/>
        <v>0</v>
      </c>
      <c r="AX257" s="31">
        <f t="shared" si="207"/>
        <v>1</v>
      </c>
      <c r="AY257" s="33">
        <f t="shared" si="208"/>
        <v>0</v>
      </c>
      <c r="AZ257" s="2"/>
      <c r="BA257" s="101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 ht="12" customHeight="1">
      <c r="A258" s="2"/>
      <c r="B258" s="107">
        <v>183</v>
      </c>
      <c r="C258" s="31">
        <v>4</v>
      </c>
      <c r="D258" s="106" t="s">
        <v>10</v>
      </c>
      <c r="E258" s="2" t="s">
        <v>67</v>
      </c>
      <c r="F258" s="2" t="s">
        <v>149</v>
      </c>
      <c r="G258" s="2"/>
      <c r="H258" s="33"/>
      <c r="I258" s="99">
        <f t="shared" si="0"/>
        <v>893.27564897183049</v>
      </c>
      <c r="J258" s="101">
        <f t="shared" si="1"/>
        <v>9.875</v>
      </c>
      <c r="K258" s="101">
        <f t="shared" si="2"/>
        <v>210</v>
      </c>
      <c r="L258" s="74">
        <f t="shared" si="3"/>
        <v>48</v>
      </c>
      <c r="M258" s="99">
        <f t="shared" si="191"/>
        <v>14292.410383549288</v>
      </c>
      <c r="N258" s="108">
        <f t="shared" si="192"/>
        <v>14292.410383549288</v>
      </c>
      <c r="O258" s="108"/>
      <c r="P258" s="108"/>
      <c r="Q258" s="108"/>
      <c r="R258" s="109"/>
      <c r="S258" s="99">
        <f t="shared" si="6"/>
        <v>8622.3308123019506</v>
      </c>
      <c r="T258" s="108">
        <f t="shared" si="193"/>
        <v>8622.3308123019506</v>
      </c>
      <c r="U258" s="108"/>
      <c r="V258" s="108"/>
      <c r="W258" s="108"/>
      <c r="X258" s="109"/>
      <c r="Y258" s="99">
        <f t="shared" si="8"/>
        <v>23160.511773570768</v>
      </c>
      <c r="Z258" s="108">
        <f t="shared" si="194"/>
        <v>23160.511773570768</v>
      </c>
      <c r="AA258" s="108"/>
      <c r="AB258" s="108"/>
      <c r="AC258" s="108"/>
      <c r="AD258" s="109"/>
      <c r="AE258" s="99">
        <f t="shared" ref="AE258:AF258" si="235">AO258</f>
        <v>16</v>
      </c>
      <c r="AF258" s="101">
        <f t="shared" si="235"/>
        <v>36</v>
      </c>
      <c r="AG258" s="101">
        <f t="shared" si="196"/>
        <v>19.001300000000001</v>
      </c>
      <c r="AH258" s="101">
        <f t="shared" si="197"/>
        <v>158</v>
      </c>
      <c r="AI258" s="101">
        <f t="shared" si="190"/>
        <v>268.61079999999998</v>
      </c>
      <c r="AJ258" s="108">
        <f t="shared" si="198"/>
        <v>1.4285714285714286</v>
      </c>
      <c r="AK258" s="101">
        <f t="shared" si="15"/>
        <v>7185.2756769182924</v>
      </c>
      <c r="AL258" s="101">
        <f t="shared" si="199"/>
        <v>7185.2756769182924</v>
      </c>
      <c r="AM258" s="101"/>
      <c r="AN258" s="101"/>
      <c r="AO258" s="1">
        <v>16</v>
      </c>
      <c r="AP258" s="2">
        <v>36</v>
      </c>
      <c r="AQ258" s="74">
        <f t="shared" si="200"/>
        <v>158</v>
      </c>
      <c r="AR258" s="31">
        <f t="shared" si="201"/>
        <v>1</v>
      </c>
      <c r="AS258" s="2">
        <f t="shared" si="202"/>
        <v>1</v>
      </c>
      <c r="AT258" s="33">
        <f t="shared" si="203"/>
        <v>0</v>
      </c>
      <c r="AU258" s="31">
        <f t="shared" si="204"/>
        <v>1</v>
      </c>
      <c r="AV258" s="2">
        <f t="shared" si="205"/>
        <v>0</v>
      </c>
      <c r="AW258" s="33">
        <f t="shared" si="206"/>
        <v>0</v>
      </c>
      <c r="AX258" s="31">
        <f t="shared" si="207"/>
        <v>1</v>
      </c>
      <c r="AY258" s="33">
        <f t="shared" si="208"/>
        <v>0</v>
      </c>
      <c r="AZ258" s="2"/>
      <c r="BA258" s="101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 ht="12" customHeight="1">
      <c r="A259" s="2"/>
      <c r="B259" s="107">
        <v>184</v>
      </c>
      <c r="C259" s="31">
        <v>4</v>
      </c>
      <c r="D259" s="106" t="s">
        <v>10</v>
      </c>
      <c r="E259" s="2" t="s">
        <v>148</v>
      </c>
      <c r="F259" s="2" t="s">
        <v>149</v>
      </c>
      <c r="G259" s="2"/>
      <c r="H259" s="33"/>
      <c r="I259" s="99">
        <f t="shared" si="0"/>
        <v>893.27564897183049</v>
      </c>
      <c r="J259" s="101">
        <f t="shared" si="1"/>
        <v>9.875</v>
      </c>
      <c r="K259" s="101">
        <f t="shared" si="2"/>
        <v>210</v>
      </c>
      <c r="L259" s="74">
        <f t="shared" si="3"/>
        <v>48</v>
      </c>
      <c r="M259" s="99">
        <f t="shared" si="191"/>
        <v>14292.410383549288</v>
      </c>
      <c r="N259" s="108">
        <f t="shared" si="192"/>
        <v>14292.410383549288</v>
      </c>
      <c r="O259" s="108"/>
      <c r="P259" s="108"/>
      <c r="Q259" s="108"/>
      <c r="R259" s="109"/>
      <c r="S259" s="99">
        <f t="shared" si="6"/>
        <v>8622.3308123019506</v>
      </c>
      <c r="T259" s="108">
        <f t="shared" si="193"/>
        <v>8622.3308123019506</v>
      </c>
      <c r="U259" s="108"/>
      <c r="V259" s="108"/>
      <c r="W259" s="108"/>
      <c r="X259" s="109"/>
      <c r="Y259" s="99">
        <f t="shared" si="8"/>
        <v>23160.511773570768</v>
      </c>
      <c r="Z259" s="108">
        <f t="shared" si="194"/>
        <v>23160.511773570768</v>
      </c>
      <c r="AA259" s="108"/>
      <c r="AB259" s="108"/>
      <c r="AC259" s="108"/>
      <c r="AD259" s="109"/>
      <c r="AE259" s="99">
        <f t="shared" ref="AE259:AF259" si="236">AO259</f>
        <v>16</v>
      </c>
      <c r="AF259" s="101">
        <f t="shared" si="236"/>
        <v>36</v>
      </c>
      <c r="AG259" s="101">
        <f t="shared" si="196"/>
        <v>19.001300000000001</v>
      </c>
      <c r="AH259" s="101">
        <f t="shared" si="197"/>
        <v>158</v>
      </c>
      <c r="AI259" s="101">
        <f t="shared" si="190"/>
        <v>268.61079999999998</v>
      </c>
      <c r="AJ259" s="108">
        <f t="shared" si="198"/>
        <v>1.2142857142857142</v>
      </c>
      <c r="AK259" s="101">
        <f t="shared" si="15"/>
        <v>7185.2756769182924</v>
      </c>
      <c r="AL259" s="101">
        <f t="shared" si="199"/>
        <v>7185.2756769182924</v>
      </c>
      <c r="AM259" s="101"/>
      <c r="AN259" s="101"/>
      <c r="AO259" s="1">
        <v>16</v>
      </c>
      <c r="AP259" s="2">
        <v>36</v>
      </c>
      <c r="AQ259" s="74">
        <f t="shared" si="200"/>
        <v>158</v>
      </c>
      <c r="AR259" s="31">
        <f t="shared" si="201"/>
        <v>0.85</v>
      </c>
      <c r="AS259" s="2">
        <f t="shared" si="202"/>
        <v>1</v>
      </c>
      <c r="AT259" s="33">
        <f t="shared" si="203"/>
        <v>0</v>
      </c>
      <c r="AU259" s="31">
        <f t="shared" si="204"/>
        <v>1</v>
      </c>
      <c r="AV259" s="2">
        <f t="shared" si="205"/>
        <v>0</v>
      </c>
      <c r="AW259" s="33">
        <f t="shared" si="206"/>
        <v>0</v>
      </c>
      <c r="AX259" s="31">
        <f t="shared" si="207"/>
        <v>1</v>
      </c>
      <c r="AY259" s="33">
        <f t="shared" si="208"/>
        <v>0</v>
      </c>
      <c r="AZ259" s="2"/>
      <c r="BA259" s="101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 ht="12" customHeight="1">
      <c r="A260" s="2"/>
      <c r="B260" s="107">
        <v>185</v>
      </c>
      <c r="C260" s="31">
        <v>4</v>
      </c>
      <c r="D260" s="106" t="s">
        <v>10</v>
      </c>
      <c r="E260" s="2" t="s">
        <v>79</v>
      </c>
      <c r="F260" s="2" t="s">
        <v>149</v>
      </c>
      <c r="G260" s="2" t="s">
        <v>184</v>
      </c>
      <c r="H260" s="33"/>
      <c r="I260" s="99">
        <f t="shared" si="0"/>
        <v>1054.0652657867599</v>
      </c>
      <c r="J260" s="101">
        <f t="shared" si="1"/>
        <v>9.875</v>
      </c>
      <c r="K260" s="101">
        <f t="shared" si="2"/>
        <v>146</v>
      </c>
      <c r="L260" s="74">
        <f t="shared" si="3"/>
        <v>30</v>
      </c>
      <c r="M260" s="99">
        <f t="shared" si="191"/>
        <v>16865.044252588159</v>
      </c>
      <c r="N260" s="108">
        <f t="shared" si="192"/>
        <v>16865.044252588159</v>
      </c>
      <c r="O260" s="108"/>
      <c r="P260" s="108"/>
      <c r="Q260" s="108"/>
      <c r="R260" s="109"/>
      <c r="S260" s="99">
        <f t="shared" si="6"/>
        <v>10174.350358516302</v>
      </c>
      <c r="T260" s="108">
        <f t="shared" si="193"/>
        <v>10174.350358516302</v>
      </c>
      <c r="U260" s="108"/>
      <c r="V260" s="108"/>
      <c r="W260" s="108"/>
      <c r="X260" s="109"/>
      <c r="Y260" s="99">
        <f t="shared" si="8"/>
        <v>27329.403892813505</v>
      </c>
      <c r="Z260" s="108">
        <f t="shared" si="194"/>
        <v>27329.403892813505</v>
      </c>
      <c r="AA260" s="108"/>
      <c r="AB260" s="108"/>
      <c r="AC260" s="108"/>
      <c r="AD260" s="109"/>
      <c r="AE260" s="99">
        <f t="shared" ref="AE260:AF260" si="237">AO260</f>
        <v>16</v>
      </c>
      <c r="AF260" s="101">
        <f t="shared" si="237"/>
        <v>36</v>
      </c>
      <c r="AG260" s="101">
        <f t="shared" si="196"/>
        <v>19.001300000000001</v>
      </c>
      <c r="AH260" s="101">
        <f t="shared" si="197"/>
        <v>158</v>
      </c>
      <c r="AI260" s="101">
        <f t="shared" si="190"/>
        <v>268.61079999999998</v>
      </c>
      <c r="AJ260" s="108">
        <f t="shared" si="198"/>
        <v>1.4285714285714286</v>
      </c>
      <c r="AK260" s="101">
        <f t="shared" si="15"/>
        <v>7185.2756769182924</v>
      </c>
      <c r="AL260" s="101">
        <f t="shared" si="199"/>
        <v>7185.2756769182924</v>
      </c>
      <c r="AM260" s="101"/>
      <c r="AN260" s="101"/>
      <c r="AO260" s="1">
        <v>16</v>
      </c>
      <c r="AP260" s="2">
        <v>36</v>
      </c>
      <c r="AQ260" s="74">
        <f t="shared" si="200"/>
        <v>158</v>
      </c>
      <c r="AR260" s="31">
        <f t="shared" si="201"/>
        <v>1</v>
      </c>
      <c r="AS260" s="2">
        <f t="shared" si="202"/>
        <v>1.18</v>
      </c>
      <c r="AT260" s="33">
        <f t="shared" si="203"/>
        <v>0</v>
      </c>
      <c r="AU260" s="31">
        <f t="shared" si="204"/>
        <v>1</v>
      </c>
      <c r="AV260" s="2">
        <f t="shared" si="205"/>
        <v>0</v>
      </c>
      <c r="AW260" s="33">
        <f t="shared" si="206"/>
        <v>0</v>
      </c>
      <c r="AX260" s="31">
        <f t="shared" si="207"/>
        <v>1</v>
      </c>
      <c r="AY260" s="33">
        <f t="shared" si="208"/>
        <v>0</v>
      </c>
      <c r="AZ260" s="2"/>
      <c r="BA260" s="101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 ht="12" customHeight="1">
      <c r="A261" s="2"/>
      <c r="B261" s="107">
        <v>186</v>
      </c>
      <c r="C261" s="31">
        <v>1</v>
      </c>
      <c r="D261" s="106" t="s">
        <v>10</v>
      </c>
      <c r="E261" s="2" t="s">
        <v>67</v>
      </c>
      <c r="F261" s="2" t="s">
        <v>149</v>
      </c>
      <c r="G261" s="2"/>
      <c r="H261" s="33"/>
      <c r="I261" s="99">
        <f t="shared" si="0"/>
        <v>717.22474034907668</v>
      </c>
      <c r="J261" s="101">
        <f t="shared" si="1"/>
        <v>5</v>
      </c>
      <c r="K261" s="101">
        <f t="shared" si="2"/>
        <v>339</v>
      </c>
      <c r="L261" s="74">
        <f t="shared" si="3"/>
        <v>101</v>
      </c>
      <c r="M261" s="99">
        <f t="shared" si="191"/>
        <v>11475.595845585227</v>
      </c>
      <c r="N261" s="108">
        <f t="shared" si="192"/>
        <v>11475.595845585227</v>
      </c>
      <c r="O261" s="108"/>
      <c r="P261" s="108"/>
      <c r="Q261" s="108"/>
      <c r="R261" s="109"/>
      <c r="S261" s="99">
        <f t="shared" si="6"/>
        <v>6923.0018585809767</v>
      </c>
      <c r="T261" s="108">
        <f t="shared" si="193"/>
        <v>6923.0018585809767</v>
      </c>
      <c r="U261" s="108"/>
      <c r="V261" s="108"/>
      <c r="W261" s="108"/>
      <c r="X261" s="109"/>
      <c r="Y261" s="99">
        <f t="shared" si="8"/>
        <v>18595.930676349228</v>
      </c>
      <c r="Z261" s="108">
        <f t="shared" si="194"/>
        <v>18595.930676349228</v>
      </c>
      <c r="AA261" s="108"/>
      <c r="AB261" s="108"/>
      <c r="AC261" s="108"/>
      <c r="AD261" s="109"/>
      <c r="AE261" s="99">
        <f t="shared" ref="AE261:AF261" si="238">AO261</f>
        <v>16</v>
      </c>
      <c r="AF261" s="101">
        <f t="shared" si="238"/>
        <v>36</v>
      </c>
      <c r="AG261" s="101">
        <f t="shared" si="196"/>
        <v>19.001300000000001</v>
      </c>
      <c r="AH261" s="101">
        <f t="shared" si="197"/>
        <v>80</v>
      </c>
      <c r="AI261" s="101">
        <f t="shared" si="190"/>
        <v>268.61079999999998</v>
      </c>
      <c r="AJ261" s="108">
        <f t="shared" si="198"/>
        <v>1.4285714285714286</v>
      </c>
      <c r="AK261" s="101">
        <f t="shared" si="15"/>
        <v>5769.1682154841474</v>
      </c>
      <c r="AL261" s="101">
        <f t="shared" si="199"/>
        <v>5769.1682154841474</v>
      </c>
      <c r="AM261" s="101"/>
      <c r="AN261" s="101"/>
      <c r="AO261" s="1">
        <v>16</v>
      </c>
      <c r="AP261" s="2">
        <v>36</v>
      </c>
      <c r="AQ261" s="74">
        <f t="shared" si="200"/>
        <v>80</v>
      </c>
      <c r="AR261" s="31">
        <f t="shared" si="201"/>
        <v>1</v>
      </c>
      <c r="AS261" s="2">
        <f t="shared" si="202"/>
        <v>1</v>
      </c>
      <c r="AT261" s="33">
        <f t="shared" si="203"/>
        <v>0</v>
      </c>
      <c r="AU261" s="31">
        <f t="shared" si="204"/>
        <v>1</v>
      </c>
      <c r="AV261" s="2">
        <f t="shared" si="205"/>
        <v>0</v>
      </c>
      <c r="AW261" s="33">
        <f t="shared" si="206"/>
        <v>0</v>
      </c>
      <c r="AX261" s="31">
        <f t="shared" si="207"/>
        <v>1</v>
      </c>
      <c r="AY261" s="33">
        <f t="shared" si="208"/>
        <v>0</v>
      </c>
      <c r="AZ261" s="2"/>
      <c r="BA261" s="101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 ht="12" customHeight="1">
      <c r="A262" s="2"/>
      <c r="B262" s="107">
        <v>187</v>
      </c>
      <c r="C262" s="31">
        <v>10</v>
      </c>
      <c r="D262" s="106" t="s">
        <v>10</v>
      </c>
      <c r="E262" s="2" t="s">
        <v>144</v>
      </c>
      <c r="F262" s="2"/>
      <c r="G262" s="2" t="s">
        <v>137</v>
      </c>
      <c r="H262" s="33"/>
      <c r="I262" s="99">
        <f t="shared" si="0"/>
        <v>668.30258425315878</v>
      </c>
      <c r="J262" s="101">
        <f t="shared" si="1"/>
        <v>25.75</v>
      </c>
      <c r="K262" s="101">
        <f t="shared" si="2"/>
        <v>389</v>
      </c>
      <c r="L262" s="74">
        <f t="shared" si="3"/>
        <v>121</v>
      </c>
      <c r="M262" s="99">
        <f t="shared" si="191"/>
        <v>10692.841348050541</v>
      </c>
      <c r="N262" s="108">
        <f t="shared" si="192"/>
        <v>10692.841348050541</v>
      </c>
      <c r="O262" s="108"/>
      <c r="P262" s="108"/>
      <c r="Q262" s="108"/>
      <c r="R262" s="109"/>
      <c r="S262" s="99">
        <f t="shared" si="6"/>
        <v>8098.2910927512203</v>
      </c>
      <c r="T262" s="108">
        <f t="shared" si="193"/>
        <v>8098.2910927512203</v>
      </c>
      <c r="U262" s="108"/>
      <c r="V262" s="108"/>
      <c r="W262" s="108"/>
      <c r="X262" s="109"/>
      <c r="Y262" s="99">
        <f t="shared" si="8"/>
        <v>21752.884490567794</v>
      </c>
      <c r="Z262" s="108">
        <f t="shared" si="194"/>
        <v>21752.884490567794</v>
      </c>
      <c r="AA262" s="108"/>
      <c r="AB262" s="108"/>
      <c r="AC262" s="108"/>
      <c r="AD262" s="109"/>
      <c r="AE262" s="99">
        <f t="shared" ref="AE262:AF262" si="239">AO262</f>
        <v>16</v>
      </c>
      <c r="AF262" s="101">
        <f t="shared" si="239"/>
        <v>36</v>
      </c>
      <c r="AG262" s="101">
        <f t="shared" si="196"/>
        <v>19.001300000000001</v>
      </c>
      <c r="AH262" s="101">
        <f t="shared" si="197"/>
        <v>412</v>
      </c>
      <c r="AI262" s="101">
        <f t="shared" si="190"/>
        <v>268.61079999999998</v>
      </c>
      <c r="AJ262" s="108">
        <f t="shared" si="198"/>
        <v>1.4285714285714286</v>
      </c>
      <c r="AK262" s="101">
        <f t="shared" si="15"/>
        <v>8098.2910927512203</v>
      </c>
      <c r="AL262" s="101">
        <f t="shared" si="199"/>
        <v>8098.2910927512203</v>
      </c>
      <c r="AM262" s="101"/>
      <c r="AN262" s="101"/>
      <c r="AO262" s="1">
        <v>16</v>
      </c>
      <c r="AP262" s="2">
        <v>36</v>
      </c>
      <c r="AQ262" s="74">
        <f t="shared" si="200"/>
        <v>412</v>
      </c>
      <c r="AR262" s="31">
        <f t="shared" si="201"/>
        <v>1</v>
      </c>
      <c r="AS262" s="2">
        <f t="shared" si="202"/>
        <v>1</v>
      </c>
      <c r="AT262" s="33">
        <f t="shared" si="203"/>
        <v>0</v>
      </c>
      <c r="AU262" s="31">
        <f t="shared" si="204"/>
        <v>1</v>
      </c>
      <c r="AV262" s="2">
        <f t="shared" si="205"/>
        <v>0</v>
      </c>
      <c r="AW262" s="33">
        <f t="shared" si="206"/>
        <v>0</v>
      </c>
      <c r="AX262" s="31">
        <f t="shared" si="207"/>
        <v>1</v>
      </c>
      <c r="AY262" s="33">
        <f t="shared" si="208"/>
        <v>0</v>
      </c>
      <c r="AZ262" s="2"/>
      <c r="BA262" s="101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 ht="12" customHeight="1">
      <c r="A263" s="2"/>
      <c r="B263" s="107">
        <v>188</v>
      </c>
      <c r="C263" s="31">
        <v>10</v>
      </c>
      <c r="D263" s="106" t="s">
        <v>10</v>
      </c>
      <c r="E263" s="2" t="s">
        <v>138</v>
      </c>
      <c r="F263" s="2"/>
      <c r="G263" s="2" t="s">
        <v>137</v>
      </c>
      <c r="H263" s="33"/>
      <c r="I263" s="99">
        <f t="shared" si="0"/>
        <v>835.37823031644848</v>
      </c>
      <c r="J263" s="101">
        <f t="shared" si="1"/>
        <v>25.75</v>
      </c>
      <c r="K263" s="101">
        <f t="shared" si="2"/>
        <v>250</v>
      </c>
      <c r="L263" s="74">
        <f t="shared" si="3"/>
        <v>66</v>
      </c>
      <c r="M263" s="99">
        <f t="shared" si="191"/>
        <v>13366.051685063176</v>
      </c>
      <c r="N263" s="108">
        <f t="shared" si="192"/>
        <v>13366.051685063176</v>
      </c>
      <c r="O263" s="108"/>
      <c r="P263" s="108"/>
      <c r="Q263" s="108"/>
      <c r="R263" s="109"/>
      <c r="S263" s="99">
        <f t="shared" si="6"/>
        <v>10122.863865939025</v>
      </c>
      <c r="T263" s="108">
        <f t="shared" si="193"/>
        <v>10122.863865939025</v>
      </c>
      <c r="U263" s="108"/>
      <c r="V263" s="108"/>
      <c r="W263" s="108"/>
      <c r="X263" s="109"/>
      <c r="Y263" s="99">
        <f t="shared" si="8"/>
        <v>27191.10561320974</v>
      </c>
      <c r="Z263" s="108">
        <f t="shared" si="194"/>
        <v>27191.10561320974</v>
      </c>
      <c r="AA263" s="108"/>
      <c r="AB263" s="108"/>
      <c r="AC263" s="108"/>
      <c r="AD263" s="109"/>
      <c r="AE263" s="99">
        <f t="shared" ref="AE263:AF263" si="240">AO263</f>
        <v>16</v>
      </c>
      <c r="AF263" s="101">
        <f t="shared" si="240"/>
        <v>36</v>
      </c>
      <c r="AG263" s="101">
        <f t="shared" si="196"/>
        <v>19.001300000000001</v>
      </c>
      <c r="AH263" s="101">
        <f t="shared" si="197"/>
        <v>412</v>
      </c>
      <c r="AI263" s="101">
        <f t="shared" si="190"/>
        <v>268.61079999999998</v>
      </c>
      <c r="AJ263" s="108">
        <f t="shared" si="198"/>
        <v>1.4285714285714286</v>
      </c>
      <c r="AK263" s="101">
        <f t="shared" si="15"/>
        <v>8098.2910927512203</v>
      </c>
      <c r="AL263" s="101">
        <f t="shared" si="199"/>
        <v>8098.2910927512203</v>
      </c>
      <c r="AM263" s="101"/>
      <c r="AN263" s="101"/>
      <c r="AO263" s="1">
        <v>16</v>
      </c>
      <c r="AP263" s="2">
        <v>36</v>
      </c>
      <c r="AQ263" s="74">
        <f t="shared" si="200"/>
        <v>412</v>
      </c>
      <c r="AR263" s="31">
        <f t="shared" si="201"/>
        <v>1</v>
      </c>
      <c r="AS263" s="2">
        <f t="shared" si="202"/>
        <v>1</v>
      </c>
      <c r="AT263" s="33">
        <f t="shared" si="203"/>
        <v>0</v>
      </c>
      <c r="AU263" s="31">
        <f t="shared" si="204"/>
        <v>1.25</v>
      </c>
      <c r="AV263" s="2">
        <f t="shared" si="205"/>
        <v>0</v>
      </c>
      <c r="AW263" s="33">
        <f t="shared" si="206"/>
        <v>0</v>
      </c>
      <c r="AX263" s="31">
        <f t="shared" si="207"/>
        <v>1</v>
      </c>
      <c r="AY263" s="33">
        <f t="shared" si="208"/>
        <v>0</v>
      </c>
      <c r="AZ263" s="2"/>
      <c r="BA263" s="101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 ht="12" customHeight="1">
      <c r="A264" s="2"/>
      <c r="B264" s="107">
        <v>189</v>
      </c>
      <c r="C264" s="31">
        <v>10</v>
      </c>
      <c r="D264" s="106" t="s">
        <v>10</v>
      </c>
      <c r="E264" s="2" t="s">
        <v>140</v>
      </c>
      <c r="F264" s="2"/>
      <c r="G264" s="2" t="s">
        <v>137</v>
      </c>
      <c r="H264" s="33"/>
      <c r="I264" s="99">
        <f t="shared" si="0"/>
        <v>924.32621046221948</v>
      </c>
      <c r="J264" s="101">
        <f t="shared" si="1"/>
        <v>25.75</v>
      </c>
      <c r="K264" s="101">
        <f t="shared" si="2"/>
        <v>193</v>
      </c>
      <c r="L264" s="74">
        <f t="shared" si="3"/>
        <v>43</v>
      </c>
      <c r="M264" s="99">
        <f t="shared" si="191"/>
        <v>14789.219367395512</v>
      </c>
      <c r="N264" s="108">
        <f t="shared" si="192"/>
        <v>14789.219367395512</v>
      </c>
      <c r="O264" s="108"/>
      <c r="P264" s="108"/>
      <c r="Q264" s="108"/>
      <c r="R264" s="109"/>
      <c r="S264" s="99">
        <f t="shared" si="6"/>
        <v>8098.2910927512203</v>
      </c>
      <c r="T264" s="108">
        <f t="shared" si="193"/>
        <v>8098.2910927512203</v>
      </c>
      <c r="U264" s="108"/>
      <c r="V264" s="108"/>
      <c r="W264" s="108"/>
      <c r="X264" s="109"/>
      <c r="Y264" s="99">
        <f t="shared" si="8"/>
        <v>21752.884490567794</v>
      </c>
      <c r="Z264" s="108">
        <f t="shared" si="194"/>
        <v>21752.884490567794</v>
      </c>
      <c r="AA264" s="108"/>
      <c r="AB264" s="108"/>
      <c r="AC264" s="108"/>
      <c r="AD264" s="109"/>
      <c r="AE264" s="99">
        <f t="shared" ref="AE264:AF264" si="241">AO264</f>
        <v>16</v>
      </c>
      <c r="AF264" s="101">
        <f t="shared" si="241"/>
        <v>36</v>
      </c>
      <c r="AG264" s="101">
        <f t="shared" si="196"/>
        <v>49.001300000000001</v>
      </c>
      <c r="AH264" s="101">
        <f t="shared" si="197"/>
        <v>412</v>
      </c>
      <c r="AI264" s="101">
        <f t="shared" si="190"/>
        <v>268.61079999999998</v>
      </c>
      <c r="AJ264" s="108">
        <f t="shared" si="198"/>
        <v>1.4285714285714286</v>
      </c>
      <c r="AK264" s="101">
        <f t="shared" si="15"/>
        <v>8098.2910927512203</v>
      </c>
      <c r="AL264" s="101">
        <f t="shared" si="199"/>
        <v>8098.2910927512203</v>
      </c>
      <c r="AM264" s="101"/>
      <c r="AN264" s="101"/>
      <c r="AO264" s="1">
        <v>16</v>
      </c>
      <c r="AP264" s="2">
        <v>36</v>
      </c>
      <c r="AQ264" s="74">
        <f t="shared" si="200"/>
        <v>412</v>
      </c>
      <c r="AR264" s="31">
        <f t="shared" si="201"/>
        <v>1</v>
      </c>
      <c r="AS264" s="2">
        <f t="shared" si="202"/>
        <v>1</v>
      </c>
      <c r="AT264" s="33">
        <f t="shared" si="203"/>
        <v>0</v>
      </c>
      <c r="AU264" s="31">
        <f t="shared" si="204"/>
        <v>1</v>
      </c>
      <c r="AV264" s="2">
        <f t="shared" si="205"/>
        <v>30</v>
      </c>
      <c r="AW264" s="33">
        <f t="shared" si="206"/>
        <v>0</v>
      </c>
      <c r="AX264" s="31">
        <f t="shared" si="207"/>
        <v>1</v>
      </c>
      <c r="AY264" s="33">
        <f t="shared" si="208"/>
        <v>0</v>
      </c>
      <c r="AZ264" s="2"/>
      <c r="BA264" s="101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 ht="12" customHeight="1">
      <c r="A265" s="2"/>
      <c r="B265" s="107">
        <v>190</v>
      </c>
      <c r="C265" s="31">
        <v>10</v>
      </c>
      <c r="D265" s="106" t="s">
        <v>10</v>
      </c>
      <c r="E265" s="2" t="s">
        <v>150</v>
      </c>
      <c r="F265" s="2"/>
      <c r="G265" s="2" t="s">
        <v>137</v>
      </c>
      <c r="H265" s="33"/>
      <c r="I265" s="99">
        <f t="shared" si="0"/>
        <v>668.30258425315878</v>
      </c>
      <c r="J265" s="101">
        <f t="shared" si="1"/>
        <v>25.75</v>
      </c>
      <c r="K265" s="101">
        <f t="shared" si="2"/>
        <v>389</v>
      </c>
      <c r="L265" s="74">
        <f t="shared" si="3"/>
        <v>121</v>
      </c>
      <c r="M265" s="99">
        <f t="shared" si="191"/>
        <v>10692.841348050541</v>
      </c>
      <c r="N265" s="108">
        <f t="shared" si="192"/>
        <v>10692.841348050541</v>
      </c>
      <c r="O265" s="108"/>
      <c r="P265" s="108"/>
      <c r="Q265" s="108"/>
      <c r="R265" s="109"/>
      <c r="S265" s="99">
        <f t="shared" si="6"/>
        <v>8098.2910927512203</v>
      </c>
      <c r="T265" s="108">
        <f t="shared" si="193"/>
        <v>8098.2910927512203</v>
      </c>
      <c r="U265" s="108"/>
      <c r="V265" s="108"/>
      <c r="W265" s="108"/>
      <c r="X265" s="109"/>
      <c r="Y265" s="99">
        <f t="shared" si="8"/>
        <v>21752.884490567794</v>
      </c>
      <c r="Z265" s="108">
        <f t="shared" si="194"/>
        <v>21752.884490567794</v>
      </c>
      <c r="AA265" s="108"/>
      <c r="AB265" s="108"/>
      <c r="AC265" s="108"/>
      <c r="AD265" s="109"/>
      <c r="AE265" s="99">
        <f t="shared" ref="AE265:AF265" si="242">AO265</f>
        <v>16</v>
      </c>
      <c r="AF265" s="101">
        <f t="shared" si="242"/>
        <v>36</v>
      </c>
      <c r="AG265" s="101">
        <f t="shared" si="196"/>
        <v>19.001300000000001</v>
      </c>
      <c r="AH265" s="101">
        <f t="shared" si="197"/>
        <v>412</v>
      </c>
      <c r="AI265" s="101">
        <f t="shared" si="190"/>
        <v>268.61079999999998</v>
      </c>
      <c r="AJ265" s="108">
        <f t="shared" si="198"/>
        <v>1.2142857142857142</v>
      </c>
      <c r="AK265" s="101">
        <f t="shared" si="15"/>
        <v>8098.2910927512203</v>
      </c>
      <c r="AL265" s="101">
        <f t="shared" si="199"/>
        <v>8098.2910927512203</v>
      </c>
      <c r="AM265" s="101"/>
      <c r="AN265" s="101"/>
      <c r="AO265" s="1">
        <v>16</v>
      </c>
      <c r="AP265" s="2">
        <v>36</v>
      </c>
      <c r="AQ265" s="74">
        <f t="shared" si="200"/>
        <v>412</v>
      </c>
      <c r="AR265" s="31">
        <f t="shared" si="201"/>
        <v>0.85</v>
      </c>
      <c r="AS265" s="2">
        <f t="shared" si="202"/>
        <v>1</v>
      </c>
      <c r="AT265" s="33">
        <f t="shared" si="203"/>
        <v>0</v>
      </c>
      <c r="AU265" s="31">
        <f t="shared" si="204"/>
        <v>1</v>
      </c>
      <c r="AV265" s="2">
        <f t="shared" si="205"/>
        <v>0</v>
      </c>
      <c r="AW265" s="33">
        <f t="shared" si="206"/>
        <v>0</v>
      </c>
      <c r="AX265" s="31">
        <f t="shared" si="207"/>
        <v>1</v>
      </c>
      <c r="AY265" s="33">
        <f t="shared" si="208"/>
        <v>0</v>
      </c>
      <c r="AZ265" s="2"/>
      <c r="BA265" s="101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 ht="12" customHeight="1">
      <c r="A266" s="2"/>
      <c r="B266" s="107">
        <v>191</v>
      </c>
      <c r="C266" s="31">
        <v>10</v>
      </c>
      <c r="D266" s="106" t="s">
        <v>10</v>
      </c>
      <c r="E266" s="2" t="s">
        <v>164</v>
      </c>
      <c r="F266" s="2"/>
      <c r="G266" s="2" t="s">
        <v>137</v>
      </c>
      <c r="H266" s="33"/>
      <c r="I266" s="99">
        <f t="shared" si="0"/>
        <v>835.37823031644848</v>
      </c>
      <c r="J266" s="101">
        <f t="shared" si="1"/>
        <v>25.75</v>
      </c>
      <c r="K266" s="101">
        <f t="shared" si="2"/>
        <v>250</v>
      </c>
      <c r="L266" s="74">
        <f t="shared" si="3"/>
        <v>66</v>
      </c>
      <c r="M266" s="99">
        <f t="shared" si="191"/>
        <v>13366.051685063176</v>
      </c>
      <c r="N266" s="108">
        <f t="shared" si="192"/>
        <v>13366.051685063176</v>
      </c>
      <c r="O266" s="108"/>
      <c r="P266" s="108"/>
      <c r="Q266" s="108"/>
      <c r="R266" s="109"/>
      <c r="S266" s="99">
        <f t="shared" si="6"/>
        <v>10122.863865939025</v>
      </c>
      <c r="T266" s="108">
        <f t="shared" si="193"/>
        <v>10122.863865939025</v>
      </c>
      <c r="U266" s="108"/>
      <c r="V266" s="108"/>
      <c r="W266" s="108"/>
      <c r="X266" s="109"/>
      <c r="Y266" s="99">
        <f t="shared" si="8"/>
        <v>27191.10561320974</v>
      </c>
      <c r="Z266" s="108">
        <f t="shared" si="194"/>
        <v>27191.10561320974</v>
      </c>
      <c r="AA266" s="108"/>
      <c r="AB266" s="108"/>
      <c r="AC266" s="108"/>
      <c r="AD266" s="109"/>
      <c r="AE266" s="99">
        <f t="shared" ref="AE266:AF266" si="243">AO266</f>
        <v>16</v>
      </c>
      <c r="AF266" s="101">
        <f t="shared" si="243"/>
        <v>36</v>
      </c>
      <c r="AG266" s="101">
        <f t="shared" si="196"/>
        <v>19.001300000000001</v>
      </c>
      <c r="AH266" s="101">
        <f t="shared" si="197"/>
        <v>412</v>
      </c>
      <c r="AI266" s="101">
        <f t="shared" si="190"/>
        <v>268.61079999999998</v>
      </c>
      <c r="AJ266" s="108">
        <f t="shared" si="198"/>
        <v>1.2142857142857142</v>
      </c>
      <c r="AK266" s="101">
        <f t="shared" si="15"/>
        <v>8098.2910927512203</v>
      </c>
      <c r="AL266" s="101">
        <f t="shared" si="199"/>
        <v>8098.2910927512203</v>
      </c>
      <c r="AM266" s="101"/>
      <c r="AN266" s="101"/>
      <c r="AO266" s="1">
        <v>16</v>
      </c>
      <c r="AP266" s="2">
        <v>36</v>
      </c>
      <c r="AQ266" s="74">
        <f t="shared" si="200"/>
        <v>412</v>
      </c>
      <c r="AR266" s="31">
        <f t="shared" si="201"/>
        <v>0.85</v>
      </c>
      <c r="AS266" s="2">
        <f t="shared" si="202"/>
        <v>1</v>
      </c>
      <c r="AT266" s="33">
        <f t="shared" si="203"/>
        <v>0</v>
      </c>
      <c r="AU266" s="31">
        <f t="shared" si="204"/>
        <v>1.25</v>
      </c>
      <c r="AV266" s="2">
        <f t="shared" si="205"/>
        <v>0</v>
      </c>
      <c r="AW266" s="33">
        <f t="shared" si="206"/>
        <v>0</v>
      </c>
      <c r="AX266" s="31">
        <f t="shared" si="207"/>
        <v>1</v>
      </c>
      <c r="AY266" s="33">
        <f t="shared" si="208"/>
        <v>0</v>
      </c>
      <c r="AZ266" s="2"/>
      <c r="BA266" s="101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 ht="12" customHeight="1">
      <c r="A267" s="2"/>
      <c r="B267" s="107">
        <v>192</v>
      </c>
      <c r="C267" s="31">
        <v>10</v>
      </c>
      <c r="D267" s="106" t="s">
        <v>10</v>
      </c>
      <c r="E267" s="2" t="s">
        <v>153</v>
      </c>
      <c r="F267" s="2"/>
      <c r="G267" s="2" t="s">
        <v>137</v>
      </c>
      <c r="H267" s="33"/>
      <c r="I267" s="99">
        <f t="shared" si="0"/>
        <v>924.32621046221948</v>
      </c>
      <c r="J267" s="101">
        <f t="shared" si="1"/>
        <v>25.75</v>
      </c>
      <c r="K267" s="101">
        <f t="shared" si="2"/>
        <v>193</v>
      </c>
      <c r="L267" s="74">
        <f t="shared" si="3"/>
        <v>43</v>
      </c>
      <c r="M267" s="99">
        <f t="shared" si="191"/>
        <v>14789.219367395512</v>
      </c>
      <c r="N267" s="108">
        <f t="shared" si="192"/>
        <v>14789.219367395512</v>
      </c>
      <c r="O267" s="108"/>
      <c r="P267" s="108"/>
      <c r="Q267" s="108"/>
      <c r="R267" s="109"/>
      <c r="S267" s="99">
        <f t="shared" si="6"/>
        <v>8098.2910927512203</v>
      </c>
      <c r="T267" s="108">
        <f t="shared" si="193"/>
        <v>8098.2910927512203</v>
      </c>
      <c r="U267" s="108"/>
      <c r="V267" s="108"/>
      <c r="W267" s="108"/>
      <c r="X267" s="109"/>
      <c r="Y267" s="99">
        <f t="shared" si="8"/>
        <v>21752.884490567794</v>
      </c>
      <c r="Z267" s="108">
        <f t="shared" si="194"/>
        <v>21752.884490567794</v>
      </c>
      <c r="AA267" s="108"/>
      <c r="AB267" s="108"/>
      <c r="AC267" s="108"/>
      <c r="AD267" s="109"/>
      <c r="AE267" s="99">
        <f t="shared" ref="AE267:AF267" si="244">AO267</f>
        <v>16</v>
      </c>
      <c r="AF267" s="101">
        <f t="shared" si="244"/>
        <v>36</v>
      </c>
      <c r="AG267" s="101">
        <f t="shared" si="196"/>
        <v>49.001300000000001</v>
      </c>
      <c r="AH267" s="101">
        <f t="shared" si="197"/>
        <v>412</v>
      </c>
      <c r="AI267" s="101">
        <f t="shared" si="190"/>
        <v>268.61079999999998</v>
      </c>
      <c r="AJ267" s="108">
        <f t="shared" si="198"/>
        <v>1.2142857142857142</v>
      </c>
      <c r="AK267" s="101">
        <f t="shared" si="15"/>
        <v>8098.2910927512203</v>
      </c>
      <c r="AL267" s="101">
        <f t="shared" si="199"/>
        <v>8098.2910927512203</v>
      </c>
      <c r="AM267" s="101"/>
      <c r="AN267" s="101"/>
      <c r="AO267" s="1">
        <v>16</v>
      </c>
      <c r="AP267" s="2">
        <v>36</v>
      </c>
      <c r="AQ267" s="74">
        <f t="shared" si="200"/>
        <v>412</v>
      </c>
      <c r="AR267" s="31">
        <f t="shared" si="201"/>
        <v>0.85</v>
      </c>
      <c r="AS267" s="2">
        <f t="shared" si="202"/>
        <v>1</v>
      </c>
      <c r="AT267" s="33">
        <f t="shared" si="203"/>
        <v>0</v>
      </c>
      <c r="AU267" s="31">
        <f t="shared" si="204"/>
        <v>1</v>
      </c>
      <c r="AV267" s="2">
        <f t="shared" si="205"/>
        <v>30</v>
      </c>
      <c r="AW267" s="33">
        <f t="shared" si="206"/>
        <v>0</v>
      </c>
      <c r="AX267" s="31">
        <f t="shared" si="207"/>
        <v>1</v>
      </c>
      <c r="AY267" s="33">
        <f t="shared" si="208"/>
        <v>0</v>
      </c>
      <c r="AZ267" s="2"/>
      <c r="BA267" s="101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 ht="12" customHeight="1">
      <c r="A268" s="2"/>
      <c r="B268" s="107">
        <v>193</v>
      </c>
      <c r="C268" s="31">
        <v>10</v>
      </c>
      <c r="D268" s="106" t="s">
        <v>10</v>
      </c>
      <c r="E268" s="2" t="s">
        <v>161</v>
      </c>
      <c r="F268" s="2"/>
      <c r="G268" s="2" t="s">
        <v>185</v>
      </c>
      <c r="H268" s="33"/>
      <c r="I268" s="99">
        <f t="shared" si="0"/>
        <v>788.59704941872747</v>
      </c>
      <c r="J268" s="101">
        <f t="shared" si="1"/>
        <v>25.75</v>
      </c>
      <c r="K268" s="101">
        <f t="shared" si="2"/>
        <v>271</v>
      </c>
      <c r="L268" s="74">
        <f t="shared" si="3"/>
        <v>73</v>
      </c>
      <c r="M268" s="99">
        <f t="shared" si="191"/>
        <v>12617.552790699639</v>
      </c>
      <c r="N268" s="108">
        <f t="shared" si="192"/>
        <v>12617.552790699639</v>
      </c>
      <c r="O268" s="108"/>
      <c r="P268" s="108"/>
      <c r="Q268" s="108"/>
      <c r="R268" s="109"/>
      <c r="S268" s="99">
        <f t="shared" si="6"/>
        <v>9555.9834894464402</v>
      </c>
      <c r="T268" s="108">
        <f t="shared" si="193"/>
        <v>9555.9834894464402</v>
      </c>
      <c r="U268" s="108"/>
      <c r="V268" s="108"/>
      <c r="W268" s="108"/>
      <c r="X268" s="109"/>
      <c r="Y268" s="99">
        <f t="shared" si="8"/>
        <v>25668.403698869995</v>
      </c>
      <c r="Z268" s="108">
        <f t="shared" si="194"/>
        <v>25668.403698869995</v>
      </c>
      <c r="AA268" s="108"/>
      <c r="AB268" s="108"/>
      <c r="AC268" s="108"/>
      <c r="AD268" s="109"/>
      <c r="AE268" s="99">
        <f t="shared" ref="AE268:AF268" si="245">AO268</f>
        <v>16</v>
      </c>
      <c r="AF268" s="101">
        <f t="shared" si="245"/>
        <v>36</v>
      </c>
      <c r="AG268" s="101">
        <f t="shared" si="196"/>
        <v>19.001300000000001</v>
      </c>
      <c r="AH268" s="101">
        <f t="shared" si="197"/>
        <v>412</v>
      </c>
      <c r="AI268" s="101">
        <f t="shared" ref="AI268:AI331" si="246">$D$58+$D$19</f>
        <v>268.61079999999998</v>
      </c>
      <c r="AJ268" s="108">
        <f t="shared" si="198"/>
        <v>1.4285714285714286</v>
      </c>
      <c r="AK268" s="101">
        <f t="shared" si="15"/>
        <v>8098.2910927512203</v>
      </c>
      <c r="AL268" s="101">
        <f t="shared" si="199"/>
        <v>8098.2910927512203</v>
      </c>
      <c r="AM268" s="101"/>
      <c r="AN268" s="101"/>
      <c r="AO268" s="1">
        <v>16</v>
      </c>
      <c r="AP268" s="2">
        <v>36</v>
      </c>
      <c r="AQ268" s="74">
        <f t="shared" si="200"/>
        <v>412</v>
      </c>
      <c r="AR268" s="31">
        <f t="shared" si="201"/>
        <v>1</v>
      </c>
      <c r="AS268" s="2">
        <f t="shared" si="202"/>
        <v>1.18</v>
      </c>
      <c r="AT268" s="33">
        <f t="shared" si="203"/>
        <v>0</v>
      </c>
      <c r="AU268" s="31">
        <f t="shared" si="204"/>
        <v>1</v>
      </c>
      <c r="AV268" s="2">
        <f t="shared" si="205"/>
        <v>0</v>
      </c>
      <c r="AW268" s="33">
        <f t="shared" si="206"/>
        <v>0</v>
      </c>
      <c r="AX268" s="31">
        <f t="shared" si="207"/>
        <v>1</v>
      </c>
      <c r="AY268" s="33">
        <f t="shared" si="208"/>
        <v>0</v>
      </c>
      <c r="AZ268" s="2"/>
      <c r="BA268" s="101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 ht="12" customHeight="1">
      <c r="A269" s="2"/>
      <c r="B269" s="107">
        <v>194</v>
      </c>
      <c r="C269" s="31">
        <v>10</v>
      </c>
      <c r="D269" s="106" t="s">
        <v>10</v>
      </c>
      <c r="E269" s="2" t="s">
        <v>169</v>
      </c>
      <c r="F269" s="2"/>
      <c r="G269" s="2" t="s">
        <v>185</v>
      </c>
      <c r="H269" s="33"/>
      <c r="I269" s="99">
        <f t="shared" si="0"/>
        <v>985.74631177340939</v>
      </c>
      <c r="J269" s="101">
        <f t="shared" si="1"/>
        <v>25.75</v>
      </c>
      <c r="K269" s="101">
        <f t="shared" si="2"/>
        <v>170</v>
      </c>
      <c r="L269" s="74">
        <f t="shared" si="3"/>
        <v>37</v>
      </c>
      <c r="M269" s="99">
        <f t="shared" si="191"/>
        <v>15771.94098837455</v>
      </c>
      <c r="N269" s="108">
        <f t="shared" si="192"/>
        <v>15771.94098837455</v>
      </c>
      <c r="O269" s="108"/>
      <c r="P269" s="108"/>
      <c r="Q269" s="108"/>
      <c r="R269" s="109"/>
      <c r="S269" s="99">
        <f t="shared" si="6"/>
        <v>11944.979361808051</v>
      </c>
      <c r="T269" s="108">
        <f t="shared" si="193"/>
        <v>11944.979361808051</v>
      </c>
      <c r="U269" s="108"/>
      <c r="V269" s="108"/>
      <c r="W269" s="108"/>
      <c r="X269" s="109"/>
      <c r="Y269" s="99">
        <f t="shared" si="8"/>
        <v>32085.504623587498</v>
      </c>
      <c r="Z269" s="108">
        <f t="shared" si="194"/>
        <v>32085.504623587498</v>
      </c>
      <c r="AA269" s="108"/>
      <c r="AB269" s="108"/>
      <c r="AC269" s="108"/>
      <c r="AD269" s="109"/>
      <c r="AE269" s="99">
        <f t="shared" ref="AE269:AF269" si="247">AO269</f>
        <v>16</v>
      </c>
      <c r="AF269" s="101">
        <f t="shared" si="247"/>
        <v>36</v>
      </c>
      <c r="AG269" s="101">
        <f t="shared" si="196"/>
        <v>19.001300000000001</v>
      </c>
      <c r="AH269" s="101">
        <f t="shared" si="197"/>
        <v>412</v>
      </c>
      <c r="AI269" s="101">
        <f t="shared" si="246"/>
        <v>268.61079999999998</v>
      </c>
      <c r="AJ269" s="108">
        <f t="shared" si="198"/>
        <v>1.4285714285714286</v>
      </c>
      <c r="AK269" s="101">
        <f t="shared" si="15"/>
        <v>8098.2910927512203</v>
      </c>
      <c r="AL269" s="101">
        <f t="shared" si="199"/>
        <v>8098.2910927512203</v>
      </c>
      <c r="AM269" s="101"/>
      <c r="AN269" s="101"/>
      <c r="AO269" s="1">
        <v>16</v>
      </c>
      <c r="AP269" s="2">
        <v>36</v>
      </c>
      <c r="AQ269" s="74">
        <f t="shared" si="200"/>
        <v>412</v>
      </c>
      <c r="AR269" s="31">
        <f t="shared" si="201"/>
        <v>1</v>
      </c>
      <c r="AS269" s="2">
        <f t="shared" si="202"/>
        <v>1.18</v>
      </c>
      <c r="AT269" s="33">
        <f t="shared" si="203"/>
        <v>0</v>
      </c>
      <c r="AU269" s="31">
        <f t="shared" si="204"/>
        <v>1.25</v>
      </c>
      <c r="AV269" s="2">
        <f t="shared" si="205"/>
        <v>0</v>
      </c>
      <c r="AW269" s="33">
        <f t="shared" si="206"/>
        <v>0</v>
      </c>
      <c r="AX269" s="31">
        <f t="shared" si="207"/>
        <v>1</v>
      </c>
      <c r="AY269" s="33">
        <f t="shared" si="208"/>
        <v>0</v>
      </c>
      <c r="AZ269" s="2"/>
      <c r="BA269" s="101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 ht="12" customHeight="1">
      <c r="A270" s="2"/>
      <c r="B270" s="107">
        <v>195</v>
      </c>
      <c r="C270" s="31">
        <v>10</v>
      </c>
      <c r="D270" s="106" t="s">
        <v>10</v>
      </c>
      <c r="E270" s="2" t="s">
        <v>162</v>
      </c>
      <c r="F270" s="2"/>
      <c r="G270" s="2" t="s">
        <v>185</v>
      </c>
      <c r="H270" s="33"/>
      <c r="I270" s="99">
        <f t="shared" si="0"/>
        <v>1090.7049283454191</v>
      </c>
      <c r="J270" s="101">
        <f t="shared" si="1"/>
        <v>25.75</v>
      </c>
      <c r="K270" s="101">
        <f t="shared" si="2"/>
        <v>123</v>
      </c>
      <c r="L270" s="74">
        <f t="shared" si="3"/>
        <v>22</v>
      </c>
      <c r="M270" s="99">
        <f t="shared" si="191"/>
        <v>17451.278853526706</v>
      </c>
      <c r="N270" s="108">
        <f t="shared" si="192"/>
        <v>17451.278853526706</v>
      </c>
      <c r="O270" s="108"/>
      <c r="P270" s="108"/>
      <c r="Q270" s="108"/>
      <c r="R270" s="109"/>
      <c r="S270" s="99">
        <f t="shared" si="6"/>
        <v>9555.9834894464402</v>
      </c>
      <c r="T270" s="108">
        <f t="shared" si="193"/>
        <v>9555.9834894464402</v>
      </c>
      <c r="U270" s="108"/>
      <c r="V270" s="108"/>
      <c r="W270" s="108"/>
      <c r="X270" s="109"/>
      <c r="Y270" s="99">
        <f t="shared" si="8"/>
        <v>25668.403698869995</v>
      </c>
      <c r="Z270" s="108">
        <f t="shared" si="194"/>
        <v>25668.403698869995</v>
      </c>
      <c r="AA270" s="108"/>
      <c r="AB270" s="108"/>
      <c r="AC270" s="108"/>
      <c r="AD270" s="109"/>
      <c r="AE270" s="99">
        <f t="shared" ref="AE270:AF270" si="248">AO270</f>
        <v>16</v>
      </c>
      <c r="AF270" s="101">
        <f t="shared" si="248"/>
        <v>36</v>
      </c>
      <c r="AG270" s="101">
        <f t="shared" si="196"/>
        <v>49.001300000000001</v>
      </c>
      <c r="AH270" s="101">
        <f t="shared" si="197"/>
        <v>412</v>
      </c>
      <c r="AI270" s="101">
        <f t="shared" si="246"/>
        <v>268.61079999999998</v>
      </c>
      <c r="AJ270" s="108">
        <f t="shared" si="198"/>
        <v>1.4285714285714286</v>
      </c>
      <c r="AK270" s="101">
        <f t="shared" si="15"/>
        <v>8098.2910927512203</v>
      </c>
      <c r="AL270" s="101">
        <f t="shared" si="199"/>
        <v>8098.2910927512203</v>
      </c>
      <c r="AM270" s="101"/>
      <c r="AN270" s="101"/>
      <c r="AO270" s="1">
        <v>16</v>
      </c>
      <c r="AP270" s="2">
        <v>36</v>
      </c>
      <c r="AQ270" s="74">
        <f t="shared" si="200"/>
        <v>412</v>
      </c>
      <c r="AR270" s="31">
        <f t="shared" si="201"/>
        <v>1</v>
      </c>
      <c r="AS270" s="2">
        <f t="shared" si="202"/>
        <v>1.18</v>
      </c>
      <c r="AT270" s="33">
        <f t="shared" si="203"/>
        <v>0</v>
      </c>
      <c r="AU270" s="31">
        <f t="shared" si="204"/>
        <v>1</v>
      </c>
      <c r="AV270" s="2">
        <f t="shared" si="205"/>
        <v>30</v>
      </c>
      <c r="AW270" s="33">
        <f t="shared" si="206"/>
        <v>0</v>
      </c>
      <c r="AX270" s="31">
        <f t="shared" si="207"/>
        <v>1</v>
      </c>
      <c r="AY270" s="33">
        <f t="shared" si="208"/>
        <v>0</v>
      </c>
      <c r="AZ270" s="2"/>
      <c r="BA270" s="101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 ht="12" customHeight="1">
      <c r="A271" s="2"/>
      <c r="B271" s="107">
        <v>196</v>
      </c>
      <c r="C271" s="31">
        <v>10</v>
      </c>
      <c r="D271" s="106" t="s">
        <v>10</v>
      </c>
      <c r="E271" s="2" t="s">
        <v>92</v>
      </c>
      <c r="F271" s="2"/>
      <c r="G271" s="2"/>
      <c r="H271" s="33"/>
      <c r="I271" s="99">
        <f t="shared" si="0"/>
        <v>334.15129212657939</v>
      </c>
      <c r="J271" s="101">
        <f t="shared" si="1"/>
        <v>25.75</v>
      </c>
      <c r="K271" s="101">
        <f t="shared" si="2"/>
        <v>797</v>
      </c>
      <c r="L271" s="74">
        <f t="shared" si="3"/>
        <v>303</v>
      </c>
      <c r="M271" s="99">
        <f t="shared" si="191"/>
        <v>5346.4206740252703</v>
      </c>
      <c r="N271" s="108">
        <f t="shared" si="192"/>
        <v>5346.4206740252703</v>
      </c>
      <c r="O271" s="108"/>
      <c r="P271" s="108"/>
      <c r="Q271" s="108"/>
      <c r="R271" s="109"/>
      <c r="S271" s="99">
        <f t="shared" si="6"/>
        <v>4049.1455463756101</v>
      </c>
      <c r="T271" s="108">
        <f t="shared" si="193"/>
        <v>4049.1455463756101</v>
      </c>
      <c r="U271" s="108"/>
      <c r="V271" s="108"/>
      <c r="W271" s="108"/>
      <c r="X271" s="109"/>
      <c r="Y271" s="99">
        <f t="shared" si="8"/>
        <v>10876.442245283897</v>
      </c>
      <c r="Z271" s="108">
        <f t="shared" si="194"/>
        <v>10876.442245283897</v>
      </c>
      <c r="AA271" s="108"/>
      <c r="AB271" s="108"/>
      <c r="AC271" s="108"/>
      <c r="AD271" s="109"/>
      <c r="AE271" s="99">
        <f t="shared" ref="AE271:AF271" si="249">AO271</f>
        <v>16</v>
      </c>
      <c r="AF271" s="101">
        <f t="shared" si="249"/>
        <v>36</v>
      </c>
      <c r="AG271" s="101">
        <f t="shared" si="196"/>
        <v>19.001300000000001</v>
      </c>
      <c r="AH271" s="101">
        <f t="shared" si="197"/>
        <v>412</v>
      </c>
      <c r="AI271" s="101">
        <f t="shared" si="246"/>
        <v>268.61079999999998</v>
      </c>
      <c r="AJ271" s="108">
        <f t="shared" si="198"/>
        <v>1.4285714285714286</v>
      </c>
      <c r="AK271" s="101">
        <f t="shared" si="15"/>
        <v>8098.2910927512203</v>
      </c>
      <c r="AL271" s="101">
        <f t="shared" si="199"/>
        <v>8098.2910927512203</v>
      </c>
      <c r="AM271" s="101"/>
      <c r="AN271" s="101"/>
      <c r="AO271" s="1">
        <v>16</v>
      </c>
      <c r="AP271" s="2">
        <v>36</v>
      </c>
      <c r="AQ271" s="74">
        <f t="shared" si="200"/>
        <v>412</v>
      </c>
      <c r="AR271" s="31">
        <f t="shared" si="201"/>
        <v>1</v>
      </c>
      <c r="AS271" s="2">
        <f t="shared" si="202"/>
        <v>1</v>
      </c>
      <c r="AT271" s="33">
        <f t="shared" si="203"/>
        <v>0</v>
      </c>
      <c r="AU271" s="31">
        <f t="shared" si="204"/>
        <v>1</v>
      </c>
      <c r="AV271" s="2">
        <f t="shared" si="205"/>
        <v>0</v>
      </c>
      <c r="AW271" s="33">
        <f t="shared" si="206"/>
        <v>0</v>
      </c>
      <c r="AX271" s="31">
        <f t="shared" si="207"/>
        <v>1</v>
      </c>
      <c r="AY271" s="33">
        <f t="shared" si="208"/>
        <v>100</v>
      </c>
      <c r="AZ271" s="2"/>
      <c r="BA271" s="101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 ht="12" customHeight="1">
      <c r="A272" s="2"/>
      <c r="B272" s="107">
        <v>197</v>
      </c>
      <c r="C272" s="31">
        <v>10</v>
      </c>
      <c r="D272" s="106" t="s">
        <v>10</v>
      </c>
      <c r="E272" s="2" t="s">
        <v>139</v>
      </c>
      <c r="F272" s="2"/>
      <c r="G272" s="2"/>
      <c r="H272" s="33"/>
      <c r="I272" s="99">
        <f t="shared" si="0"/>
        <v>417.68911515822424</v>
      </c>
      <c r="J272" s="101">
        <f t="shared" si="1"/>
        <v>25.75</v>
      </c>
      <c r="K272" s="101">
        <f t="shared" si="2"/>
        <v>713</v>
      </c>
      <c r="L272" s="74">
        <f t="shared" si="3"/>
        <v>259</v>
      </c>
      <c r="M272" s="99">
        <f t="shared" si="191"/>
        <v>6683.0258425315878</v>
      </c>
      <c r="N272" s="108">
        <f t="shared" si="192"/>
        <v>6683.0258425315878</v>
      </c>
      <c r="O272" s="108"/>
      <c r="P272" s="108"/>
      <c r="Q272" s="108"/>
      <c r="R272" s="109"/>
      <c r="S272" s="99">
        <f t="shared" si="6"/>
        <v>5061.4319329695127</v>
      </c>
      <c r="T272" s="108">
        <f t="shared" si="193"/>
        <v>5061.4319329695127</v>
      </c>
      <c r="U272" s="108"/>
      <c r="V272" s="108"/>
      <c r="W272" s="108"/>
      <c r="X272" s="109"/>
      <c r="Y272" s="99">
        <f t="shared" si="8"/>
        <v>13595.55280660487</v>
      </c>
      <c r="Z272" s="108">
        <f t="shared" si="194"/>
        <v>13595.55280660487</v>
      </c>
      <c r="AA272" s="108"/>
      <c r="AB272" s="108"/>
      <c r="AC272" s="108"/>
      <c r="AD272" s="109"/>
      <c r="AE272" s="99">
        <f t="shared" ref="AE272:AF272" si="250">AO272</f>
        <v>16</v>
      </c>
      <c r="AF272" s="101">
        <f t="shared" si="250"/>
        <v>36</v>
      </c>
      <c r="AG272" s="101">
        <f t="shared" si="196"/>
        <v>19.001300000000001</v>
      </c>
      <c r="AH272" s="101">
        <f t="shared" si="197"/>
        <v>412</v>
      </c>
      <c r="AI272" s="101">
        <f t="shared" si="246"/>
        <v>268.61079999999998</v>
      </c>
      <c r="AJ272" s="108">
        <f t="shared" si="198"/>
        <v>1.4285714285714286</v>
      </c>
      <c r="AK272" s="101">
        <f t="shared" si="15"/>
        <v>8098.2910927512203</v>
      </c>
      <c r="AL272" s="101">
        <f t="shared" si="199"/>
        <v>8098.2910927512203</v>
      </c>
      <c r="AM272" s="101"/>
      <c r="AN272" s="101"/>
      <c r="AO272" s="1">
        <v>16</v>
      </c>
      <c r="AP272" s="2">
        <v>36</v>
      </c>
      <c r="AQ272" s="74">
        <f t="shared" si="200"/>
        <v>412</v>
      </c>
      <c r="AR272" s="31">
        <f t="shared" si="201"/>
        <v>1</v>
      </c>
      <c r="AS272" s="2">
        <f t="shared" si="202"/>
        <v>1</v>
      </c>
      <c r="AT272" s="33">
        <f t="shared" si="203"/>
        <v>0</v>
      </c>
      <c r="AU272" s="31">
        <f t="shared" si="204"/>
        <v>1.25</v>
      </c>
      <c r="AV272" s="2">
        <f t="shared" si="205"/>
        <v>0</v>
      </c>
      <c r="AW272" s="33">
        <f t="shared" si="206"/>
        <v>0</v>
      </c>
      <c r="AX272" s="31">
        <f t="shared" si="207"/>
        <v>1</v>
      </c>
      <c r="AY272" s="33">
        <f t="shared" si="208"/>
        <v>100</v>
      </c>
      <c r="AZ272" s="2"/>
      <c r="BA272" s="101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12" customHeight="1">
      <c r="A273" s="2"/>
      <c r="B273" s="107">
        <v>198</v>
      </c>
      <c r="C273" s="31">
        <v>10</v>
      </c>
      <c r="D273" s="106" t="s">
        <v>10</v>
      </c>
      <c r="E273" s="2" t="s">
        <v>95</v>
      </c>
      <c r="F273" s="2"/>
      <c r="G273" s="2"/>
      <c r="H273" s="33"/>
      <c r="I273" s="99">
        <f t="shared" si="0"/>
        <v>462.16310523110974</v>
      </c>
      <c r="J273" s="101">
        <f t="shared" si="1"/>
        <v>25.75</v>
      </c>
      <c r="K273" s="101">
        <f t="shared" si="2"/>
        <v>657</v>
      </c>
      <c r="L273" s="74">
        <f t="shared" si="3"/>
        <v>238</v>
      </c>
      <c r="M273" s="99">
        <f t="shared" si="191"/>
        <v>7394.6096836977558</v>
      </c>
      <c r="N273" s="108">
        <f t="shared" si="192"/>
        <v>7394.6096836977558</v>
      </c>
      <c r="O273" s="108"/>
      <c r="P273" s="108"/>
      <c r="Q273" s="108"/>
      <c r="R273" s="109"/>
      <c r="S273" s="99">
        <f t="shared" si="6"/>
        <v>4049.1455463756101</v>
      </c>
      <c r="T273" s="108">
        <f t="shared" si="193"/>
        <v>4049.1455463756101</v>
      </c>
      <c r="U273" s="108"/>
      <c r="V273" s="108"/>
      <c r="W273" s="108"/>
      <c r="X273" s="109"/>
      <c r="Y273" s="99">
        <f t="shared" si="8"/>
        <v>10876.442245283897</v>
      </c>
      <c r="Z273" s="108">
        <f t="shared" si="194"/>
        <v>10876.442245283897</v>
      </c>
      <c r="AA273" s="108"/>
      <c r="AB273" s="108"/>
      <c r="AC273" s="108"/>
      <c r="AD273" s="109"/>
      <c r="AE273" s="99">
        <f t="shared" ref="AE273:AF273" si="251">AO273</f>
        <v>16</v>
      </c>
      <c r="AF273" s="101">
        <f t="shared" si="251"/>
        <v>36</v>
      </c>
      <c r="AG273" s="101">
        <f t="shared" si="196"/>
        <v>49.001300000000001</v>
      </c>
      <c r="AH273" s="101">
        <f t="shared" si="197"/>
        <v>412</v>
      </c>
      <c r="AI273" s="101">
        <f t="shared" si="246"/>
        <v>268.61079999999998</v>
      </c>
      <c r="AJ273" s="108">
        <f t="shared" si="198"/>
        <v>1.4285714285714286</v>
      </c>
      <c r="AK273" s="101">
        <f t="shared" si="15"/>
        <v>8098.2910927512203</v>
      </c>
      <c r="AL273" s="101">
        <f t="shared" si="199"/>
        <v>8098.2910927512203</v>
      </c>
      <c r="AM273" s="101"/>
      <c r="AN273" s="101"/>
      <c r="AO273" s="1">
        <v>16</v>
      </c>
      <c r="AP273" s="2">
        <v>36</v>
      </c>
      <c r="AQ273" s="74">
        <f t="shared" si="200"/>
        <v>412</v>
      </c>
      <c r="AR273" s="31">
        <f t="shared" si="201"/>
        <v>1</v>
      </c>
      <c r="AS273" s="2">
        <f t="shared" si="202"/>
        <v>1</v>
      </c>
      <c r="AT273" s="33">
        <f t="shared" si="203"/>
        <v>0</v>
      </c>
      <c r="AU273" s="31">
        <f t="shared" si="204"/>
        <v>1</v>
      </c>
      <c r="AV273" s="2">
        <f t="shared" si="205"/>
        <v>30</v>
      </c>
      <c r="AW273" s="33">
        <f t="shared" si="206"/>
        <v>0</v>
      </c>
      <c r="AX273" s="31">
        <f t="shared" si="207"/>
        <v>1</v>
      </c>
      <c r="AY273" s="33">
        <f t="shared" si="208"/>
        <v>100</v>
      </c>
      <c r="AZ273" s="2"/>
      <c r="BA273" s="101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 ht="12" customHeight="1">
      <c r="A274" s="2"/>
      <c r="B274" s="107">
        <v>199</v>
      </c>
      <c r="C274" s="31">
        <v>10</v>
      </c>
      <c r="D274" s="106" t="s">
        <v>10</v>
      </c>
      <c r="E274" s="2" t="s">
        <v>151</v>
      </c>
      <c r="F274" s="2"/>
      <c r="G274" s="2"/>
      <c r="H274" s="33"/>
      <c r="I274" s="99">
        <f t="shared" si="0"/>
        <v>334.15129212657939</v>
      </c>
      <c r="J274" s="101">
        <f t="shared" si="1"/>
        <v>25.75</v>
      </c>
      <c r="K274" s="101">
        <f t="shared" si="2"/>
        <v>797</v>
      </c>
      <c r="L274" s="74">
        <f t="shared" si="3"/>
        <v>303</v>
      </c>
      <c r="M274" s="99">
        <f t="shared" si="191"/>
        <v>5346.4206740252703</v>
      </c>
      <c r="N274" s="108">
        <f t="shared" si="192"/>
        <v>5346.4206740252703</v>
      </c>
      <c r="O274" s="108"/>
      <c r="P274" s="108"/>
      <c r="Q274" s="108"/>
      <c r="R274" s="109"/>
      <c r="S274" s="99">
        <f t="shared" si="6"/>
        <v>4049.1455463756101</v>
      </c>
      <c r="T274" s="108">
        <f t="shared" si="193"/>
        <v>4049.1455463756101</v>
      </c>
      <c r="U274" s="108"/>
      <c r="V274" s="108"/>
      <c r="W274" s="108"/>
      <c r="X274" s="109"/>
      <c r="Y274" s="99">
        <f t="shared" si="8"/>
        <v>10876.442245283897</v>
      </c>
      <c r="Z274" s="108">
        <f t="shared" si="194"/>
        <v>10876.442245283897</v>
      </c>
      <c r="AA274" s="108"/>
      <c r="AB274" s="108"/>
      <c r="AC274" s="108"/>
      <c r="AD274" s="109"/>
      <c r="AE274" s="99">
        <f t="shared" ref="AE274:AF274" si="252">AO274</f>
        <v>16</v>
      </c>
      <c r="AF274" s="101">
        <f t="shared" si="252"/>
        <v>36</v>
      </c>
      <c r="AG274" s="101">
        <f t="shared" si="196"/>
        <v>19.001300000000001</v>
      </c>
      <c r="AH274" s="101">
        <f t="shared" si="197"/>
        <v>412</v>
      </c>
      <c r="AI274" s="101">
        <f t="shared" si="246"/>
        <v>268.61079999999998</v>
      </c>
      <c r="AJ274" s="108">
        <f t="shared" si="198"/>
        <v>1.2142857142857142</v>
      </c>
      <c r="AK274" s="101">
        <f t="shared" si="15"/>
        <v>8098.2910927512203</v>
      </c>
      <c r="AL274" s="101">
        <f t="shared" si="199"/>
        <v>8098.2910927512203</v>
      </c>
      <c r="AM274" s="101"/>
      <c r="AN274" s="101"/>
      <c r="AO274" s="1">
        <v>16</v>
      </c>
      <c r="AP274" s="2">
        <v>36</v>
      </c>
      <c r="AQ274" s="74">
        <f t="shared" si="200"/>
        <v>412</v>
      </c>
      <c r="AR274" s="31">
        <f t="shared" si="201"/>
        <v>0.85</v>
      </c>
      <c r="AS274" s="2">
        <f t="shared" si="202"/>
        <v>1</v>
      </c>
      <c r="AT274" s="33">
        <f t="shared" si="203"/>
        <v>0</v>
      </c>
      <c r="AU274" s="31">
        <f t="shared" si="204"/>
        <v>1</v>
      </c>
      <c r="AV274" s="2">
        <f t="shared" si="205"/>
        <v>0</v>
      </c>
      <c r="AW274" s="33">
        <f t="shared" si="206"/>
        <v>0</v>
      </c>
      <c r="AX274" s="31">
        <f t="shared" si="207"/>
        <v>1</v>
      </c>
      <c r="AY274" s="33">
        <f t="shared" si="208"/>
        <v>100</v>
      </c>
      <c r="AZ274" s="2"/>
      <c r="BA274" s="101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 ht="12" customHeight="1">
      <c r="A275" s="2"/>
      <c r="B275" s="107">
        <v>200</v>
      </c>
      <c r="C275" s="31">
        <v>10</v>
      </c>
      <c r="D275" s="106" t="s">
        <v>10</v>
      </c>
      <c r="E275" s="2" t="s">
        <v>165</v>
      </c>
      <c r="F275" s="2"/>
      <c r="G275" s="2"/>
      <c r="H275" s="33"/>
      <c r="I275" s="99">
        <f t="shared" si="0"/>
        <v>417.68911515822424</v>
      </c>
      <c r="J275" s="101">
        <f t="shared" si="1"/>
        <v>25.75</v>
      </c>
      <c r="K275" s="101">
        <f t="shared" si="2"/>
        <v>713</v>
      </c>
      <c r="L275" s="74">
        <f t="shared" si="3"/>
        <v>259</v>
      </c>
      <c r="M275" s="99">
        <f t="shared" si="191"/>
        <v>6683.0258425315878</v>
      </c>
      <c r="N275" s="108">
        <f t="shared" si="192"/>
        <v>6683.0258425315878</v>
      </c>
      <c r="O275" s="108"/>
      <c r="P275" s="108"/>
      <c r="Q275" s="108"/>
      <c r="R275" s="109"/>
      <c r="S275" s="99">
        <f t="shared" si="6"/>
        <v>5061.4319329695127</v>
      </c>
      <c r="T275" s="108">
        <f t="shared" si="193"/>
        <v>5061.4319329695127</v>
      </c>
      <c r="U275" s="108"/>
      <c r="V275" s="108"/>
      <c r="W275" s="108"/>
      <c r="X275" s="109"/>
      <c r="Y275" s="99">
        <f t="shared" si="8"/>
        <v>13595.55280660487</v>
      </c>
      <c r="Z275" s="108">
        <f t="shared" si="194"/>
        <v>13595.55280660487</v>
      </c>
      <c r="AA275" s="108"/>
      <c r="AB275" s="108"/>
      <c r="AC275" s="108"/>
      <c r="AD275" s="109"/>
      <c r="AE275" s="99">
        <f t="shared" ref="AE275:AF275" si="253">AO275</f>
        <v>16</v>
      </c>
      <c r="AF275" s="101">
        <f t="shared" si="253"/>
        <v>36</v>
      </c>
      <c r="AG275" s="101">
        <f t="shared" si="196"/>
        <v>19.001300000000001</v>
      </c>
      <c r="AH275" s="101">
        <f t="shared" si="197"/>
        <v>412</v>
      </c>
      <c r="AI275" s="101">
        <f t="shared" si="246"/>
        <v>268.61079999999998</v>
      </c>
      <c r="AJ275" s="108">
        <f t="shared" si="198"/>
        <v>1.2142857142857142</v>
      </c>
      <c r="AK275" s="101">
        <f t="shared" si="15"/>
        <v>8098.2910927512203</v>
      </c>
      <c r="AL275" s="101">
        <f t="shared" si="199"/>
        <v>8098.2910927512203</v>
      </c>
      <c r="AM275" s="101"/>
      <c r="AN275" s="101"/>
      <c r="AO275" s="1">
        <v>16</v>
      </c>
      <c r="AP275" s="2">
        <v>36</v>
      </c>
      <c r="AQ275" s="74">
        <f t="shared" si="200"/>
        <v>412</v>
      </c>
      <c r="AR275" s="31">
        <f t="shared" si="201"/>
        <v>0.85</v>
      </c>
      <c r="AS275" s="2">
        <f t="shared" si="202"/>
        <v>1</v>
      </c>
      <c r="AT275" s="33">
        <f t="shared" si="203"/>
        <v>0</v>
      </c>
      <c r="AU275" s="31">
        <f t="shared" si="204"/>
        <v>1.25</v>
      </c>
      <c r="AV275" s="2">
        <f t="shared" si="205"/>
        <v>0</v>
      </c>
      <c r="AW275" s="33">
        <f t="shared" si="206"/>
        <v>0</v>
      </c>
      <c r="AX275" s="31">
        <f t="shared" si="207"/>
        <v>1</v>
      </c>
      <c r="AY275" s="33">
        <f t="shared" si="208"/>
        <v>100</v>
      </c>
      <c r="AZ275" s="2"/>
      <c r="BA275" s="101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12" customHeight="1">
      <c r="A276" s="2"/>
      <c r="B276" s="107">
        <v>201</v>
      </c>
      <c r="C276" s="31">
        <v>10</v>
      </c>
      <c r="D276" s="106" t="s">
        <v>10</v>
      </c>
      <c r="E276" s="2" t="s">
        <v>154</v>
      </c>
      <c r="F276" s="2"/>
      <c r="G276" s="2"/>
      <c r="H276" s="33"/>
      <c r="I276" s="99">
        <f t="shared" si="0"/>
        <v>462.16310523110974</v>
      </c>
      <c r="J276" s="101">
        <f t="shared" si="1"/>
        <v>25.75</v>
      </c>
      <c r="K276" s="101">
        <f t="shared" si="2"/>
        <v>657</v>
      </c>
      <c r="L276" s="74">
        <f t="shared" si="3"/>
        <v>238</v>
      </c>
      <c r="M276" s="99">
        <f t="shared" si="191"/>
        <v>7394.6096836977558</v>
      </c>
      <c r="N276" s="108">
        <f t="shared" si="192"/>
        <v>7394.6096836977558</v>
      </c>
      <c r="O276" s="108"/>
      <c r="P276" s="108"/>
      <c r="Q276" s="108"/>
      <c r="R276" s="109"/>
      <c r="S276" s="99">
        <f t="shared" si="6"/>
        <v>4049.1455463756101</v>
      </c>
      <c r="T276" s="108">
        <f t="shared" si="193"/>
        <v>4049.1455463756101</v>
      </c>
      <c r="U276" s="108"/>
      <c r="V276" s="108"/>
      <c r="W276" s="108"/>
      <c r="X276" s="109"/>
      <c r="Y276" s="99">
        <f t="shared" si="8"/>
        <v>10876.442245283897</v>
      </c>
      <c r="Z276" s="108">
        <f t="shared" si="194"/>
        <v>10876.442245283897</v>
      </c>
      <c r="AA276" s="108"/>
      <c r="AB276" s="108"/>
      <c r="AC276" s="108"/>
      <c r="AD276" s="109"/>
      <c r="AE276" s="99">
        <f t="shared" ref="AE276:AF276" si="254">AO276</f>
        <v>16</v>
      </c>
      <c r="AF276" s="101">
        <f t="shared" si="254"/>
        <v>36</v>
      </c>
      <c r="AG276" s="101">
        <f t="shared" si="196"/>
        <v>49.001300000000001</v>
      </c>
      <c r="AH276" s="101">
        <f t="shared" si="197"/>
        <v>412</v>
      </c>
      <c r="AI276" s="101">
        <f t="shared" si="246"/>
        <v>268.61079999999998</v>
      </c>
      <c r="AJ276" s="108">
        <f t="shared" si="198"/>
        <v>1.2142857142857142</v>
      </c>
      <c r="AK276" s="101">
        <f t="shared" si="15"/>
        <v>8098.2910927512203</v>
      </c>
      <c r="AL276" s="101">
        <f t="shared" si="199"/>
        <v>8098.2910927512203</v>
      </c>
      <c r="AM276" s="101"/>
      <c r="AN276" s="101"/>
      <c r="AO276" s="1">
        <v>16</v>
      </c>
      <c r="AP276" s="2">
        <v>36</v>
      </c>
      <c r="AQ276" s="74">
        <f t="shared" si="200"/>
        <v>412</v>
      </c>
      <c r="AR276" s="31">
        <f t="shared" si="201"/>
        <v>0.85</v>
      </c>
      <c r="AS276" s="2">
        <f t="shared" si="202"/>
        <v>1</v>
      </c>
      <c r="AT276" s="33">
        <f t="shared" si="203"/>
        <v>0</v>
      </c>
      <c r="AU276" s="31">
        <f t="shared" si="204"/>
        <v>1</v>
      </c>
      <c r="AV276" s="2">
        <f t="shared" si="205"/>
        <v>30</v>
      </c>
      <c r="AW276" s="33">
        <f t="shared" si="206"/>
        <v>0</v>
      </c>
      <c r="AX276" s="31">
        <f t="shared" si="207"/>
        <v>1</v>
      </c>
      <c r="AY276" s="33">
        <f t="shared" si="208"/>
        <v>100</v>
      </c>
      <c r="AZ276" s="2"/>
      <c r="BA276" s="101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 ht="12" customHeight="1">
      <c r="A277" s="2"/>
      <c r="B277" s="107">
        <v>202</v>
      </c>
      <c r="C277" s="31">
        <v>10</v>
      </c>
      <c r="D277" s="106" t="s">
        <v>10</v>
      </c>
      <c r="E277" s="2" t="s">
        <v>99</v>
      </c>
      <c r="F277" s="2"/>
      <c r="G277" s="2" t="s">
        <v>184</v>
      </c>
      <c r="H277" s="33"/>
      <c r="I277" s="99">
        <f t="shared" si="0"/>
        <v>394.29852470936373</v>
      </c>
      <c r="J277" s="101">
        <f t="shared" si="1"/>
        <v>25.75</v>
      </c>
      <c r="K277" s="101">
        <f t="shared" si="2"/>
        <v>737</v>
      </c>
      <c r="L277" s="74">
        <f t="shared" si="3"/>
        <v>269</v>
      </c>
      <c r="M277" s="99">
        <f t="shared" si="191"/>
        <v>6308.7763953498197</v>
      </c>
      <c r="N277" s="108">
        <f t="shared" si="192"/>
        <v>6308.7763953498197</v>
      </c>
      <c r="O277" s="108"/>
      <c r="P277" s="108"/>
      <c r="Q277" s="108"/>
      <c r="R277" s="109"/>
      <c r="S277" s="99">
        <f t="shared" si="6"/>
        <v>4777.9917447232201</v>
      </c>
      <c r="T277" s="108">
        <f t="shared" si="193"/>
        <v>4777.9917447232201</v>
      </c>
      <c r="U277" s="108"/>
      <c r="V277" s="108"/>
      <c r="W277" s="108"/>
      <c r="X277" s="109"/>
      <c r="Y277" s="99">
        <f t="shared" si="8"/>
        <v>12834.201849434998</v>
      </c>
      <c r="Z277" s="108">
        <f t="shared" si="194"/>
        <v>12834.201849434998</v>
      </c>
      <c r="AA277" s="108"/>
      <c r="AB277" s="108"/>
      <c r="AC277" s="108"/>
      <c r="AD277" s="109"/>
      <c r="AE277" s="99">
        <f t="shared" ref="AE277:AF277" si="255">AO277</f>
        <v>16</v>
      </c>
      <c r="AF277" s="101">
        <f t="shared" si="255"/>
        <v>36</v>
      </c>
      <c r="AG277" s="101">
        <f t="shared" si="196"/>
        <v>19.001300000000001</v>
      </c>
      <c r="AH277" s="101">
        <f t="shared" si="197"/>
        <v>412</v>
      </c>
      <c r="AI277" s="101">
        <f t="shared" si="246"/>
        <v>268.61079999999998</v>
      </c>
      <c r="AJ277" s="108">
        <f t="shared" si="198"/>
        <v>1.4285714285714286</v>
      </c>
      <c r="AK277" s="101">
        <f t="shared" si="15"/>
        <v>8098.2910927512203</v>
      </c>
      <c r="AL277" s="101">
        <f t="shared" si="199"/>
        <v>8098.2910927512203</v>
      </c>
      <c r="AM277" s="101"/>
      <c r="AN277" s="101"/>
      <c r="AO277" s="1">
        <v>16</v>
      </c>
      <c r="AP277" s="2">
        <v>36</v>
      </c>
      <c r="AQ277" s="74">
        <f t="shared" si="200"/>
        <v>412</v>
      </c>
      <c r="AR277" s="31">
        <f t="shared" si="201"/>
        <v>1</v>
      </c>
      <c r="AS277" s="2">
        <f t="shared" si="202"/>
        <v>1.18</v>
      </c>
      <c r="AT277" s="33">
        <f t="shared" si="203"/>
        <v>0</v>
      </c>
      <c r="AU277" s="31">
        <f t="shared" si="204"/>
        <v>1</v>
      </c>
      <c r="AV277" s="2">
        <f t="shared" si="205"/>
        <v>0</v>
      </c>
      <c r="AW277" s="33">
        <f t="shared" si="206"/>
        <v>0</v>
      </c>
      <c r="AX277" s="31">
        <f t="shared" si="207"/>
        <v>1</v>
      </c>
      <c r="AY277" s="33">
        <f t="shared" si="208"/>
        <v>100</v>
      </c>
      <c r="AZ277" s="2"/>
      <c r="BA277" s="101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12" customHeight="1">
      <c r="A278" s="2"/>
      <c r="B278" s="107">
        <v>203</v>
      </c>
      <c r="C278" s="31">
        <v>10</v>
      </c>
      <c r="D278" s="106" t="s">
        <v>10</v>
      </c>
      <c r="E278" s="2" t="s">
        <v>170</v>
      </c>
      <c r="F278" s="2"/>
      <c r="G278" s="2" t="s">
        <v>184</v>
      </c>
      <c r="H278" s="33"/>
      <c r="I278" s="99">
        <f t="shared" si="0"/>
        <v>492.87315588670469</v>
      </c>
      <c r="J278" s="101">
        <f t="shared" si="1"/>
        <v>25.75</v>
      </c>
      <c r="K278" s="101">
        <f t="shared" si="2"/>
        <v>614</v>
      </c>
      <c r="L278" s="74">
        <f t="shared" si="3"/>
        <v>219</v>
      </c>
      <c r="M278" s="99">
        <f t="shared" si="191"/>
        <v>7885.9704941872751</v>
      </c>
      <c r="N278" s="108">
        <f t="shared" si="192"/>
        <v>7885.9704941872751</v>
      </c>
      <c r="O278" s="108"/>
      <c r="P278" s="108"/>
      <c r="Q278" s="108"/>
      <c r="R278" s="109"/>
      <c r="S278" s="99">
        <f t="shared" si="6"/>
        <v>5972.4896809040256</v>
      </c>
      <c r="T278" s="108">
        <f t="shared" si="193"/>
        <v>5972.4896809040256</v>
      </c>
      <c r="U278" s="108"/>
      <c r="V278" s="108"/>
      <c r="W278" s="108"/>
      <c r="X278" s="109"/>
      <c r="Y278" s="99">
        <f t="shared" si="8"/>
        <v>16042.752311793749</v>
      </c>
      <c r="Z278" s="108">
        <f t="shared" si="194"/>
        <v>16042.752311793749</v>
      </c>
      <c r="AA278" s="108"/>
      <c r="AB278" s="108"/>
      <c r="AC278" s="108"/>
      <c r="AD278" s="109"/>
      <c r="AE278" s="99">
        <f t="shared" ref="AE278:AF278" si="256">AO278</f>
        <v>16</v>
      </c>
      <c r="AF278" s="101">
        <f t="shared" si="256"/>
        <v>36</v>
      </c>
      <c r="AG278" s="101">
        <f t="shared" si="196"/>
        <v>19.001300000000001</v>
      </c>
      <c r="AH278" s="101">
        <f t="shared" si="197"/>
        <v>412</v>
      </c>
      <c r="AI278" s="101">
        <f t="shared" si="246"/>
        <v>268.61079999999998</v>
      </c>
      <c r="AJ278" s="108">
        <f t="shared" si="198"/>
        <v>1.4285714285714286</v>
      </c>
      <c r="AK278" s="101">
        <f t="shared" si="15"/>
        <v>8098.2910927512203</v>
      </c>
      <c r="AL278" s="101">
        <f t="shared" si="199"/>
        <v>8098.2910927512203</v>
      </c>
      <c r="AM278" s="101"/>
      <c r="AN278" s="101"/>
      <c r="AO278" s="1">
        <v>16</v>
      </c>
      <c r="AP278" s="2">
        <v>36</v>
      </c>
      <c r="AQ278" s="74">
        <f t="shared" si="200"/>
        <v>412</v>
      </c>
      <c r="AR278" s="31">
        <f t="shared" si="201"/>
        <v>1</v>
      </c>
      <c r="AS278" s="2">
        <f t="shared" si="202"/>
        <v>1.18</v>
      </c>
      <c r="AT278" s="33">
        <f t="shared" si="203"/>
        <v>0</v>
      </c>
      <c r="AU278" s="31">
        <f t="shared" si="204"/>
        <v>1.25</v>
      </c>
      <c r="AV278" s="2">
        <f t="shared" si="205"/>
        <v>0</v>
      </c>
      <c r="AW278" s="33">
        <f t="shared" si="206"/>
        <v>0</v>
      </c>
      <c r="AX278" s="31">
        <f t="shared" si="207"/>
        <v>1</v>
      </c>
      <c r="AY278" s="33">
        <f t="shared" si="208"/>
        <v>100</v>
      </c>
      <c r="AZ278" s="2"/>
      <c r="BA278" s="101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 ht="12" customHeight="1">
      <c r="A279" s="2"/>
      <c r="B279" s="107">
        <v>204</v>
      </c>
      <c r="C279" s="31">
        <v>10</v>
      </c>
      <c r="D279" s="106" t="s">
        <v>10</v>
      </c>
      <c r="E279" s="2" t="s">
        <v>102</v>
      </c>
      <c r="F279" s="2"/>
      <c r="G279" s="2" t="s">
        <v>184</v>
      </c>
      <c r="H279" s="33"/>
      <c r="I279" s="99">
        <f t="shared" si="0"/>
        <v>545.35246417270957</v>
      </c>
      <c r="J279" s="101">
        <f t="shared" si="1"/>
        <v>25.75</v>
      </c>
      <c r="K279" s="101">
        <f t="shared" si="2"/>
        <v>543</v>
      </c>
      <c r="L279" s="74">
        <f t="shared" si="3"/>
        <v>190</v>
      </c>
      <c r="M279" s="99">
        <f t="shared" si="191"/>
        <v>8725.6394267633532</v>
      </c>
      <c r="N279" s="108">
        <f t="shared" si="192"/>
        <v>8725.6394267633532</v>
      </c>
      <c r="O279" s="108"/>
      <c r="P279" s="108"/>
      <c r="Q279" s="108"/>
      <c r="R279" s="109"/>
      <c r="S279" s="99">
        <f t="shared" si="6"/>
        <v>4777.9917447232201</v>
      </c>
      <c r="T279" s="108">
        <f t="shared" si="193"/>
        <v>4777.9917447232201</v>
      </c>
      <c r="U279" s="108"/>
      <c r="V279" s="108"/>
      <c r="W279" s="108"/>
      <c r="X279" s="109"/>
      <c r="Y279" s="99">
        <f t="shared" si="8"/>
        <v>12834.201849434998</v>
      </c>
      <c r="Z279" s="108">
        <f t="shared" si="194"/>
        <v>12834.201849434998</v>
      </c>
      <c r="AA279" s="108"/>
      <c r="AB279" s="108"/>
      <c r="AC279" s="108"/>
      <c r="AD279" s="109"/>
      <c r="AE279" s="99">
        <f t="shared" ref="AE279:AF279" si="257">AO279</f>
        <v>16</v>
      </c>
      <c r="AF279" s="101">
        <f t="shared" si="257"/>
        <v>36</v>
      </c>
      <c r="AG279" s="101">
        <f t="shared" si="196"/>
        <v>49.001300000000001</v>
      </c>
      <c r="AH279" s="101">
        <f t="shared" si="197"/>
        <v>412</v>
      </c>
      <c r="AI279" s="101">
        <f t="shared" si="246"/>
        <v>268.61079999999998</v>
      </c>
      <c r="AJ279" s="108">
        <f t="shared" si="198"/>
        <v>1.4285714285714286</v>
      </c>
      <c r="AK279" s="101">
        <f t="shared" si="15"/>
        <v>8098.2910927512203</v>
      </c>
      <c r="AL279" s="101">
        <f t="shared" si="199"/>
        <v>8098.2910927512203</v>
      </c>
      <c r="AM279" s="101"/>
      <c r="AN279" s="101"/>
      <c r="AO279" s="1">
        <v>16</v>
      </c>
      <c r="AP279" s="2">
        <v>36</v>
      </c>
      <c r="AQ279" s="74">
        <f t="shared" si="200"/>
        <v>412</v>
      </c>
      <c r="AR279" s="31">
        <f t="shared" si="201"/>
        <v>1</v>
      </c>
      <c r="AS279" s="2">
        <f t="shared" si="202"/>
        <v>1.18</v>
      </c>
      <c r="AT279" s="33">
        <f t="shared" si="203"/>
        <v>0</v>
      </c>
      <c r="AU279" s="31">
        <f t="shared" si="204"/>
        <v>1</v>
      </c>
      <c r="AV279" s="2">
        <f t="shared" si="205"/>
        <v>30</v>
      </c>
      <c r="AW279" s="33">
        <f t="shared" si="206"/>
        <v>0</v>
      </c>
      <c r="AX279" s="31">
        <f t="shared" si="207"/>
        <v>1</v>
      </c>
      <c r="AY279" s="33">
        <f t="shared" si="208"/>
        <v>100</v>
      </c>
      <c r="AZ279" s="2"/>
      <c r="BA279" s="101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 ht="12" customHeight="1">
      <c r="A280" s="2"/>
      <c r="B280" s="107">
        <v>205</v>
      </c>
      <c r="C280" s="31">
        <v>7</v>
      </c>
      <c r="D280" s="106" t="s">
        <v>10</v>
      </c>
      <c r="E280" s="2" t="s">
        <v>67</v>
      </c>
      <c r="F280" s="2"/>
      <c r="G280" s="2"/>
      <c r="H280" s="33"/>
      <c r="I280" s="99">
        <f t="shared" si="0"/>
        <v>639.84864829356286</v>
      </c>
      <c r="J280" s="101">
        <f t="shared" si="1"/>
        <v>17.9375</v>
      </c>
      <c r="K280" s="101">
        <f t="shared" si="2"/>
        <v>420</v>
      </c>
      <c r="L280" s="74">
        <f t="shared" si="3"/>
        <v>134</v>
      </c>
      <c r="M280" s="99">
        <f t="shared" si="191"/>
        <v>10237.578372697006</v>
      </c>
      <c r="N280" s="108">
        <f t="shared" si="192"/>
        <v>10237.578372697006</v>
      </c>
      <c r="O280" s="108"/>
      <c r="P280" s="108"/>
      <c r="Q280" s="108"/>
      <c r="R280" s="109"/>
      <c r="S280" s="99">
        <f t="shared" si="6"/>
        <v>7753.4947960365853</v>
      </c>
      <c r="T280" s="108">
        <f t="shared" si="193"/>
        <v>7753.4947960365853</v>
      </c>
      <c r="U280" s="108"/>
      <c r="V280" s="108"/>
      <c r="W280" s="108"/>
      <c r="X280" s="109"/>
      <c r="Y280" s="99">
        <f t="shared" si="8"/>
        <v>20826.72439959224</v>
      </c>
      <c r="Z280" s="108">
        <f t="shared" si="194"/>
        <v>20826.72439959224</v>
      </c>
      <c r="AA280" s="108"/>
      <c r="AB280" s="108"/>
      <c r="AC280" s="108"/>
      <c r="AD280" s="109"/>
      <c r="AE280" s="99">
        <f t="shared" ref="AE280:AF280" si="258">AO280</f>
        <v>16</v>
      </c>
      <c r="AF280" s="101">
        <f t="shared" si="258"/>
        <v>36</v>
      </c>
      <c r="AG280" s="101">
        <f t="shared" si="196"/>
        <v>19.001300000000001</v>
      </c>
      <c r="AH280" s="101">
        <f t="shared" si="197"/>
        <v>287</v>
      </c>
      <c r="AI280" s="101">
        <f t="shared" si="246"/>
        <v>268.61079999999998</v>
      </c>
      <c r="AJ280" s="108">
        <f t="shared" si="198"/>
        <v>1.4285714285714286</v>
      </c>
      <c r="AK280" s="101">
        <f t="shared" si="15"/>
        <v>7753.4947960365853</v>
      </c>
      <c r="AL280" s="101">
        <f t="shared" si="199"/>
        <v>7753.4947960365853</v>
      </c>
      <c r="AM280" s="101"/>
      <c r="AN280" s="101"/>
      <c r="AO280" s="1">
        <v>16</v>
      </c>
      <c r="AP280" s="2">
        <v>36</v>
      </c>
      <c r="AQ280" s="74">
        <f t="shared" si="200"/>
        <v>287</v>
      </c>
      <c r="AR280" s="31">
        <f t="shared" si="201"/>
        <v>1</v>
      </c>
      <c r="AS280" s="2">
        <f t="shared" si="202"/>
        <v>1</v>
      </c>
      <c r="AT280" s="33">
        <f t="shared" si="203"/>
        <v>0</v>
      </c>
      <c r="AU280" s="31">
        <f t="shared" si="204"/>
        <v>1</v>
      </c>
      <c r="AV280" s="2">
        <f t="shared" si="205"/>
        <v>0</v>
      </c>
      <c r="AW280" s="33">
        <f t="shared" si="206"/>
        <v>0</v>
      </c>
      <c r="AX280" s="31">
        <f t="shared" si="207"/>
        <v>1</v>
      </c>
      <c r="AY280" s="33">
        <f t="shared" si="208"/>
        <v>0</v>
      </c>
      <c r="AZ280" s="2"/>
      <c r="BA280" s="101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 ht="12" customHeight="1">
      <c r="A281" s="2"/>
      <c r="B281" s="107">
        <v>206</v>
      </c>
      <c r="C281" s="31">
        <v>7</v>
      </c>
      <c r="D281" s="106" t="s">
        <v>10</v>
      </c>
      <c r="E281" s="2" t="s">
        <v>136</v>
      </c>
      <c r="F281" s="2"/>
      <c r="G281" s="2"/>
      <c r="H281" s="33"/>
      <c r="I281" s="99">
        <f t="shared" si="0"/>
        <v>799.81081036695366</v>
      </c>
      <c r="J281" s="101">
        <f t="shared" si="1"/>
        <v>17.9375</v>
      </c>
      <c r="K281" s="101">
        <f t="shared" si="2"/>
        <v>267</v>
      </c>
      <c r="L281" s="74">
        <f t="shared" si="3"/>
        <v>71</v>
      </c>
      <c r="M281" s="99">
        <f t="shared" si="191"/>
        <v>12796.972965871259</v>
      </c>
      <c r="N281" s="108">
        <f t="shared" si="192"/>
        <v>12796.972965871259</v>
      </c>
      <c r="O281" s="108"/>
      <c r="P281" s="108"/>
      <c r="Q281" s="108"/>
      <c r="R281" s="109"/>
      <c r="S281" s="99">
        <f t="shared" si="6"/>
        <v>9691.8684950457318</v>
      </c>
      <c r="T281" s="108">
        <f t="shared" si="193"/>
        <v>9691.8684950457318</v>
      </c>
      <c r="U281" s="108"/>
      <c r="V281" s="108"/>
      <c r="W281" s="108"/>
      <c r="X281" s="109"/>
      <c r="Y281" s="99">
        <f t="shared" si="8"/>
        <v>26033.405499490298</v>
      </c>
      <c r="Z281" s="108">
        <f t="shared" si="194"/>
        <v>26033.405499490298</v>
      </c>
      <c r="AA281" s="108"/>
      <c r="AB281" s="108"/>
      <c r="AC281" s="108"/>
      <c r="AD281" s="109"/>
      <c r="AE281" s="99">
        <f t="shared" ref="AE281:AF281" si="259">AO281</f>
        <v>16</v>
      </c>
      <c r="AF281" s="101">
        <f t="shared" si="259"/>
        <v>36</v>
      </c>
      <c r="AG281" s="101">
        <f t="shared" si="196"/>
        <v>19.001300000000001</v>
      </c>
      <c r="AH281" s="101">
        <f t="shared" si="197"/>
        <v>287</v>
      </c>
      <c r="AI281" s="101">
        <f t="shared" si="246"/>
        <v>268.61079999999998</v>
      </c>
      <c r="AJ281" s="108">
        <f t="shared" si="198"/>
        <v>1.4285714285714286</v>
      </c>
      <c r="AK281" s="101">
        <f t="shared" si="15"/>
        <v>7753.4947960365853</v>
      </c>
      <c r="AL281" s="101">
        <f t="shared" si="199"/>
        <v>7753.4947960365853</v>
      </c>
      <c r="AM281" s="101"/>
      <c r="AN281" s="101"/>
      <c r="AO281" s="1">
        <v>16</v>
      </c>
      <c r="AP281" s="2">
        <v>36</v>
      </c>
      <c r="AQ281" s="74">
        <f t="shared" si="200"/>
        <v>287</v>
      </c>
      <c r="AR281" s="31">
        <f t="shared" si="201"/>
        <v>1</v>
      </c>
      <c r="AS281" s="2">
        <f t="shared" si="202"/>
        <v>1</v>
      </c>
      <c r="AT281" s="33">
        <f t="shared" si="203"/>
        <v>0</v>
      </c>
      <c r="AU281" s="31">
        <f t="shared" si="204"/>
        <v>1.25</v>
      </c>
      <c r="AV281" s="2">
        <f t="shared" si="205"/>
        <v>0</v>
      </c>
      <c r="AW281" s="33">
        <f t="shared" si="206"/>
        <v>0</v>
      </c>
      <c r="AX281" s="31">
        <f t="shared" si="207"/>
        <v>1</v>
      </c>
      <c r="AY281" s="33">
        <f t="shared" si="208"/>
        <v>0</v>
      </c>
      <c r="AZ281" s="2"/>
      <c r="BA281" s="101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 ht="12" customHeight="1">
      <c r="A282" s="2"/>
      <c r="B282" s="107">
        <v>207</v>
      </c>
      <c r="C282" s="31">
        <v>7</v>
      </c>
      <c r="D282" s="106" t="s">
        <v>10</v>
      </c>
      <c r="E282" s="2" t="s">
        <v>89</v>
      </c>
      <c r="F282" s="2"/>
      <c r="G282" s="2"/>
      <c r="H282" s="33"/>
      <c r="I282" s="99">
        <f t="shared" si="0"/>
        <v>884.97170336023134</v>
      </c>
      <c r="J282" s="101">
        <f t="shared" si="1"/>
        <v>17.9375</v>
      </c>
      <c r="K282" s="101">
        <f t="shared" si="2"/>
        <v>222</v>
      </c>
      <c r="L282" s="74">
        <f t="shared" si="3"/>
        <v>57</v>
      </c>
      <c r="M282" s="99">
        <f t="shared" si="191"/>
        <v>14159.547253763702</v>
      </c>
      <c r="N282" s="108">
        <f t="shared" si="192"/>
        <v>14159.547253763702</v>
      </c>
      <c r="O282" s="108"/>
      <c r="P282" s="108"/>
      <c r="Q282" s="108"/>
      <c r="R282" s="109"/>
      <c r="S282" s="99">
        <f t="shared" si="6"/>
        <v>7753.4947960365853</v>
      </c>
      <c r="T282" s="108">
        <f t="shared" si="193"/>
        <v>7753.4947960365853</v>
      </c>
      <c r="U282" s="108"/>
      <c r="V282" s="108"/>
      <c r="W282" s="108"/>
      <c r="X282" s="109"/>
      <c r="Y282" s="99">
        <f t="shared" si="8"/>
        <v>20826.72439959224</v>
      </c>
      <c r="Z282" s="108">
        <f t="shared" si="194"/>
        <v>20826.72439959224</v>
      </c>
      <c r="AA282" s="108"/>
      <c r="AB282" s="108"/>
      <c r="AC282" s="108"/>
      <c r="AD282" s="109"/>
      <c r="AE282" s="99">
        <f t="shared" ref="AE282:AF282" si="260">AO282</f>
        <v>16</v>
      </c>
      <c r="AF282" s="101">
        <f t="shared" si="260"/>
        <v>36</v>
      </c>
      <c r="AG282" s="101">
        <f t="shared" si="196"/>
        <v>49.001300000000001</v>
      </c>
      <c r="AH282" s="101">
        <f t="shared" si="197"/>
        <v>287</v>
      </c>
      <c r="AI282" s="101">
        <f t="shared" si="246"/>
        <v>268.61079999999998</v>
      </c>
      <c r="AJ282" s="108">
        <f t="shared" si="198"/>
        <v>1.4285714285714286</v>
      </c>
      <c r="AK282" s="101">
        <f t="shared" si="15"/>
        <v>7753.4947960365853</v>
      </c>
      <c r="AL282" s="101">
        <f t="shared" si="199"/>
        <v>7753.4947960365853</v>
      </c>
      <c r="AM282" s="101"/>
      <c r="AN282" s="101"/>
      <c r="AO282" s="1">
        <v>16</v>
      </c>
      <c r="AP282" s="2">
        <v>36</v>
      </c>
      <c r="AQ282" s="74">
        <f t="shared" si="200"/>
        <v>287</v>
      </c>
      <c r="AR282" s="31">
        <f t="shared" si="201"/>
        <v>1</v>
      </c>
      <c r="AS282" s="2">
        <f t="shared" si="202"/>
        <v>1</v>
      </c>
      <c r="AT282" s="33">
        <f t="shared" si="203"/>
        <v>0</v>
      </c>
      <c r="AU282" s="31">
        <f t="shared" si="204"/>
        <v>1</v>
      </c>
      <c r="AV282" s="2">
        <f t="shared" si="205"/>
        <v>30</v>
      </c>
      <c r="AW282" s="33">
        <f t="shared" si="206"/>
        <v>0</v>
      </c>
      <c r="AX282" s="31">
        <f t="shared" si="207"/>
        <v>1</v>
      </c>
      <c r="AY282" s="33">
        <f t="shared" si="208"/>
        <v>0</v>
      </c>
      <c r="AZ282" s="2"/>
      <c r="BA282" s="101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 ht="12" customHeight="1">
      <c r="A283" s="2"/>
      <c r="B283" s="107">
        <v>208</v>
      </c>
      <c r="C283" s="31">
        <v>7</v>
      </c>
      <c r="D283" s="106" t="s">
        <v>10</v>
      </c>
      <c r="E283" s="2" t="s">
        <v>148</v>
      </c>
      <c r="F283" s="2"/>
      <c r="G283" s="2"/>
      <c r="H283" s="33"/>
      <c r="I283" s="99">
        <f t="shared" si="0"/>
        <v>639.84864829356286</v>
      </c>
      <c r="J283" s="101">
        <f t="shared" si="1"/>
        <v>17.9375</v>
      </c>
      <c r="K283" s="101">
        <f t="shared" si="2"/>
        <v>420</v>
      </c>
      <c r="L283" s="74">
        <f t="shared" si="3"/>
        <v>134</v>
      </c>
      <c r="M283" s="99">
        <f t="shared" si="191"/>
        <v>10237.578372697006</v>
      </c>
      <c r="N283" s="108">
        <f t="shared" si="192"/>
        <v>10237.578372697006</v>
      </c>
      <c r="O283" s="108"/>
      <c r="P283" s="108"/>
      <c r="Q283" s="108"/>
      <c r="R283" s="109"/>
      <c r="S283" s="99">
        <f t="shared" si="6"/>
        <v>7753.4947960365853</v>
      </c>
      <c r="T283" s="108">
        <f t="shared" si="193"/>
        <v>7753.4947960365853</v>
      </c>
      <c r="U283" s="108"/>
      <c r="V283" s="108"/>
      <c r="W283" s="108"/>
      <c r="X283" s="109"/>
      <c r="Y283" s="99">
        <f t="shared" si="8"/>
        <v>20826.72439959224</v>
      </c>
      <c r="Z283" s="108">
        <f t="shared" si="194"/>
        <v>20826.72439959224</v>
      </c>
      <c r="AA283" s="108"/>
      <c r="AB283" s="108"/>
      <c r="AC283" s="108"/>
      <c r="AD283" s="109"/>
      <c r="AE283" s="99">
        <f t="shared" ref="AE283:AF283" si="261">AO283</f>
        <v>16</v>
      </c>
      <c r="AF283" s="101">
        <f t="shared" si="261"/>
        <v>36</v>
      </c>
      <c r="AG283" s="101">
        <f t="shared" si="196"/>
        <v>19.001300000000001</v>
      </c>
      <c r="AH283" s="101">
        <f t="shared" si="197"/>
        <v>287</v>
      </c>
      <c r="AI283" s="101">
        <f t="shared" si="246"/>
        <v>268.61079999999998</v>
      </c>
      <c r="AJ283" s="108">
        <f t="shared" si="198"/>
        <v>1.2142857142857142</v>
      </c>
      <c r="AK283" s="101">
        <f t="shared" si="15"/>
        <v>7753.4947960365853</v>
      </c>
      <c r="AL283" s="101">
        <f t="shared" si="199"/>
        <v>7753.4947960365853</v>
      </c>
      <c r="AM283" s="101"/>
      <c r="AN283" s="101"/>
      <c r="AO283" s="1">
        <v>16</v>
      </c>
      <c r="AP283" s="2">
        <v>36</v>
      </c>
      <c r="AQ283" s="74">
        <f t="shared" si="200"/>
        <v>287</v>
      </c>
      <c r="AR283" s="31">
        <f t="shared" si="201"/>
        <v>0.85</v>
      </c>
      <c r="AS283" s="2">
        <f t="shared" si="202"/>
        <v>1</v>
      </c>
      <c r="AT283" s="33">
        <f t="shared" si="203"/>
        <v>0</v>
      </c>
      <c r="AU283" s="31">
        <f t="shared" si="204"/>
        <v>1</v>
      </c>
      <c r="AV283" s="2">
        <f t="shared" si="205"/>
        <v>0</v>
      </c>
      <c r="AW283" s="33">
        <f t="shared" si="206"/>
        <v>0</v>
      </c>
      <c r="AX283" s="31">
        <f t="shared" si="207"/>
        <v>1</v>
      </c>
      <c r="AY283" s="33">
        <f t="shared" si="208"/>
        <v>0</v>
      </c>
      <c r="AZ283" s="2"/>
      <c r="BA283" s="101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12" customHeight="1">
      <c r="A284" s="2"/>
      <c r="B284" s="107">
        <v>209</v>
      </c>
      <c r="C284" s="31">
        <v>7</v>
      </c>
      <c r="D284" s="106" t="s">
        <v>10</v>
      </c>
      <c r="E284" s="2" t="s">
        <v>163</v>
      </c>
      <c r="F284" s="2"/>
      <c r="G284" s="2"/>
      <c r="H284" s="33"/>
      <c r="I284" s="99">
        <f t="shared" si="0"/>
        <v>799.81081036695366</v>
      </c>
      <c r="J284" s="101">
        <f t="shared" si="1"/>
        <v>17.9375</v>
      </c>
      <c r="K284" s="101">
        <f t="shared" si="2"/>
        <v>267</v>
      </c>
      <c r="L284" s="74">
        <f t="shared" si="3"/>
        <v>71</v>
      </c>
      <c r="M284" s="99">
        <f t="shared" si="191"/>
        <v>12796.972965871259</v>
      </c>
      <c r="N284" s="108">
        <f t="shared" si="192"/>
        <v>12796.972965871259</v>
      </c>
      <c r="O284" s="108"/>
      <c r="P284" s="108"/>
      <c r="Q284" s="108"/>
      <c r="R284" s="109"/>
      <c r="S284" s="99">
        <f t="shared" si="6"/>
        <v>9691.8684950457318</v>
      </c>
      <c r="T284" s="108">
        <f t="shared" si="193"/>
        <v>9691.8684950457318</v>
      </c>
      <c r="U284" s="108"/>
      <c r="V284" s="108"/>
      <c r="W284" s="108"/>
      <c r="X284" s="109"/>
      <c r="Y284" s="99">
        <f t="shared" si="8"/>
        <v>26033.405499490298</v>
      </c>
      <c r="Z284" s="108">
        <f t="shared" si="194"/>
        <v>26033.405499490298</v>
      </c>
      <c r="AA284" s="108"/>
      <c r="AB284" s="108"/>
      <c r="AC284" s="108"/>
      <c r="AD284" s="109"/>
      <c r="AE284" s="99">
        <f t="shared" ref="AE284:AF284" si="262">AO284</f>
        <v>16</v>
      </c>
      <c r="AF284" s="101">
        <f t="shared" si="262"/>
        <v>36</v>
      </c>
      <c r="AG284" s="101">
        <f t="shared" si="196"/>
        <v>19.001300000000001</v>
      </c>
      <c r="AH284" s="101">
        <f t="shared" si="197"/>
        <v>287</v>
      </c>
      <c r="AI284" s="101">
        <f t="shared" si="246"/>
        <v>268.61079999999998</v>
      </c>
      <c r="AJ284" s="108">
        <f t="shared" si="198"/>
        <v>1.2142857142857142</v>
      </c>
      <c r="AK284" s="101">
        <f t="shared" si="15"/>
        <v>7753.4947960365853</v>
      </c>
      <c r="AL284" s="101">
        <f t="shared" si="199"/>
        <v>7753.4947960365853</v>
      </c>
      <c r="AM284" s="101"/>
      <c r="AN284" s="101"/>
      <c r="AO284" s="1">
        <v>16</v>
      </c>
      <c r="AP284" s="2">
        <v>36</v>
      </c>
      <c r="AQ284" s="74">
        <f t="shared" si="200"/>
        <v>287</v>
      </c>
      <c r="AR284" s="31">
        <f t="shared" si="201"/>
        <v>0.85</v>
      </c>
      <c r="AS284" s="2">
        <f t="shared" si="202"/>
        <v>1</v>
      </c>
      <c r="AT284" s="33">
        <f t="shared" si="203"/>
        <v>0</v>
      </c>
      <c r="AU284" s="31">
        <f t="shared" si="204"/>
        <v>1.25</v>
      </c>
      <c r="AV284" s="2">
        <f t="shared" si="205"/>
        <v>0</v>
      </c>
      <c r="AW284" s="33">
        <f t="shared" si="206"/>
        <v>0</v>
      </c>
      <c r="AX284" s="31">
        <f t="shared" si="207"/>
        <v>1</v>
      </c>
      <c r="AY284" s="33">
        <f t="shared" si="208"/>
        <v>0</v>
      </c>
      <c r="AZ284" s="2"/>
      <c r="BA284" s="101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 ht="12" customHeight="1">
      <c r="A285" s="2"/>
      <c r="B285" s="107">
        <v>210</v>
      </c>
      <c r="C285" s="31">
        <v>7</v>
      </c>
      <c r="D285" s="106" t="s">
        <v>10</v>
      </c>
      <c r="E285" s="2" t="s">
        <v>152</v>
      </c>
      <c r="F285" s="2"/>
      <c r="G285" s="2"/>
      <c r="H285" s="33"/>
      <c r="I285" s="99">
        <f t="shared" si="0"/>
        <v>884.97170336023134</v>
      </c>
      <c r="J285" s="101">
        <f t="shared" si="1"/>
        <v>17.9375</v>
      </c>
      <c r="K285" s="101">
        <f t="shared" si="2"/>
        <v>222</v>
      </c>
      <c r="L285" s="74">
        <f t="shared" si="3"/>
        <v>57</v>
      </c>
      <c r="M285" s="99">
        <f t="shared" si="191"/>
        <v>14159.547253763702</v>
      </c>
      <c r="N285" s="108">
        <f t="shared" si="192"/>
        <v>14159.547253763702</v>
      </c>
      <c r="O285" s="108"/>
      <c r="P285" s="108"/>
      <c r="Q285" s="108"/>
      <c r="R285" s="109"/>
      <c r="S285" s="99">
        <f t="shared" si="6"/>
        <v>7753.4947960365853</v>
      </c>
      <c r="T285" s="108">
        <f t="shared" si="193"/>
        <v>7753.4947960365853</v>
      </c>
      <c r="U285" s="108"/>
      <c r="V285" s="108"/>
      <c r="W285" s="108"/>
      <c r="X285" s="109"/>
      <c r="Y285" s="99">
        <f t="shared" si="8"/>
        <v>20826.72439959224</v>
      </c>
      <c r="Z285" s="108">
        <f t="shared" si="194"/>
        <v>20826.72439959224</v>
      </c>
      <c r="AA285" s="108"/>
      <c r="AB285" s="108"/>
      <c r="AC285" s="108"/>
      <c r="AD285" s="109"/>
      <c r="AE285" s="99">
        <f t="shared" ref="AE285:AF285" si="263">AO285</f>
        <v>16</v>
      </c>
      <c r="AF285" s="101">
        <f t="shared" si="263"/>
        <v>36</v>
      </c>
      <c r="AG285" s="101">
        <f t="shared" si="196"/>
        <v>49.001300000000001</v>
      </c>
      <c r="AH285" s="101">
        <f t="shared" si="197"/>
        <v>287</v>
      </c>
      <c r="AI285" s="101">
        <f t="shared" si="246"/>
        <v>268.61079999999998</v>
      </c>
      <c r="AJ285" s="108">
        <f t="shared" si="198"/>
        <v>1.2142857142857142</v>
      </c>
      <c r="AK285" s="101">
        <f t="shared" si="15"/>
        <v>7753.4947960365853</v>
      </c>
      <c r="AL285" s="101">
        <f t="shared" si="199"/>
        <v>7753.4947960365853</v>
      </c>
      <c r="AM285" s="101"/>
      <c r="AN285" s="101"/>
      <c r="AO285" s="1">
        <v>16</v>
      </c>
      <c r="AP285" s="2">
        <v>36</v>
      </c>
      <c r="AQ285" s="74">
        <f t="shared" si="200"/>
        <v>287</v>
      </c>
      <c r="AR285" s="31">
        <f t="shared" si="201"/>
        <v>0.85</v>
      </c>
      <c r="AS285" s="2">
        <f t="shared" si="202"/>
        <v>1</v>
      </c>
      <c r="AT285" s="33">
        <f t="shared" si="203"/>
        <v>0</v>
      </c>
      <c r="AU285" s="31">
        <f t="shared" si="204"/>
        <v>1</v>
      </c>
      <c r="AV285" s="2">
        <f t="shared" si="205"/>
        <v>30</v>
      </c>
      <c r="AW285" s="33">
        <f t="shared" si="206"/>
        <v>0</v>
      </c>
      <c r="AX285" s="31">
        <f t="shared" si="207"/>
        <v>1</v>
      </c>
      <c r="AY285" s="33">
        <f t="shared" si="208"/>
        <v>0</v>
      </c>
      <c r="AZ285" s="2"/>
      <c r="BA285" s="101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 ht="12" customHeight="1">
      <c r="A286" s="2"/>
      <c r="B286" s="107">
        <v>211</v>
      </c>
      <c r="C286" s="31">
        <v>7</v>
      </c>
      <c r="D286" s="106" t="s">
        <v>10</v>
      </c>
      <c r="E286" s="2" t="s">
        <v>79</v>
      </c>
      <c r="F286" s="2"/>
      <c r="G286" s="2" t="s">
        <v>184</v>
      </c>
      <c r="H286" s="33"/>
      <c r="I286" s="99">
        <f t="shared" si="0"/>
        <v>755.02140498640415</v>
      </c>
      <c r="J286" s="101">
        <f t="shared" si="1"/>
        <v>17.9375</v>
      </c>
      <c r="K286" s="101">
        <f t="shared" si="2"/>
        <v>300</v>
      </c>
      <c r="L286" s="74">
        <f t="shared" si="3"/>
        <v>82</v>
      </c>
      <c r="M286" s="99">
        <f t="shared" si="191"/>
        <v>12080.342479782466</v>
      </c>
      <c r="N286" s="108">
        <f t="shared" si="192"/>
        <v>12080.342479782466</v>
      </c>
      <c r="O286" s="108"/>
      <c r="P286" s="108"/>
      <c r="Q286" s="108"/>
      <c r="R286" s="109"/>
      <c r="S286" s="99">
        <f t="shared" si="6"/>
        <v>9149.1238593231701</v>
      </c>
      <c r="T286" s="108">
        <f t="shared" si="193"/>
        <v>9149.1238593231701</v>
      </c>
      <c r="U286" s="108"/>
      <c r="V286" s="108"/>
      <c r="W286" s="108"/>
      <c r="X286" s="109"/>
      <c r="Y286" s="99">
        <f t="shared" si="8"/>
        <v>24575.534791518839</v>
      </c>
      <c r="Z286" s="108">
        <f t="shared" si="194"/>
        <v>24575.534791518839</v>
      </c>
      <c r="AA286" s="108"/>
      <c r="AB286" s="108"/>
      <c r="AC286" s="108"/>
      <c r="AD286" s="109"/>
      <c r="AE286" s="99">
        <f t="shared" ref="AE286:AF286" si="264">AO286</f>
        <v>16</v>
      </c>
      <c r="AF286" s="101">
        <f t="shared" si="264"/>
        <v>36</v>
      </c>
      <c r="AG286" s="101">
        <f t="shared" si="196"/>
        <v>19.001300000000001</v>
      </c>
      <c r="AH286" s="101">
        <f t="shared" si="197"/>
        <v>287</v>
      </c>
      <c r="AI286" s="101">
        <f t="shared" si="246"/>
        <v>268.61079999999998</v>
      </c>
      <c r="AJ286" s="108">
        <f t="shared" si="198"/>
        <v>1.4285714285714286</v>
      </c>
      <c r="AK286" s="101">
        <f t="shared" si="15"/>
        <v>7753.4947960365853</v>
      </c>
      <c r="AL286" s="101">
        <f t="shared" si="199"/>
        <v>7753.4947960365853</v>
      </c>
      <c r="AM286" s="101"/>
      <c r="AN286" s="101"/>
      <c r="AO286" s="1">
        <v>16</v>
      </c>
      <c r="AP286" s="2">
        <v>36</v>
      </c>
      <c r="AQ286" s="74">
        <f t="shared" si="200"/>
        <v>287</v>
      </c>
      <c r="AR286" s="31">
        <f t="shared" si="201"/>
        <v>1</v>
      </c>
      <c r="AS286" s="2">
        <f t="shared" si="202"/>
        <v>1.18</v>
      </c>
      <c r="AT286" s="33">
        <f t="shared" si="203"/>
        <v>0</v>
      </c>
      <c r="AU286" s="31">
        <f t="shared" si="204"/>
        <v>1</v>
      </c>
      <c r="AV286" s="2">
        <f t="shared" si="205"/>
        <v>0</v>
      </c>
      <c r="AW286" s="33">
        <f t="shared" si="206"/>
        <v>0</v>
      </c>
      <c r="AX286" s="31">
        <f t="shared" si="207"/>
        <v>1</v>
      </c>
      <c r="AY286" s="33">
        <f t="shared" si="208"/>
        <v>0</v>
      </c>
      <c r="AZ286" s="2"/>
      <c r="BA286" s="101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 ht="12" customHeight="1">
      <c r="A287" s="2"/>
      <c r="B287" s="107">
        <v>212</v>
      </c>
      <c r="C287" s="31">
        <v>7</v>
      </c>
      <c r="D287" s="106" t="s">
        <v>10</v>
      </c>
      <c r="E287" s="2" t="s">
        <v>168</v>
      </c>
      <c r="F287" s="2"/>
      <c r="G287" s="2" t="s">
        <v>184</v>
      </c>
      <c r="H287" s="33"/>
      <c r="I287" s="99">
        <f t="shared" si="0"/>
        <v>943.77675623300513</v>
      </c>
      <c r="J287" s="101">
        <f t="shared" si="1"/>
        <v>17.9375</v>
      </c>
      <c r="K287" s="101">
        <f t="shared" si="2"/>
        <v>184</v>
      </c>
      <c r="L287" s="74">
        <f t="shared" si="3"/>
        <v>40</v>
      </c>
      <c r="M287" s="99">
        <f t="shared" si="191"/>
        <v>15100.428099728082</v>
      </c>
      <c r="N287" s="108">
        <f t="shared" si="192"/>
        <v>15100.428099728082</v>
      </c>
      <c r="O287" s="108"/>
      <c r="P287" s="108"/>
      <c r="Q287" s="108"/>
      <c r="R287" s="109"/>
      <c r="S287" s="99">
        <f t="shared" si="6"/>
        <v>11436.404824153962</v>
      </c>
      <c r="T287" s="108">
        <f t="shared" si="193"/>
        <v>11436.404824153962</v>
      </c>
      <c r="U287" s="108"/>
      <c r="V287" s="108"/>
      <c r="W287" s="108"/>
      <c r="X287" s="109"/>
      <c r="Y287" s="99">
        <f t="shared" si="8"/>
        <v>30719.418489398551</v>
      </c>
      <c r="Z287" s="108">
        <f t="shared" si="194"/>
        <v>30719.418489398551</v>
      </c>
      <c r="AA287" s="108"/>
      <c r="AB287" s="108"/>
      <c r="AC287" s="108"/>
      <c r="AD287" s="109"/>
      <c r="AE287" s="99">
        <f t="shared" ref="AE287:AF287" si="265">AO287</f>
        <v>16</v>
      </c>
      <c r="AF287" s="101">
        <f t="shared" si="265"/>
        <v>36</v>
      </c>
      <c r="AG287" s="101">
        <f t="shared" si="196"/>
        <v>19.001300000000001</v>
      </c>
      <c r="AH287" s="101">
        <f t="shared" si="197"/>
        <v>287</v>
      </c>
      <c r="AI287" s="101">
        <f t="shared" si="246"/>
        <v>268.61079999999998</v>
      </c>
      <c r="AJ287" s="108">
        <f t="shared" si="198"/>
        <v>1.4285714285714286</v>
      </c>
      <c r="AK287" s="101">
        <f t="shared" si="15"/>
        <v>7753.4947960365853</v>
      </c>
      <c r="AL287" s="101">
        <f t="shared" si="199"/>
        <v>7753.4947960365853</v>
      </c>
      <c r="AM287" s="101"/>
      <c r="AN287" s="101"/>
      <c r="AO287" s="1">
        <v>16</v>
      </c>
      <c r="AP287" s="2">
        <v>36</v>
      </c>
      <c r="AQ287" s="74">
        <f t="shared" si="200"/>
        <v>287</v>
      </c>
      <c r="AR287" s="31">
        <f t="shared" si="201"/>
        <v>1</v>
      </c>
      <c r="AS287" s="2">
        <f t="shared" si="202"/>
        <v>1.18</v>
      </c>
      <c r="AT287" s="33">
        <f t="shared" si="203"/>
        <v>0</v>
      </c>
      <c r="AU287" s="31">
        <f t="shared" si="204"/>
        <v>1.25</v>
      </c>
      <c r="AV287" s="2">
        <f t="shared" si="205"/>
        <v>0</v>
      </c>
      <c r="AW287" s="33">
        <f t="shared" si="206"/>
        <v>0</v>
      </c>
      <c r="AX287" s="31">
        <f t="shared" si="207"/>
        <v>1</v>
      </c>
      <c r="AY287" s="33">
        <f t="shared" si="208"/>
        <v>0</v>
      </c>
      <c r="AZ287" s="2"/>
      <c r="BA287" s="101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 ht="12" customHeight="1">
      <c r="A288" s="2"/>
      <c r="B288" s="107">
        <v>213</v>
      </c>
      <c r="C288" s="31">
        <v>7</v>
      </c>
      <c r="D288" s="106" t="s">
        <v>10</v>
      </c>
      <c r="E288" s="2" t="s">
        <v>101</v>
      </c>
      <c r="F288" s="2"/>
      <c r="G288" s="2" t="s">
        <v>184</v>
      </c>
      <c r="H288" s="33"/>
      <c r="I288" s="99">
        <f t="shared" si="0"/>
        <v>1044.2666099650728</v>
      </c>
      <c r="J288" s="101">
        <f t="shared" si="1"/>
        <v>17.9375</v>
      </c>
      <c r="K288" s="101">
        <f t="shared" si="2"/>
        <v>147</v>
      </c>
      <c r="L288" s="74">
        <f t="shared" si="3"/>
        <v>31</v>
      </c>
      <c r="M288" s="99">
        <f t="shared" si="191"/>
        <v>16708.265759441165</v>
      </c>
      <c r="N288" s="108">
        <f t="shared" si="192"/>
        <v>16708.265759441165</v>
      </c>
      <c r="O288" s="108"/>
      <c r="P288" s="108"/>
      <c r="Q288" s="108"/>
      <c r="R288" s="109"/>
      <c r="S288" s="99">
        <f t="shared" si="6"/>
        <v>9149.1238593231701</v>
      </c>
      <c r="T288" s="108">
        <f t="shared" si="193"/>
        <v>9149.1238593231701</v>
      </c>
      <c r="U288" s="108"/>
      <c r="V288" s="108"/>
      <c r="W288" s="108"/>
      <c r="X288" s="109"/>
      <c r="Y288" s="99">
        <f t="shared" si="8"/>
        <v>24575.534791518839</v>
      </c>
      <c r="Z288" s="108">
        <f t="shared" si="194"/>
        <v>24575.534791518839</v>
      </c>
      <c r="AA288" s="108"/>
      <c r="AB288" s="108"/>
      <c r="AC288" s="108"/>
      <c r="AD288" s="109"/>
      <c r="AE288" s="99">
        <f t="shared" ref="AE288:AF288" si="266">AO288</f>
        <v>16</v>
      </c>
      <c r="AF288" s="101">
        <f t="shared" si="266"/>
        <v>36</v>
      </c>
      <c r="AG288" s="101">
        <f t="shared" si="196"/>
        <v>49.001300000000001</v>
      </c>
      <c r="AH288" s="101">
        <f t="shared" si="197"/>
        <v>287</v>
      </c>
      <c r="AI288" s="101">
        <f t="shared" si="246"/>
        <v>268.61079999999998</v>
      </c>
      <c r="AJ288" s="108">
        <f t="shared" si="198"/>
        <v>1.4285714285714286</v>
      </c>
      <c r="AK288" s="101">
        <f t="shared" si="15"/>
        <v>7753.4947960365853</v>
      </c>
      <c r="AL288" s="101">
        <f t="shared" si="199"/>
        <v>7753.4947960365853</v>
      </c>
      <c r="AM288" s="101"/>
      <c r="AN288" s="101"/>
      <c r="AO288" s="1">
        <v>16</v>
      </c>
      <c r="AP288" s="2">
        <v>36</v>
      </c>
      <c r="AQ288" s="74">
        <f t="shared" si="200"/>
        <v>287</v>
      </c>
      <c r="AR288" s="31">
        <f t="shared" si="201"/>
        <v>1</v>
      </c>
      <c r="AS288" s="2">
        <f t="shared" si="202"/>
        <v>1.18</v>
      </c>
      <c r="AT288" s="33">
        <f t="shared" si="203"/>
        <v>0</v>
      </c>
      <c r="AU288" s="31">
        <f t="shared" si="204"/>
        <v>1</v>
      </c>
      <c r="AV288" s="2">
        <f t="shared" si="205"/>
        <v>30</v>
      </c>
      <c r="AW288" s="33">
        <f t="shared" si="206"/>
        <v>0</v>
      </c>
      <c r="AX288" s="31">
        <f t="shared" si="207"/>
        <v>1</v>
      </c>
      <c r="AY288" s="33">
        <f t="shared" si="208"/>
        <v>0</v>
      </c>
      <c r="AZ288" s="2"/>
      <c r="BA288" s="101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1" ht="12" customHeight="1">
      <c r="A289" s="2"/>
      <c r="B289" s="107">
        <v>214</v>
      </c>
      <c r="C289" s="31">
        <v>4</v>
      </c>
      <c r="D289" s="106" t="s">
        <v>10</v>
      </c>
      <c r="E289" s="2" t="s">
        <v>67</v>
      </c>
      <c r="F289" s="2"/>
      <c r="G289" s="2"/>
      <c r="H289" s="33"/>
      <c r="I289" s="99">
        <f t="shared" si="0"/>
        <v>592.95698912997511</v>
      </c>
      <c r="J289" s="101">
        <f t="shared" si="1"/>
        <v>9.875</v>
      </c>
      <c r="K289" s="101">
        <f t="shared" si="2"/>
        <v>479</v>
      </c>
      <c r="L289" s="74">
        <f t="shared" si="3"/>
        <v>164</v>
      </c>
      <c r="M289" s="99">
        <f t="shared" si="191"/>
        <v>9487.3118260796018</v>
      </c>
      <c r="N289" s="108">
        <f t="shared" si="192"/>
        <v>9487.3118260796018</v>
      </c>
      <c r="O289" s="108"/>
      <c r="P289" s="108"/>
      <c r="Q289" s="108"/>
      <c r="R289" s="109"/>
      <c r="S289" s="99">
        <f t="shared" si="6"/>
        <v>7185.2756769182924</v>
      </c>
      <c r="T289" s="108">
        <f t="shared" si="193"/>
        <v>7185.2756769182924</v>
      </c>
      <c r="U289" s="108"/>
      <c r="V289" s="108"/>
      <c r="W289" s="108"/>
      <c r="X289" s="109"/>
      <c r="Y289" s="99">
        <f t="shared" si="8"/>
        <v>19300.426477975641</v>
      </c>
      <c r="Z289" s="108">
        <f t="shared" si="194"/>
        <v>19300.426477975641</v>
      </c>
      <c r="AA289" s="108"/>
      <c r="AB289" s="108"/>
      <c r="AC289" s="108"/>
      <c r="AD289" s="109"/>
      <c r="AE289" s="99">
        <f t="shared" ref="AE289:AF289" si="267">AO289</f>
        <v>16</v>
      </c>
      <c r="AF289" s="101">
        <f t="shared" si="267"/>
        <v>36</v>
      </c>
      <c r="AG289" s="101">
        <f t="shared" si="196"/>
        <v>19.001300000000001</v>
      </c>
      <c r="AH289" s="101">
        <f t="shared" si="197"/>
        <v>158</v>
      </c>
      <c r="AI289" s="101">
        <f t="shared" si="246"/>
        <v>268.61079999999998</v>
      </c>
      <c r="AJ289" s="108">
        <f t="shared" si="198"/>
        <v>1.4285714285714286</v>
      </c>
      <c r="AK289" s="101">
        <f t="shared" si="15"/>
        <v>7185.2756769182924</v>
      </c>
      <c r="AL289" s="101">
        <f t="shared" si="199"/>
        <v>7185.2756769182924</v>
      </c>
      <c r="AM289" s="101"/>
      <c r="AN289" s="101"/>
      <c r="AO289" s="1">
        <v>16</v>
      </c>
      <c r="AP289" s="2">
        <v>36</v>
      </c>
      <c r="AQ289" s="74">
        <f t="shared" si="200"/>
        <v>158</v>
      </c>
      <c r="AR289" s="31">
        <f t="shared" si="201"/>
        <v>1</v>
      </c>
      <c r="AS289" s="2">
        <f t="shared" si="202"/>
        <v>1</v>
      </c>
      <c r="AT289" s="33">
        <f t="shared" si="203"/>
        <v>0</v>
      </c>
      <c r="AU289" s="31">
        <f t="shared" si="204"/>
        <v>1</v>
      </c>
      <c r="AV289" s="2">
        <f t="shared" si="205"/>
        <v>0</v>
      </c>
      <c r="AW289" s="33">
        <f t="shared" si="206"/>
        <v>0</v>
      </c>
      <c r="AX289" s="31">
        <f t="shared" si="207"/>
        <v>1</v>
      </c>
      <c r="AY289" s="33">
        <f t="shared" si="208"/>
        <v>0</v>
      </c>
      <c r="AZ289" s="2"/>
      <c r="BA289" s="101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1" ht="12" customHeight="1">
      <c r="A290" s="2"/>
      <c r="B290" s="107">
        <v>215</v>
      </c>
      <c r="C290" s="31">
        <v>4</v>
      </c>
      <c r="D290" s="106" t="s">
        <v>10</v>
      </c>
      <c r="E290" s="2" t="s">
        <v>148</v>
      </c>
      <c r="F290" s="2"/>
      <c r="G290" s="2"/>
      <c r="H290" s="33"/>
      <c r="I290" s="99">
        <f t="shared" si="0"/>
        <v>592.95698912997511</v>
      </c>
      <c r="J290" s="101">
        <f t="shared" si="1"/>
        <v>9.875</v>
      </c>
      <c r="K290" s="101">
        <f t="shared" si="2"/>
        <v>479</v>
      </c>
      <c r="L290" s="74">
        <f t="shared" si="3"/>
        <v>164</v>
      </c>
      <c r="M290" s="99">
        <f t="shared" si="191"/>
        <v>9487.3118260796018</v>
      </c>
      <c r="N290" s="108">
        <f t="shared" si="192"/>
        <v>9487.3118260796018</v>
      </c>
      <c r="O290" s="108"/>
      <c r="P290" s="108"/>
      <c r="Q290" s="108"/>
      <c r="R290" s="109"/>
      <c r="S290" s="99">
        <f t="shared" si="6"/>
        <v>7185.2756769182924</v>
      </c>
      <c r="T290" s="108">
        <f t="shared" si="193"/>
        <v>7185.2756769182924</v>
      </c>
      <c r="U290" s="108"/>
      <c r="V290" s="108"/>
      <c r="W290" s="108"/>
      <c r="X290" s="109"/>
      <c r="Y290" s="99">
        <f t="shared" si="8"/>
        <v>19300.426477975641</v>
      </c>
      <c r="Z290" s="108">
        <f t="shared" si="194"/>
        <v>19300.426477975641</v>
      </c>
      <c r="AA290" s="108"/>
      <c r="AB290" s="108"/>
      <c r="AC290" s="108"/>
      <c r="AD290" s="109"/>
      <c r="AE290" s="99">
        <f t="shared" ref="AE290:AF290" si="268">AO290</f>
        <v>16</v>
      </c>
      <c r="AF290" s="101">
        <f t="shared" si="268"/>
        <v>36</v>
      </c>
      <c r="AG290" s="101">
        <f t="shared" si="196"/>
        <v>19.001300000000001</v>
      </c>
      <c r="AH290" s="101">
        <f t="shared" si="197"/>
        <v>158</v>
      </c>
      <c r="AI290" s="101">
        <f t="shared" si="246"/>
        <v>268.61079999999998</v>
      </c>
      <c r="AJ290" s="108">
        <f t="shared" si="198"/>
        <v>1.2142857142857142</v>
      </c>
      <c r="AK290" s="101">
        <f t="shared" si="15"/>
        <v>7185.2756769182924</v>
      </c>
      <c r="AL290" s="101">
        <f t="shared" si="199"/>
        <v>7185.2756769182924</v>
      </c>
      <c r="AM290" s="101"/>
      <c r="AN290" s="101"/>
      <c r="AO290" s="1">
        <v>16</v>
      </c>
      <c r="AP290" s="2">
        <v>36</v>
      </c>
      <c r="AQ290" s="74">
        <f t="shared" si="200"/>
        <v>158</v>
      </c>
      <c r="AR290" s="31">
        <f t="shared" si="201"/>
        <v>0.85</v>
      </c>
      <c r="AS290" s="2">
        <f t="shared" si="202"/>
        <v>1</v>
      </c>
      <c r="AT290" s="33">
        <f t="shared" si="203"/>
        <v>0</v>
      </c>
      <c r="AU290" s="31">
        <f t="shared" si="204"/>
        <v>1</v>
      </c>
      <c r="AV290" s="2">
        <f t="shared" si="205"/>
        <v>0</v>
      </c>
      <c r="AW290" s="33">
        <f t="shared" si="206"/>
        <v>0</v>
      </c>
      <c r="AX290" s="31">
        <f t="shared" si="207"/>
        <v>1</v>
      </c>
      <c r="AY290" s="33">
        <f t="shared" si="208"/>
        <v>0</v>
      </c>
      <c r="AZ290" s="2"/>
      <c r="BA290" s="101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1" ht="12" customHeight="1">
      <c r="A291" s="2"/>
      <c r="B291" s="107">
        <v>216</v>
      </c>
      <c r="C291" s="31">
        <v>4</v>
      </c>
      <c r="D291" s="106" t="s">
        <v>10</v>
      </c>
      <c r="E291" s="2" t="s">
        <v>79</v>
      </c>
      <c r="F291" s="2"/>
      <c r="G291" s="2" t="s">
        <v>184</v>
      </c>
      <c r="H291" s="33"/>
      <c r="I291" s="99">
        <f t="shared" si="0"/>
        <v>699.68924717337075</v>
      </c>
      <c r="J291" s="101">
        <f t="shared" si="1"/>
        <v>9.875</v>
      </c>
      <c r="K291" s="101">
        <f t="shared" si="2"/>
        <v>357</v>
      </c>
      <c r="L291" s="74">
        <f t="shared" si="3"/>
        <v>109</v>
      </c>
      <c r="M291" s="99">
        <f t="shared" si="191"/>
        <v>11195.027954773932</v>
      </c>
      <c r="N291" s="108">
        <f t="shared" si="192"/>
        <v>11195.027954773932</v>
      </c>
      <c r="O291" s="108"/>
      <c r="P291" s="108"/>
      <c r="Q291" s="108"/>
      <c r="R291" s="109"/>
      <c r="S291" s="99">
        <f t="shared" si="6"/>
        <v>8478.6252987635853</v>
      </c>
      <c r="T291" s="108">
        <f t="shared" si="193"/>
        <v>8478.6252987635853</v>
      </c>
      <c r="U291" s="108"/>
      <c r="V291" s="108"/>
      <c r="W291" s="108"/>
      <c r="X291" s="109"/>
      <c r="Y291" s="99">
        <f t="shared" si="8"/>
        <v>22774.503244011252</v>
      </c>
      <c r="Z291" s="108">
        <f t="shared" si="194"/>
        <v>22774.503244011252</v>
      </c>
      <c r="AA291" s="108"/>
      <c r="AB291" s="108"/>
      <c r="AC291" s="108"/>
      <c r="AD291" s="109"/>
      <c r="AE291" s="99">
        <f t="shared" ref="AE291:AF291" si="269">AO291</f>
        <v>16</v>
      </c>
      <c r="AF291" s="101">
        <f t="shared" si="269"/>
        <v>36</v>
      </c>
      <c r="AG291" s="101">
        <f t="shared" si="196"/>
        <v>19.001300000000001</v>
      </c>
      <c r="AH291" s="101">
        <f t="shared" si="197"/>
        <v>158</v>
      </c>
      <c r="AI291" s="101">
        <f t="shared" si="246"/>
        <v>268.61079999999998</v>
      </c>
      <c r="AJ291" s="108">
        <f t="shared" si="198"/>
        <v>1.4285714285714286</v>
      </c>
      <c r="AK291" s="101">
        <f t="shared" si="15"/>
        <v>7185.2756769182924</v>
      </c>
      <c r="AL291" s="101">
        <f t="shared" si="199"/>
        <v>7185.2756769182924</v>
      </c>
      <c r="AM291" s="101"/>
      <c r="AN291" s="101"/>
      <c r="AO291" s="1">
        <v>16</v>
      </c>
      <c r="AP291" s="2">
        <v>36</v>
      </c>
      <c r="AQ291" s="74">
        <f t="shared" si="200"/>
        <v>158</v>
      </c>
      <c r="AR291" s="31">
        <f t="shared" si="201"/>
        <v>1</v>
      </c>
      <c r="AS291" s="2">
        <f t="shared" si="202"/>
        <v>1.18</v>
      </c>
      <c r="AT291" s="33">
        <f t="shared" si="203"/>
        <v>0</v>
      </c>
      <c r="AU291" s="31">
        <f t="shared" si="204"/>
        <v>1</v>
      </c>
      <c r="AV291" s="2">
        <f t="shared" si="205"/>
        <v>0</v>
      </c>
      <c r="AW291" s="33">
        <f t="shared" si="206"/>
        <v>0</v>
      </c>
      <c r="AX291" s="31">
        <f t="shared" si="207"/>
        <v>1</v>
      </c>
      <c r="AY291" s="33">
        <f t="shared" si="208"/>
        <v>0</v>
      </c>
      <c r="AZ291" s="2"/>
      <c r="BA291" s="101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1" ht="12" customHeight="1">
      <c r="A292" s="2"/>
      <c r="B292" s="107">
        <v>217</v>
      </c>
      <c r="C292" s="31">
        <v>1</v>
      </c>
      <c r="D292" s="106" t="s">
        <v>10</v>
      </c>
      <c r="E292" s="2" t="s">
        <v>67</v>
      </c>
      <c r="F292" s="2"/>
      <c r="G292" s="2"/>
      <c r="H292" s="33"/>
      <c r="I292" s="99">
        <f t="shared" si="0"/>
        <v>476.09427510581128</v>
      </c>
      <c r="J292" s="101">
        <f t="shared" si="1"/>
        <v>5</v>
      </c>
      <c r="K292" s="101">
        <f t="shared" si="2"/>
        <v>633</v>
      </c>
      <c r="L292" s="74">
        <f t="shared" si="3"/>
        <v>225</v>
      </c>
      <c r="M292" s="99">
        <f t="shared" si="191"/>
        <v>7617.5084016929804</v>
      </c>
      <c r="N292" s="108">
        <f t="shared" si="192"/>
        <v>7617.5084016929804</v>
      </c>
      <c r="O292" s="108"/>
      <c r="P292" s="108"/>
      <c r="Q292" s="108"/>
      <c r="R292" s="109"/>
      <c r="S292" s="99">
        <f t="shared" si="6"/>
        <v>5769.1682154841474</v>
      </c>
      <c r="T292" s="108">
        <f t="shared" si="193"/>
        <v>5769.1682154841474</v>
      </c>
      <c r="U292" s="108"/>
      <c r="V292" s="108"/>
      <c r="W292" s="108"/>
      <c r="X292" s="109"/>
      <c r="Y292" s="99">
        <f t="shared" si="8"/>
        <v>15496.608896957692</v>
      </c>
      <c r="Z292" s="108">
        <f t="shared" si="194"/>
        <v>15496.608896957692</v>
      </c>
      <c r="AA292" s="108"/>
      <c r="AB292" s="108"/>
      <c r="AC292" s="108"/>
      <c r="AD292" s="109"/>
      <c r="AE292" s="99">
        <f t="shared" ref="AE292:AF292" si="270">AO292</f>
        <v>16</v>
      </c>
      <c r="AF292" s="101">
        <f t="shared" si="270"/>
        <v>36</v>
      </c>
      <c r="AG292" s="101">
        <f t="shared" si="196"/>
        <v>19.001300000000001</v>
      </c>
      <c r="AH292" s="101">
        <f t="shared" si="197"/>
        <v>80</v>
      </c>
      <c r="AI292" s="101">
        <f t="shared" si="246"/>
        <v>268.61079999999998</v>
      </c>
      <c r="AJ292" s="108">
        <f t="shared" si="198"/>
        <v>1.4285714285714286</v>
      </c>
      <c r="AK292" s="101">
        <f t="shared" si="15"/>
        <v>5769.1682154841474</v>
      </c>
      <c r="AL292" s="101">
        <f t="shared" si="199"/>
        <v>5769.1682154841474</v>
      </c>
      <c r="AM292" s="101"/>
      <c r="AN292" s="101"/>
      <c r="AO292" s="1">
        <v>16</v>
      </c>
      <c r="AP292" s="2">
        <v>36</v>
      </c>
      <c r="AQ292" s="74">
        <f t="shared" si="200"/>
        <v>80</v>
      </c>
      <c r="AR292" s="31">
        <f t="shared" si="201"/>
        <v>1</v>
      </c>
      <c r="AS292" s="2">
        <f t="shared" si="202"/>
        <v>1</v>
      </c>
      <c r="AT292" s="33">
        <f t="shared" si="203"/>
        <v>0</v>
      </c>
      <c r="AU292" s="31">
        <f t="shared" si="204"/>
        <v>1</v>
      </c>
      <c r="AV292" s="2">
        <f t="shared" si="205"/>
        <v>0</v>
      </c>
      <c r="AW292" s="33">
        <f t="shared" si="206"/>
        <v>0</v>
      </c>
      <c r="AX292" s="31">
        <f t="shared" si="207"/>
        <v>1</v>
      </c>
      <c r="AY292" s="33">
        <f t="shared" si="208"/>
        <v>0</v>
      </c>
      <c r="AZ292" s="2"/>
      <c r="BA292" s="101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1" ht="12" customHeight="1">
      <c r="A293" s="2"/>
      <c r="B293" s="107">
        <v>218</v>
      </c>
      <c r="C293" s="31">
        <v>10</v>
      </c>
      <c r="D293" s="106" t="s">
        <v>13</v>
      </c>
      <c r="E293" s="2" t="s">
        <v>67</v>
      </c>
      <c r="F293" s="2"/>
      <c r="G293" s="2"/>
      <c r="H293" s="33"/>
      <c r="I293" s="99">
        <f t="shared" si="0"/>
        <v>447.07883454689795</v>
      </c>
      <c r="J293" s="101">
        <f t="shared" si="1"/>
        <v>21.708333333333332</v>
      </c>
      <c r="K293" s="101">
        <f t="shared" si="2"/>
        <v>679</v>
      </c>
      <c r="L293" s="74">
        <f t="shared" si="3"/>
        <v>245</v>
      </c>
      <c r="M293" s="99">
        <f t="shared" si="191"/>
        <v>10729.892029125551</v>
      </c>
      <c r="N293" s="108">
        <f t="shared" ref="N293:N313" si="271">T293*(1+(AG293/100)*(AI293/100-1))</f>
        <v>7126.6841578976055</v>
      </c>
      <c r="O293" s="108">
        <f t="shared" ref="O293:O313" si="272">U293*(1+($D$57/100)*($D$58/100-1))</f>
        <v>3603.2078712279454</v>
      </c>
      <c r="P293" s="108"/>
      <c r="Q293" s="108"/>
      <c r="R293" s="109">
        <f t="shared" ref="R293:R313" si="273">X293*(1+($D$57/100)*($D$58/100-1))</f>
        <v>0</v>
      </c>
      <c r="S293" s="99">
        <f t="shared" si="6"/>
        <v>8425.3120635121941</v>
      </c>
      <c r="T293" s="108">
        <f t="shared" ref="T293:T313" si="274">AL293*AY293</f>
        <v>5397.4393669719502</v>
      </c>
      <c r="U293" s="108">
        <f t="shared" ref="U293:U313" si="275">AM293*AU293*AW293</f>
        <v>3027.8726965402439</v>
      </c>
      <c r="V293" s="108"/>
      <c r="W293" s="108"/>
      <c r="X293" s="109">
        <f t="shared" ref="X293:X313" si="276">IF(AU293=1,0,U293*0.625)</f>
        <v>0</v>
      </c>
      <c r="Y293" s="99">
        <f t="shared" si="8"/>
        <v>16850.624127024388</v>
      </c>
      <c r="Z293" s="108">
        <f t="shared" ref="Z293:AA293" si="277">T293*$D$58/100</f>
        <v>10794.8787339439</v>
      </c>
      <c r="AA293" s="108">
        <f t="shared" si="277"/>
        <v>6055.7453930804877</v>
      </c>
      <c r="AB293" s="108"/>
      <c r="AC293" s="108"/>
      <c r="AD293" s="109">
        <f t="shared" ref="AD293:AD313" si="278">X293*$D$58/100</f>
        <v>0</v>
      </c>
      <c r="AE293" s="99">
        <f t="shared" ref="AE293:AF293" si="279">AO293</f>
        <v>24</v>
      </c>
      <c r="AF293" s="101">
        <f t="shared" si="279"/>
        <v>36</v>
      </c>
      <c r="AG293" s="101">
        <f t="shared" ref="AG293:AG357" si="280">IF($D$57+AT293&gt;100,100,$D$57+AT293)</f>
        <v>19.001300000000001</v>
      </c>
      <c r="AH293" s="101">
        <f t="shared" si="197"/>
        <v>521</v>
      </c>
      <c r="AI293" s="101">
        <f t="shared" si="246"/>
        <v>268.61079999999998</v>
      </c>
      <c r="AJ293" s="101">
        <f t="shared" ref="AJ293:AJ313" si="281">10/IF(AY293=1,2.5,2)</f>
        <v>4</v>
      </c>
      <c r="AK293" s="101">
        <f t="shared" si="15"/>
        <v>8425.3120635121941</v>
      </c>
      <c r="AL293" s="101">
        <f t="shared" ref="AL293:AL313" si="282">(VLOOKUP(C293,$B$36:$AG$39,17,FALSE)+VLOOKUP(C293,$B$40:$AG$43,17,FALSE)*$D$54)*$D$59/100</f>
        <v>5397.4393669719502</v>
      </c>
      <c r="AM293" s="101">
        <f t="shared" ref="AM293:AM313" si="283">(VLOOKUP(C293,$B$36:$AG$39,18,FALSE)+VLOOKUP(C293,$B$40:$AG$43,18,FALSE)*$D$54)*$D$59/100</f>
        <v>3027.8726965402439</v>
      </c>
      <c r="AN293" s="101"/>
      <c r="AO293" s="1">
        <v>24</v>
      </c>
      <c r="AP293" s="2">
        <v>36</v>
      </c>
      <c r="AQ293" s="74">
        <f t="shared" ref="AQ293:AQ313" si="284">VLOOKUP(C293,$B$45:$AA$48,17,FALSE)</f>
        <v>521</v>
      </c>
      <c r="AR293" s="31">
        <f t="shared" ref="AR293:AR313" si="285">IF(LEFT(E293,1)*1=1,$S$63,$R$63)</f>
        <v>0</v>
      </c>
      <c r="AS293" s="2">
        <f t="shared" ref="AS293:AS313" si="286">IF(LEFT(E293,1)*1=2,$U$63,$T$63)</f>
        <v>0</v>
      </c>
      <c r="AT293" s="33">
        <f t="shared" ref="AT293:AT313" si="287">IF(LEFT(E293,1)*1=3,$W$63,$V$63)</f>
        <v>0</v>
      </c>
      <c r="AU293" s="31">
        <f t="shared" ref="AU293:AU313" si="288">IF(MID(E293,3,1)*1=1,$Y$63,$X$63)</f>
        <v>1</v>
      </c>
      <c r="AV293" s="2">
        <f t="shared" ref="AV293:AV313" si="289">IF(MID(E293,3,1)*1=2,$AA$63,$Z$63)</f>
        <v>0</v>
      </c>
      <c r="AW293" s="33">
        <f t="shared" ref="AW293:AW313" si="290">IF(MID(E293,3,1)*1=3,$AC$63,$AB$63)</f>
        <v>1</v>
      </c>
      <c r="AX293" s="31">
        <f t="shared" ref="AX293:AX313" si="291">IF(MID(E293,5,1)*1=1,$AE$63,$AD$63)</f>
        <v>0</v>
      </c>
      <c r="AY293" s="33">
        <f t="shared" ref="AY293:AY313" si="292">IF(MID(E293,5,1)*1=2,$AG$63,$AF$63)</f>
        <v>1</v>
      </c>
      <c r="AZ293" s="2"/>
      <c r="BA293" s="101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1" ht="12" customHeight="1">
      <c r="A294" s="2"/>
      <c r="B294" s="107">
        <v>219</v>
      </c>
      <c r="C294" s="31">
        <v>10</v>
      </c>
      <c r="D294" s="106" t="s">
        <v>13</v>
      </c>
      <c r="E294" s="2" t="s">
        <v>136</v>
      </c>
      <c r="F294" s="2"/>
      <c r="G294" s="2"/>
      <c r="H294" s="33"/>
      <c r="I294" s="99">
        <f t="shared" si="0"/>
        <v>614.10253274444335</v>
      </c>
      <c r="J294" s="101">
        <f t="shared" si="1"/>
        <v>21.708333333333332</v>
      </c>
      <c r="K294" s="101">
        <f t="shared" si="2"/>
        <v>448</v>
      </c>
      <c r="L294" s="74">
        <f t="shared" si="3"/>
        <v>152</v>
      </c>
      <c r="M294" s="99">
        <f t="shared" si="191"/>
        <v>14738.46078586664</v>
      </c>
      <c r="N294" s="108">
        <f t="shared" si="271"/>
        <v>7126.6841578976055</v>
      </c>
      <c r="O294" s="108">
        <f t="shared" si="272"/>
        <v>4684.1702325963288</v>
      </c>
      <c r="P294" s="108"/>
      <c r="Q294" s="108"/>
      <c r="R294" s="109">
        <f t="shared" si="273"/>
        <v>2927.6063953727057</v>
      </c>
      <c r="S294" s="99">
        <f t="shared" si="6"/>
        <v>11793.820438413217</v>
      </c>
      <c r="T294" s="108">
        <f t="shared" si="274"/>
        <v>5397.4393669719502</v>
      </c>
      <c r="U294" s="108">
        <f t="shared" si="275"/>
        <v>3936.234505502317</v>
      </c>
      <c r="V294" s="108"/>
      <c r="W294" s="108"/>
      <c r="X294" s="109">
        <f t="shared" si="276"/>
        <v>2460.1465659389482</v>
      </c>
      <c r="Y294" s="99">
        <f t="shared" si="8"/>
        <v>23587.64087682643</v>
      </c>
      <c r="Z294" s="108">
        <f t="shared" ref="Z294:AA294" si="293">T294*$D$58/100</f>
        <v>10794.8787339439</v>
      </c>
      <c r="AA294" s="108">
        <f t="shared" si="293"/>
        <v>7872.4690110046331</v>
      </c>
      <c r="AB294" s="108"/>
      <c r="AC294" s="108"/>
      <c r="AD294" s="109">
        <f t="shared" si="278"/>
        <v>4920.2931318778965</v>
      </c>
      <c r="AE294" s="99">
        <f t="shared" ref="AE294:AF294" si="294">AO294</f>
        <v>24</v>
      </c>
      <c r="AF294" s="101">
        <f t="shared" si="294"/>
        <v>36</v>
      </c>
      <c r="AG294" s="101">
        <f t="shared" si="280"/>
        <v>19.001300000000001</v>
      </c>
      <c r="AH294" s="101">
        <f t="shared" si="197"/>
        <v>521</v>
      </c>
      <c r="AI294" s="101">
        <f t="shared" si="246"/>
        <v>268.61079999999998</v>
      </c>
      <c r="AJ294" s="101">
        <f t="shared" si="281"/>
        <v>4</v>
      </c>
      <c r="AK294" s="101">
        <f t="shared" si="15"/>
        <v>8425.3120635121941</v>
      </c>
      <c r="AL294" s="101">
        <f t="shared" si="282"/>
        <v>5397.4393669719502</v>
      </c>
      <c r="AM294" s="101">
        <f t="shared" si="283"/>
        <v>3027.8726965402439</v>
      </c>
      <c r="AN294" s="101"/>
      <c r="AO294" s="1">
        <v>24</v>
      </c>
      <c r="AP294" s="2">
        <v>36</v>
      </c>
      <c r="AQ294" s="74">
        <f t="shared" si="284"/>
        <v>521</v>
      </c>
      <c r="AR294" s="31">
        <f t="shared" si="285"/>
        <v>0</v>
      </c>
      <c r="AS294" s="2">
        <f t="shared" si="286"/>
        <v>0</v>
      </c>
      <c r="AT294" s="33">
        <f t="shared" si="287"/>
        <v>0</v>
      </c>
      <c r="AU294" s="31">
        <f t="shared" si="288"/>
        <v>1.3</v>
      </c>
      <c r="AV294" s="2">
        <f t="shared" si="289"/>
        <v>0</v>
      </c>
      <c r="AW294" s="33">
        <f t="shared" si="290"/>
        <v>1</v>
      </c>
      <c r="AX294" s="31">
        <f t="shared" si="291"/>
        <v>0</v>
      </c>
      <c r="AY294" s="33">
        <f t="shared" si="292"/>
        <v>1</v>
      </c>
      <c r="AZ294" s="2"/>
      <c r="BA294" s="101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1" ht="12" customHeight="1">
      <c r="A295" s="2"/>
      <c r="B295" s="107">
        <v>220</v>
      </c>
      <c r="C295" s="31">
        <v>10</v>
      </c>
      <c r="D295" s="106" t="s">
        <v>13</v>
      </c>
      <c r="E295" s="2" t="s">
        <v>91</v>
      </c>
      <c r="F295" s="2"/>
      <c r="G295" s="2"/>
      <c r="H295" s="33"/>
      <c r="I295" s="99">
        <f t="shared" si="0"/>
        <v>597.2124958480623</v>
      </c>
      <c r="J295" s="101">
        <f t="shared" si="1"/>
        <v>21.708333333333332</v>
      </c>
      <c r="K295" s="101">
        <f t="shared" si="2"/>
        <v>473</v>
      </c>
      <c r="L295" s="74">
        <f t="shared" si="3"/>
        <v>162</v>
      </c>
      <c r="M295" s="99">
        <f t="shared" si="191"/>
        <v>14333.099900353496</v>
      </c>
      <c r="N295" s="108">
        <f t="shared" si="271"/>
        <v>7126.6841578976055</v>
      </c>
      <c r="O295" s="108">
        <f t="shared" si="272"/>
        <v>7206.4157424558907</v>
      </c>
      <c r="P295" s="108"/>
      <c r="Q295" s="108"/>
      <c r="R295" s="109">
        <f t="shared" si="273"/>
        <v>0</v>
      </c>
      <c r="S295" s="99">
        <f t="shared" si="6"/>
        <v>11453.184760052438</v>
      </c>
      <c r="T295" s="108">
        <f t="shared" si="274"/>
        <v>5397.4393669719502</v>
      </c>
      <c r="U295" s="108">
        <f t="shared" si="275"/>
        <v>6055.7453930804877</v>
      </c>
      <c r="V295" s="108"/>
      <c r="W295" s="108"/>
      <c r="X295" s="109">
        <f t="shared" si="276"/>
        <v>0</v>
      </c>
      <c r="Y295" s="99">
        <f t="shared" si="8"/>
        <v>22906.369520104876</v>
      </c>
      <c r="Z295" s="108">
        <f t="shared" ref="Z295:AA295" si="295">T295*$D$58/100</f>
        <v>10794.8787339439</v>
      </c>
      <c r="AA295" s="108">
        <f t="shared" si="295"/>
        <v>12111.490786160975</v>
      </c>
      <c r="AB295" s="108"/>
      <c r="AC295" s="108"/>
      <c r="AD295" s="109">
        <f t="shared" si="278"/>
        <v>0</v>
      </c>
      <c r="AE295" s="99">
        <f t="shared" ref="AE295:AF295" si="296">AO295</f>
        <v>24</v>
      </c>
      <c r="AF295" s="101">
        <f t="shared" si="296"/>
        <v>36</v>
      </c>
      <c r="AG295" s="101">
        <f t="shared" si="280"/>
        <v>19.001300000000001</v>
      </c>
      <c r="AH295" s="101">
        <f t="shared" si="197"/>
        <v>521</v>
      </c>
      <c r="AI295" s="101">
        <f t="shared" si="246"/>
        <v>268.61079999999998</v>
      </c>
      <c r="AJ295" s="101">
        <f t="shared" si="281"/>
        <v>4</v>
      </c>
      <c r="AK295" s="101">
        <f t="shared" si="15"/>
        <v>8425.3120635121941</v>
      </c>
      <c r="AL295" s="101">
        <f t="shared" si="282"/>
        <v>5397.4393669719502</v>
      </c>
      <c r="AM295" s="101">
        <f t="shared" si="283"/>
        <v>3027.8726965402439</v>
      </c>
      <c r="AN295" s="101"/>
      <c r="AO295" s="1">
        <v>24</v>
      </c>
      <c r="AP295" s="2">
        <v>36</v>
      </c>
      <c r="AQ295" s="74">
        <f t="shared" si="284"/>
        <v>521</v>
      </c>
      <c r="AR295" s="31">
        <f t="shared" si="285"/>
        <v>0</v>
      </c>
      <c r="AS295" s="2">
        <f t="shared" si="286"/>
        <v>0</v>
      </c>
      <c r="AT295" s="33">
        <f t="shared" si="287"/>
        <v>0</v>
      </c>
      <c r="AU295" s="31">
        <f t="shared" si="288"/>
        <v>1</v>
      </c>
      <c r="AV295" s="2">
        <f t="shared" si="289"/>
        <v>0</v>
      </c>
      <c r="AW295" s="33">
        <f t="shared" si="290"/>
        <v>2</v>
      </c>
      <c r="AX295" s="31">
        <f t="shared" si="291"/>
        <v>0</v>
      </c>
      <c r="AY295" s="33">
        <f t="shared" si="292"/>
        <v>1</v>
      </c>
      <c r="AZ295" s="2"/>
      <c r="BA295" s="101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</row>
    <row r="296" spans="1:71" ht="12" customHeight="1">
      <c r="A296" s="2"/>
      <c r="B296" s="107">
        <v>221</v>
      </c>
      <c r="C296" s="31">
        <v>10</v>
      </c>
      <c r="D296" s="106" t="s">
        <v>13</v>
      </c>
      <c r="E296" s="2" t="s">
        <v>87</v>
      </c>
      <c r="F296" s="2"/>
      <c r="G296" s="2"/>
      <c r="H296" s="33"/>
      <c r="I296" s="99">
        <f t="shared" si="0"/>
        <v>598.75659614967037</v>
      </c>
      <c r="J296" s="101">
        <f t="shared" si="1"/>
        <v>21.708333333333332</v>
      </c>
      <c r="K296" s="101">
        <f t="shared" si="2"/>
        <v>472</v>
      </c>
      <c r="L296" s="74">
        <f t="shared" si="3"/>
        <v>161</v>
      </c>
      <c r="M296" s="99">
        <f t="shared" si="191"/>
        <v>14370.158307592088</v>
      </c>
      <c r="N296" s="108">
        <f t="shared" si="271"/>
        <v>10766.950436364143</v>
      </c>
      <c r="O296" s="108">
        <f t="shared" si="272"/>
        <v>3603.2078712279454</v>
      </c>
      <c r="P296" s="108"/>
      <c r="Q296" s="108"/>
      <c r="R296" s="109">
        <f t="shared" si="273"/>
        <v>0</v>
      </c>
      <c r="S296" s="99">
        <f t="shared" si="6"/>
        <v>8425.3120635121941</v>
      </c>
      <c r="T296" s="108">
        <f t="shared" si="274"/>
        <v>5397.4393669719502</v>
      </c>
      <c r="U296" s="108">
        <f t="shared" si="275"/>
        <v>3027.8726965402439</v>
      </c>
      <c r="V296" s="108"/>
      <c r="W296" s="108"/>
      <c r="X296" s="109">
        <f t="shared" si="276"/>
        <v>0</v>
      </c>
      <c r="Y296" s="99">
        <f t="shared" si="8"/>
        <v>16850.624127024388</v>
      </c>
      <c r="Z296" s="108">
        <f t="shared" ref="Z296:AA296" si="297">T296*$D$58/100</f>
        <v>10794.8787339439</v>
      </c>
      <c r="AA296" s="108">
        <f t="shared" si="297"/>
        <v>6055.7453930804877</v>
      </c>
      <c r="AB296" s="108"/>
      <c r="AC296" s="108"/>
      <c r="AD296" s="109">
        <f t="shared" si="278"/>
        <v>0</v>
      </c>
      <c r="AE296" s="99">
        <f t="shared" ref="AE296:AF296" si="298">AO296</f>
        <v>24</v>
      </c>
      <c r="AF296" s="101">
        <f t="shared" si="298"/>
        <v>36</v>
      </c>
      <c r="AG296" s="101">
        <f t="shared" si="280"/>
        <v>59.001300000000001</v>
      </c>
      <c r="AH296" s="101">
        <f t="shared" si="197"/>
        <v>521</v>
      </c>
      <c r="AI296" s="101">
        <f t="shared" si="246"/>
        <v>268.61079999999998</v>
      </c>
      <c r="AJ296" s="101">
        <f t="shared" si="281"/>
        <v>4</v>
      </c>
      <c r="AK296" s="101">
        <f t="shared" si="15"/>
        <v>8425.3120635121941</v>
      </c>
      <c r="AL296" s="101">
        <f t="shared" si="282"/>
        <v>5397.4393669719502</v>
      </c>
      <c r="AM296" s="101">
        <f t="shared" si="283"/>
        <v>3027.8726965402439</v>
      </c>
      <c r="AN296" s="101"/>
      <c r="AO296" s="1">
        <v>24</v>
      </c>
      <c r="AP296" s="2">
        <v>36</v>
      </c>
      <c r="AQ296" s="74">
        <f t="shared" si="284"/>
        <v>521</v>
      </c>
      <c r="AR296" s="31">
        <f t="shared" si="285"/>
        <v>0</v>
      </c>
      <c r="AS296" s="2">
        <f t="shared" si="286"/>
        <v>0</v>
      </c>
      <c r="AT296" s="33">
        <f t="shared" si="287"/>
        <v>40</v>
      </c>
      <c r="AU296" s="31">
        <f t="shared" si="288"/>
        <v>1</v>
      </c>
      <c r="AV296" s="2">
        <f t="shared" si="289"/>
        <v>0</v>
      </c>
      <c r="AW296" s="33">
        <f t="shared" si="290"/>
        <v>1</v>
      </c>
      <c r="AX296" s="31">
        <f t="shared" si="291"/>
        <v>0</v>
      </c>
      <c r="AY296" s="33">
        <f t="shared" si="292"/>
        <v>1</v>
      </c>
      <c r="AZ296" s="2"/>
      <c r="BA296" s="101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</row>
    <row r="297" spans="1:71" ht="12" customHeight="1">
      <c r="A297" s="2"/>
      <c r="B297" s="107">
        <v>222</v>
      </c>
      <c r="C297" s="31">
        <v>10</v>
      </c>
      <c r="D297" s="106" t="s">
        <v>13</v>
      </c>
      <c r="E297" s="2" t="s">
        <v>179</v>
      </c>
      <c r="F297" s="2"/>
      <c r="G297" s="2"/>
      <c r="H297" s="33"/>
      <c r="I297" s="99">
        <f t="shared" si="0"/>
        <v>765.78029434721566</v>
      </c>
      <c r="J297" s="101">
        <f t="shared" si="1"/>
        <v>21.708333333333332</v>
      </c>
      <c r="K297" s="101">
        <f t="shared" si="2"/>
        <v>292</v>
      </c>
      <c r="L297" s="74">
        <f t="shared" si="3"/>
        <v>79</v>
      </c>
      <c r="M297" s="99">
        <f t="shared" si="191"/>
        <v>18378.727064333176</v>
      </c>
      <c r="N297" s="108">
        <f t="shared" si="271"/>
        <v>10766.950436364143</v>
      </c>
      <c r="O297" s="108">
        <f t="shared" si="272"/>
        <v>4684.1702325963288</v>
      </c>
      <c r="P297" s="108"/>
      <c r="Q297" s="108"/>
      <c r="R297" s="109">
        <f t="shared" si="273"/>
        <v>2927.6063953727057</v>
      </c>
      <c r="S297" s="99">
        <f t="shared" si="6"/>
        <v>11793.820438413217</v>
      </c>
      <c r="T297" s="108">
        <f t="shared" si="274"/>
        <v>5397.4393669719502</v>
      </c>
      <c r="U297" s="108">
        <f t="shared" si="275"/>
        <v>3936.234505502317</v>
      </c>
      <c r="V297" s="108"/>
      <c r="W297" s="108"/>
      <c r="X297" s="109">
        <f t="shared" si="276"/>
        <v>2460.1465659389482</v>
      </c>
      <c r="Y297" s="99">
        <f t="shared" si="8"/>
        <v>23587.64087682643</v>
      </c>
      <c r="Z297" s="108">
        <f t="shared" ref="Z297:AA297" si="299">T297*$D$58/100</f>
        <v>10794.8787339439</v>
      </c>
      <c r="AA297" s="108">
        <f t="shared" si="299"/>
        <v>7872.4690110046331</v>
      </c>
      <c r="AB297" s="108"/>
      <c r="AC297" s="108"/>
      <c r="AD297" s="109">
        <f t="shared" si="278"/>
        <v>4920.2931318778965</v>
      </c>
      <c r="AE297" s="99">
        <f t="shared" ref="AE297:AF297" si="300">AO297</f>
        <v>24</v>
      </c>
      <c r="AF297" s="101">
        <f t="shared" si="300"/>
        <v>36</v>
      </c>
      <c r="AG297" s="101">
        <f t="shared" si="280"/>
        <v>59.001300000000001</v>
      </c>
      <c r="AH297" s="101">
        <f t="shared" si="197"/>
        <v>521</v>
      </c>
      <c r="AI297" s="101">
        <f t="shared" si="246"/>
        <v>268.61079999999998</v>
      </c>
      <c r="AJ297" s="101">
        <f t="shared" si="281"/>
        <v>4</v>
      </c>
      <c r="AK297" s="101">
        <f t="shared" si="15"/>
        <v>8425.3120635121941</v>
      </c>
      <c r="AL297" s="101">
        <f t="shared" si="282"/>
        <v>5397.4393669719502</v>
      </c>
      <c r="AM297" s="101">
        <f t="shared" si="283"/>
        <v>3027.8726965402439</v>
      </c>
      <c r="AN297" s="101"/>
      <c r="AO297" s="1">
        <v>24</v>
      </c>
      <c r="AP297" s="2">
        <v>36</v>
      </c>
      <c r="AQ297" s="74">
        <f t="shared" si="284"/>
        <v>521</v>
      </c>
      <c r="AR297" s="31">
        <f t="shared" si="285"/>
        <v>0</v>
      </c>
      <c r="AS297" s="2">
        <f t="shared" si="286"/>
        <v>0</v>
      </c>
      <c r="AT297" s="33">
        <f t="shared" si="287"/>
        <v>40</v>
      </c>
      <c r="AU297" s="31">
        <f t="shared" si="288"/>
        <v>1.3</v>
      </c>
      <c r="AV297" s="2">
        <f t="shared" si="289"/>
        <v>0</v>
      </c>
      <c r="AW297" s="33">
        <f t="shared" si="290"/>
        <v>1</v>
      </c>
      <c r="AX297" s="31">
        <f t="shared" si="291"/>
        <v>0</v>
      </c>
      <c r="AY297" s="33">
        <f t="shared" si="292"/>
        <v>1</v>
      </c>
      <c r="AZ297" s="2"/>
      <c r="BA297" s="101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</row>
    <row r="298" spans="1:71" ht="12" customHeight="1">
      <c r="A298" s="2"/>
      <c r="B298" s="107">
        <v>223</v>
      </c>
      <c r="C298" s="31">
        <v>10</v>
      </c>
      <c r="D298" s="106" t="s">
        <v>13</v>
      </c>
      <c r="E298" s="2" t="s">
        <v>134</v>
      </c>
      <c r="F298" s="2"/>
      <c r="G298" s="2"/>
      <c r="H298" s="33"/>
      <c r="I298" s="99">
        <f t="shared" si="0"/>
        <v>748.89025745083472</v>
      </c>
      <c r="J298" s="101">
        <f t="shared" si="1"/>
        <v>21.708333333333332</v>
      </c>
      <c r="K298" s="101">
        <f t="shared" si="2"/>
        <v>307</v>
      </c>
      <c r="L298" s="74">
        <f t="shared" si="3"/>
        <v>85</v>
      </c>
      <c r="M298" s="99">
        <f t="shared" si="191"/>
        <v>17973.366178820033</v>
      </c>
      <c r="N298" s="108">
        <f t="shared" si="271"/>
        <v>10766.950436364143</v>
      </c>
      <c r="O298" s="108">
        <f t="shared" si="272"/>
        <v>7206.4157424558907</v>
      </c>
      <c r="P298" s="108"/>
      <c r="Q298" s="108"/>
      <c r="R298" s="109">
        <f t="shared" si="273"/>
        <v>0</v>
      </c>
      <c r="S298" s="99">
        <f t="shared" si="6"/>
        <v>11453.184760052438</v>
      </c>
      <c r="T298" s="108">
        <f t="shared" si="274"/>
        <v>5397.4393669719502</v>
      </c>
      <c r="U298" s="108">
        <f t="shared" si="275"/>
        <v>6055.7453930804877</v>
      </c>
      <c r="V298" s="108"/>
      <c r="W298" s="108"/>
      <c r="X298" s="109">
        <f t="shared" si="276"/>
        <v>0</v>
      </c>
      <c r="Y298" s="99">
        <f t="shared" si="8"/>
        <v>22906.369520104876</v>
      </c>
      <c r="Z298" s="108">
        <f t="shared" ref="Z298:AA298" si="301">T298*$D$58/100</f>
        <v>10794.8787339439</v>
      </c>
      <c r="AA298" s="108">
        <f t="shared" si="301"/>
        <v>12111.490786160975</v>
      </c>
      <c r="AB298" s="108"/>
      <c r="AC298" s="108"/>
      <c r="AD298" s="109">
        <f t="shared" si="278"/>
        <v>0</v>
      </c>
      <c r="AE298" s="99">
        <f t="shared" ref="AE298:AF298" si="302">AO298</f>
        <v>24</v>
      </c>
      <c r="AF298" s="101">
        <f t="shared" si="302"/>
        <v>36</v>
      </c>
      <c r="AG298" s="101">
        <f t="shared" si="280"/>
        <v>59.001300000000001</v>
      </c>
      <c r="AH298" s="101">
        <f t="shared" si="197"/>
        <v>521</v>
      </c>
      <c r="AI298" s="101">
        <f t="shared" si="246"/>
        <v>268.61079999999998</v>
      </c>
      <c r="AJ298" s="101">
        <f t="shared" si="281"/>
        <v>4</v>
      </c>
      <c r="AK298" s="101">
        <f t="shared" si="15"/>
        <v>8425.3120635121941</v>
      </c>
      <c r="AL298" s="101">
        <f t="shared" si="282"/>
        <v>5397.4393669719502</v>
      </c>
      <c r="AM298" s="101">
        <f t="shared" si="283"/>
        <v>3027.8726965402439</v>
      </c>
      <c r="AN298" s="101"/>
      <c r="AO298" s="1">
        <v>24</v>
      </c>
      <c r="AP298" s="2">
        <v>36</v>
      </c>
      <c r="AQ298" s="74">
        <f t="shared" si="284"/>
        <v>521</v>
      </c>
      <c r="AR298" s="31">
        <f t="shared" si="285"/>
        <v>0</v>
      </c>
      <c r="AS298" s="2">
        <f t="shared" si="286"/>
        <v>0</v>
      </c>
      <c r="AT298" s="33">
        <f t="shared" si="287"/>
        <v>40</v>
      </c>
      <c r="AU298" s="31">
        <f t="shared" si="288"/>
        <v>1</v>
      </c>
      <c r="AV298" s="2">
        <f t="shared" si="289"/>
        <v>0</v>
      </c>
      <c r="AW298" s="33">
        <f t="shared" si="290"/>
        <v>2</v>
      </c>
      <c r="AX298" s="31">
        <f t="shared" si="291"/>
        <v>0</v>
      </c>
      <c r="AY298" s="33">
        <f t="shared" si="292"/>
        <v>1</v>
      </c>
      <c r="AZ298" s="2"/>
      <c r="BA298" s="101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</row>
    <row r="299" spans="1:71" ht="12" customHeight="1">
      <c r="A299" s="2"/>
      <c r="B299" s="107">
        <v>224</v>
      </c>
      <c r="C299" s="31">
        <v>10</v>
      </c>
      <c r="D299" s="106" t="s">
        <v>13</v>
      </c>
      <c r="E299" s="2" t="s">
        <v>92</v>
      </c>
      <c r="F299" s="2"/>
      <c r="G299" s="2"/>
      <c r="H299" s="33"/>
      <c r="I299" s="99">
        <f t="shared" si="0"/>
        <v>545.07074171799002</v>
      </c>
      <c r="J299" s="101">
        <f t="shared" si="1"/>
        <v>21.708333333333332</v>
      </c>
      <c r="K299" s="101">
        <f t="shared" si="2"/>
        <v>544</v>
      </c>
      <c r="L299" s="74">
        <f t="shared" si="3"/>
        <v>191</v>
      </c>
      <c r="M299" s="99">
        <f t="shared" si="191"/>
        <v>13081.697801231761</v>
      </c>
      <c r="N299" s="108">
        <f t="shared" si="271"/>
        <v>9478.489930003816</v>
      </c>
      <c r="O299" s="108">
        <f t="shared" si="272"/>
        <v>3603.2078712279454</v>
      </c>
      <c r="P299" s="108"/>
      <c r="Q299" s="108"/>
      <c r="R299" s="109">
        <f t="shared" si="273"/>
        <v>0</v>
      </c>
      <c r="S299" s="99">
        <f t="shared" si="6"/>
        <v>10206.467054612938</v>
      </c>
      <c r="T299" s="108">
        <f t="shared" si="274"/>
        <v>7178.5943580726944</v>
      </c>
      <c r="U299" s="108">
        <f t="shared" si="275"/>
        <v>3027.8726965402439</v>
      </c>
      <c r="V299" s="108"/>
      <c r="W299" s="108"/>
      <c r="X299" s="109">
        <f t="shared" si="276"/>
        <v>0</v>
      </c>
      <c r="Y299" s="99">
        <f t="shared" si="8"/>
        <v>20412.934109225876</v>
      </c>
      <c r="Z299" s="108">
        <f t="shared" ref="Z299:AA299" si="303">T299*$D$58/100</f>
        <v>14357.188716145389</v>
      </c>
      <c r="AA299" s="108">
        <f t="shared" si="303"/>
        <v>6055.7453930804877</v>
      </c>
      <c r="AB299" s="108"/>
      <c r="AC299" s="108"/>
      <c r="AD299" s="109">
        <f t="shared" si="278"/>
        <v>0</v>
      </c>
      <c r="AE299" s="99">
        <f t="shared" ref="AE299:AF299" si="304">AO299</f>
        <v>24</v>
      </c>
      <c r="AF299" s="101">
        <f t="shared" si="304"/>
        <v>36</v>
      </c>
      <c r="AG299" s="101">
        <f t="shared" si="280"/>
        <v>19.001300000000001</v>
      </c>
      <c r="AH299" s="101">
        <f t="shared" si="197"/>
        <v>521</v>
      </c>
      <c r="AI299" s="101">
        <f t="shared" si="246"/>
        <v>268.61079999999998</v>
      </c>
      <c r="AJ299" s="101">
        <f t="shared" si="281"/>
        <v>5</v>
      </c>
      <c r="AK299" s="101">
        <f t="shared" si="15"/>
        <v>8425.3120635121941</v>
      </c>
      <c r="AL299" s="101">
        <f t="shared" si="282"/>
        <v>5397.4393669719502</v>
      </c>
      <c r="AM299" s="101">
        <f t="shared" si="283"/>
        <v>3027.8726965402439</v>
      </c>
      <c r="AN299" s="101"/>
      <c r="AO299" s="1">
        <v>24</v>
      </c>
      <c r="AP299" s="2">
        <v>36</v>
      </c>
      <c r="AQ299" s="74">
        <f t="shared" si="284"/>
        <v>521</v>
      </c>
      <c r="AR299" s="31">
        <f t="shared" si="285"/>
        <v>0</v>
      </c>
      <c r="AS299" s="2">
        <f t="shared" si="286"/>
        <v>0</v>
      </c>
      <c r="AT299" s="33">
        <f t="shared" si="287"/>
        <v>0</v>
      </c>
      <c r="AU299" s="31">
        <f t="shared" si="288"/>
        <v>1</v>
      </c>
      <c r="AV299" s="2">
        <f t="shared" si="289"/>
        <v>0</v>
      </c>
      <c r="AW299" s="33">
        <f t="shared" si="290"/>
        <v>1</v>
      </c>
      <c r="AX299" s="31">
        <f t="shared" si="291"/>
        <v>0</v>
      </c>
      <c r="AY299" s="33">
        <f t="shared" si="292"/>
        <v>1.33</v>
      </c>
      <c r="AZ299" s="2"/>
      <c r="BA299" s="101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</row>
    <row r="300" spans="1:71" ht="12" customHeight="1">
      <c r="A300" s="2"/>
      <c r="B300" s="107">
        <v>225</v>
      </c>
      <c r="C300" s="31">
        <v>10</v>
      </c>
      <c r="D300" s="106" t="s">
        <v>13</v>
      </c>
      <c r="E300" s="2" t="s">
        <v>139</v>
      </c>
      <c r="F300" s="2"/>
      <c r="G300" s="2"/>
      <c r="H300" s="33"/>
      <c r="I300" s="99">
        <f t="shared" si="0"/>
        <v>712.09443991553542</v>
      </c>
      <c r="J300" s="101">
        <f t="shared" si="1"/>
        <v>21.708333333333332</v>
      </c>
      <c r="K300" s="101">
        <f t="shared" si="2"/>
        <v>342</v>
      </c>
      <c r="L300" s="74">
        <f t="shared" si="3"/>
        <v>104</v>
      </c>
      <c r="M300" s="99">
        <f t="shared" si="191"/>
        <v>17090.266557972849</v>
      </c>
      <c r="N300" s="108">
        <f t="shared" si="271"/>
        <v>9478.489930003816</v>
      </c>
      <c r="O300" s="108">
        <f t="shared" si="272"/>
        <v>4684.1702325963288</v>
      </c>
      <c r="P300" s="108"/>
      <c r="Q300" s="108"/>
      <c r="R300" s="109">
        <f t="shared" si="273"/>
        <v>2927.6063953727057</v>
      </c>
      <c r="S300" s="99">
        <f t="shared" si="6"/>
        <v>13574.975429513959</v>
      </c>
      <c r="T300" s="108">
        <f t="shared" si="274"/>
        <v>7178.5943580726944</v>
      </c>
      <c r="U300" s="108">
        <f t="shared" si="275"/>
        <v>3936.234505502317</v>
      </c>
      <c r="V300" s="108"/>
      <c r="W300" s="108"/>
      <c r="X300" s="109">
        <f t="shared" si="276"/>
        <v>2460.1465659389482</v>
      </c>
      <c r="Y300" s="99">
        <f t="shared" si="8"/>
        <v>27149.950859027918</v>
      </c>
      <c r="Z300" s="108">
        <f t="shared" ref="Z300:AA300" si="305">T300*$D$58/100</f>
        <v>14357.188716145389</v>
      </c>
      <c r="AA300" s="108">
        <f t="shared" si="305"/>
        <v>7872.4690110046331</v>
      </c>
      <c r="AB300" s="108"/>
      <c r="AC300" s="108"/>
      <c r="AD300" s="109">
        <f t="shared" si="278"/>
        <v>4920.2931318778965</v>
      </c>
      <c r="AE300" s="99">
        <f t="shared" ref="AE300:AF300" si="306">AO300</f>
        <v>24</v>
      </c>
      <c r="AF300" s="101">
        <f t="shared" si="306"/>
        <v>36</v>
      </c>
      <c r="AG300" s="101">
        <f t="shared" si="280"/>
        <v>19.001300000000001</v>
      </c>
      <c r="AH300" s="101">
        <f t="shared" si="197"/>
        <v>521</v>
      </c>
      <c r="AI300" s="101">
        <f t="shared" si="246"/>
        <v>268.61079999999998</v>
      </c>
      <c r="AJ300" s="101">
        <f t="shared" si="281"/>
        <v>5</v>
      </c>
      <c r="AK300" s="101">
        <f t="shared" si="15"/>
        <v>8425.3120635121941</v>
      </c>
      <c r="AL300" s="101">
        <f t="shared" si="282"/>
        <v>5397.4393669719502</v>
      </c>
      <c r="AM300" s="101">
        <f t="shared" si="283"/>
        <v>3027.8726965402439</v>
      </c>
      <c r="AN300" s="101"/>
      <c r="AO300" s="1">
        <v>24</v>
      </c>
      <c r="AP300" s="2">
        <v>36</v>
      </c>
      <c r="AQ300" s="74">
        <f t="shared" si="284"/>
        <v>521</v>
      </c>
      <c r="AR300" s="31">
        <f t="shared" si="285"/>
        <v>0</v>
      </c>
      <c r="AS300" s="2">
        <f t="shared" si="286"/>
        <v>0</v>
      </c>
      <c r="AT300" s="33">
        <f t="shared" si="287"/>
        <v>0</v>
      </c>
      <c r="AU300" s="31">
        <f t="shared" si="288"/>
        <v>1.3</v>
      </c>
      <c r="AV300" s="2">
        <f t="shared" si="289"/>
        <v>0</v>
      </c>
      <c r="AW300" s="33">
        <f t="shared" si="290"/>
        <v>1</v>
      </c>
      <c r="AX300" s="31">
        <f t="shared" si="291"/>
        <v>0</v>
      </c>
      <c r="AY300" s="33">
        <f t="shared" si="292"/>
        <v>1.33</v>
      </c>
      <c r="AZ300" s="2"/>
      <c r="BA300" s="101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</row>
    <row r="301" spans="1:71" ht="12" customHeight="1">
      <c r="A301" s="2"/>
      <c r="B301" s="107">
        <v>226</v>
      </c>
      <c r="C301" s="31">
        <v>10</v>
      </c>
      <c r="D301" s="106" t="s">
        <v>13</v>
      </c>
      <c r="E301" s="2" t="s">
        <v>98</v>
      </c>
      <c r="F301" s="2"/>
      <c r="G301" s="2"/>
      <c r="H301" s="33"/>
      <c r="I301" s="99">
        <f t="shared" si="0"/>
        <v>695.20440301915448</v>
      </c>
      <c r="J301" s="101">
        <f t="shared" si="1"/>
        <v>21.708333333333332</v>
      </c>
      <c r="K301" s="101">
        <f t="shared" si="2"/>
        <v>361</v>
      </c>
      <c r="L301" s="74">
        <f t="shared" si="3"/>
        <v>110</v>
      </c>
      <c r="M301" s="99">
        <f t="shared" si="191"/>
        <v>16684.905672459707</v>
      </c>
      <c r="N301" s="108">
        <f t="shared" si="271"/>
        <v>9478.489930003816</v>
      </c>
      <c r="O301" s="108">
        <f t="shared" si="272"/>
        <v>7206.4157424558907</v>
      </c>
      <c r="P301" s="108"/>
      <c r="Q301" s="108"/>
      <c r="R301" s="109">
        <f t="shared" si="273"/>
        <v>0</v>
      </c>
      <c r="S301" s="99">
        <f t="shared" si="6"/>
        <v>13234.339751153182</v>
      </c>
      <c r="T301" s="108">
        <f t="shared" si="274"/>
        <v>7178.5943580726944</v>
      </c>
      <c r="U301" s="108">
        <f t="shared" si="275"/>
        <v>6055.7453930804877</v>
      </c>
      <c r="V301" s="108"/>
      <c r="W301" s="108"/>
      <c r="X301" s="109">
        <f t="shared" si="276"/>
        <v>0</v>
      </c>
      <c r="Y301" s="99">
        <f t="shared" si="8"/>
        <v>26468.679502306364</v>
      </c>
      <c r="Z301" s="108">
        <f t="shared" ref="Z301:AA301" si="307">T301*$D$58/100</f>
        <v>14357.188716145389</v>
      </c>
      <c r="AA301" s="108">
        <f t="shared" si="307"/>
        <v>12111.490786160975</v>
      </c>
      <c r="AB301" s="108"/>
      <c r="AC301" s="108"/>
      <c r="AD301" s="109">
        <f t="shared" si="278"/>
        <v>0</v>
      </c>
      <c r="AE301" s="99">
        <f t="shared" ref="AE301:AF301" si="308">AO301</f>
        <v>24</v>
      </c>
      <c r="AF301" s="101">
        <f t="shared" si="308"/>
        <v>36</v>
      </c>
      <c r="AG301" s="101">
        <f t="shared" si="280"/>
        <v>19.001300000000001</v>
      </c>
      <c r="AH301" s="101">
        <f t="shared" si="197"/>
        <v>521</v>
      </c>
      <c r="AI301" s="101">
        <f t="shared" si="246"/>
        <v>268.61079999999998</v>
      </c>
      <c r="AJ301" s="101">
        <f t="shared" si="281"/>
        <v>5</v>
      </c>
      <c r="AK301" s="101">
        <f t="shared" si="15"/>
        <v>8425.3120635121941</v>
      </c>
      <c r="AL301" s="101">
        <f t="shared" si="282"/>
        <v>5397.4393669719502</v>
      </c>
      <c r="AM301" s="101">
        <f t="shared" si="283"/>
        <v>3027.8726965402439</v>
      </c>
      <c r="AN301" s="101"/>
      <c r="AO301" s="1">
        <v>24</v>
      </c>
      <c r="AP301" s="2">
        <v>36</v>
      </c>
      <c r="AQ301" s="74">
        <f t="shared" si="284"/>
        <v>521</v>
      </c>
      <c r="AR301" s="31">
        <f t="shared" si="285"/>
        <v>0</v>
      </c>
      <c r="AS301" s="2">
        <f t="shared" si="286"/>
        <v>0</v>
      </c>
      <c r="AT301" s="33">
        <f t="shared" si="287"/>
        <v>0</v>
      </c>
      <c r="AU301" s="31">
        <f t="shared" si="288"/>
        <v>1</v>
      </c>
      <c r="AV301" s="2">
        <f t="shared" si="289"/>
        <v>0</v>
      </c>
      <c r="AW301" s="33">
        <f t="shared" si="290"/>
        <v>2</v>
      </c>
      <c r="AX301" s="31">
        <f t="shared" si="291"/>
        <v>0</v>
      </c>
      <c r="AY301" s="33">
        <f t="shared" si="292"/>
        <v>1.33</v>
      </c>
      <c r="AZ301" s="2"/>
      <c r="BA301" s="101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</row>
    <row r="302" spans="1:71" ht="12" customHeight="1">
      <c r="A302" s="2"/>
      <c r="B302" s="107">
        <v>227</v>
      </c>
      <c r="C302" s="31">
        <v>10</v>
      </c>
      <c r="D302" s="106" t="s">
        <v>13</v>
      </c>
      <c r="E302" s="2" t="s">
        <v>111</v>
      </c>
      <c r="F302" s="2"/>
      <c r="G302" s="2"/>
      <c r="H302" s="33"/>
      <c r="I302" s="99">
        <f t="shared" si="0"/>
        <v>746.80216464967725</v>
      </c>
      <c r="J302" s="101">
        <f t="shared" si="1"/>
        <v>21.708333333333332</v>
      </c>
      <c r="K302" s="101">
        <f t="shared" si="2"/>
        <v>308</v>
      </c>
      <c r="L302" s="74">
        <f t="shared" si="3"/>
        <v>86</v>
      </c>
      <c r="M302" s="99">
        <f t="shared" si="191"/>
        <v>17923.251951592254</v>
      </c>
      <c r="N302" s="108">
        <f t="shared" si="271"/>
        <v>14320.044080364311</v>
      </c>
      <c r="O302" s="108">
        <f t="shared" si="272"/>
        <v>3603.2078712279454</v>
      </c>
      <c r="P302" s="108"/>
      <c r="Q302" s="108"/>
      <c r="R302" s="109">
        <f t="shared" si="273"/>
        <v>0</v>
      </c>
      <c r="S302" s="99">
        <f t="shared" si="6"/>
        <v>10206.467054612938</v>
      </c>
      <c r="T302" s="108">
        <f t="shared" si="274"/>
        <v>7178.5943580726944</v>
      </c>
      <c r="U302" s="108">
        <f t="shared" si="275"/>
        <v>3027.8726965402439</v>
      </c>
      <c r="V302" s="108"/>
      <c r="W302" s="108"/>
      <c r="X302" s="109">
        <f t="shared" si="276"/>
        <v>0</v>
      </c>
      <c r="Y302" s="99">
        <f t="shared" si="8"/>
        <v>20412.934109225876</v>
      </c>
      <c r="Z302" s="108">
        <f t="shared" ref="Z302:AA302" si="309">T302*$D$58/100</f>
        <v>14357.188716145389</v>
      </c>
      <c r="AA302" s="108">
        <f t="shared" si="309"/>
        <v>6055.7453930804877</v>
      </c>
      <c r="AB302" s="108"/>
      <c r="AC302" s="108"/>
      <c r="AD302" s="109">
        <f t="shared" si="278"/>
        <v>0</v>
      </c>
      <c r="AE302" s="99">
        <f t="shared" ref="AE302:AF302" si="310">AO302</f>
        <v>24</v>
      </c>
      <c r="AF302" s="101">
        <f t="shared" si="310"/>
        <v>36</v>
      </c>
      <c r="AG302" s="101">
        <f t="shared" si="280"/>
        <v>59.001300000000001</v>
      </c>
      <c r="AH302" s="101">
        <f t="shared" si="197"/>
        <v>521</v>
      </c>
      <c r="AI302" s="101">
        <f t="shared" si="246"/>
        <v>268.61079999999998</v>
      </c>
      <c r="AJ302" s="101">
        <f t="shared" si="281"/>
        <v>5</v>
      </c>
      <c r="AK302" s="101">
        <f t="shared" si="15"/>
        <v>8425.3120635121941</v>
      </c>
      <c r="AL302" s="101">
        <f t="shared" si="282"/>
        <v>5397.4393669719502</v>
      </c>
      <c r="AM302" s="101">
        <f t="shared" si="283"/>
        <v>3027.8726965402439</v>
      </c>
      <c r="AN302" s="101"/>
      <c r="AO302" s="1">
        <v>24</v>
      </c>
      <c r="AP302" s="2">
        <v>36</v>
      </c>
      <c r="AQ302" s="74">
        <f t="shared" si="284"/>
        <v>521</v>
      </c>
      <c r="AR302" s="31">
        <f t="shared" si="285"/>
        <v>0</v>
      </c>
      <c r="AS302" s="2">
        <f t="shared" si="286"/>
        <v>0</v>
      </c>
      <c r="AT302" s="33">
        <f t="shared" si="287"/>
        <v>40</v>
      </c>
      <c r="AU302" s="31">
        <f t="shared" si="288"/>
        <v>1</v>
      </c>
      <c r="AV302" s="2">
        <f t="shared" si="289"/>
        <v>0</v>
      </c>
      <c r="AW302" s="33">
        <f t="shared" si="290"/>
        <v>1</v>
      </c>
      <c r="AX302" s="31">
        <f t="shared" si="291"/>
        <v>0</v>
      </c>
      <c r="AY302" s="33">
        <f t="shared" si="292"/>
        <v>1.33</v>
      </c>
      <c r="AZ302" s="2"/>
      <c r="BA302" s="101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ht="12" customHeight="1">
      <c r="A303" s="2"/>
      <c r="B303" s="107">
        <v>228</v>
      </c>
      <c r="C303" s="31">
        <v>10</v>
      </c>
      <c r="D303" s="106" t="s">
        <v>13</v>
      </c>
      <c r="E303" s="2" t="s">
        <v>145</v>
      </c>
      <c r="F303" s="2"/>
      <c r="G303" s="2"/>
      <c r="H303" s="33"/>
      <c r="I303" s="99">
        <f t="shared" si="0"/>
        <v>913.82586284722277</v>
      </c>
      <c r="J303" s="101">
        <f t="shared" si="1"/>
        <v>21.708333333333332</v>
      </c>
      <c r="K303" s="101">
        <f t="shared" si="2"/>
        <v>197</v>
      </c>
      <c r="L303" s="74">
        <f t="shared" si="3"/>
        <v>46</v>
      </c>
      <c r="M303" s="99">
        <f t="shared" si="191"/>
        <v>21931.820708333347</v>
      </c>
      <c r="N303" s="108">
        <f t="shared" si="271"/>
        <v>14320.044080364311</v>
      </c>
      <c r="O303" s="108">
        <f t="shared" si="272"/>
        <v>4684.1702325963288</v>
      </c>
      <c r="P303" s="108"/>
      <c r="Q303" s="108"/>
      <c r="R303" s="109">
        <f t="shared" si="273"/>
        <v>2927.6063953727057</v>
      </c>
      <c r="S303" s="99">
        <f t="shared" si="6"/>
        <v>13574.975429513959</v>
      </c>
      <c r="T303" s="108">
        <f t="shared" si="274"/>
        <v>7178.5943580726944</v>
      </c>
      <c r="U303" s="108">
        <f t="shared" si="275"/>
        <v>3936.234505502317</v>
      </c>
      <c r="V303" s="108"/>
      <c r="W303" s="108"/>
      <c r="X303" s="109">
        <f t="shared" si="276"/>
        <v>2460.1465659389482</v>
      </c>
      <c r="Y303" s="99">
        <f t="shared" si="8"/>
        <v>27149.950859027918</v>
      </c>
      <c r="Z303" s="108">
        <f t="shared" ref="Z303:AA303" si="311">T303*$D$58/100</f>
        <v>14357.188716145389</v>
      </c>
      <c r="AA303" s="108">
        <f t="shared" si="311"/>
        <v>7872.4690110046331</v>
      </c>
      <c r="AB303" s="108"/>
      <c r="AC303" s="108"/>
      <c r="AD303" s="109">
        <f t="shared" si="278"/>
        <v>4920.2931318778965</v>
      </c>
      <c r="AE303" s="99">
        <f t="shared" ref="AE303:AF303" si="312">AO303</f>
        <v>24</v>
      </c>
      <c r="AF303" s="101">
        <f t="shared" si="312"/>
        <v>36</v>
      </c>
      <c r="AG303" s="101">
        <f t="shared" si="280"/>
        <v>59.001300000000001</v>
      </c>
      <c r="AH303" s="101">
        <f t="shared" si="197"/>
        <v>521</v>
      </c>
      <c r="AI303" s="101">
        <f t="shared" si="246"/>
        <v>268.61079999999998</v>
      </c>
      <c r="AJ303" s="101">
        <f t="shared" si="281"/>
        <v>5</v>
      </c>
      <c r="AK303" s="101">
        <f t="shared" si="15"/>
        <v>8425.3120635121941</v>
      </c>
      <c r="AL303" s="101">
        <f t="shared" si="282"/>
        <v>5397.4393669719502</v>
      </c>
      <c r="AM303" s="101">
        <f t="shared" si="283"/>
        <v>3027.8726965402439</v>
      </c>
      <c r="AN303" s="101"/>
      <c r="AO303" s="1">
        <v>24</v>
      </c>
      <c r="AP303" s="2">
        <v>36</v>
      </c>
      <c r="AQ303" s="74">
        <f t="shared" si="284"/>
        <v>521</v>
      </c>
      <c r="AR303" s="31">
        <f t="shared" si="285"/>
        <v>0</v>
      </c>
      <c r="AS303" s="2">
        <f t="shared" si="286"/>
        <v>0</v>
      </c>
      <c r="AT303" s="33">
        <f t="shared" si="287"/>
        <v>40</v>
      </c>
      <c r="AU303" s="31">
        <f t="shared" si="288"/>
        <v>1.3</v>
      </c>
      <c r="AV303" s="2">
        <f t="shared" si="289"/>
        <v>0</v>
      </c>
      <c r="AW303" s="33">
        <f t="shared" si="290"/>
        <v>1</v>
      </c>
      <c r="AX303" s="31">
        <f t="shared" si="291"/>
        <v>0</v>
      </c>
      <c r="AY303" s="33">
        <f t="shared" si="292"/>
        <v>1.33</v>
      </c>
      <c r="AZ303" s="2"/>
      <c r="BA303" s="101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</row>
    <row r="304" spans="1:71" ht="12" customHeight="1">
      <c r="A304" s="2"/>
      <c r="B304" s="107">
        <v>229</v>
      </c>
      <c r="C304" s="31">
        <v>10</v>
      </c>
      <c r="D304" s="106" t="s">
        <v>13</v>
      </c>
      <c r="E304" s="2" t="s">
        <v>135</v>
      </c>
      <c r="F304" s="2"/>
      <c r="G304" s="2"/>
      <c r="H304" s="33"/>
      <c r="I304" s="99">
        <f t="shared" si="0"/>
        <v>896.93582595084172</v>
      </c>
      <c r="J304" s="101">
        <f t="shared" si="1"/>
        <v>21.708333333333332</v>
      </c>
      <c r="K304" s="101">
        <f t="shared" si="2"/>
        <v>207</v>
      </c>
      <c r="L304" s="74">
        <f t="shared" si="3"/>
        <v>47</v>
      </c>
      <c r="M304" s="99">
        <f t="shared" si="191"/>
        <v>21526.459822820201</v>
      </c>
      <c r="N304" s="108">
        <f t="shared" si="271"/>
        <v>14320.044080364311</v>
      </c>
      <c r="O304" s="108">
        <f t="shared" si="272"/>
        <v>7206.4157424558907</v>
      </c>
      <c r="P304" s="108"/>
      <c r="Q304" s="108"/>
      <c r="R304" s="109">
        <f t="shared" si="273"/>
        <v>0</v>
      </c>
      <c r="S304" s="99">
        <f t="shared" si="6"/>
        <v>13234.339751153182</v>
      </c>
      <c r="T304" s="108">
        <f t="shared" si="274"/>
        <v>7178.5943580726944</v>
      </c>
      <c r="U304" s="108">
        <f t="shared" si="275"/>
        <v>6055.7453930804877</v>
      </c>
      <c r="V304" s="108"/>
      <c r="W304" s="108"/>
      <c r="X304" s="109">
        <f t="shared" si="276"/>
        <v>0</v>
      </c>
      <c r="Y304" s="99">
        <f t="shared" si="8"/>
        <v>26468.679502306364</v>
      </c>
      <c r="Z304" s="108">
        <f t="shared" ref="Z304:AA304" si="313">T304*$D$58/100</f>
        <v>14357.188716145389</v>
      </c>
      <c r="AA304" s="108">
        <f t="shared" si="313"/>
        <v>12111.490786160975</v>
      </c>
      <c r="AB304" s="108"/>
      <c r="AC304" s="108"/>
      <c r="AD304" s="109">
        <f t="shared" si="278"/>
        <v>0</v>
      </c>
      <c r="AE304" s="99">
        <f t="shared" ref="AE304:AF304" si="314">AO304</f>
        <v>24</v>
      </c>
      <c r="AF304" s="101">
        <f t="shared" si="314"/>
        <v>36</v>
      </c>
      <c r="AG304" s="101">
        <f t="shared" si="280"/>
        <v>59.001300000000001</v>
      </c>
      <c r="AH304" s="101">
        <f t="shared" si="197"/>
        <v>521</v>
      </c>
      <c r="AI304" s="101">
        <f t="shared" si="246"/>
        <v>268.61079999999998</v>
      </c>
      <c r="AJ304" s="101">
        <f t="shared" si="281"/>
        <v>5</v>
      </c>
      <c r="AK304" s="101">
        <f t="shared" si="15"/>
        <v>8425.3120635121941</v>
      </c>
      <c r="AL304" s="101">
        <f t="shared" si="282"/>
        <v>5397.4393669719502</v>
      </c>
      <c r="AM304" s="101">
        <f t="shared" si="283"/>
        <v>3027.8726965402439</v>
      </c>
      <c r="AN304" s="101"/>
      <c r="AO304" s="1">
        <v>24</v>
      </c>
      <c r="AP304" s="2">
        <v>36</v>
      </c>
      <c r="AQ304" s="74">
        <f t="shared" si="284"/>
        <v>521</v>
      </c>
      <c r="AR304" s="31">
        <f t="shared" si="285"/>
        <v>0</v>
      </c>
      <c r="AS304" s="2">
        <f t="shared" si="286"/>
        <v>0</v>
      </c>
      <c r="AT304" s="33">
        <f t="shared" si="287"/>
        <v>40</v>
      </c>
      <c r="AU304" s="31">
        <f t="shared" si="288"/>
        <v>1</v>
      </c>
      <c r="AV304" s="2">
        <f t="shared" si="289"/>
        <v>0</v>
      </c>
      <c r="AW304" s="33">
        <f t="shared" si="290"/>
        <v>2</v>
      </c>
      <c r="AX304" s="31">
        <f t="shared" si="291"/>
        <v>0</v>
      </c>
      <c r="AY304" s="33">
        <f t="shared" si="292"/>
        <v>1.33</v>
      </c>
      <c r="AZ304" s="2"/>
      <c r="BA304" s="101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</row>
    <row r="305" spans="1:71" ht="12" customHeight="1">
      <c r="A305" s="2"/>
      <c r="B305" s="107">
        <v>230</v>
      </c>
      <c r="C305" s="31">
        <v>7</v>
      </c>
      <c r="D305" s="106" t="s">
        <v>13</v>
      </c>
      <c r="E305" s="2" t="s">
        <v>67</v>
      </c>
      <c r="F305" s="2"/>
      <c r="G305" s="2"/>
      <c r="H305" s="33"/>
      <c r="I305" s="99">
        <f t="shared" si="0"/>
        <v>427.79305498774573</v>
      </c>
      <c r="J305" s="101">
        <f t="shared" si="1"/>
        <v>15.125</v>
      </c>
      <c r="K305" s="101">
        <f t="shared" si="2"/>
        <v>702</v>
      </c>
      <c r="L305" s="74">
        <f t="shared" si="3"/>
        <v>257</v>
      </c>
      <c r="M305" s="99">
        <f t="shared" si="191"/>
        <v>10267.033319705897</v>
      </c>
      <c r="N305" s="108">
        <f t="shared" si="271"/>
        <v>6818.1567572049971</v>
      </c>
      <c r="O305" s="108">
        <f t="shared" si="272"/>
        <v>3448.8765625009</v>
      </c>
      <c r="P305" s="108"/>
      <c r="Q305" s="108"/>
      <c r="R305" s="109">
        <f t="shared" si="273"/>
        <v>0</v>
      </c>
      <c r="S305" s="99">
        <f t="shared" si="6"/>
        <v>8061.9581246365851</v>
      </c>
      <c r="T305" s="108">
        <f t="shared" si="274"/>
        <v>5163.774186729268</v>
      </c>
      <c r="U305" s="108">
        <f t="shared" si="275"/>
        <v>2898.1839379073172</v>
      </c>
      <c r="V305" s="108"/>
      <c r="W305" s="108"/>
      <c r="X305" s="109">
        <f t="shared" si="276"/>
        <v>0</v>
      </c>
      <c r="Y305" s="99">
        <f t="shared" si="8"/>
        <v>16123.91624927317</v>
      </c>
      <c r="Z305" s="108">
        <f t="shared" ref="Z305:AA305" si="315">T305*$D$58/100</f>
        <v>10327.548373458536</v>
      </c>
      <c r="AA305" s="108">
        <f t="shared" si="315"/>
        <v>5796.3678758146343</v>
      </c>
      <c r="AB305" s="108"/>
      <c r="AC305" s="108"/>
      <c r="AD305" s="109">
        <f t="shared" si="278"/>
        <v>0</v>
      </c>
      <c r="AE305" s="99">
        <f t="shared" ref="AE305:AF305" si="316">AO305</f>
        <v>24</v>
      </c>
      <c r="AF305" s="101">
        <f t="shared" si="316"/>
        <v>36</v>
      </c>
      <c r="AG305" s="101">
        <f t="shared" si="280"/>
        <v>19.001300000000001</v>
      </c>
      <c r="AH305" s="101">
        <f t="shared" si="197"/>
        <v>363</v>
      </c>
      <c r="AI305" s="101">
        <f t="shared" si="246"/>
        <v>268.61079999999998</v>
      </c>
      <c r="AJ305" s="101">
        <f t="shared" si="281"/>
        <v>4</v>
      </c>
      <c r="AK305" s="101">
        <f t="shared" si="15"/>
        <v>8061.9581246365851</v>
      </c>
      <c r="AL305" s="101">
        <f t="shared" si="282"/>
        <v>5163.774186729268</v>
      </c>
      <c r="AM305" s="101">
        <f t="shared" si="283"/>
        <v>2898.1839379073172</v>
      </c>
      <c r="AN305" s="101"/>
      <c r="AO305" s="1">
        <v>24</v>
      </c>
      <c r="AP305" s="2">
        <v>36</v>
      </c>
      <c r="AQ305" s="74">
        <f t="shared" si="284"/>
        <v>363</v>
      </c>
      <c r="AR305" s="31">
        <f t="shared" si="285"/>
        <v>0</v>
      </c>
      <c r="AS305" s="2">
        <f t="shared" si="286"/>
        <v>0</v>
      </c>
      <c r="AT305" s="33">
        <f t="shared" si="287"/>
        <v>0</v>
      </c>
      <c r="AU305" s="31">
        <f t="shared" si="288"/>
        <v>1</v>
      </c>
      <c r="AV305" s="2">
        <f t="shared" si="289"/>
        <v>0</v>
      </c>
      <c r="AW305" s="33">
        <f t="shared" si="290"/>
        <v>1</v>
      </c>
      <c r="AX305" s="31">
        <f t="shared" si="291"/>
        <v>0</v>
      </c>
      <c r="AY305" s="33">
        <f t="shared" si="292"/>
        <v>1</v>
      </c>
      <c r="AZ305" s="2"/>
      <c r="BA305" s="101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</row>
    <row r="306" spans="1:71" ht="12" customHeight="1">
      <c r="A306" s="2"/>
      <c r="B306" s="107">
        <v>231</v>
      </c>
      <c r="C306" s="31">
        <v>7</v>
      </c>
      <c r="D306" s="106" t="s">
        <v>13</v>
      </c>
      <c r="E306" s="2" t="s">
        <v>136</v>
      </c>
      <c r="F306" s="2"/>
      <c r="G306" s="2"/>
      <c r="H306" s="33"/>
      <c r="I306" s="99">
        <f t="shared" si="0"/>
        <v>587.66285397867284</v>
      </c>
      <c r="J306" s="101">
        <f t="shared" si="1"/>
        <v>15.125</v>
      </c>
      <c r="K306" s="101">
        <f t="shared" si="2"/>
        <v>487</v>
      </c>
      <c r="L306" s="74">
        <f t="shared" si="3"/>
        <v>170</v>
      </c>
      <c r="M306" s="99">
        <f t="shared" si="191"/>
        <v>14103.908495488147</v>
      </c>
      <c r="N306" s="108">
        <f t="shared" si="271"/>
        <v>6818.1567572049971</v>
      </c>
      <c r="O306" s="108">
        <f t="shared" si="272"/>
        <v>4483.53953125117</v>
      </c>
      <c r="P306" s="108"/>
      <c r="Q306" s="108"/>
      <c r="R306" s="109">
        <f t="shared" si="273"/>
        <v>2802.2122070319811</v>
      </c>
      <c r="S306" s="99">
        <f t="shared" si="6"/>
        <v>11286.187755558476</v>
      </c>
      <c r="T306" s="108">
        <f t="shared" si="274"/>
        <v>5163.774186729268</v>
      </c>
      <c r="U306" s="108">
        <f t="shared" si="275"/>
        <v>3767.6391192795122</v>
      </c>
      <c r="V306" s="108"/>
      <c r="W306" s="108"/>
      <c r="X306" s="109">
        <f t="shared" si="276"/>
        <v>2354.774449549695</v>
      </c>
      <c r="Y306" s="99">
        <f t="shared" si="8"/>
        <v>22572.375511116952</v>
      </c>
      <c r="Z306" s="108">
        <f t="shared" ref="Z306:AA306" si="317">T306*$D$58/100</f>
        <v>10327.548373458536</v>
      </c>
      <c r="AA306" s="108">
        <f t="shared" si="317"/>
        <v>7535.2782385590244</v>
      </c>
      <c r="AB306" s="108"/>
      <c r="AC306" s="108"/>
      <c r="AD306" s="109">
        <f t="shared" si="278"/>
        <v>4709.5488990993899</v>
      </c>
      <c r="AE306" s="99">
        <f t="shared" ref="AE306:AF306" si="318">AO306</f>
        <v>24</v>
      </c>
      <c r="AF306" s="101">
        <f t="shared" si="318"/>
        <v>36</v>
      </c>
      <c r="AG306" s="101">
        <f t="shared" si="280"/>
        <v>19.001300000000001</v>
      </c>
      <c r="AH306" s="101">
        <f t="shared" si="197"/>
        <v>363</v>
      </c>
      <c r="AI306" s="101">
        <f t="shared" si="246"/>
        <v>268.61079999999998</v>
      </c>
      <c r="AJ306" s="101">
        <f t="shared" si="281"/>
        <v>4</v>
      </c>
      <c r="AK306" s="101">
        <f t="shared" si="15"/>
        <v>8061.9581246365851</v>
      </c>
      <c r="AL306" s="101">
        <f t="shared" si="282"/>
        <v>5163.774186729268</v>
      </c>
      <c r="AM306" s="101">
        <f t="shared" si="283"/>
        <v>2898.1839379073172</v>
      </c>
      <c r="AN306" s="101"/>
      <c r="AO306" s="1">
        <v>24</v>
      </c>
      <c r="AP306" s="2">
        <v>36</v>
      </c>
      <c r="AQ306" s="74">
        <f t="shared" si="284"/>
        <v>363</v>
      </c>
      <c r="AR306" s="31">
        <f t="shared" si="285"/>
        <v>0</v>
      </c>
      <c r="AS306" s="2">
        <f t="shared" si="286"/>
        <v>0</v>
      </c>
      <c r="AT306" s="33">
        <f t="shared" si="287"/>
        <v>0</v>
      </c>
      <c r="AU306" s="31">
        <f t="shared" si="288"/>
        <v>1.3</v>
      </c>
      <c r="AV306" s="2">
        <f t="shared" si="289"/>
        <v>0</v>
      </c>
      <c r="AW306" s="33">
        <f t="shared" si="290"/>
        <v>1</v>
      </c>
      <c r="AX306" s="31">
        <f t="shared" si="291"/>
        <v>0</v>
      </c>
      <c r="AY306" s="33">
        <f t="shared" si="292"/>
        <v>1</v>
      </c>
      <c r="AZ306" s="2"/>
      <c r="BA306" s="101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</row>
    <row r="307" spans="1:71" ht="12" customHeight="1">
      <c r="A307" s="2"/>
      <c r="B307" s="107">
        <v>232</v>
      </c>
      <c r="C307" s="31">
        <v>7</v>
      </c>
      <c r="D307" s="106" t="s">
        <v>13</v>
      </c>
      <c r="E307" s="2" t="s">
        <v>91</v>
      </c>
      <c r="F307" s="2"/>
      <c r="G307" s="2"/>
      <c r="H307" s="33"/>
      <c r="I307" s="99">
        <f t="shared" si="0"/>
        <v>571.49624509194985</v>
      </c>
      <c r="J307" s="101">
        <f t="shared" si="1"/>
        <v>15.125</v>
      </c>
      <c r="K307" s="101">
        <f t="shared" si="2"/>
        <v>502</v>
      </c>
      <c r="L307" s="74">
        <f t="shared" si="3"/>
        <v>176</v>
      </c>
      <c r="M307" s="99">
        <f t="shared" si="191"/>
        <v>13715.909882206797</v>
      </c>
      <c r="N307" s="108">
        <f t="shared" si="271"/>
        <v>6818.1567572049971</v>
      </c>
      <c r="O307" s="108">
        <f t="shared" si="272"/>
        <v>6897.7531250018001</v>
      </c>
      <c r="P307" s="108"/>
      <c r="Q307" s="108"/>
      <c r="R307" s="109">
        <f t="shared" si="273"/>
        <v>0</v>
      </c>
      <c r="S307" s="99">
        <f t="shared" si="6"/>
        <v>10960.142062543902</v>
      </c>
      <c r="T307" s="108">
        <f t="shared" si="274"/>
        <v>5163.774186729268</v>
      </c>
      <c r="U307" s="108">
        <f t="shared" si="275"/>
        <v>5796.3678758146343</v>
      </c>
      <c r="V307" s="108"/>
      <c r="W307" s="108"/>
      <c r="X307" s="109">
        <f t="shared" si="276"/>
        <v>0</v>
      </c>
      <c r="Y307" s="99">
        <f t="shared" si="8"/>
        <v>21920.284125087805</v>
      </c>
      <c r="Z307" s="108">
        <f t="shared" ref="Z307:AA307" si="319">T307*$D$58/100</f>
        <v>10327.548373458536</v>
      </c>
      <c r="AA307" s="108">
        <f t="shared" si="319"/>
        <v>11592.735751629269</v>
      </c>
      <c r="AB307" s="108"/>
      <c r="AC307" s="108"/>
      <c r="AD307" s="109">
        <f t="shared" si="278"/>
        <v>0</v>
      </c>
      <c r="AE307" s="99">
        <f t="shared" ref="AE307:AF307" si="320">AO307</f>
        <v>24</v>
      </c>
      <c r="AF307" s="101">
        <f t="shared" si="320"/>
        <v>36</v>
      </c>
      <c r="AG307" s="101">
        <f t="shared" si="280"/>
        <v>19.001300000000001</v>
      </c>
      <c r="AH307" s="101">
        <f t="shared" si="197"/>
        <v>363</v>
      </c>
      <c r="AI307" s="101">
        <f t="shared" si="246"/>
        <v>268.61079999999998</v>
      </c>
      <c r="AJ307" s="101">
        <f t="shared" si="281"/>
        <v>4</v>
      </c>
      <c r="AK307" s="101">
        <f t="shared" si="15"/>
        <v>8061.9581246365851</v>
      </c>
      <c r="AL307" s="101">
        <f t="shared" si="282"/>
        <v>5163.774186729268</v>
      </c>
      <c r="AM307" s="101">
        <f t="shared" si="283"/>
        <v>2898.1839379073172</v>
      </c>
      <c r="AN307" s="101"/>
      <c r="AO307" s="1">
        <v>24</v>
      </c>
      <c r="AP307" s="2">
        <v>36</v>
      </c>
      <c r="AQ307" s="74">
        <f t="shared" si="284"/>
        <v>363</v>
      </c>
      <c r="AR307" s="31">
        <f t="shared" si="285"/>
        <v>0</v>
      </c>
      <c r="AS307" s="2">
        <f t="shared" si="286"/>
        <v>0</v>
      </c>
      <c r="AT307" s="33">
        <f t="shared" si="287"/>
        <v>0</v>
      </c>
      <c r="AU307" s="31">
        <f t="shared" si="288"/>
        <v>1</v>
      </c>
      <c r="AV307" s="2">
        <f t="shared" si="289"/>
        <v>0</v>
      </c>
      <c r="AW307" s="33">
        <f t="shared" si="290"/>
        <v>2</v>
      </c>
      <c r="AX307" s="31">
        <f t="shared" si="291"/>
        <v>0</v>
      </c>
      <c r="AY307" s="33">
        <f t="shared" si="292"/>
        <v>1</v>
      </c>
      <c r="AZ307" s="2"/>
      <c r="BA307" s="101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</row>
    <row r="308" spans="1:71" ht="12" customHeight="1">
      <c r="A308" s="2"/>
      <c r="B308" s="107">
        <v>233</v>
      </c>
      <c r="C308" s="31">
        <v>7</v>
      </c>
      <c r="D308" s="106" t="s">
        <v>13</v>
      </c>
      <c r="E308" s="2" t="s">
        <v>87</v>
      </c>
      <c r="F308" s="2"/>
      <c r="G308" s="2"/>
      <c r="H308" s="33"/>
      <c r="I308" s="99">
        <f t="shared" si="0"/>
        <v>572.90440442837428</v>
      </c>
      <c r="J308" s="101">
        <f t="shared" si="1"/>
        <v>15.125</v>
      </c>
      <c r="K308" s="101">
        <f t="shared" si="2"/>
        <v>501</v>
      </c>
      <c r="L308" s="74">
        <f t="shared" si="3"/>
        <v>175</v>
      </c>
      <c r="M308" s="99">
        <f t="shared" si="191"/>
        <v>13749.705706280982</v>
      </c>
      <c r="N308" s="108">
        <f t="shared" si="271"/>
        <v>10300.829143780082</v>
      </c>
      <c r="O308" s="108">
        <f t="shared" si="272"/>
        <v>3448.8765625009</v>
      </c>
      <c r="P308" s="108"/>
      <c r="Q308" s="108"/>
      <c r="R308" s="109">
        <f t="shared" si="273"/>
        <v>0</v>
      </c>
      <c r="S308" s="99">
        <f t="shared" si="6"/>
        <v>8061.9581246365851</v>
      </c>
      <c r="T308" s="108">
        <f t="shared" si="274"/>
        <v>5163.774186729268</v>
      </c>
      <c r="U308" s="108">
        <f t="shared" si="275"/>
        <v>2898.1839379073172</v>
      </c>
      <c r="V308" s="108"/>
      <c r="W308" s="108"/>
      <c r="X308" s="109">
        <f t="shared" si="276"/>
        <v>0</v>
      </c>
      <c r="Y308" s="99">
        <f t="shared" si="8"/>
        <v>16123.91624927317</v>
      </c>
      <c r="Z308" s="108">
        <f t="shared" ref="Z308:AA308" si="321">T308*$D$58/100</f>
        <v>10327.548373458536</v>
      </c>
      <c r="AA308" s="108">
        <f t="shared" si="321"/>
        <v>5796.3678758146343</v>
      </c>
      <c r="AB308" s="108"/>
      <c r="AC308" s="108"/>
      <c r="AD308" s="109">
        <f t="shared" si="278"/>
        <v>0</v>
      </c>
      <c r="AE308" s="99">
        <f t="shared" ref="AE308:AF308" si="322">AO308</f>
        <v>24</v>
      </c>
      <c r="AF308" s="101">
        <f t="shared" si="322"/>
        <v>36</v>
      </c>
      <c r="AG308" s="101">
        <f t="shared" si="280"/>
        <v>59.001300000000001</v>
      </c>
      <c r="AH308" s="101">
        <f t="shared" si="197"/>
        <v>363</v>
      </c>
      <c r="AI308" s="101">
        <f t="shared" si="246"/>
        <v>268.61079999999998</v>
      </c>
      <c r="AJ308" s="101">
        <f t="shared" si="281"/>
        <v>4</v>
      </c>
      <c r="AK308" s="101">
        <f t="shared" si="15"/>
        <v>8061.9581246365851</v>
      </c>
      <c r="AL308" s="101">
        <f t="shared" si="282"/>
        <v>5163.774186729268</v>
      </c>
      <c r="AM308" s="101">
        <f t="shared" si="283"/>
        <v>2898.1839379073172</v>
      </c>
      <c r="AN308" s="101"/>
      <c r="AO308" s="1">
        <v>24</v>
      </c>
      <c r="AP308" s="2">
        <v>36</v>
      </c>
      <c r="AQ308" s="74">
        <f t="shared" si="284"/>
        <v>363</v>
      </c>
      <c r="AR308" s="31">
        <f t="shared" si="285"/>
        <v>0</v>
      </c>
      <c r="AS308" s="2">
        <f t="shared" si="286"/>
        <v>0</v>
      </c>
      <c r="AT308" s="33">
        <f t="shared" si="287"/>
        <v>40</v>
      </c>
      <c r="AU308" s="31">
        <f t="shared" si="288"/>
        <v>1</v>
      </c>
      <c r="AV308" s="2">
        <f t="shared" si="289"/>
        <v>0</v>
      </c>
      <c r="AW308" s="33">
        <f t="shared" si="290"/>
        <v>1</v>
      </c>
      <c r="AX308" s="31">
        <f t="shared" si="291"/>
        <v>0</v>
      </c>
      <c r="AY308" s="33">
        <f t="shared" si="292"/>
        <v>1</v>
      </c>
      <c r="AZ308" s="2"/>
      <c r="BA308" s="101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</row>
    <row r="309" spans="1:71" ht="12" customHeight="1">
      <c r="A309" s="2"/>
      <c r="B309" s="107">
        <v>234</v>
      </c>
      <c r="C309" s="31">
        <v>7</v>
      </c>
      <c r="D309" s="106" t="s">
        <v>13</v>
      </c>
      <c r="E309" s="2" t="s">
        <v>179</v>
      </c>
      <c r="F309" s="2"/>
      <c r="G309" s="2"/>
      <c r="H309" s="33"/>
      <c r="I309" s="99">
        <f t="shared" si="0"/>
        <v>732.77420341930144</v>
      </c>
      <c r="J309" s="101">
        <f t="shared" si="1"/>
        <v>15.125</v>
      </c>
      <c r="K309" s="101">
        <f t="shared" si="2"/>
        <v>320</v>
      </c>
      <c r="L309" s="74">
        <f t="shared" si="3"/>
        <v>91</v>
      </c>
      <c r="M309" s="99">
        <f t="shared" si="191"/>
        <v>17586.580882063234</v>
      </c>
      <c r="N309" s="108">
        <f t="shared" si="271"/>
        <v>10300.829143780082</v>
      </c>
      <c r="O309" s="108">
        <f t="shared" si="272"/>
        <v>4483.53953125117</v>
      </c>
      <c r="P309" s="108"/>
      <c r="Q309" s="108"/>
      <c r="R309" s="109">
        <f t="shared" si="273"/>
        <v>2802.2122070319811</v>
      </c>
      <c r="S309" s="99">
        <f t="shared" si="6"/>
        <v>11286.187755558476</v>
      </c>
      <c r="T309" s="108">
        <f t="shared" si="274"/>
        <v>5163.774186729268</v>
      </c>
      <c r="U309" s="108">
        <f t="shared" si="275"/>
        <v>3767.6391192795122</v>
      </c>
      <c r="V309" s="108"/>
      <c r="W309" s="108"/>
      <c r="X309" s="109">
        <f t="shared" si="276"/>
        <v>2354.774449549695</v>
      </c>
      <c r="Y309" s="99">
        <f t="shared" si="8"/>
        <v>22572.375511116952</v>
      </c>
      <c r="Z309" s="108">
        <f t="shared" ref="Z309:AA309" si="323">T309*$D$58/100</f>
        <v>10327.548373458536</v>
      </c>
      <c r="AA309" s="108">
        <f t="shared" si="323"/>
        <v>7535.2782385590244</v>
      </c>
      <c r="AB309" s="108"/>
      <c r="AC309" s="108"/>
      <c r="AD309" s="109">
        <f t="shared" si="278"/>
        <v>4709.5488990993899</v>
      </c>
      <c r="AE309" s="99">
        <f t="shared" ref="AE309:AF309" si="324">AO309</f>
        <v>24</v>
      </c>
      <c r="AF309" s="101">
        <f t="shared" si="324"/>
        <v>36</v>
      </c>
      <c r="AG309" s="101">
        <f t="shared" si="280"/>
        <v>59.001300000000001</v>
      </c>
      <c r="AH309" s="101">
        <f t="shared" si="197"/>
        <v>363</v>
      </c>
      <c r="AI309" s="101">
        <f t="shared" si="246"/>
        <v>268.61079999999998</v>
      </c>
      <c r="AJ309" s="101">
        <f t="shared" si="281"/>
        <v>4</v>
      </c>
      <c r="AK309" s="101">
        <f t="shared" si="15"/>
        <v>8061.9581246365851</v>
      </c>
      <c r="AL309" s="101">
        <f t="shared" si="282"/>
        <v>5163.774186729268</v>
      </c>
      <c r="AM309" s="101">
        <f t="shared" si="283"/>
        <v>2898.1839379073172</v>
      </c>
      <c r="AN309" s="101"/>
      <c r="AO309" s="1">
        <v>24</v>
      </c>
      <c r="AP309" s="2">
        <v>36</v>
      </c>
      <c r="AQ309" s="74">
        <f t="shared" si="284"/>
        <v>363</v>
      </c>
      <c r="AR309" s="31">
        <f t="shared" si="285"/>
        <v>0</v>
      </c>
      <c r="AS309" s="2">
        <f t="shared" si="286"/>
        <v>0</v>
      </c>
      <c r="AT309" s="33">
        <f t="shared" si="287"/>
        <v>40</v>
      </c>
      <c r="AU309" s="31">
        <f t="shared" si="288"/>
        <v>1.3</v>
      </c>
      <c r="AV309" s="2">
        <f t="shared" si="289"/>
        <v>0</v>
      </c>
      <c r="AW309" s="33">
        <f t="shared" si="290"/>
        <v>1</v>
      </c>
      <c r="AX309" s="31">
        <f t="shared" si="291"/>
        <v>0</v>
      </c>
      <c r="AY309" s="33">
        <f t="shared" si="292"/>
        <v>1</v>
      </c>
      <c r="AZ309" s="2"/>
      <c r="BA309" s="101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</row>
    <row r="310" spans="1:71" ht="12" customHeight="1">
      <c r="A310" s="2"/>
      <c r="B310" s="107">
        <v>235</v>
      </c>
      <c r="C310" s="31">
        <v>7</v>
      </c>
      <c r="D310" s="106" t="s">
        <v>13</v>
      </c>
      <c r="E310" s="2" t="s">
        <v>134</v>
      </c>
      <c r="F310" s="2"/>
      <c r="G310" s="2"/>
      <c r="H310" s="33"/>
      <c r="I310" s="99">
        <f t="shared" si="0"/>
        <v>716.60759453257833</v>
      </c>
      <c r="J310" s="101">
        <f t="shared" si="1"/>
        <v>15.125</v>
      </c>
      <c r="K310" s="101">
        <f t="shared" si="2"/>
        <v>341</v>
      </c>
      <c r="L310" s="74">
        <f t="shared" si="3"/>
        <v>103</v>
      </c>
      <c r="M310" s="99">
        <f t="shared" si="191"/>
        <v>17198.58226878188</v>
      </c>
      <c r="N310" s="108">
        <f t="shared" si="271"/>
        <v>10300.829143780082</v>
      </c>
      <c r="O310" s="108">
        <f t="shared" si="272"/>
        <v>6897.7531250018001</v>
      </c>
      <c r="P310" s="108"/>
      <c r="Q310" s="108"/>
      <c r="R310" s="109">
        <f t="shared" si="273"/>
        <v>0</v>
      </c>
      <c r="S310" s="99">
        <f t="shared" si="6"/>
        <v>10960.142062543902</v>
      </c>
      <c r="T310" s="108">
        <f t="shared" si="274"/>
        <v>5163.774186729268</v>
      </c>
      <c r="U310" s="108">
        <f t="shared" si="275"/>
        <v>5796.3678758146343</v>
      </c>
      <c r="V310" s="108"/>
      <c r="W310" s="108"/>
      <c r="X310" s="109">
        <f t="shared" si="276"/>
        <v>0</v>
      </c>
      <c r="Y310" s="99">
        <f t="shared" si="8"/>
        <v>21920.284125087805</v>
      </c>
      <c r="Z310" s="108">
        <f t="shared" ref="Z310:AA310" si="325">T310*$D$58/100</f>
        <v>10327.548373458536</v>
      </c>
      <c r="AA310" s="108">
        <f t="shared" si="325"/>
        <v>11592.735751629269</v>
      </c>
      <c r="AB310" s="108"/>
      <c r="AC310" s="108"/>
      <c r="AD310" s="109">
        <f t="shared" si="278"/>
        <v>0</v>
      </c>
      <c r="AE310" s="99">
        <f t="shared" ref="AE310:AF310" si="326">AO310</f>
        <v>24</v>
      </c>
      <c r="AF310" s="101">
        <f t="shared" si="326"/>
        <v>36</v>
      </c>
      <c r="AG310" s="101">
        <f t="shared" si="280"/>
        <v>59.001300000000001</v>
      </c>
      <c r="AH310" s="101">
        <f t="shared" si="197"/>
        <v>363</v>
      </c>
      <c r="AI310" s="101">
        <f t="shared" si="246"/>
        <v>268.61079999999998</v>
      </c>
      <c r="AJ310" s="101">
        <f t="shared" si="281"/>
        <v>4</v>
      </c>
      <c r="AK310" s="101">
        <f t="shared" si="15"/>
        <v>8061.9581246365851</v>
      </c>
      <c r="AL310" s="101">
        <f t="shared" si="282"/>
        <v>5163.774186729268</v>
      </c>
      <c r="AM310" s="101">
        <f t="shared" si="283"/>
        <v>2898.1839379073172</v>
      </c>
      <c r="AN310" s="101"/>
      <c r="AO310" s="1">
        <v>24</v>
      </c>
      <c r="AP310" s="2">
        <v>36</v>
      </c>
      <c r="AQ310" s="74">
        <f t="shared" si="284"/>
        <v>363</v>
      </c>
      <c r="AR310" s="31">
        <f t="shared" si="285"/>
        <v>0</v>
      </c>
      <c r="AS310" s="2">
        <f t="shared" si="286"/>
        <v>0</v>
      </c>
      <c r="AT310" s="33">
        <f t="shared" si="287"/>
        <v>40</v>
      </c>
      <c r="AU310" s="31">
        <f t="shared" si="288"/>
        <v>1</v>
      </c>
      <c r="AV310" s="2">
        <f t="shared" si="289"/>
        <v>0</v>
      </c>
      <c r="AW310" s="33">
        <f t="shared" si="290"/>
        <v>2</v>
      </c>
      <c r="AX310" s="31">
        <f t="shared" si="291"/>
        <v>0</v>
      </c>
      <c r="AY310" s="33">
        <f t="shared" si="292"/>
        <v>1</v>
      </c>
      <c r="AZ310" s="2"/>
      <c r="BA310" s="101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</row>
    <row r="311" spans="1:71" ht="12" customHeight="1">
      <c r="A311" s="2"/>
      <c r="B311" s="107">
        <v>236</v>
      </c>
      <c r="C311" s="31">
        <v>4</v>
      </c>
      <c r="D311" s="106" t="s">
        <v>13</v>
      </c>
      <c r="E311" s="2" t="s">
        <v>67</v>
      </c>
      <c r="F311" s="2"/>
      <c r="G311" s="2"/>
      <c r="H311" s="33"/>
      <c r="I311" s="99">
        <f t="shared" si="0"/>
        <v>396.11875148678973</v>
      </c>
      <c r="J311" s="101">
        <f t="shared" si="1"/>
        <v>8.2916666666666661</v>
      </c>
      <c r="K311" s="101">
        <f t="shared" si="2"/>
        <v>736</v>
      </c>
      <c r="L311" s="74">
        <f t="shared" si="3"/>
        <v>268</v>
      </c>
      <c r="M311" s="99">
        <f t="shared" si="191"/>
        <v>9506.8500356829536</v>
      </c>
      <c r="N311" s="108">
        <f t="shared" si="271"/>
        <v>6310.6222034972798</v>
      </c>
      <c r="O311" s="108">
        <f t="shared" si="272"/>
        <v>3196.2278321856734</v>
      </c>
      <c r="P311" s="108"/>
      <c r="Q311" s="108"/>
      <c r="R311" s="109">
        <f t="shared" si="273"/>
        <v>0</v>
      </c>
      <c r="S311" s="99">
        <f t="shared" si="6"/>
        <v>7465.2660790353666</v>
      </c>
      <c r="T311" s="108">
        <f t="shared" si="274"/>
        <v>4779.3896792097567</v>
      </c>
      <c r="U311" s="108">
        <f t="shared" si="275"/>
        <v>2685.87639982561</v>
      </c>
      <c r="V311" s="108"/>
      <c r="W311" s="108"/>
      <c r="X311" s="109">
        <f t="shared" si="276"/>
        <v>0</v>
      </c>
      <c r="Y311" s="99">
        <f t="shared" si="8"/>
        <v>14930.532158070733</v>
      </c>
      <c r="Z311" s="108">
        <f t="shared" ref="Z311:AA311" si="327">T311*$D$58/100</f>
        <v>9558.7793584195133</v>
      </c>
      <c r="AA311" s="108">
        <f t="shared" si="327"/>
        <v>5371.7527996512199</v>
      </c>
      <c r="AB311" s="108"/>
      <c r="AC311" s="108"/>
      <c r="AD311" s="109">
        <f t="shared" si="278"/>
        <v>0</v>
      </c>
      <c r="AE311" s="99">
        <f t="shared" ref="AE311:AF311" si="328">AO311</f>
        <v>24</v>
      </c>
      <c r="AF311" s="101">
        <f t="shared" si="328"/>
        <v>36</v>
      </c>
      <c r="AG311" s="101">
        <f t="shared" si="280"/>
        <v>19.001300000000001</v>
      </c>
      <c r="AH311" s="101">
        <f t="shared" si="197"/>
        <v>199</v>
      </c>
      <c r="AI311" s="101">
        <f t="shared" si="246"/>
        <v>268.61079999999998</v>
      </c>
      <c r="AJ311" s="101">
        <f t="shared" si="281"/>
        <v>4</v>
      </c>
      <c r="AK311" s="101">
        <f t="shared" si="15"/>
        <v>7465.2660790353666</v>
      </c>
      <c r="AL311" s="101">
        <f t="shared" si="282"/>
        <v>4779.3896792097567</v>
      </c>
      <c r="AM311" s="101">
        <f t="shared" si="283"/>
        <v>2685.87639982561</v>
      </c>
      <c r="AN311" s="101"/>
      <c r="AO311" s="1">
        <v>24</v>
      </c>
      <c r="AP311" s="2">
        <v>36</v>
      </c>
      <c r="AQ311" s="74">
        <f t="shared" si="284"/>
        <v>199</v>
      </c>
      <c r="AR311" s="31">
        <f t="shared" si="285"/>
        <v>0</v>
      </c>
      <c r="AS311" s="2">
        <f t="shared" si="286"/>
        <v>0</v>
      </c>
      <c r="AT311" s="33">
        <f t="shared" si="287"/>
        <v>0</v>
      </c>
      <c r="AU311" s="31">
        <f t="shared" si="288"/>
        <v>1</v>
      </c>
      <c r="AV311" s="2">
        <f t="shared" si="289"/>
        <v>0</v>
      </c>
      <c r="AW311" s="33">
        <f t="shared" si="290"/>
        <v>1</v>
      </c>
      <c r="AX311" s="31">
        <f t="shared" si="291"/>
        <v>0</v>
      </c>
      <c r="AY311" s="33">
        <f t="shared" si="292"/>
        <v>1</v>
      </c>
      <c r="AZ311" s="2"/>
      <c r="BA311" s="101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</row>
    <row r="312" spans="1:71" ht="12" customHeight="1">
      <c r="A312" s="2"/>
      <c r="B312" s="107">
        <v>237</v>
      </c>
      <c r="C312" s="31">
        <v>4</v>
      </c>
      <c r="D312" s="106" t="s">
        <v>13</v>
      </c>
      <c r="E312" s="2" t="s">
        <v>87</v>
      </c>
      <c r="F312" s="2"/>
      <c r="G312" s="2"/>
      <c r="H312" s="33"/>
      <c r="I312" s="99">
        <f t="shared" si="0"/>
        <v>530.42820437400644</v>
      </c>
      <c r="J312" s="101">
        <f t="shared" si="1"/>
        <v>8.2916666666666661</v>
      </c>
      <c r="K312" s="101">
        <f t="shared" si="2"/>
        <v>562</v>
      </c>
      <c r="L312" s="74">
        <f t="shared" si="3"/>
        <v>199</v>
      </c>
      <c r="M312" s="99">
        <f t="shared" si="191"/>
        <v>12730.276904976155</v>
      </c>
      <c r="N312" s="108">
        <f t="shared" si="271"/>
        <v>9534.0490727904817</v>
      </c>
      <c r="O312" s="108">
        <f t="shared" si="272"/>
        <v>3196.2278321856734</v>
      </c>
      <c r="P312" s="108"/>
      <c r="Q312" s="108"/>
      <c r="R312" s="109">
        <f t="shared" si="273"/>
        <v>0</v>
      </c>
      <c r="S312" s="99">
        <f t="shared" si="6"/>
        <v>7465.2660790353666</v>
      </c>
      <c r="T312" s="108">
        <f t="shared" si="274"/>
        <v>4779.3896792097567</v>
      </c>
      <c r="U312" s="108">
        <f t="shared" si="275"/>
        <v>2685.87639982561</v>
      </c>
      <c r="V312" s="108"/>
      <c r="W312" s="108"/>
      <c r="X312" s="109">
        <f t="shared" si="276"/>
        <v>0</v>
      </c>
      <c r="Y312" s="99">
        <f t="shared" si="8"/>
        <v>14930.532158070733</v>
      </c>
      <c r="Z312" s="108">
        <f t="shared" ref="Z312:AA312" si="329">T312*$D$58/100</f>
        <v>9558.7793584195133</v>
      </c>
      <c r="AA312" s="108">
        <f t="shared" si="329"/>
        <v>5371.7527996512199</v>
      </c>
      <c r="AB312" s="108"/>
      <c r="AC312" s="108"/>
      <c r="AD312" s="109">
        <f t="shared" si="278"/>
        <v>0</v>
      </c>
      <c r="AE312" s="99">
        <f t="shared" ref="AE312:AF312" si="330">AO312</f>
        <v>24</v>
      </c>
      <c r="AF312" s="101">
        <f t="shared" si="330"/>
        <v>36</v>
      </c>
      <c r="AG312" s="101">
        <f t="shared" si="280"/>
        <v>59.001300000000001</v>
      </c>
      <c r="AH312" s="101">
        <f t="shared" si="197"/>
        <v>199</v>
      </c>
      <c r="AI312" s="101">
        <f t="shared" si="246"/>
        <v>268.61079999999998</v>
      </c>
      <c r="AJ312" s="101">
        <f t="shared" si="281"/>
        <v>4</v>
      </c>
      <c r="AK312" s="101">
        <f t="shared" si="15"/>
        <v>7465.2660790353666</v>
      </c>
      <c r="AL312" s="101">
        <f t="shared" si="282"/>
        <v>4779.3896792097567</v>
      </c>
      <c r="AM312" s="101">
        <f t="shared" si="283"/>
        <v>2685.87639982561</v>
      </c>
      <c r="AN312" s="101"/>
      <c r="AO312" s="1">
        <v>24</v>
      </c>
      <c r="AP312" s="2">
        <v>36</v>
      </c>
      <c r="AQ312" s="74">
        <f t="shared" si="284"/>
        <v>199</v>
      </c>
      <c r="AR312" s="31">
        <f t="shared" si="285"/>
        <v>0</v>
      </c>
      <c r="AS312" s="2">
        <f t="shared" si="286"/>
        <v>0</v>
      </c>
      <c r="AT312" s="33">
        <f t="shared" si="287"/>
        <v>40</v>
      </c>
      <c r="AU312" s="31">
        <f t="shared" si="288"/>
        <v>1</v>
      </c>
      <c r="AV312" s="2">
        <f t="shared" si="289"/>
        <v>0</v>
      </c>
      <c r="AW312" s="33">
        <f t="shared" si="290"/>
        <v>1</v>
      </c>
      <c r="AX312" s="31">
        <f t="shared" si="291"/>
        <v>0</v>
      </c>
      <c r="AY312" s="33">
        <f t="shared" si="292"/>
        <v>1</v>
      </c>
      <c r="AZ312" s="2"/>
      <c r="BA312" s="101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</row>
    <row r="313" spans="1:71" ht="12" customHeight="1">
      <c r="A313" s="2"/>
      <c r="B313" s="107">
        <v>238</v>
      </c>
      <c r="C313" s="31">
        <v>1</v>
      </c>
      <c r="D313" s="106" t="s">
        <v>13</v>
      </c>
      <c r="E313" s="2" t="s">
        <v>67</v>
      </c>
      <c r="F313" s="2"/>
      <c r="G313" s="2"/>
      <c r="H313" s="33"/>
      <c r="I313" s="99">
        <f t="shared" si="0"/>
        <v>317.71720734736965</v>
      </c>
      <c r="J313" s="101">
        <f t="shared" si="1"/>
        <v>4.208333333333333</v>
      </c>
      <c r="K313" s="101">
        <f t="shared" si="2"/>
        <v>818</v>
      </c>
      <c r="L313" s="74">
        <f t="shared" si="3"/>
        <v>318</v>
      </c>
      <c r="M313" s="99">
        <f t="shared" si="191"/>
        <v>7625.2129763368721</v>
      </c>
      <c r="N313" s="108">
        <f t="shared" si="271"/>
        <v>5060.8110010400605</v>
      </c>
      <c r="O313" s="108">
        <f t="shared" si="272"/>
        <v>2564.4019752968111</v>
      </c>
      <c r="P313" s="108"/>
      <c r="Q313" s="108"/>
      <c r="R313" s="109">
        <f t="shared" si="273"/>
        <v>0</v>
      </c>
      <c r="S313" s="99">
        <f t="shared" si="6"/>
        <v>5987.7733540951222</v>
      </c>
      <c r="T313" s="108">
        <f t="shared" si="274"/>
        <v>3832.8372523073172</v>
      </c>
      <c r="U313" s="108">
        <f t="shared" si="275"/>
        <v>2154.936101787805</v>
      </c>
      <c r="V313" s="108"/>
      <c r="W313" s="108"/>
      <c r="X313" s="109">
        <f t="shared" si="276"/>
        <v>0</v>
      </c>
      <c r="Y313" s="99">
        <f t="shared" si="8"/>
        <v>11975.546708190244</v>
      </c>
      <c r="Z313" s="108">
        <f t="shared" ref="Z313:AA313" si="331">T313*$D$58/100</f>
        <v>7665.6745046146343</v>
      </c>
      <c r="AA313" s="108">
        <f t="shared" si="331"/>
        <v>4309.87220357561</v>
      </c>
      <c r="AB313" s="108"/>
      <c r="AC313" s="108"/>
      <c r="AD313" s="109">
        <f t="shared" si="278"/>
        <v>0</v>
      </c>
      <c r="AE313" s="99">
        <f t="shared" ref="AE313:AF313" si="332">AO313</f>
        <v>24</v>
      </c>
      <c r="AF313" s="101">
        <f t="shared" si="332"/>
        <v>36</v>
      </c>
      <c r="AG313" s="101">
        <f t="shared" si="280"/>
        <v>19.001300000000001</v>
      </c>
      <c r="AH313" s="101">
        <f t="shared" si="197"/>
        <v>101</v>
      </c>
      <c r="AI313" s="101">
        <f t="shared" si="246"/>
        <v>268.61079999999998</v>
      </c>
      <c r="AJ313" s="101">
        <f t="shared" si="281"/>
        <v>4</v>
      </c>
      <c r="AK313" s="101">
        <f t="shared" si="15"/>
        <v>5987.7733540951222</v>
      </c>
      <c r="AL313" s="101">
        <f t="shared" si="282"/>
        <v>3832.8372523073172</v>
      </c>
      <c r="AM313" s="101">
        <f t="shared" si="283"/>
        <v>2154.936101787805</v>
      </c>
      <c r="AN313" s="101"/>
      <c r="AO313" s="1">
        <v>24</v>
      </c>
      <c r="AP313" s="2">
        <v>36</v>
      </c>
      <c r="AQ313" s="74">
        <f t="shared" si="284"/>
        <v>101</v>
      </c>
      <c r="AR313" s="31">
        <f t="shared" si="285"/>
        <v>0</v>
      </c>
      <c r="AS313" s="2">
        <f t="shared" si="286"/>
        <v>0</v>
      </c>
      <c r="AT313" s="33">
        <f t="shared" si="287"/>
        <v>0</v>
      </c>
      <c r="AU313" s="31">
        <f t="shared" si="288"/>
        <v>1</v>
      </c>
      <c r="AV313" s="2">
        <f t="shared" si="289"/>
        <v>0</v>
      </c>
      <c r="AW313" s="33">
        <f t="shared" si="290"/>
        <v>1</v>
      </c>
      <c r="AX313" s="31">
        <f t="shared" si="291"/>
        <v>0</v>
      </c>
      <c r="AY313" s="33">
        <f t="shared" si="292"/>
        <v>1</v>
      </c>
      <c r="AZ313" s="2"/>
      <c r="BA313" s="101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</row>
    <row r="314" spans="1:71" ht="12" customHeight="1">
      <c r="A314" s="2"/>
      <c r="B314" s="107">
        <v>239</v>
      </c>
      <c r="C314" s="31">
        <v>10</v>
      </c>
      <c r="D314" s="106" t="s">
        <v>16</v>
      </c>
      <c r="E314" s="2" t="s">
        <v>150</v>
      </c>
      <c r="F314" s="2" t="s">
        <v>149</v>
      </c>
      <c r="G314" s="2"/>
      <c r="H314" s="33">
        <f t="shared" ref="H314:H357" si="333">AX314*2</f>
        <v>3</v>
      </c>
      <c r="I314" s="99">
        <f t="shared" si="0"/>
        <v>336.04155378098551</v>
      </c>
      <c r="J314" s="101">
        <f t="shared" si="1"/>
        <v>19.583333333333332</v>
      </c>
      <c r="K314" s="101">
        <f t="shared" si="2"/>
        <v>790</v>
      </c>
      <c r="L314" s="74">
        <f t="shared" si="3"/>
        <v>299</v>
      </c>
      <c r="M314" s="99">
        <f t="shared" si="191"/>
        <v>2016.2493226859131</v>
      </c>
      <c r="N314" s="108">
        <f t="shared" ref="N314:N357" si="334">T314*(1+((AG314+IF(F314="백어택",20,0))/100)*(AI314/100-1))</f>
        <v>2016.2493226859131</v>
      </c>
      <c r="O314" s="108"/>
      <c r="P314" s="108"/>
      <c r="Q314" s="108"/>
      <c r="R314" s="109"/>
      <c r="S314" s="99">
        <f t="shared" ref="S314:S357" si="335">SUM(T314:X314)*H314</f>
        <v>3649.0909917380491</v>
      </c>
      <c r="T314" s="108">
        <f t="shared" ref="T314:T357" si="336">AL314*AU314*AY314*IF(F314="백어택",1.2,1)</f>
        <v>1216.363663912683</v>
      </c>
      <c r="U314" s="108"/>
      <c r="V314" s="108"/>
      <c r="W314" s="108"/>
      <c r="X314" s="109"/>
      <c r="Y314" s="99">
        <f t="shared" si="8"/>
        <v>2432.727327825366</v>
      </c>
      <c r="Z314" s="108">
        <f t="shared" ref="Z314:Z357" si="337">T314*$D$58/100</f>
        <v>2432.727327825366</v>
      </c>
      <c r="AA314" s="108"/>
      <c r="AB314" s="108"/>
      <c r="AC314" s="108"/>
      <c r="AD314" s="109"/>
      <c r="AE314" s="99">
        <f t="shared" ref="AE314:AF314" si="338">AO314</f>
        <v>6</v>
      </c>
      <c r="AF314" s="101">
        <f t="shared" si="338"/>
        <v>36</v>
      </c>
      <c r="AG314" s="101">
        <f t="shared" si="280"/>
        <v>19.001300000000001</v>
      </c>
      <c r="AH314" s="101">
        <f t="shared" ref="AH314:AH357" si="339">AQ314*AR314</f>
        <v>117.5</v>
      </c>
      <c r="AI314" s="101">
        <f t="shared" si="246"/>
        <v>268.61079999999998</v>
      </c>
      <c r="AJ314" s="108">
        <f t="shared" ref="AJ314:AJ357" si="340">10*AS314/IF(AX314=1,5,3.5)</f>
        <v>2.8571428571428572</v>
      </c>
      <c r="AK314" s="101">
        <f t="shared" si="15"/>
        <v>1013.6363865939026</v>
      </c>
      <c r="AL314" s="101">
        <f t="shared" ref="AL314:AL357" si="341">((VLOOKUP(C314,$B$36:$AG$39,23,FALSE)+VLOOKUP(C314,$B$40:$AG$43,23,FALSE)*$D$54))*$D$59/100</f>
        <v>1013.6363865939026</v>
      </c>
      <c r="AM314" s="101"/>
      <c r="AN314" s="101"/>
      <c r="AO314" s="1">
        <v>6</v>
      </c>
      <c r="AP314" s="2">
        <v>36</v>
      </c>
      <c r="AQ314" s="74">
        <f t="shared" ref="AQ314:AQ357" si="342">VLOOKUP(C314,$B$45:$AA$48,23,FALSE)</f>
        <v>235</v>
      </c>
      <c r="AR314" s="31">
        <f t="shared" ref="AR314:AR357" si="343">IF(LEFT(E314,1)*1=1,$S$66,$R$66)</f>
        <v>0.5</v>
      </c>
      <c r="AS314" s="2">
        <f t="shared" ref="AS314:AS357" si="344">IF(LEFT(E314,1)*1=2,$U$66,$T$66)</f>
        <v>1</v>
      </c>
      <c r="AT314" s="33">
        <f t="shared" ref="AT314:AT357" si="345">IF(LEFT(E314,1)*1=3,$W$66,$V$66)</f>
        <v>0</v>
      </c>
      <c r="AU314" s="31">
        <f t="shared" ref="AU314:AU357" si="346">IF(MID(E314,3,1)*1=1,$Y$66,$X$66)</f>
        <v>1</v>
      </c>
      <c r="AV314" s="2">
        <f t="shared" ref="AV314:AV357" si="347">IF(MID(E314,3,1)*1=2,$AA$66,$Z$66)</f>
        <v>0</v>
      </c>
      <c r="AW314" s="33">
        <f t="shared" ref="AW314:AW357" si="348">IF(MID(E314,3,1)*1=3,$AC$66,$AB$66)</f>
        <v>0</v>
      </c>
      <c r="AX314" s="31">
        <f t="shared" ref="AX314:AX357" si="349">IF(MID(E314,5,1)*1=1,$AE$66,$AD$66)</f>
        <v>1.5</v>
      </c>
      <c r="AY314" s="33">
        <f t="shared" ref="AY314:AY357" si="350">IF(MID(E314,5,1)*1=2,$AG$66,$AF$66)</f>
        <v>1</v>
      </c>
      <c r="AZ314" s="2"/>
      <c r="BA314" s="101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</row>
    <row r="315" spans="1:71" ht="12" customHeight="1">
      <c r="A315" s="2"/>
      <c r="B315" s="107">
        <v>240</v>
      </c>
      <c r="C315" s="31">
        <v>10</v>
      </c>
      <c r="D315" s="106" t="s">
        <v>16</v>
      </c>
      <c r="E315" s="2" t="s">
        <v>164</v>
      </c>
      <c r="F315" s="2" t="s">
        <v>149</v>
      </c>
      <c r="G315" s="2"/>
      <c r="H315" s="33">
        <f t="shared" si="333"/>
        <v>3</v>
      </c>
      <c r="I315" s="99">
        <f t="shared" si="0"/>
        <v>470.45817529337972</v>
      </c>
      <c r="J315" s="101">
        <f t="shared" si="1"/>
        <v>19.583333333333332</v>
      </c>
      <c r="K315" s="101">
        <f t="shared" si="2"/>
        <v>641</v>
      </c>
      <c r="L315" s="74">
        <f t="shared" si="3"/>
        <v>229</v>
      </c>
      <c r="M315" s="99">
        <f t="shared" si="191"/>
        <v>2822.7490517602782</v>
      </c>
      <c r="N315" s="108">
        <f t="shared" si="334"/>
        <v>2822.7490517602782</v>
      </c>
      <c r="O315" s="108"/>
      <c r="P315" s="108"/>
      <c r="Q315" s="108"/>
      <c r="R315" s="109"/>
      <c r="S315" s="99">
        <f t="shared" si="335"/>
        <v>5108.727388433269</v>
      </c>
      <c r="T315" s="108">
        <f t="shared" si="336"/>
        <v>1702.9091294777563</v>
      </c>
      <c r="U315" s="108"/>
      <c r="V315" s="108"/>
      <c r="W315" s="108"/>
      <c r="X315" s="109"/>
      <c r="Y315" s="99">
        <f t="shared" si="8"/>
        <v>3405.8182589555126</v>
      </c>
      <c r="Z315" s="108">
        <f t="shared" si="337"/>
        <v>3405.8182589555126</v>
      </c>
      <c r="AA315" s="108"/>
      <c r="AB315" s="108"/>
      <c r="AC315" s="108"/>
      <c r="AD315" s="109"/>
      <c r="AE315" s="99">
        <f t="shared" ref="AE315:AF315" si="351">AO315</f>
        <v>6</v>
      </c>
      <c r="AF315" s="101">
        <f t="shared" si="351"/>
        <v>36</v>
      </c>
      <c r="AG315" s="101">
        <f t="shared" si="280"/>
        <v>19.001300000000001</v>
      </c>
      <c r="AH315" s="101">
        <f t="shared" si="339"/>
        <v>117.5</v>
      </c>
      <c r="AI315" s="101">
        <f t="shared" si="246"/>
        <v>268.61079999999998</v>
      </c>
      <c r="AJ315" s="108">
        <f t="shared" si="340"/>
        <v>2.8571428571428572</v>
      </c>
      <c r="AK315" s="101">
        <f t="shared" si="15"/>
        <v>1013.6363865939026</v>
      </c>
      <c r="AL315" s="101">
        <f t="shared" si="341"/>
        <v>1013.6363865939026</v>
      </c>
      <c r="AM315" s="101"/>
      <c r="AN315" s="101"/>
      <c r="AO315" s="1">
        <v>6</v>
      </c>
      <c r="AP315" s="2">
        <v>36</v>
      </c>
      <c r="AQ315" s="74">
        <f t="shared" si="342"/>
        <v>235</v>
      </c>
      <c r="AR315" s="31">
        <f t="shared" si="343"/>
        <v>0.5</v>
      </c>
      <c r="AS315" s="2">
        <f t="shared" si="344"/>
        <v>1</v>
      </c>
      <c r="AT315" s="33">
        <f t="shared" si="345"/>
        <v>0</v>
      </c>
      <c r="AU315" s="31">
        <f t="shared" si="346"/>
        <v>1.4</v>
      </c>
      <c r="AV315" s="2">
        <f t="shared" si="347"/>
        <v>0</v>
      </c>
      <c r="AW315" s="33">
        <f t="shared" si="348"/>
        <v>0</v>
      </c>
      <c r="AX315" s="31">
        <f t="shared" si="349"/>
        <v>1.5</v>
      </c>
      <c r="AY315" s="33">
        <f t="shared" si="350"/>
        <v>1</v>
      </c>
      <c r="AZ315" s="2"/>
      <c r="BA315" s="101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</row>
    <row r="316" spans="1:71" ht="12" customHeight="1">
      <c r="A316" s="2"/>
      <c r="B316" s="107">
        <v>241</v>
      </c>
      <c r="C316" s="31">
        <v>10</v>
      </c>
      <c r="D316" s="106" t="s">
        <v>16</v>
      </c>
      <c r="E316" s="2" t="s">
        <v>161</v>
      </c>
      <c r="F316" s="2" t="s">
        <v>149</v>
      </c>
      <c r="G316" s="2"/>
      <c r="H316" s="33">
        <f t="shared" si="333"/>
        <v>3</v>
      </c>
      <c r="I316" s="99">
        <f t="shared" si="0"/>
        <v>336.04155378098551</v>
      </c>
      <c r="J316" s="101">
        <f t="shared" si="1"/>
        <v>39.166666666666664</v>
      </c>
      <c r="K316" s="101">
        <f t="shared" si="2"/>
        <v>790</v>
      </c>
      <c r="L316" s="74">
        <f t="shared" si="3"/>
        <v>299</v>
      </c>
      <c r="M316" s="99">
        <f t="shared" si="191"/>
        <v>2016.2493226859131</v>
      </c>
      <c r="N316" s="108">
        <f t="shared" si="334"/>
        <v>2016.2493226859131</v>
      </c>
      <c r="O316" s="108"/>
      <c r="P316" s="108"/>
      <c r="Q316" s="108"/>
      <c r="R316" s="109"/>
      <c r="S316" s="99">
        <f t="shared" si="335"/>
        <v>3649.0909917380491</v>
      </c>
      <c r="T316" s="108">
        <f t="shared" si="336"/>
        <v>1216.363663912683</v>
      </c>
      <c r="U316" s="108"/>
      <c r="V316" s="108"/>
      <c r="W316" s="108"/>
      <c r="X316" s="109"/>
      <c r="Y316" s="99">
        <f t="shared" si="8"/>
        <v>2432.727327825366</v>
      </c>
      <c r="Z316" s="108">
        <f t="shared" si="337"/>
        <v>2432.727327825366</v>
      </c>
      <c r="AA316" s="108"/>
      <c r="AB316" s="108"/>
      <c r="AC316" s="108"/>
      <c r="AD316" s="109"/>
      <c r="AE316" s="99">
        <f t="shared" ref="AE316:AF316" si="352">AO316</f>
        <v>6</v>
      </c>
      <c r="AF316" s="101">
        <f t="shared" si="352"/>
        <v>36</v>
      </c>
      <c r="AG316" s="101">
        <f t="shared" si="280"/>
        <v>19.001300000000001</v>
      </c>
      <c r="AH316" s="101">
        <f t="shared" si="339"/>
        <v>235</v>
      </c>
      <c r="AI316" s="101">
        <f t="shared" si="246"/>
        <v>268.61079999999998</v>
      </c>
      <c r="AJ316" s="108">
        <f t="shared" si="340"/>
        <v>2.5714285714285716</v>
      </c>
      <c r="AK316" s="101">
        <f t="shared" si="15"/>
        <v>1013.6363865939026</v>
      </c>
      <c r="AL316" s="101">
        <f t="shared" si="341"/>
        <v>1013.6363865939026</v>
      </c>
      <c r="AM316" s="101"/>
      <c r="AN316" s="101"/>
      <c r="AO316" s="1">
        <v>6</v>
      </c>
      <c r="AP316" s="2">
        <v>36</v>
      </c>
      <c r="AQ316" s="74">
        <f t="shared" si="342"/>
        <v>235</v>
      </c>
      <c r="AR316" s="31">
        <f t="shared" si="343"/>
        <v>1</v>
      </c>
      <c r="AS316" s="2">
        <f t="shared" si="344"/>
        <v>0.9</v>
      </c>
      <c r="AT316" s="33">
        <f t="shared" si="345"/>
        <v>0</v>
      </c>
      <c r="AU316" s="31">
        <f t="shared" si="346"/>
        <v>1</v>
      </c>
      <c r="AV316" s="2">
        <f t="shared" si="347"/>
        <v>0</v>
      </c>
      <c r="AW316" s="33">
        <f t="shared" si="348"/>
        <v>0</v>
      </c>
      <c r="AX316" s="31">
        <f t="shared" si="349"/>
        <v>1.5</v>
      </c>
      <c r="AY316" s="33">
        <f t="shared" si="350"/>
        <v>1</v>
      </c>
      <c r="AZ316" s="2"/>
      <c r="BA316" s="101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</row>
    <row r="317" spans="1:71" ht="12" customHeight="1">
      <c r="A317" s="2"/>
      <c r="B317" s="107">
        <v>242</v>
      </c>
      <c r="C317" s="31">
        <v>10</v>
      </c>
      <c r="D317" s="106" t="s">
        <v>16</v>
      </c>
      <c r="E317" s="2" t="s">
        <v>169</v>
      </c>
      <c r="F317" s="2" t="s">
        <v>149</v>
      </c>
      <c r="G317" s="2"/>
      <c r="H317" s="33">
        <f t="shared" si="333"/>
        <v>3</v>
      </c>
      <c r="I317" s="99">
        <f t="shared" si="0"/>
        <v>470.45817529337972</v>
      </c>
      <c r="J317" s="101">
        <f t="shared" si="1"/>
        <v>39.166666666666664</v>
      </c>
      <c r="K317" s="101">
        <f t="shared" si="2"/>
        <v>641</v>
      </c>
      <c r="L317" s="74">
        <f t="shared" si="3"/>
        <v>229</v>
      </c>
      <c r="M317" s="99">
        <f t="shared" si="191"/>
        <v>2822.7490517602782</v>
      </c>
      <c r="N317" s="108">
        <f t="shared" si="334"/>
        <v>2822.7490517602782</v>
      </c>
      <c r="O317" s="108"/>
      <c r="P317" s="108"/>
      <c r="Q317" s="108"/>
      <c r="R317" s="109"/>
      <c r="S317" s="99">
        <f t="shared" si="335"/>
        <v>5108.727388433269</v>
      </c>
      <c r="T317" s="108">
        <f t="shared" si="336"/>
        <v>1702.9091294777563</v>
      </c>
      <c r="U317" s="108"/>
      <c r="V317" s="108"/>
      <c r="W317" s="108"/>
      <c r="X317" s="109"/>
      <c r="Y317" s="99">
        <f t="shared" si="8"/>
        <v>3405.8182589555126</v>
      </c>
      <c r="Z317" s="108">
        <f t="shared" si="337"/>
        <v>3405.8182589555126</v>
      </c>
      <c r="AA317" s="108"/>
      <c r="AB317" s="108"/>
      <c r="AC317" s="108"/>
      <c r="AD317" s="109"/>
      <c r="AE317" s="99">
        <f t="shared" ref="AE317:AF317" si="353">AO317</f>
        <v>6</v>
      </c>
      <c r="AF317" s="101">
        <f t="shared" si="353"/>
        <v>36</v>
      </c>
      <c r="AG317" s="101">
        <f t="shared" si="280"/>
        <v>19.001300000000001</v>
      </c>
      <c r="AH317" s="101">
        <f t="shared" si="339"/>
        <v>235</v>
      </c>
      <c r="AI317" s="101">
        <f t="shared" si="246"/>
        <v>268.61079999999998</v>
      </c>
      <c r="AJ317" s="108">
        <f t="shared" si="340"/>
        <v>2.5714285714285716</v>
      </c>
      <c r="AK317" s="101">
        <f t="shared" si="15"/>
        <v>1013.6363865939026</v>
      </c>
      <c r="AL317" s="101">
        <f t="shared" si="341"/>
        <v>1013.6363865939026</v>
      </c>
      <c r="AM317" s="101"/>
      <c r="AN317" s="101"/>
      <c r="AO317" s="1">
        <v>6</v>
      </c>
      <c r="AP317" s="2">
        <v>36</v>
      </c>
      <c r="AQ317" s="74">
        <f t="shared" si="342"/>
        <v>235</v>
      </c>
      <c r="AR317" s="31">
        <f t="shared" si="343"/>
        <v>1</v>
      </c>
      <c r="AS317" s="2">
        <f t="shared" si="344"/>
        <v>0.9</v>
      </c>
      <c r="AT317" s="33">
        <f t="shared" si="345"/>
        <v>0</v>
      </c>
      <c r="AU317" s="31">
        <f t="shared" si="346"/>
        <v>1.4</v>
      </c>
      <c r="AV317" s="2">
        <f t="shared" si="347"/>
        <v>0</v>
      </c>
      <c r="AW317" s="33">
        <f t="shared" si="348"/>
        <v>0</v>
      </c>
      <c r="AX317" s="31">
        <f t="shared" si="349"/>
        <v>1.5</v>
      </c>
      <c r="AY317" s="33">
        <f t="shared" si="350"/>
        <v>1</v>
      </c>
      <c r="AZ317" s="2"/>
      <c r="BA317" s="101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</row>
    <row r="318" spans="1:71" ht="12" customHeight="1">
      <c r="A318" s="2"/>
      <c r="B318" s="107">
        <v>243</v>
      </c>
      <c r="C318" s="31">
        <v>10</v>
      </c>
      <c r="D318" s="106" t="s">
        <v>16</v>
      </c>
      <c r="E318" s="2" t="s">
        <v>146</v>
      </c>
      <c r="F318" s="2" t="s">
        <v>149</v>
      </c>
      <c r="G318" s="2"/>
      <c r="H318" s="33">
        <f t="shared" si="333"/>
        <v>3</v>
      </c>
      <c r="I318" s="99">
        <f t="shared" si="0"/>
        <v>387.3145663967976</v>
      </c>
      <c r="J318" s="101">
        <f t="shared" si="1"/>
        <v>39.166666666666664</v>
      </c>
      <c r="K318" s="101">
        <f t="shared" si="2"/>
        <v>745</v>
      </c>
      <c r="L318" s="74">
        <f t="shared" si="3"/>
        <v>271</v>
      </c>
      <c r="M318" s="99">
        <f t="shared" si="191"/>
        <v>2323.8873983807857</v>
      </c>
      <c r="N318" s="108">
        <f t="shared" si="334"/>
        <v>2323.8873983807857</v>
      </c>
      <c r="O318" s="108"/>
      <c r="P318" s="108"/>
      <c r="Q318" s="108"/>
      <c r="R318" s="109"/>
      <c r="S318" s="99">
        <f t="shared" si="335"/>
        <v>3649.0909917380491</v>
      </c>
      <c r="T318" s="108">
        <f t="shared" si="336"/>
        <v>1216.363663912683</v>
      </c>
      <c r="U318" s="108"/>
      <c r="V318" s="108"/>
      <c r="W318" s="108"/>
      <c r="X318" s="109"/>
      <c r="Y318" s="99">
        <f t="shared" si="8"/>
        <v>2432.727327825366</v>
      </c>
      <c r="Z318" s="108">
        <f t="shared" si="337"/>
        <v>2432.727327825366</v>
      </c>
      <c r="AA318" s="108"/>
      <c r="AB318" s="108"/>
      <c r="AC318" s="108"/>
      <c r="AD318" s="109"/>
      <c r="AE318" s="99">
        <f t="shared" ref="AE318:AF318" si="354">AO318</f>
        <v>6</v>
      </c>
      <c r="AF318" s="101">
        <f t="shared" si="354"/>
        <v>36</v>
      </c>
      <c r="AG318" s="101">
        <f t="shared" si="280"/>
        <v>34.001300000000001</v>
      </c>
      <c r="AH318" s="101">
        <f t="shared" si="339"/>
        <v>235</v>
      </c>
      <c r="AI318" s="101">
        <f t="shared" si="246"/>
        <v>268.61079999999998</v>
      </c>
      <c r="AJ318" s="108">
        <f t="shared" si="340"/>
        <v>2.8571428571428572</v>
      </c>
      <c r="AK318" s="101">
        <f t="shared" si="15"/>
        <v>1013.6363865939026</v>
      </c>
      <c r="AL318" s="101">
        <f t="shared" si="341"/>
        <v>1013.6363865939026</v>
      </c>
      <c r="AM318" s="101"/>
      <c r="AN318" s="101"/>
      <c r="AO318" s="1">
        <v>6</v>
      </c>
      <c r="AP318" s="2">
        <v>36</v>
      </c>
      <c r="AQ318" s="74">
        <f t="shared" si="342"/>
        <v>235</v>
      </c>
      <c r="AR318" s="31">
        <f t="shared" si="343"/>
        <v>1</v>
      </c>
      <c r="AS318" s="2">
        <f t="shared" si="344"/>
        <v>1</v>
      </c>
      <c r="AT318" s="33">
        <f t="shared" si="345"/>
        <v>15</v>
      </c>
      <c r="AU318" s="31">
        <f t="shared" si="346"/>
        <v>1</v>
      </c>
      <c r="AV318" s="2">
        <f t="shared" si="347"/>
        <v>0</v>
      </c>
      <c r="AW318" s="33">
        <f t="shared" si="348"/>
        <v>0</v>
      </c>
      <c r="AX318" s="31">
        <f t="shared" si="349"/>
        <v>1.5</v>
      </c>
      <c r="AY318" s="33">
        <f t="shared" si="350"/>
        <v>1</v>
      </c>
      <c r="AZ318" s="2"/>
      <c r="BA318" s="101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</row>
    <row r="319" spans="1:71" ht="12" customHeight="1">
      <c r="A319" s="2"/>
      <c r="B319" s="107">
        <v>244</v>
      </c>
      <c r="C319" s="31">
        <v>10</v>
      </c>
      <c r="D319" s="106" t="s">
        <v>16</v>
      </c>
      <c r="E319" s="2" t="s">
        <v>182</v>
      </c>
      <c r="F319" s="2" t="s">
        <v>149</v>
      </c>
      <c r="G319" s="2"/>
      <c r="H319" s="33">
        <f t="shared" si="333"/>
        <v>3</v>
      </c>
      <c r="I319" s="99">
        <f t="shared" si="0"/>
        <v>542.24039295551677</v>
      </c>
      <c r="J319" s="101">
        <f t="shared" si="1"/>
        <v>39.166666666666664</v>
      </c>
      <c r="K319" s="101">
        <f t="shared" si="2"/>
        <v>547</v>
      </c>
      <c r="L319" s="74">
        <f t="shared" si="3"/>
        <v>192</v>
      </c>
      <c r="M319" s="99">
        <f t="shared" si="191"/>
        <v>3253.4423577331004</v>
      </c>
      <c r="N319" s="108">
        <f t="shared" si="334"/>
        <v>3253.4423577331004</v>
      </c>
      <c r="O319" s="108"/>
      <c r="P319" s="108"/>
      <c r="Q319" s="108"/>
      <c r="R319" s="109"/>
      <c r="S319" s="99">
        <f t="shared" si="335"/>
        <v>5108.727388433269</v>
      </c>
      <c r="T319" s="108">
        <f t="shared" si="336"/>
        <v>1702.9091294777563</v>
      </c>
      <c r="U319" s="108"/>
      <c r="V319" s="108"/>
      <c r="W319" s="108"/>
      <c r="X319" s="109"/>
      <c r="Y319" s="99">
        <f t="shared" si="8"/>
        <v>3405.8182589555126</v>
      </c>
      <c r="Z319" s="108">
        <f t="shared" si="337"/>
        <v>3405.8182589555126</v>
      </c>
      <c r="AA319" s="108"/>
      <c r="AB319" s="108"/>
      <c r="AC319" s="108"/>
      <c r="AD319" s="109"/>
      <c r="AE319" s="99">
        <f t="shared" ref="AE319:AF319" si="355">AO319</f>
        <v>6</v>
      </c>
      <c r="AF319" s="101">
        <f t="shared" si="355"/>
        <v>36</v>
      </c>
      <c r="AG319" s="101">
        <f t="shared" si="280"/>
        <v>34.001300000000001</v>
      </c>
      <c r="AH319" s="101">
        <f t="shared" si="339"/>
        <v>235</v>
      </c>
      <c r="AI319" s="101">
        <f t="shared" si="246"/>
        <v>268.61079999999998</v>
      </c>
      <c r="AJ319" s="108">
        <f t="shared" si="340"/>
        <v>2.8571428571428572</v>
      </c>
      <c r="AK319" s="101">
        <f t="shared" si="15"/>
        <v>1013.6363865939026</v>
      </c>
      <c r="AL319" s="101">
        <f t="shared" si="341"/>
        <v>1013.6363865939026</v>
      </c>
      <c r="AM319" s="101"/>
      <c r="AN319" s="101"/>
      <c r="AO319" s="1">
        <v>6</v>
      </c>
      <c r="AP319" s="2">
        <v>36</v>
      </c>
      <c r="AQ319" s="74">
        <f t="shared" si="342"/>
        <v>235</v>
      </c>
      <c r="AR319" s="31">
        <f t="shared" si="343"/>
        <v>1</v>
      </c>
      <c r="AS319" s="2">
        <f t="shared" si="344"/>
        <v>1</v>
      </c>
      <c r="AT319" s="33">
        <f t="shared" si="345"/>
        <v>15</v>
      </c>
      <c r="AU319" s="31">
        <f t="shared" si="346"/>
        <v>1.4</v>
      </c>
      <c r="AV319" s="2">
        <f t="shared" si="347"/>
        <v>0</v>
      </c>
      <c r="AW319" s="33">
        <f t="shared" si="348"/>
        <v>0</v>
      </c>
      <c r="AX319" s="31">
        <f t="shared" si="349"/>
        <v>1.5</v>
      </c>
      <c r="AY319" s="33">
        <f t="shared" si="350"/>
        <v>1</v>
      </c>
      <c r="AZ319" s="2"/>
      <c r="BA319" s="101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</row>
    <row r="320" spans="1:71" ht="12" customHeight="1">
      <c r="A320" s="2"/>
      <c r="B320" s="107">
        <v>245</v>
      </c>
      <c r="C320" s="31">
        <v>10</v>
      </c>
      <c r="D320" s="106" t="s">
        <v>16</v>
      </c>
      <c r="E320" s="2" t="s">
        <v>151</v>
      </c>
      <c r="F320" s="2" t="s">
        <v>149</v>
      </c>
      <c r="G320" s="2"/>
      <c r="H320" s="33">
        <f t="shared" si="333"/>
        <v>2</v>
      </c>
      <c r="I320" s="99">
        <f t="shared" si="0"/>
        <v>504.06233067147826</v>
      </c>
      <c r="J320" s="101">
        <f t="shared" si="1"/>
        <v>19.583333333333332</v>
      </c>
      <c r="K320" s="101">
        <f t="shared" si="2"/>
        <v>592</v>
      </c>
      <c r="L320" s="74">
        <f t="shared" si="3"/>
        <v>208</v>
      </c>
      <c r="M320" s="99">
        <f t="shared" si="191"/>
        <v>3024.3739840288695</v>
      </c>
      <c r="N320" s="108">
        <f t="shared" si="334"/>
        <v>3024.3739840288695</v>
      </c>
      <c r="O320" s="108"/>
      <c r="P320" s="108"/>
      <c r="Q320" s="108"/>
      <c r="R320" s="109"/>
      <c r="S320" s="99">
        <f t="shared" si="335"/>
        <v>3649.0909917380491</v>
      </c>
      <c r="T320" s="108">
        <f t="shared" si="336"/>
        <v>1824.5454958690245</v>
      </c>
      <c r="U320" s="108"/>
      <c r="V320" s="108"/>
      <c r="W320" s="108"/>
      <c r="X320" s="109"/>
      <c r="Y320" s="99">
        <f t="shared" si="8"/>
        <v>3649.0909917380491</v>
      </c>
      <c r="Z320" s="108">
        <f t="shared" si="337"/>
        <v>3649.0909917380491</v>
      </c>
      <c r="AA320" s="108"/>
      <c r="AB320" s="108"/>
      <c r="AC320" s="108"/>
      <c r="AD320" s="109"/>
      <c r="AE320" s="99">
        <f t="shared" ref="AE320:AF320" si="356">AO320</f>
        <v>6</v>
      </c>
      <c r="AF320" s="101">
        <f t="shared" si="356"/>
        <v>36</v>
      </c>
      <c r="AG320" s="101">
        <f t="shared" si="280"/>
        <v>19.001300000000001</v>
      </c>
      <c r="AH320" s="101">
        <f t="shared" si="339"/>
        <v>117.5</v>
      </c>
      <c r="AI320" s="101">
        <f t="shared" si="246"/>
        <v>268.61079999999998</v>
      </c>
      <c r="AJ320" s="108">
        <f t="shared" si="340"/>
        <v>2</v>
      </c>
      <c r="AK320" s="101">
        <f t="shared" si="15"/>
        <v>1013.6363865939026</v>
      </c>
      <c r="AL320" s="101">
        <f t="shared" si="341"/>
        <v>1013.6363865939026</v>
      </c>
      <c r="AM320" s="101"/>
      <c r="AN320" s="101"/>
      <c r="AO320" s="1">
        <v>6</v>
      </c>
      <c r="AP320" s="2">
        <v>36</v>
      </c>
      <c r="AQ320" s="74">
        <f t="shared" si="342"/>
        <v>235</v>
      </c>
      <c r="AR320" s="31">
        <f t="shared" si="343"/>
        <v>0.5</v>
      </c>
      <c r="AS320" s="2">
        <f t="shared" si="344"/>
        <v>1</v>
      </c>
      <c r="AT320" s="33">
        <f t="shared" si="345"/>
        <v>0</v>
      </c>
      <c r="AU320" s="31">
        <f t="shared" si="346"/>
        <v>1</v>
      </c>
      <c r="AV320" s="2">
        <f t="shared" si="347"/>
        <v>0</v>
      </c>
      <c r="AW320" s="33">
        <f t="shared" si="348"/>
        <v>0</v>
      </c>
      <c r="AX320" s="31">
        <f t="shared" si="349"/>
        <v>1</v>
      </c>
      <c r="AY320" s="33">
        <f t="shared" si="350"/>
        <v>1.5</v>
      </c>
      <c r="AZ320" s="2"/>
      <c r="BA320" s="101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</row>
    <row r="321" spans="1:71" ht="12" customHeight="1">
      <c r="A321" s="2"/>
      <c r="B321" s="107">
        <v>246</v>
      </c>
      <c r="C321" s="31">
        <v>10</v>
      </c>
      <c r="D321" s="106" t="s">
        <v>16</v>
      </c>
      <c r="E321" s="2" t="s">
        <v>165</v>
      </c>
      <c r="F321" s="2" t="s">
        <v>149</v>
      </c>
      <c r="G321" s="2"/>
      <c r="H321" s="33">
        <f t="shared" si="333"/>
        <v>2</v>
      </c>
      <c r="I321" s="99">
        <f t="shared" si="0"/>
        <v>705.68726294006956</v>
      </c>
      <c r="J321" s="101">
        <f t="shared" si="1"/>
        <v>19.583333333333332</v>
      </c>
      <c r="K321" s="101">
        <f t="shared" si="2"/>
        <v>352</v>
      </c>
      <c r="L321" s="74">
        <f t="shared" si="3"/>
        <v>107</v>
      </c>
      <c r="M321" s="99">
        <f t="shared" si="191"/>
        <v>4234.1235776404174</v>
      </c>
      <c r="N321" s="108">
        <f t="shared" si="334"/>
        <v>4234.1235776404174</v>
      </c>
      <c r="O321" s="108"/>
      <c r="P321" s="108"/>
      <c r="Q321" s="108"/>
      <c r="R321" s="109"/>
      <c r="S321" s="99">
        <f t="shared" si="335"/>
        <v>5108.727388433269</v>
      </c>
      <c r="T321" s="108">
        <f t="shared" si="336"/>
        <v>2554.3636942166345</v>
      </c>
      <c r="U321" s="108"/>
      <c r="V321" s="108"/>
      <c r="W321" s="108"/>
      <c r="X321" s="109"/>
      <c r="Y321" s="99">
        <f t="shared" si="8"/>
        <v>5108.727388433269</v>
      </c>
      <c r="Z321" s="108">
        <f t="shared" si="337"/>
        <v>5108.727388433269</v>
      </c>
      <c r="AA321" s="108"/>
      <c r="AB321" s="108"/>
      <c r="AC321" s="108"/>
      <c r="AD321" s="109"/>
      <c r="AE321" s="99">
        <f t="shared" ref="AE321:AF321" si="357">AO321</f>
        <v>6</v>
      </c>
      <c r="AF321" s="101">
        <f t="shared" si="357"/>
        <v>36</v>
      </c>
      <c r="AG321" s="101">
        <f t="shared" si="280"/>
        <v>19.001300000000001</v>
      </c>
      <c r="AH321" s="101">
        <f t="shared" si="339"/>
        <v>117.5</v>
      </c>
      <c r="AI321" s="101">
        <f t="shared" si="246"/>
        <v>268.61079999999998</v>
      </c>
      <c r="AJ321" s="108">
        <f t="shared" si="340"/>
        <v>2</v>
      </c>
      <c r="AK321" s="101">
        <f t="shared" si="15"/>
        <v>1013.6363865939026</v>
      </c>
      <c r="AL321" s="101">
        <f t="shared" si="341"/>
        <v>1013.6363865939026</v>
      </c>
      <c r="AM321" s="101"/>
      <c r="AN321" s="101"/>
      <c r="AO321" s="1">
        <v>6</v>
      </c>
      <c r="AP321" s="2">
        <v>36</v>
      </c>
      <c r="AQ321" s="74">
        <f t="shared" si="342"/>
        <v>235</v>
      </c>
      <c r="AR321" s="31">
        <f t="shared" si="343"/>
        <v>0.5</v>
      </c>
      <c r="AS321" s="2">
        <f t="shared" si="344"/>
        <v>1</v>
      </c>
      <c r="AT321" s="33">
        <f t="shared" si="345"/>
        <v>0</v>
      </c>
      <c r="AU321" s="31">
        <f t="shared" si="346"/>
        <v>1.4</v>
      </c>
      <c r="AV321" s="2">
        <f t="shared" si="347"/>
        <v>0</v>
      </c>
      <c r="AW321" s="33">
        <f t="shared" si="348"/>
        <v>0</v>
      </c>
      <c r="AX321" s="31">
        <f t="shared" si="349"/>
        <v>1</v>
      </c>
      <c r="AY321" s="33">
        <f t="shared" si="350"/>
        <v>1.5</v>
      </c>
      <c r="AZ321" s="2"/>
      <c r="BA321" s="101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</row>
    <row r="322" spans="1:71" ht="12" customHeight="1">
      <c r="A322" s="2"/>
      <c r="B322" s="107">
        <v>247</v>
      </c>
      <c r="C322" s="31">
        <v>10</v>
      </c>
      <c r="D322" s="106" t="s">
        <v>16</v>
      </c>
      <c r="E322" s="2" t="s">
        <v>99</v>
      </c>
      <c r="F322" s="2" t="s">
        <v>149</v>
      </c>
      <c r="G322" s="2"/>
      <c r="H322" s="33">
        <f t="shared" si="333"/>
        <v>2</v>
      </c>
      <c r="I322" s="99">
        <f t="shared" si="0"/>
        <v>504.06233067147826</v>
      </c>
      <c r="J322" s="101">
        <f t="shared" si="1"/>
        <v>39.166666666666664</v>
      </c>
      <c r="K322" s="101">
        <f t="shared" si="2"/>
        <v>592</v>
      </c>
      <c r="L322" s="74">
        <f t="shared" si="3"/>
        <v>208</v>
      </c>
      <c r="M322" s="99">
        <f t="shared" si="191"/>
        <v>3024.3739840288695</v>
      </c>
      <c r="N322" s="108">
        <f t="shared" si="334"/>
        <v>3024.3739840288695</v>
      </c>
      <c r="O322" s="108"/>
      <c r="P322" s="108"/>
      <c r="Q322" s="108"/>
      <c r="R322" s="109"/>
      <c r="S322" s="99">
        <f t="shared" si="335"/>
        <v>3649.0909917380491</v>
      </c>
      <c r="T322" s="108">
        <f t="shared" si="336"/>
        <v>1824.5454958690245</v>
      </c>
      <c r="U322" s="108"/>
      <c r="V322" s="108"/>
      <c r="W322" s="108"/>
      <c r="X322" s="109"/>
      <c r="Y322" s="99">
        <f t="shared" si="8"/>
        <v>3649.0909917380491</v>
      </c>
      <c r="Z322" s="108">
        <f t="shared" si="337"/>
        <v>3649.0909917380491</v>
      </c>
      <c r="AA322" s="108"/>
      <c r="AB322" s="108"/>
      <c r="AC322" s="108"/>
      <c r="AD322" s="109"/>
      <c r="AE322" s="99">
        <f t="shared" ref="AE322:AF322" si="358">AO322</f>
        <v>6</v>
      </c>
      <c r="AF322" s="101">
        <f t="shared" si="358"/>
        <v>36</v>
      </c>
      <c r="AG322" s="101">
        <f t="shared" si="280"/>
        <v>19.001300000000001</v>
      </c>
      <c r="AH322" s="101">
        <f t="shared" si="339"/>
        <v>235</v>
      </c>
      <c r="AI322" s="101">
        <f t="shared" si="246"/>
        <v>268.61079999999998</v>
      </c>
      <c r="AJ322" s="108">
        <f t="shared" si="340"/>
        <v>1.8</v>
      </c>
      <c r="AK322" s="101">
        <f t="shared" si="15"/>
        <v>1013.6363865939026</v>
      </c>
      <c r="AL322" s="101">
        <f t="shared" si="341"/>
        <v>1013.6363865939026</v>
      </c>
      <c r="AM322" s="101"/>
      <c r="AN322" s="101"/>
      <c r="AO322" s="1">
        <v>6</v>
      </c>
      <c r="AP322" s="2">
        <v>36</v>
      </c>
      <c r="AQ322" s="74">
        <f t="shared" si="342"/>
        <v>235</v>
      </c>
      <c r="AR322" s="31">
        <f t="shared" si="343"/>
        <v>1</v>
      </c>
      <c r="AS322" s="2">
        <f t="shared" si="344"/>
        <v>0.9</v>
      </c>
      <c r="AT322" s="33">
        <f t="shared" si="345"/>
        <v>0</v>
      </c>
      <c r="AU322" s="31">
        <f t="shared" si="346"/>
        <v>1</v>
      </c>
      <c r="AV322" s="2">
        <f t="shared" si="347"/>
        <v>0</v>
      </c>
      <c r="AW322" s="33">
        <f t="shared" si="348"/>
        <v>0</v>
      </c>
      <c r="AX322" s="31">
        <f t="shared" si="349"/>
        <v>1</v>
      </c>
      <c r="AY322" s="33">
        <f t="shared" si="350"/>
        <v>1.5</v>
      </c>
      <c r="AZ322" s="2"/>
      <c r="BA322" s="101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</row>
    <row r="323" spans="1:71" ht="12" customHeight="1">
      <c r="A323" s="2"/>
      <c r="B323" s="107">
        <v>248</v>
      </c>
      <c r="C323" s="31">
        <v>10</v>
      </c>
      <c r="D323" s="106" t="s">
        <v>16</v>
      </c>
      <c r="E323" s="2" t="s">
        <v>170</v>
      </c>
      <c r="F323" s="2" t="s">
        <v>149</v>
      </c>
      <c r="G323" s="2"/>
      <c r="H323" s="33">
        <f t="shared" si="333"/>
        <v>2</v>
      </c>
      <c r="I323" s="99">
        <f t="shared" si="0"/>
        <v>705.68726294006956</v>
      </c>
      <c r="J323" s="101">
        <f t="shared" si="1"/>
        <v>39.166666666666664</v>
      </c>
      <c r="K323" s="101">
        <f t="shared" si="2"/>
        <v>352</v>
      </c>
      <c r="L323" s="74">
        <f t="shared" si="3"/>
        <v>107</v>
      </c>
      <c r="M323" s="99">
        <f t="shared" si="191"/>
        <v>4234.1235776404174</v>
      </c>
      <c r="N323" s="108">
        <f t="shared" si="334"/>
        <v>4234.1235776404174</v>
      </c>
      <c r="O323" s="108"/>
      <c r="P323" s="108"/>
      <c r="Q323" s="108"/>
      <c r="R323" s="109"/>
      <c r="S323" s="99">
        <f t="shared" si="335"/>
        <v>5108.727388433269</v>
      </c>
      <c r="T323" s="108">
        <f t="shared" si="336"/>
        <v>2554.3636942166345</v>
      </c>
      <c r="U323" s="108"/>
      <c r="V323" s="108"/>
      <c r="W323" s="108"/>
      <c r="X323" s="109"/>
      <c r="Y323" s="99">
        <f t="shared" si="8"/>
        <v>5108.727388433269</v>
      </c>
      <c r="Z323" s="108">
        <f t="shared" si="337"/>
        <v>5108.727388433269</v>
      </c>
      <c r="AA323" s="108"/>
      <c r="AB323" s="108"/>
      <c r="AC323" s="108"/>
      <c r="AD323" s="109"/>
      <c r="AE323" s="99">
        <f t="shared" ref="AE323:AF323" si="359">AO323</f>
        <v>6</v>
      </c>
      <c r="AF323" s="101">
        <f t="shared" si="359"/>
        <v>36</v>
      </c>
      <c r="AG323" s="101">
        <f t="shared" si="280"/>
        <v>19.001300000000001</v>
      </c>
      <c r="AH323" s="101">
        <f t="shared" si="339"/>
        <v>235</v>
      </c>
      <c r="AI323" s="101">
        <f t="shared" si="246"/>
        <v>268.61079999999998</v>
      </c>
      <c r="AJ323" s="108">
        <f t="shared" si="340"/>
        <v>1.8</v>
      </c>
      <c r="AK323" s="101">
        <f t="shared" si="15"/>
        <v>1013.6363865939026</v>
      </c>
      <c r="AL323" s="101">
        <f t="shared" si="341"/>
        <v>1013.6363865939026</v>
      </c>
      <c r="AM323" s="101"/>
      <c r="AN323" s="101"/>
      <c r="AO323" s="1">
        <v>6</v>
      </c>
      <c r="AP323" s="2">
        <v>36</v>
      </c>
      <c r="AQ323" s="74">
        <f t="shared" si="342"/>
        <v>235</v>
      </c>
      <c r="AR323" s="31">
        <f t="shared" si="343"/>
        <v>1</v>
      </c>
      <c r="AS323" s="2">
        <f t="shared" si="344"/>
        <v>0.9</v>
      </c>
      <c r="AT323" s="33">
        <f t="shared" si="345"/>
        <v>0</v>
      </c>
      <c r="AU323" s="31">
        <f t="shared" si="346"/>
        <v>1.4</v>
      </c>
      <c r="AV323" s="2">
        <f t="shared" si="347"/>
        <v>0</v>
      </c>
      <c r="AW323" s="33">
        <f t="shared" si="348"/>
        <v>0</v>
      </c>
      <c r="AX323" s="31">
        <f t="shared" si="349"/>
        <v>1</v>
      </c>
      <c r="AY323" s="33">
        <f t="shared" si="350"/>
        <v>1.5</v>
      </c>
      <c r="AZ323" s="2"/>
      <c r="BA323" s="101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</row>
    <row r="324" spans="1:71" ht="12" customHeight="1">
      <c r="A324" s="2"/>
      <c r="B324" s="107">
        <v>249</v>
      </c>
      <c r="C324" s="31">
        <v>10</v>
      </c>
      <c r="D324" s="106" t="s">
        <v>16</v>
      </c>
      <c r="E324" s="2" t="s">
        <v>111</v>
      </c>
      <c r="F324" s="2" t="s">
        <v>149</v>
      </c>
      <c r="G324" s="2"/>
      <c r="H324" s="33">
        <f t="shared" si="333"/>
        <v>2</v>
      </c>
      <c r="I324" s="99">
        <f t="shared" si="0"/>
        <v>580.97184959519643</v>
      </c>
      <c r="J324" s="101">
        <f t="shared" si="1"/>
        <v>39.166666666666664</v>
      </c>
      <c r="K324" s="101">
        <f t="shared" si="2"/>
        <v>489</v>
      </c>
      <c r="L324" s="74">
        <f t="shared" si="3"/>
        <v>171</v>
      </c>
      <c r="M324" s="99">
        <f t="shared" si="191"/>
        <v>3485.8310975711784</v>
      </c>
      <c r="N324" s="108">
        <f t="shared" si="334"/>
        <v>3485.8310975711784</v>
      </c>
      <c r="O324" s="108"/>
      <c r="P324" s="108"/>
      <c r="Q324" s="108"/>
      <c r="R324" s="109"/>
      <c r="S324" s="99">
        <f t="shared" si="335"/>
        <v>3649.0909917380491</v>
      </c>
      <c r="T324" s="108">
        <f t="shared" si="336"/>
        <v>1824.5454958690245</v>
      </c>
      <c r="U324" s="108"/>
      <c r="V324" s="108"/>
      <c r="W324" s="108"/>
      <c r="X324" s="109"/>
      <c r="Y324" s="99">
        <f t="shared" si="8"/>
        <v>3649.0909917380491</v>
      </c>
      <c r="Z324" s="108">
        <f t="shared" si="337"/>
        <v>3649.0909917380491</v>
      </c>
      <c r="AA324" s="108"/>
      <c r="AB324" s="108"/>
      <c r="AC324" s="108"/>
      <c r="AD324" s="109"/>
      <c r="AE324" s="99">
        <f t="shared" ref="AE324:AF324" si="360">AO324</f>
        <v>6</v>
      </c>
      <c r="AF324" s="101">
        <f t="shared" si="360"/>
        <v>36</v>
      </c>
      <c r="AG324" s="101">
        <f t="shared" si="280"/>
        <v>34.001300000000001</v>
      </c>
      <c r="AH324" s="101">
        <f t="shared" si="339"/>
        <v>235</v>
      </c>
      <c r="AI324" s="101">
        <f t="shared" si="246"/>
        <v>268.61079999999998</v>
      </c>
      <c r="AJ324" s="108">
        <f t="shared" si="340"/>
        <v>2</v>
      </c>
      <c r="AK324" s="101">
        <f t="shared" si="15"/>
        <v>1013.6363865939026</v>
      </c>
      <c r="AL324" s="101">
        <f t="shared" si="341"/>
        <v>1013.6363865939026</v>
      </c>
      <c r="AM324" s="101"/>
      <c r="AN324" s="101"/>
      <c r="AO324" s="1">
        <v>6</v>
      </c>
      <c r="AP324" s="2">
        <v>36</v>
      </c>
      <c r="AQ324" s="74">
        <f t="shared" si="342"/>
        <v>235</v>
      </c>
      <c r="AR324" s="31">
        <f t="shared" si="343"/>
        <v>1</v>
      </c>
      <c r="AS324" s="2">
        <f t="shared" si="344"/>
        <v>1</v>
      </c>
      <c r="AT324" s="33">
        <f t="shared" si="345"/>
        <v>15</v>
      </c>
      <c r="AU324" s="31">
        <f t="shared" si="346"/>
        <v>1</v>
      </c>
      <c r="AV324" s="2">
        <f t="shared" si="347"/>
        <v>0</v>
      </c>
      <c r="AW324" s="33">
        <f t="shared" si="348"/>
        <v>0</v>
      </c>
      <c r="AX324" s="31">
        <f t="shared" si="349"/>
        <v>1</v>
      </c>
      <c r="AY324" s="33">
        <f t="shared" si="350"/>
        <v>1.5</v>
      </c>
      <c r="AZ324" s="2"/>
      <c r="BA324" s="101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</row>
    <row r="325" spans="1:71" ht="12" customHeight="1">
      <c r="A325" s="2"/>
      <c r="B325" s="107">
        <v>250</v>
      </c>
      <c r="C325" s="31">
        <v>10</v>
      </c>
      <c r="D325" s="106" t="s">
        <v>16</v>
      </c>
      <c r="E325" s="2" t="s">
        <v>145</v>
      </c>
      <c r="F325" s="2" t="s">
        <v>149</v>
      </c>
      <c r="G325" s="2"/>
      <c r="H325" s="33">
        <f t="shared" si="333"/>
        <v>2</v>
      </c>
      <c r="I325" s="99">
        <f t="shared" si="0"/>
        <v>813.36058943327498</v>
      </c>
      <c r="J325" s="101">
        <f t="shared" si="1"/>
        <v>39.166666666666664</v>
      </c>
      <c r="K325" s="101">
        <f t="shared" si="2"/>
        <v>262</v>
      </c>
      <c r="L325" s="74">
        <f t="shared" si="3"/>
        <v>70</v>
      </c>
      <c r="M325" s="99">
        <f t="shared" si="191"/>
        <v>4880.1635365996499</v>
      </c>
      <c r="N325" s="108">
        <f t="shared" si="334"/>
        <v>4880.1635365996499</v>
      </c>
      <c r="O325" s="108"/>
      <c r="P325" s="108"/>
      <c r="Q325" s="108"/>
      <c r="R325" s="109"/>
      <c r="S325" s="99">
        <f t="shared" si="335"/>
        <v>5108.727388433269</v>
      </c>
      <c r="T325" s="108">
        <f t="shared" si="336"/>
        <v>2554.3636942166345</v>
      </c>
      <c r="U325" s="108"/>
      <c r="V325" s="108"/>
      <c r="W325" s="108"/>
      <c r="X325" s="109"/>
      <c r="Y325" s="99">
        <f t="shared" si="8"/>
        <v>5108.727388433269</v>
      </c>
      <c r="Z325" s="108">
        <f t="shared" si="337"/>
        <v>5108.727388433269</v>
      </c>
      <c r="AA325" s="108"/>
      <c r="AB325" s="108"/>
      <c r="AC325" s="108"/>
      <c r="AD325" s="109"/>
      <c r="AE325" s="99">
        <f t="shared" ref="AE325:AF325" si="361">AO325</f>
        <v>6</v>
      </c>
      <c r="AF325" s="101">
        <f t="shared" si="361"/>
        <v>36</v>
      </c>
      <c r="AG325" s="101">
        <f t="shared" si="280"/>
        <v>34.001300000000001</v>
      </c>
      <c r="AH325" s="101">
        <f t="shared" si="339"/>
        <v>235</v>
      </c>
      <c r="AI325" s="101">
        <f t="shared" si="246"/>
        <v>268.61079999999998</v>
      </c>
      <c r="AJ325" s="108">
        <f t="shared" si="340"/>
        <v>2</v>
      </c>
      <c r="AK325" s="101">
        <f t="shared" si="15"/>
        <v>1013.6363865939026</v>
      </c>
      <c r="AL325" s="101">
        <f t="shared" si="341"/>
        <v>1013.6363865939026</v>
      </c>
      <c r="AM325" s="101"/>
      <c r="AN325" s="101"/>
      <c r="AO325" s="1">
        <v>6</v>
      </c>
      <c r="AP325" s="2">
        <v>36</v>
      </c>
      <c r="AQ325" s="74">
        <f t="shared" si="342"/>
        <v>235</v>
      </c>
      <c r="AR325" s="31">
        <f t="shared" si="343"/>
        <v>1</v>
      </c>
      <c r="AS325" s="2">
        <f t="shared" si="344"/>
        <v>1</v>
      </c>
      <c r="AT325" s="33">
        <f t="shared" si="345"/>
        <v>15</v>
      </c>
      <c r="AU325" s="31">
        <f t="shared" si="346"/>
        <v>1.4</v>
      </c>
      <c r="AV325" s="2">
        <f t="shared" si="347"/>
        <v>0</v>
      </c>
      <c r="AW325" s="33">
        <f t="shared" si="348"/>
        <v>0</v>
      </c>
      <c r="AX325" s="31">
        <f t="shared" si="349"/>
        <v>1</v>
      </c>
      <c r="AY325" s="33">
        <f t="shared" si="350"/>
        <v>1.5</v>
      </c>
      <c r="AZ325" s="2"/>
      <c r="BA325" s="101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</row>
    <row r="326" spans="1:71" ht="12" customHeight="1">
      <c r="A326" s="2"/>
      <c r="B326" s="107">
        <v>251</v>
      </c>
      <c r="C326" s="31">
        <v>7</v>
      </c>
      <c r="D326" s="106" t="s">
        <v>16</v>
      </c>
      <c r="E326" s="2" t="s">
        <v>148</v>
      </c>
      <c r="F326" s="2" t="s">
        <v>149</v>
      </c>
      <c r="G326" s="2"/>
      <c r="H326" s="33">
        <f t="shared" si="333"/>
        <v>2</v>
      </c>
      <c r="I326" s="99">
        <f t="shared" si="0"/>
        <v>322.16078445590506</v>
      </c>
      <c r="J326" s="101">
        <f t="shared" si="1"/>
        <v>13.583333333333334</v>
      </c>
      <c r="K326" s="101">
        <f t="shared" si="2"/>
        <v>811</v>
      </c>
      <c r="L326" s="74">
        <f t="shared" si="3"/>
        <v>311</v>
      </c>
      <c r="M326" s="99">
        <f t="shared" si="191"/>
        <v>1932.9647067354304</v>
      </c>
      <c r="N326" s="108">
        <f t="shared" si="334"/>
        <v>1932.9647067354304</v>
      </c>
      <c r="O326" s="108"/>
      <c r="P326" s="108"/>
      <c r="Q326" s="108"/>
      <c r="R326" s="109"/>
      <c r="S326" s="99">
        <f t="shared" si="335"/>
        <v>2332.239377783415</v>
      </c>
      <c r="T326" s="108">
        <f t="shared" si="336"/>
        <v>1166.1196888917075</v>
      </c>
      <c r="U326" s="108"/>
      <c r="V326" s="108"/>
      <c r="W326" s="108"/>
      <c r="X326" s="109"/>
      <c r="Y326" s="99">
        <f t="shared" si="8"/>
        <v>2332.239377783415</v>
      </c>
      <c r="Z326" s="108">
        <f t="shared" si="337"/>
        <v>2332.239377783415</v>
      </c>
      <c r="AA326" s="108"/>
      <c r="AB326" s="108"/>
      <c r="AC326" s="108"/>
      <c r="AD326" s="109"/>
      <c r="AE326" s="99">
        <f t="shared" ref="AE326:AF326" si="362">AO326</f>
        <v>6</v>
      </c>
      <c r="AF326" s="101">
        <f t="shared" si="362"/>
        <v>36</v>
      </c>
      <c r="AG326" s="101">
        <f t="shared" si="280"/>
        <v>19.001300000000001</v>
      </c>
      <c r="AH326" s="101">
        <f t="shared" si="339"/>
        <v>81.5</v>
      </c>
      <c r="AI326" s="101">
        <f t="shared" si="246"/>
        <v>268.61079999999998</v>
      </c>
      <c r="AJ326" s="108">
        <f t="shared" si="340"/>
        <v>2</v>
      </c>
      <c r="AK326" s="101">
        <f t="shared" si="15"/>
        <v>971.7664074097562</v>
      </c>
      <c r="AL326" s="101">
        <f t="shared" si="341"/>
        <v>971.7664074097562</v>
      </c>
      <c r="AM326" s="101"/>
      <c r="AN326" s="101"/>
      <c r="AO326" s="1">
        <v>6</v>
      </c>
      <c r="AP326" s="2">
        <v>36</v>
      </c>
      <c r="AQ326" s="74">
        <f t="shared" si="342"/>
        <v>163</v>
      </c>
      <c r="AR326" s="31">
        <f t="shared" si="343"/>
        <v>0.5</v>
      </c>
      <c r="AS326" s="2">
        <f t="shared" si="344"/>
        <v>1</v>
      </c>
      <c r="AT326" s="33">
        <f t="shared" si="345"/>
        <v>0</v>
      </c>
      <c r="AU326" s="31">
        <f t="shared" si="346"/>
        <v>1</v>
      </c>
      <c r="AV326" s="2">
        <f t="shared" si="347"/>
        <v>0</v>
      </c>
      <c r="AW326" s="33">
        <f t="shared" si="348"/>
        <v>0</v>
      </c>
      <c r="AX326" s="31">
        <f t="shared" si="349"/>
        <v>1</v>
      </c>
      <c r="AY326" s="33">
        <f t="shared" si="350"/>
        <v>1</v>
      </c>
      <c r="AZ326" s="2"/>
      <c r="BA326" s="101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</row>
    <row r="327" spans="1:71" ht="12" customHeight="1">
      <c r="A327" s="2"/>
      <c r="B327" s="107">
        <v>252</v>
      </c>
      <c r="C327" s="31">
        <v>7</v>
      </c>
      <c r="D327" s="106" t="s">
        <v>16</v>
      </c>
      <c r="E327" s="2" t="s">
        <v>163</v>
      </c>
      <c r="F327" s="2" t="s">
        <v>149</v>
      </c>
      <c r="G327" s="2"/>
      <c r="H327" s="33">
        <f t="shared" si="333"/>
        <v>2</v>
      </c>
      <c r="I327" s="99">
        <f t="shared" si="0"/>
        <v>451.02509823826705</v>
      </c>
      <c r="J327" s="101">
        <f t="shared" si="1"/>
        <v>13.583333333333334</v>
      </c>
      <c r="K327" s="101">
        <f t="shared" si="2"/>
        <v>672</v>
      </c>
      <c r="L327" s="74">
        <f t="shared" si="3"/>
        <v>243</v>
      </c>
      <c r="M327" s="99">
        <f t="shared" si="191"/>
        <v>2706.1505894296024</v>
      </c>
      <c r="N327" s="108">
        <f t="shared" si="334"/>
        <v>2706.1505894296024</v>
      </c>
      <c r="O327" s="108"/>
      <c r="P327" s="108"/>
      <c r="Q327" s="108"/>
      <c r="R327" s="109"/>
      <c r="S327" s="99">
        <f t="shared" si="335"/>
        <v>3265.1351288967808</v>
      </c>
      <c r="T327" s="108">
        <f t="shared" si="336"/>
        <v>1632.5675644483904</v>
      </c>
      <c r="U327" s="108"/>
      <c r="V327" s="108"/>
      <c r="W327" s="108"/>
      <c r="X327" s="109"/>
      <c r="Y327" s="99">
        <f t="shared" si="8"/>
        <v>3265.1351288967808</v>
      </c>
      <c r="Z327" s="108">
        <f t="shared" si="337"/>
        <v>3265.1351288967808</v>
      </c>
      <c r="AA327" s="108"/>
      <c r="AB327" s="108"/>
      <c r="AC327" s="108"/>
      <c r="AD327" s="109"/>
      <c r="AE327" s="99">
        <f t="shared" ref="AE327:AF327" si="363">AO327</f>
        <v>6</v>
      </c>
      <c r="AF327" s="101">
        <f t="shared" si="363"/>
        <v>36</v>
      </c>
      <c r="AG327" s="101">
        <f t="shared" si="280"/>
        <v>19.001300000000001</v>
      </c>
      <c r="AH327" s="101">
        <f t="shared" si="339"/>
        <v>81.5</v>
      </c>
      <c r="AI327" s="101">
        <f t="shared" si="246"/>
        <v>268.61079999999998</v>
      </c>
      <c r="AJ327" s="108">
        <f t="shared" si="340"/>
        <v>2</v>
      </c>
      <c r="AK327" s="101">
        <f t="shared" si="15"/>
        <v>971.7664074097562</v>
      </c>
      <c r="AL327" s="101">
        <f t="shared" si="341"/>
        <v>971.7664074097562</v>
      </c>
      <c r="AM327" s="101"/>
      <c r="AN327" s="101"/>
      <c r="AO327" s="1">
        <v>6</v>
      </c>
      <c r="AP327" s="2">
        <v>36</v>
      </c>
      <c r="AQ327" s="74">
        <f t="shared" si="342"/>
        <v>163</v>
      </c>
      <c r="AR327" s="31">
        <f t="shared" si="343"/>
        <v>0.5</v>
      </c>
      <c r="AS327" s="2">
        <f t="shared" si="344"/>
        <v>1</v>
      </c>
      <c r="AT327" s="33">
        <f t="shared" si="345"/>
        <v>0</v>
      </c>
      <c r="AU327" s="31">
        <f t="shared" si="346"/>
        <v>1.4</v>
      </c>
      <c r="AV327" s="2">
        <f t="shared" si="347"/>
        <v>0</v>
      </c>
      <c r="AW327" s="33">
        <f t="shared" si="348"/>
        <v>0</v>
      </c>
      <c r="AX327" s="31">
        <f t="shared" si="349"/>
        <v>1</v>
      </c>
      <c r="AY327" s="33">
        <f t="shared" si="350"/>
        <v>1</v>
      </c>
      <c r="AZ327" s="2"/>
      <c r="BA327" s="101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</row>
    <row r="328" spans="1:71" ht="12" customHeight="1">
      <c r="A328" s="2"/>
      <c r="B328" s="107">
        <v>253</v>
      </c>
      <c r="C328" s="31">
        <v>7</v>
      </c>
      <c r="D328" s="106" t="s">
        <v>16</v>
      </c>
      <c r="E328" s="2" t="s">
        <v>79</v>
      </c>
      <c r="F328" s="2" t="s">
        <v>149</v>
      </c>
      <c r="G328" s="2"/>
      <c r="H328" s="33">
        <f t="shared" si="333"/>
        <v>2</v>
      </c>
      <c r="I328" s="99">
        <f t="shared" si="0"/>
        <v>322.16078445590506</v>
      </c>
      <c r="J328" s="101">
        <f t="shared" si="1"/>
        <v>27.166666666666668</v>
      </c>
      <c r="K328" s="101">
        <f t="shared" si="2"/>
        <v>811</v>
      </c>
      <c r="L328" s="74">
        <f t="shared" si="3"/>
        <v>311</v>
      </c>
      <c r="M328" s="99">
        <f t="shared" si="191"/>
        <v>1932.9647067354304</v>
      </c>
      <c r="N328" s="108">
        <f t="shared" si="334"/>
        <v>1932.9647067354304</v>
      </c>
      <c r="O328" s="108"/>
      <c r="P328" s="108"/>
      <c r="Q328" s="108"/>
      <c r="R328" s="109"/>
      <c r="S328" s="99">
        <f t="shared" si="335"/>
        <v>2332.239377783415</v>
      </c>
      <c r="T328" s="108">
        <f t="shared" si="336"/>
        <v>1166.1196888917075</v>
      </c>
      <c r="U328" s="108"/>
      <c r="V328" s="108"/>
      <c r="W328" s="108"/>
      <c r="X328" s="109"/>
      <c r="Y328" s="99">
        <f t="shared" si="8"/>
        <v>2332.239377783415</v>
      </c>
      <c r="Z328" s="108">
        <f t="shared" si="337"/>
        <v>2332.239377783415</v>
      </c>
      <c r="AA328" s="108"/>
      <c r="AB328" s="108"/>
      <c r="AC328" s="108"/>
      <c r="AD328" s="109"/>
      <c r="AE328" s="99">
        <f t="shared" ref="AE328:AF328" si="364">AO328</f>
        <v>6</v>
      </c>
      <c r="AF328" s="101">
        <f t="shared" si="364"/>
        <v>36</v>
      </c>
      <c r="AG328" s="101">
        <f t="shared" si="280"/>
        <v>19.001300000000001</v>
      </c>
      <c r="AH328" s="101">
        <f t="shared" si="339"/>
        <v>163</v>
      </c>
      <c r="AI328" s="101">
        <f t="shared" si="246"/>
        <v>268.61079999999998</v>
      </c>
      <c r="AJ328" s="108">
        <f t="shared" si="340"/>
        <v>1.8</v>
      </c>
      <c r="AK328" s="101">
        <f t="shared" si="15"/>
        <v>971.7664074097562</v>
      </c>
      <c r="AL328" s="101">
        <f t="shared" si="341"/>
        <v>971.7664074097562</v>
      </c>
      <c r="AM328" s="101"/>
      <c r="AN328" s="101"/>
      <c r="AO328" s="1">
        <v>6</v>
      </c>
      <c r="AP328" s="2">
        <v>36</v>
      </c>
      <c r="AQ328" s="74">
        <f t="shared" si="342"/>
        <v>163</v>
      </c>
      <c r="AR328" s="31">
        <f t="shared" si="343"/>
        <v>1</v>
      </c>
      <c r="AS328" s="2">
        <f t="shared" si="344"/>
        <v>0.9</v>
      </c>
      <c r="AT328" s="33">
        <f t="shared" si="345"/>
        <v>0</v>
      </c>
      <c r="AU328" s="31">
        <f t="shared" si="346"/>
        <v>1</v>
      </c>
      <c r="AV328" s="2">
        <f t="shared" si="347"/>
        <v>0</v>
      </c>
      <c r="AW328" s="33">
        <f t="shared" si="348"/>
        <v>0</v>
      </c>
      <c r="AX328" s="31">
        <f t="shared" si="349"/>
        <v>1</v>
      </c>
      <c r="AY328" s="33">
        <f t="shared" si="350"/>
        <v>1</v>
      </c>
      <c r="AZ328" s="2"/>
      <c r="BA328" s="101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</row>
    <row r="329" spans="1:71" ht="12" customHeight="1">
      <c r="A329" s="2"/>
      <c r="B329" s="107">
        <v>254</v>
      </c>
      <c r="C329" s="31">
        <v>7</v>
      </c>
      <c r="D329" s="106" t="s">
        <v>16</v>
      </c>
      <c r="E329" s="2" t="s">
        <v>168</v>
      </c>
      <c r="F329" s="2" t="s">
        <v>149</v>
      </c>
      <c r="G329" s="2"/>
      <c r="H329" s="33">
        <f t="shared" si="333"/>
        <v>2</v>
      </c>
      <c r="I329" s="99">
        <f t="shared" si="0"/>
        <v>451.02509823826705</v>
      </c>
      <c r="J329" s="101">
        <f t="shared" si="1"/>
        <v>27.166666666666668</v>
      </c>
      <c r="K329" s="101">
        <f t="shared" si="2"/>
        <v>672</v>
      </c>
      <c r="L329" s="74">
        <f t="shared" si="3"/>
        <v>243</v>
      </c>
      <c r="M329" s="99">
        <f t="shared" si="191"/>
        <v>2706.1505894296024</v>
      </c>
      <c r="N329" s="108">
        <f t="shared" si="334"/>
        <v>2706.1505894296024</v>
      </c>
      <c r="O329" s="108"/>
      <c r="P329" s="108"/>
      <c r="Q329" s="108"/>
      <c r="R329" s="109"/>
      <c r="S329" s="99">
        <f t="shared" si="335"/>
        <v>3265.1351288967808</v>
      </c>
      <c r="T329" s="108">
        <f t="shared" si="336"/>
        <v>1632.5675644483904</v>
      </c>
      <c r="U329" s="108"/>
      <c r="V329" s="108"/>
      <c r="W329" s="108"/>
      <c r="X329" s="109"/>
      <c r="Y329" s="99">
        <f t="shared" si="8"/>
        <v>3265.1351288967808</v>
      </c>
      <c r="Z329" s="108">
        <f t="shared" si="337"/>
        <v>3265.1351288967808</v>
      </c>
      <c r="AA329" s="108"/>
      <c r="AB329" s="108"/>
      <c r="AC329" s="108"/>
      <c r="AD329" s="109"/>
      <c r="AE329" s="99">
        <f t="shared" ref="AE329:AF329" si="365">AO329</f>
        <v>6</v>
      </c>
      <c r="AF329" s="101">
        <f t="shared" si="365"/>
        <v>36</v>
      </c>
      <c r="AG329" s="101">
        <f t="shared" si="280"/>
        <v>19.001300000000001</v>
      </c>
      <c r="AH329" s="101">
        <f t="shared" si="339"/>
        <v>163</v>
      </c>
      <c r="AI329" s="101">
        <f t="shared" si="246"/>
        <v>268.61079999999998</v>
      </c>
      <c r="AJ329" s="108">
        <f t="shared" si="340"/>
        <v>1.8</v>
      </c>
      <c r="AK329" s="101">
        <f t="shared" si="15"/>
        <v>971.7664074097562</v>
      </c>
      <c r="AL329" s="101">
        <f t="shared" si="341"/>
        <v>971.7664074097562</v>
      </c>
      <c r="AM329" s="101"/>
      <c r="AN329" s="101"/>
      <c r="AO329" s="1">
        <v>6</v>
      </c>
      <c r="AP329" s="2">
        <v>36</v>
      </c>
      <c r="AQ329" s="74">
        <f t="shared" si="342"/>
        <v>163</v>
      </c>
      <c r="AR329" s="31">
        <f t="shared" si="343"/>
        <v>1</v>
      </c>
      <c r="AS329" s="2">
        <f t="shared" si="344"/>
        <v>0.9</v>
      </c>
      <c r="AT329" s="33">
        <f t="shared" si="345"/>
        <v>0</v>
      </c>
      <c r="AU329" s="31">
        <f t="shared" si="346"/>
        <v>1.4</v>
      </c>
      <c r="AV329" s="2">
        <f t="shared" si="347"/>
        <v>0</v>
      </c>
      <c r="AW329" s="33">
        <f t="shared" si="348"/>
        <v>0</v>
      </c>
      <c r="AX329" s="31">
        <f t="shared" si="349"/>
        <v>1</v>
      </c>
      <c r="AY329" s="33">
        <f t="shared" si="350"/>
        <v>1</v>
      </c>
      <c r="AZ329" s="2"/>
      <c r="BA329" s="101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</row>
    <row r="330" spans="1:71" ht="12" customHeight="1">
      <c r="A330" s="2"/>
      <c r="B330" s="107">
        <v>255</v>
      </c>
      <c r="C330" s="31">
        <v>7</v>
      </c>
      <c r="D330" s="106" t="s">
        <v>16</v>
      </c>
      <c r="E330" s="2" t="s">
        <v>87</v>
      </c>
      <c r="F330" s="2" t="s">
        <v>149</v>
      </c>
      <c r="G330" s="2"/>
      <c r="H330" s="33">
        <f t="shared" si="333"/>
        <v>2</v>
      </c>
      <c r="I330" s="99">
        <f t="shared" si="0"/>
        <v>371.3158778658505</v>
      </c>
      <c r="J330" s="101">
        <f t="shared" si="1"/>
        <v>27.166666666666668</v>
      </c>
      <c r="K330" s="101">
        <f t="shared" si="2"/>
        <v>756</v>
      </c>
      <c r="L330" s="74">
        <f t="shared" si="3"/>
        <v>277</v>
      </c>
      <c r="M330" s="99">
        <f t="shared" si="191"/>
        <v>2227.8952671951029</v>
      </c>
      <c r="N330" s="108">
        <f t="shared" si="334"/>
        <v>2227.8952671951029</v>
      </c>
      <c r="O330" s="108"/>
      <c r="P330" s="108"/>
      <c r="Q330" s="108"/>
      <c r="R330" s="109"/>
      <c r="S330" s="99">
        <f t="shared" si="335"/>
        <v>2332.239377783415</v>
      </c>
      <c r="T330" s="108">
        <f t="shared" si="336"/>
        <v>1166.1196888917075</v>
      </c>
      <c r="U330" s="108"/>
      <c r="V330" s="108"/>
      <c r="W330" s="108"/>
      <c r="X330" s="109"/>
      <c r="Y330" s="99">
        <f t="shared" si="8"/>
        <v>2332.239377783415</v>
      </c>
      <c r="Z330" s="108">
        <f t="shared" si="337"/>
        <v>2332.239377783415</v>
      </c>
      <c r="AA330" s="108"/>
      <c r="AB330" s="108"/>
      <c r="AC330" s="108"/>
      <c r="AD330" s="109"/>
      <c r="AE330" s="99">
        <f t="shared" ref="AE330:AF330" si="366">AO330</f>
        <v>6</v>
      </c>
      <c r="AF330" s="101">
        <f t="shared" si="366"/>
        <v>36</v>
      </c>
      <c r="AG330" s="101">
        <f t="shared" si="280"/>
        <v>34.001300000000001</v>
      </c>
      <c r="AH330" s="101">
        <f t="shared" si="339"/>
        <v>163</v>
      </c>
      <c r="AI330" s="101">
        <f t="shared" si="246"/>
        <v>268.61079999999998</v>
      </c>
      <c r="AJ330" s="108">
        <f t="shared" si="340"/>
        <v>2</v>
      </c>
      <c r="AK330" s="101">
        <f t="shared" si="15"/>
        <v>971.7664074097562</v>
      </c>
      <c r="AL330" s="101">
        <f t="shared" si="341"/>
        <v>971.7664074097562</v>
      </c>
      <c r="AM330" s="101"/>
      <c r="AN330" s="101"/>
      <c r="AO330" s="1">
        <v>6</v>
      </c>
      <c r="AP330" s="2">
        <v>36</v>
      </c>
      <c r="AQ330" s="74">
        <f t="shared" si="342"/>
        <v>163</v>
      </c>
      <c r="AR330" s="31">
        <f t="shared" si="343"/>
        <v>1</v>
      </c>
      <c r="AS330" s="2">
        <f t="shared" si="344"/>
        <v>1</v>
      </c>
      <c r="AT330" s="33">
        <f t="shared" si="345"/>
        <v>15</v>
      </c>
      <c r="AU330" s="31">
        <f t="shared" si="346"/>
        <v>1</v>
      </c>
      <c r="AV330" s="2">
        <f t="shared" si="347"/>
        <v>0</v>
      </c>
      <c r="AW330" s="33">
        <f t="shared" si="348"/>
        <v>0</v>
      </c>
      <c r="AX330" s="31">
        <f t="shared" si="349"/>
        <v>1</v>
      </c>
      <c r="AY330" s="33">
        <f t="shared" si="350"/>
        <v>1</v>
      </c>
      <c r="AZ330" s="2"/>
      <c r="BA330" s="101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</row>
    <row r="331" spans="1:71" ht="12" customHeight="1">
      <c r="A331" s="2"/>
      <c r="B331" s="107">
        <v>256</v>
      </c>
      <c r="C331" s="31">
        <v>7</v>
      </c>
      <c r="D331" s="106" t="s">
        <v>16</v>
      </c>
      <c r="E331" s="2" t="s">
        <v>179</v>
      </c>
      <c r="F331" s="2" t="s">
        <v>149</v>
      </c>
      <c r="G331" s="2"/>
      <c r="H331" s="33">
        <f t="shared" si="333"/>
        <v>2</v>
      </c>
      <c r="I331" s="99">
        <f t="shared" si="0"/>
        <v>519.84222901219061</v>
      </c>
      <c r="J331" s="101">
        <f t="shared" si="1"/>
        <v>27.166666666666668</v>
      </c>
      <c r="K331" s="101">
        <f t="shared" si="2"/>
        <v>577</v>
      </c>
      <c r="L331" s="74">
        <f t="shared" si="3"/>
        <v>204</v>
      </c>
      <c r="M331" s="99">
        <f t="shared" si="191"/>
        <v>3119.0533740731439</v>
      </c>
      <c r="N331" s="108">
        <f t="shared" si="334"/>
        <v>3119.0533740731439</v>
      </c>
      <c r="O331" s="108"/>
      <c r="P331" s="108"/>
      <c r="Q331" s="108"/>
      <c r="R331" s="109"/>
      <c r="S331" s="99">
        <f t="shared" si="335"/>
        <v>3265.1351288967808</v>
      </c>
      <c r="T331" s="108">
        <f t="shared" si="336"/>
        <v>1632.5675644483904</v>
      </c>
      <c r="U331" s="108"/>
      <c r="V331" s="108"/>
      <c r="W331" s="108"/>
      <c r="X331" s="109"/>
      <c r="Y331" s="99">
        <f t="shared" si="8"/>
        <v>3265.1351288967808</v>
      </c>
      <c r="Z331" s="108">
        <f t="shared" si="337"/>
        <v>3265.1351288967808</v>
      </c>
      <c r="AA331" s="108"/>
      <c r="AB331" s="108"/>
      <c r="AC331" s="108"/>
      <c r="AD331" s="109"/>
      <c r="AE331" s="99">
        <f t="shared" ref="AE331:AF331" si="367">AO331</f>
        <v>6</v>
      </c>
      <c r="AF331" s="101">
        <f t="shared" si="367"/>
        <v>36</v>
      </c>
      <c r="AG331" s="101">
        <f t="shared" si="280"/>
        <v>34.001300000000001</v>
      </c>
      <c r="AH331" s="101">
        <f t="shared" si="339"/>
        <v>163</v>
      </c>
      <c r="AI331" s="101">
        <f t="shared" si="246"/>
        <v>268.61079999999998</v>
      </c>
      <c r="AJ331" s="108">
        <f t="shared" si="340"/>
        <v>2</v>
      </c>
      <c r="AK331" s="101">
        <f t="shared" si="15"/>
        <v>971.7664074097562</v>
      </c>
      <c r="AL331" s="101">
        <f t="shared" si="341"/>
        <v>971.7664074097562</v>
      </c>
      <c r="AM331" s="101"/>
      <c r="AN331" s="101"/>
      <c r="AO331" s="1">
        <v>6</v>
      </c>
      <c r="AP331" s="2">
        <v>36</v>
      </c>
      <c r="AQ331" s="74">
        <f t="shared" si="342"/>
        <v>163</v>
      </c>
      <c r="AR331" s="31">
        <f t="shared" si="343"/>
        <v>1</v>
      </c>
      <c r="AS331" s="2">
        <f t="shared" si="344"/>
        <v>1</v>
      </c>
      <c r="AT331" s="33">
        <f t="shared" si="345"/>
        <v>15</v>
      </c>
      <c r="AU331" s="31">
        <f t="shared" si="346"/>
        <v>1.4</v>
      </c>
      <c r="AV331" s="2">
        <f t="shared" si="347"/>
        <v>0</v>
      </c>
      <c r="AW331" s="33">
        <f t="shared" si="348"/>
        <v>0</v>
      </c>
      <c r="AX331" s="31">
        <f t="shared" si="349"/>
        <v>1</v>
      </c>
      <c r="AY331" s="33">
        <f t="shared" si="350"/>
        <v>1</v>
      </c>
      <c r="AZ331" s="2"/>
      <c r="BA331" s="101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</row>
    <row r="332" spans="1:71" ht="12" customHeight="1">
      <c r="A332" s="2"/>
      <c r="B332" s="107">
        <v>257</v>
      </c>
      <c r="C332" s="31">
        <v>4</v>
      </c>
      <c r="D332" s="106" t="s">
        <v>16</v>
      </c>
      <c r="E332" s="2" t="s">
        <v>148</v>
      </c>
      <c r="F332" s="2" t="s">
        <v>149</v>
      </c>
      <c r="G332" s="2"/>
      <c r="H332" s="33">
        <f t="shared" si="333"/>
        <v>2</v>
      </c>
      <c r="I332" s="99">
        <f t="shared" si="0"/>
        <v>298.42975715687635</v>
      </c>
      <c r="J332" s="101">
        <f t="shared" si="1"/>
        <v>7.5</v>
      </c>
      <c r="K332" s="101">
        <f t="shared" si="2"/>
        <v>843</v>
      </c>
      <c r="L332" s="74">
        <f t="shared" si="3"/>
        <v>329</v>
      </c>
      <c r="M332" s="99">
        <f t="shared" si="191"/>
        <v>1790.5785429412581</v>
      </c>
      <c r="N332" s="108">
        <f t="shared" si="334"/>
        <v>1790.5785429412581</v>
      </c>
      <c r="O332" s="108"/>
      <c r="P332" s="108"/>
      <c r="Q332" s="108"/>
      <c r="R332" s="109"/>
      <c r="S332" s="99">
        <f t="shared" si="335"/>
        <v>2160.4418188858535</v>
      </c>
      <c r="T332" s="108">
        <f t="shared" si="336"/>
        <v>1080.2209094429268</v>
      </c>
      <c r="U332" s="108"/>
      <c r="V332" s="108"/>
      <c r="W332" s="108"/>
      <c r="X332" s="109"/>
      <c r="Y332" s="99">
        <f t="shared" si="8"/>
        <v>2160.4418188858535</v>
      </c>
      <c r="Z332" s="108">
        <f t="shared" si="337"/>
        <v>2160.4418188858535</v>
      </c>
      <c r="AA332" s="108"/>
      <c r="AB332" s="108"/>
      <c r="AC332" s="108"/>
      <c r="AD332" s="109"/>
      <c r="AE332" s="99">
        <f t="shared" ref="AE332:AF332" si="368">AO332</f>
        <v>6</v>
      </c>
      <c r="AF332" s="101">
        <f t="shared" si="368"/>
        <v>36</v>
      </c>
      <c r="AG332" s="101">
        <f t="shared" si="280"/>
        <v>19.001300000000001</v>
      </c>
      <c r="AH332" s="101">
        <f t="shared" si="339"/>
        <v>45</v>
      </c>
      <c r="AI332" s="101">
        <f t="shared" ref="AI332:AI395" si="369">$D$58+$D$19</f>
        <v>268.61079999999998</v>
      </c>
      <c r="AJ332" s="108">
        <f t="shared" si="340"/>
        <v>2</v>
      </c>
      <c r="AK332" s="101">
        <f t="shared" si="15"/>
        <v>900.18409120243905</v>
      </c>
      <c r="AL332" s="101">
        <f t="shared" si="341"/>
        <v>900.18409120243905</v>
      </c>
      <c r="AM332" s="101"/>
      <c r="AN332" s="101"/>
      <c r="AO332" s="1">
        <v>6</v>
      </c>
      <c r="AP332" s="2">
        <v>36</v>
      </c>
      <c r="AQ332" s="74">
        <f t="shared" si="342"/>
        <v>90</v>
      </c>
      <c r="AR332" s="31">
        <f t="shared" si="343"/>
        <v>0.5</v>
      </c>
      <c r="AS332" s="2">
        <f t="shared" si="344"/>
        <v>1</v>
      </c>
      <c r="AT332" s="33">
        <f t="shared" si="345"/>
        <v>0</v>
      </c>
      <c r="AU332" s="31">
        <f t="shared" si="346"/>
        <v>1</v>
      </c>
      <c r="AV332" s="2">
        <f t="shared" si="347"/>
        <v>0</v>
      </c>
      <c r="AW332" s="33">
        <f t="shared" si="348"/>
        <v>0</v>
      </c>
      <c r="AX332" s="31">
        <f t="shared" si="349"/>
        <v>1</v>
      </c>
      <c r="AY332" s="33">
        <f t="shared" si="350"/>
        <v>1</v>
      </c>
      <c r="AZ332" s="2"/>
      <c r="BA332" s="101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</row>
    <row r="333" spans="1:71" ht="12" customHeight="1">
      <c r="A333" s="2"/>
      <c r="B333" s="107">
        <v>258</v>
      </c>
      <c r="C333" s="31">
        <v>4</v>
      </c>
      <c r="D333" s="106" t="s">
        <v>16</v>
      </c>
      <c r="E333" s="2" t="s">
        <v>79</v>
      </c>
      <c r="F333" s="2" t="s">
        <v>149</v>
      </c>
      <c r="G333" s="2"/>
      <c r="H333" s="33">
        <f t="shared" si="333"/>
        <v>2</v>
      </c>
      <c r="I333" s="99">
        <f t="shared" si="0"/>
        <v>298.42975715687635</v>
      </c>
      <c r="J333" s="101">
        <f t="shared" si="1"/>
        <v>15</v>
      </c>
      <c r="K333" s="101">
        <f t="shared" si="2"/>
        <v>843</v>
      </c>
      <c r="L333" s="74">
        <f t="shared" si="3"/>
        <v>329</v>
      </c>
      <c r="M333" s="99">
        <f t="shared" si="191"/>
        <v>1790.5785429412581</v>
      </c>
      <c r="N333" s="108">
        <f t="shared" si="334"/>
        <v>1790.5785429412581</v>
      </c>
      <c r="O333" s="108"/>
      <c r="P333" s="108"/>
      <c r="Q333" s="108"/>
      <c r="R333" s="109"/>
      <c r="S333" s="99">
        <f t="shared" si="335"/>
        <v>2160.4418188858535</v>
      </c>
      <c r="T333" s="108">
        <f t="shared" si="336"/>
        <v>1080.2209094429268</v>
      </c>
      <c r="U333" s="108"/>
      <c r="V333" s="108"/>
      <c r="W333" s="108"/>
      <c r="X333" s="109"/>
      <c r="Y333" s="99">
        <f t="shared" si="8"/>
        <v>2160.4418188858535</v>
      </c>
      <c r="Z333" s="108">
        <f t="shared" si="337"/>
        <v>2160.4418188858535</v>
      </c>
      <c r="AA333" s="108"/>
      <c r="AB333" s="108"/>
      <c r="AC333" s="108"/>
      <c r="AD333" s="109"/>
      <c r="AE333" s="99">
        <f t="shared" ref="AE333:AF333" si="370">AO333</f>
        <v>6</v>
      </c>
      <c r="AF333" s="101">
        <f t="shared" si="370"/>
        <v>36</v>
      </c>
      <c r="AG333" s="101">
        <f t="shared" si="280"/>
        <v>19.001300000000001</v>
      </c>
      <c r="AH333" s="101">
        <f t="shared" si="339"/>
        <v>90</v>
      </c>
      <c r="AI333" s="101">
        <f t="shared" si="369"/>
        <v>268.61079999999998</v>
      </c>
      <c r="AJ333" s="108">
        <f t="shared" si="340"/>
        <v>1.8</v>
      </c>
      <c r="AK333" s="101">
        <f t="shared" si="15"/>
        <v>900.18409120243905</v>
      </c>
      <c r="AL333" s="101">
        <f t="shared" si="341"/>
        <v>900.18409120243905</v>
      </c>
      <c r="AM333" s="101"/>
      <c r="AN333" s="101"/>
      <c r="AO333" s="1">
        <v>6</v>
      </c>
      <c r="AP333" s="2">
        <v>36</v>
      </c>
      <c r="AQ333" s="74">
        <f t="shared" si="342"/>
        <v>90</v>
      </c>
      <c r="AR333" s="31">
        <f t="shared" si="343"/>
        <v>1</v>
      </c>
      <c r="AS333" s="2">
        <f t="shared" si="344"/>
        <v>0.9</v>
      </c>
      <c r="AT333" s="33">
        <f t="shared" si="345"/>
        <v>0</v>
      </c>
      <c r="AU333" s="31">
        <f t="shared" si="346"/>
        <v>1</v>
      </c>
      <c r="AV333" s="2">
        <f t="shared" si="347"/>
        <v>0</v>
      </c>
      <c r="AW333" s="33">
        <f t="shared" si="348"/>
        <v>0</v>
      </c>
      <c r="AX333" s="31">
        <f t="shared" si="349"/>
        <v>1</v>
      </c>
      <c r="AY333" s="33">
        <f t="shared" si="350"/>
        <v>1</v>
      </c>
      <c r="AZ333" s="2"/>
      <c r="BA333" s="101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</row>
    <row r="334" spans="1:71" ht="12" customHeight="1">
      <c r="A334" s="2"/>
      <c r="B334" s="107">
        <v>259</v>
      </c>
      <c r="C334" s="31">
        <v>4</v>
      </c>
      <c r="D334" s="106" t="s">
        <v>16</v>
      </c>
      <c r="E334" s="2" t="s">
        <v>87</v>
      </c>
      <c r="F334" s="2" t="s">
        <v>149</v>
      </c>
      <c r="G334" s="2"/>
      <c r="H334" s="33">
        <f t="shared" si="333"/>
        <v>2</v>
      </c>
      <c r="I334" s="99">
        <f t="shared" si="0"/>
        <v>343.96398508635116</v>
      </c>
      <c r="J334" s="101">
        <f t="shared" si="1"/>
        <v>15</v>
      </c>
      <c r="K334" s="101">
        <f t="shared" si="2"/>
        <v>786</v>
      </c>
      <c r="L334" s="74">
        <f t="shared" si="3"/>
        <v>296</v>
      </c>
      <c r="M334" s="99">
        <f t="shared" si="191"/>
        <v>2063.7839105181069</v>
      </c>
      <c r="N334" s="108">
        <f t="shared" si="334"/>
        <v>2063.7839105181069</v>
      </c>
      <c r="O334" s="108"/>
      <c r="P334" s="108"/>
      <c r="Q334" s="108"/>
      <c r="R334" s="109"/>
      <c r="S334" s="99">
        <f t="shared" si="335"/>
        <v>2160.4418188858535</v>
      </c>
      <c r="T334" s="108">
        <f t="shared" si="336"/>
        <v>1080.2209094429268</v>
      </c>
      <c r="U334" s="108"/>
      <c r="V334" s="108"/>
      <c r="W334" s="108"/>
      <c r="X334" s="109"/>
      <c r="Y334" s="99">
        <f t="shared" si="8"/>
        <v>2160.4418188858535</v>
      </c>
      <c r="Z334" s="108">
        <f t="shared" si="337"/>
        <v>2160.4418188858535</v>
      </c>
      <c r="AA334" s="108"/>
      <c r="AB334" s="108"/>
      <c r="AC334" s="108"/>
      <c r="AD334" s="109"/>
      <c r="AE334" s="99">
        <f t="shared" ref="AE334:AF334" si="371">AO334</f>
        <v>6</v>
      </c>
      <c r="AF334" s="101">
        <f t="shared" si="371"/>
        <v>36</v>
      </c>
      <c r="AG334" s="101">
        <f t="shared" si="280"/>
        <v>34.001300000000001</v>
      </c>
      <c r="AH334" s="101">
        <f t="shared" si="339"/>
        <v>90</v>
      </c>
      <c r="AI334" s="101">
        <f t="shared" si="369"/>
        <v>268.61079999999998</v>
      </c>
      <c r="AJ334" s="108">
        <f t="shared" si="340"/>
        <v>2</v>
      </c>
      <c r="AK334" s="101">
        <f t="shared" si="15"/>
        <v>900.18409120243905</v>
      </c>
      <c r="AL334" s="101">
        <f t="shared" si="341"/>
        <v>900.18409120243905</v>
      </c>
      <c r="AM334" s="101"/>
      <c r="AN334" s="101"/>
      <c r="AO334" s="1">
        <v>6</v>
      </c>
      <c r="AP334" s="2">
        <v>36</v>
      </c>
      <c r="AQ334" s="74">
        <f t="shared" si="342"/>
        <v>90</v>
      </c>
      <c r="AR334" s="31">
        <f t="shared" si="343"/>
        <v>1</v>
      </c>
      <c r="AS334" s="2">
        <f t="shared" si="344"/>
        <v>1</v>
      </c>
      <c r="AT334" s="33">
        <f t="shared" si="345"/>
        <v>15</v>
      </c>
      <c r="AU334" s="31">
        <f t="shared" si="346"/>
        <v>1</v>
      </c>
      <c r="AV334" s="2">
        <f t="shared" si="347"/>
        <v>0</v>
      </c>
      <c r="AW334" s="33">
        <f t="shared" si="348"/>
        <v>0</v>
      </c>
      <c r="AX334" s="31">
        <f t="shared" si="349"/>
        <v>1</v>
      </c>
      <c r="AY334" s="33">
        <f t="shared" si="350"/>
        <v>1</v>
      </c>
      <c r="AZ334" s="2"/>
      <c r="BA334" s="101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</row>
    <row r="335" spans="1:71" ht="12" customHeight="1">
      <c r="A335" s="2"/>
      <c r="B335" s="107">
        <v>260</v>
      </c>
      <c r="C335" s="31">
        <v>1</v>
      </c>
      <c r="D335" s="106" t="s">
        <v>16</v>
      </c>
      <c r="E335" s="2" t="s">
        <v>67</v>
      </c>
      <c r="F335" s="2" t="s">
        <v>149</v>
      </c>
      <c r="G335" s="2"/>
      <c r="H335" s="33">
        <f t="shared" si="333"/>
        <v>2</v>
      </c>
      <c r="I335" s="99">
        <f t="shared" si="0"/>
        <v>239.447752222199</v>
      </c>
      <c r="J335" s="101">
        <f t="shared" si="1"/>
        <v>7.5</v>
      </c>
      <c r="K335" s="101">
        <f t="shared" si="2"/>
        <v>870</v>
      </c>
      <c r="L335" s="74">
        <f t="shared" si="3"/>
        <v>347</v>
      </c>
      <c r="M335" s="99">
        <f t="shared" si="191"/>
        <v>1436.6865133331939</v>
      </c>
      <c r="N335" s="108">
        <f t="shared" si="334"/>
        <v>1436.6865133331939</v>
      </c>
      <c r="O335" s="108"/>
      <c r="P335" s="108"/>
      <c r="Q335" s="108"/>
      <c r="R335" s="109"/>
      <c r="S335" s="99">
        <f t="shared" si="335"/>
        <v>1733.4495804556097</v>
      </c>
      <c r="T335" s="108">
        <f t="shared" si="336"/>
        <v>866.72479022780487</v>
      </c>
      <c r="U335" s="108"/>
      <c r="V335" s="108"/>
      <c r="W335" s="108"/>
      <c r="X335" s="109"/>
      <c r="Y335" s="99">
        <f t="shared" si="8"/>
        <v>1733.4495804556097</v>
      </c>
      <c r="Z335" s="108">
        <f t="shared" si="337"/>
        <v>1733.4495804556097</v>
      </c>
      <c r="AA335" s="108"/>
      <c r="AB335" s="108"/>
      <c r="AC335" s="108"/>
      <c r="AD335" s="109"/>
      <c r="AE335" s="99">
        <f t="shared" ref="AE335:AF335" si="372">AO335</f>
        <v>6</v>
      </c>
      <c r="AF335" s="101">
        <f t="shared" si="372"/>
        <v>36</v>
      </c>
      <c r="AG335" s="101">
        <f t="shared" si="280"/>
        <v>19.001300000000001</v>
      </c>
      <c r="AH335" s="101">
        <f t="shared" si="339"/>
        <v>45</v>
      </c>
      <c r="AI335" s="101">
        <f t="shared" si="369"/>
        <v>268.61079999999998</v>
      </c>
      <c r="AJ335" s="108">
        <f t="shared" si="340"/>
        <v>2</v>
      </c>
      <c r="AK335" s="101">
        <f t="shared" si="15"/>
        <v>722.27065852317071</v>
      </c>
      <c r="AL335" s="101">
        <f t="shared" si="341"/>
        <v>722.27065852317071</v>
      </c>
      <c r="AM335" s="101"/>
      <c r="AN335" s="101"/>
      <c r="AO335" s="1">
        <v>6</v>
      </c>
      <c r="AP335" s="2">
        <v>36</v>
      </c>
      <c r="AQ335" s="74">
        <f t="shared" si="342"/>
        <v>45</v>
      </c>
      <c r="AR335" s="31">
        <f t="shared" si="343"/>
        <v>1</v>
      </c>
      <c r="AS335" s="2">
        <f t="shared" si="344"/>
        <v>1</v>
      </c>
      <c r="AT335" s="33">
        <f t="shared" si="345"/>
        <v>0</v>
      </c>
      <c r="AU335" s="31">
        <f t="shared" si="346"/>
        <v>1</v>
      </c>
      <c r="AV335" s="2">
        <f t="shared" si="347"/>
        <v>0</v>
      </c>
      <c r="AW335" s="33">
        <f t="shared" si="348"/>
        <v>0</v>
      </c>
      <c r="AX335" s="31">
        <f t="shared" si="349"/>
        <v>1</v>
      </c>
      <c r="AY335" s="33">
        <f t="shared" si="350"/>
        <v>1</v>
      </c>
      <c r="AZ335" s="2"/>
      <c r="BA335" s="101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</row>
    <row r="336" spans="1:71" ht="12" customHeight="1">
      <c r="A336" s="2"/>
      <c r="B336" s="107">
        <v>261</v>
      </c>
      <c r="C336" s="31">
        <v>10</v>
      </c>
      <c r="D336" s="106" t="s">
        <v>16</v>
      </c>
      <c r="E336" s="2" t="s">
        <v>150</v>
      </c>
      <c r="F336" s="2"/>
      <c r="G336" s="2"/>
      <c r="H336" s="33">
        <f t="shared" si="333"/>
        <v>3</v>
      </c>
      <c r="I336" s="99">
        <f t="shared" si="0"/>
        <v>223.06461413325221</v>
      </c>
      <c r="J336" s="101">
        <f t="shared" si="1"/>
        <v>19.583333333333332</v>
      </c>
      <c r="K336" s="101">
        <f t="shared" si="2"/>
        <v>877</v>
      </c>
      <c r="L336" s="74">
        <f t="shared" si="3"/>
        <v>352</v>
      </c>
      <c r="M336" s="99">
        <f t="shared" si="191"/>
        <v>1338.3876847995132</v>
      </c>
      <c r="N336" s="108">
        <f t="shared" si="334"/>
        <v>1338.3876847995132</v>
      </c>
      <c r="O336" s="108"/>
      <c r="P336" s="108"/>
      <c r="Q336" s="108"/>
      <c r="R336" s="109"/>
      <c r="S336" s="99">
        <f t="shared" si="335"/>
        <v>3040.9091597817078</v>
      </c>
      <c r="T336" s="108">
        <f t="shared" si="336"/>
        <v>1013.6363865939026</v>
      </c>
      <c r="U336" s="108"/>
      <c r="V336" s="108"/>
      <c r="W336" s="108"/>
      <c r="X336" s="109"/>
      <c r="Y336" s="99">
        <f t="shared" si="8"/>
        <v>2027.2727731878051</v>
      </c>
      <c r="Z336" s="108">
        <f t="shared" si="337"/>
        <v>2027.2727731878051</v>
      </c>
      <c r="AA336" s="108"/>
      <c r="AB336" s="108"/>
      <c r="AC336" s="108"/>
      <c r="AD336" s="109"/>
      <c r="AE336" s="99">
        <f t="shared" ref="AE336:AF336" si="373">AO336</f>
        <v>6</v>
      </c>
      <c r="AF336" s="101">
        <f t="shared" si="373"/>
        <v>36</v>
      </c>
      <c r="AG336" s="101">
        <f t="shared" si="280"/>
        <v>19.001300000000001</v>
      </c>
      <c r="AH336" s="101">
        <f t="shared" si="339"/>
        <v>117.5</v>
      </c>
      <c r="AI336" s="101">
        <f t="shared" si="369"/>
        <v>268.61079999999998</v>
      </c>
      <c r="AJ336" s="108">
        <f t="shared" si="340"/>
        <v>2.8571428571428572</v>
      </c>
      <c r="AK336" s="101">
        <f t="shared" si="15"/>
        <v>1013.6363865939026</v>
      </c>
      <c r="AL336" s="101">
        <f t="shared" si="341"/>
        <v>1013.6363865939026</v>
      </c>
      <c r="AM336" s="101"/>
      <c r="AN336" s="101"/>
      <c r="AO336" s="1">
        <v>6</v>
      </c>
      <c r="AP336" s="2">
        <v>36</v>
      </c>
      <c r="AQ336" s="74">
        <f t="shared" si="342"/>
        <v>235</v>
      </c>
      <c r="AR336" s="31">
        <f t="shared" si="343"/>
        <v>0.5</v>
      </c>
      <c r="AS336" s="2">
        <f t="shared" si="344"/>
        <v>1</v>
      </c>
      <c r="AT336" s="33">
        <f t="shared" si="345"/>
        <v>0</v>
      </c>
      <c r="AU336" s="31">
        <f t="shared" si="346"/>
        <v>1</v>
      </c>
      <c r="AV336" s="2">
        <f t="shared" si="347"/>
        <v>0</v>
      </c>
      <c r="AW336" s="33">
        <f t="shared" si="348"/>
        <v>0</v>
      </c>
      <c r="AX336" s="31">
        <f t="shared" si="349"/>
        <v>1.5</v>
      </c>
      <c r="AY336" s="33">
        <f t="shared" si="350"/>
        <v>1</v>
      </c>
      <c r="AZ336" s="2"/>
      <c r="BA336" s="101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</row>
    <row r="337" spans="1:71" ht="12" customHeight="1">
      <c r="A337" s="2"/>
      <c r="B337" s="107">
        <v>262</v>
      </c>
      <c r="C337" s="31">
        <v>10</v>
      </c>
      <c r="D337" s="106" t="s">
        <v>16</v>
      </c>
      <c r="E337" s="2" t="s">
        <v>164</v>
      </c>
      <c r="F337" s="2"/>
      <c r="G337" s="2"/>
      <c r="H337" s="33">
        <f t="shared" si="333"/>
        <v>3</v>
      </c>
      <c r="I337" s="99">
        <f t="shared" si="0"/>
        <v>312.29045978655307</v>
      </c>
      <c r="J337" s="101">
        <f t="shared" si="1"/>
        <v>19.583333333333332</v>
      </c>
      <c r="K337" s="101">
        <f t="shared" si="2"/>
        <v>824</v>
      </c>
      <c r="L337" s="74">
        <f t="shared" si="3"/>
        <v>321</v>
      </c>
      <c r="M337" s="99">
        <f t="shared" si="191"/>
        <v>1873.7427587193183</v>
      </c>
      <c r="N337" s="108">
        <f t="shared" si="334"/>
        <v>1873.7427587193183</v>
      </c>
      <c r="O337" s="108"/>
      <c r="P337" s="108"/>
      <c r="Q337" s="108"/>
      <c r="R337" s="109"/>
      <c r="S337" s="99">
        <f t="shared" si="335"/>
        <v>4257.2728236943913</v>
      </c>
      <c r="T337" s="108">
        <f t="shared" si="336"/>
        <v>1419.0909412314636</v>
      </c>
      <c r="U337" s="108"/>
      <c r="V337" s="108"/>
      <c r="W337" s="108"/>
      <c r="X337" s="109"/>
      <c r="Y337" s="99">
        <f t="shared" si="8"/>
        <v>2838.1818824629272</v>
      </c>
      <c r="Z337" s="108">
        <f t="shared" si="337"/>
        <v>2838.1818824629272</v>
      </c>
      <c r="AA337" s="108"/>
      <c r="AB337" s="108"/>
      <c r="AC337" s="108"/>
      <c r="AD337" s="109"/>
      <c r="AE337" s="99">
        <f t="shared" ref="AE337:AF337" si="374">AO337</f>
        <v>6</v>
      </c>
      <c r="AF337" s="101">
        <f t="shared" si="374"/>
        <v>36</v>
      </c>
      <c r="AG337" s="101">
        <f t="shared" si="280"/>
        <v>19.001300000000001</v>
      </c>
      <c r="AH337" s="101">
        <f t="shared" si="339"/>
        <v>117.5</v>
      </c>
      <c r="AI337" s="101">
        <f t="shared" si="369"/>
        <v>268.61079999999998</v>
      </c>
      <c r="AJ337" s="108">
        <f t="shared" si="340"/>
        <v>2.8571428571428572</v>
      </c>
      <c r="AK337" s="101">
        <f t="shared" si="15"/>
        <v>1013.6363865939026</v>
      </c>
      <c r="AL337" s="101">
        <f t="shared" si="341"/>
        <v>1013.6363865939026</v>
      </c>
      <c r="AM337" s="101"/>
      <c r="AN337" s="101"/>
      <c r="AO337" s="1">
        <v>6</v>
      </c>
      <c r="AP337" s="2">
        <v>36</v>
      </c>
      <c r="AQ337" s="74">
        <f t="shared" si="342"/>
        <v>235</v>
      </c>
      <c r="AR337" s="31">
        <f t="shared" si="343"/>
        <v>0.5</v>
      </c>
      <c r="AS337" s="2">
        <f t="shared" si="344"/>
        <v>1</v>
      </c>
      <c r="AT337" s="33">
        <f t="shared" si="345"/>
        <v>0</v>
      </c>
      <c r="AU337" s="31">
        <f t="shared" si="346"/>
        <v>1.4</v>
      </c>
      <c r="AV337" s="2">
        <f t="shared" si="347"/>
        <v>0</v>
      </c>
      <c r="AW337" s="33">
        <f t="shared" si="348"/>
        <v>0</v>
      </c>
      <c r="AX337" s="31">
        <f t="shared" si="349"/>
        <v>1.5</v>
      </c>
      <c r="AY337" s="33">
        <f t="shared" si="350"/>
        <v>1</v>
      </c>
      <c r="AZ337" s="2"/>
      <c r="BA337" s="101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</row>
    <row r="338" spans="1:71" ht="12" customHeight="1">
      <c r="A338" s="2"/>
      <c r="B338" s="107">
        <v>263</v>
      </c>
      <c r="C338" s="31">
        <v>10</v>
      </c>
      <c r="D338" s="106" t="s">
        <v>16</v>
      </c>
      <c r="E338" s="2" t="s">
        <v>161</v>
      </c>
      <c r="F338" s="2"/>
      <c r="G338" s="2"/>
      <c r="H338" s="33">
        <f t="shared" si="333"/>
        <v>3</v>
      </c>
      <c r="I338" s="99">
        <f t="shared" si="0"/>
        <v>223.06461413325221</v>
      </c>
      <c r="J338" s="101">
        <f t="shared" si="1"/>
        <v>39.166666666666664</v>
      </c>
      <c r="K338" s="101">
        <f t="shared" si="2"/>
        <v>877</v>
      </c>
      <c r="L338" s="74">
        <f t="shared" si="3"/>
        <v>352</v>
      </c>
      <c r="M338" s="99">
        <f t="shared" si="191"/>
        <v>1338.3876847995132</v>
      </c>
      <c r="N338" s="108">
        <f t="shared" si="334"/>
        <v>1338.3876847995132</v>
      </c>
      <c r="O338" s="108"/>
      <c r="P338" s="108"/>
      <c r="Q338" s="108"/>
      <c r="R338" s="109"/>
      <c r="S338" s="99">
        <f t="shared" si="335"/>
        <v>3040.9091597817078</v>
      </c>
      <c r="T338" s="108">
        <f t="shared" si="336"/>
        <v>1013.6363865939026</v>
      </c>
      <c r="U338" s="108"/>
      <c r="V338" s="108"/>
      <c r="W338" s="108"/>
      <c r="X338" s="109"/>
      <c r="Y338" s="99">
        <f t="shared" si="8"/>
        <v>2027.2727731878051</v>
      </c>
      <c r="Z338" s="108">
        <f t="shared" si="337"/>
        <v>2027.2727731878051</v>
      </c>
      <c r="AA338" s="108"/>
      <c r="AB338" s="108"/>
      <c r="AC338" s="108"/>
      <c r="AD338" s="109"/>
      <c r="AE338" s="99">
        <f t="shared" ref="AE338:AF338" si="375">AO338</f>
        <v>6</v>
      </c>
      <c r="AF338" s="101">
        <f t="shared" si="375"/>
        <v>36</v>
      </c>
      <c r="AG338" s="101">
        <f t="shared" si="280"/>
        <v>19.001300000000001</v>
      </c>
      <c r="AH338" s="101">
        <f t="shared" si="339"/>
        <v>235</v>
      </c>
      <c r="AI338" s="101">
        <f t="shared" si="369"/>
        <v>268.61079999999998</v>
      </c>
      <c r="AJ338" s="108">
        <f t="shared" si="340"/>
        <v>2.5714285714285716</v>
      </c>
      <c r="AK338" s="101">
        <f t="shared" si="15"/>
        <v>1013.6363865939026</v>
      </c>
      <c r="AL338" s="101">
        <f t="shared" si="341"/>
        <v>1013.6363865939026</v>
      </c>
      <c r="AM338" s="101"/>
      <c r="AN338" s="101"/>
      <c r="AO338" s="1">
        <v>6</v>
      </c>
      <c r="AP338" s="2">
        <v>36</v>
      </c>
      <c r="AQ338" s="74">
        <f t="shared" si="342"/>
        <v>235</v>
      </c>
      <c r="AR338" s="31">
        <f t="shared" si="343"/>
        <v>1</v>
      </c>
      <c r="AS338" s="2">
        <f t="shared" si="344"/>
        <v>0.9</v>
      </c>
      <c r="AT338" s="33">
        <f t="shared" si="345"/>
        <v>0</v>
      </c>
      <c r="AU338" s="31">
        <f t="shared" si="346"/>
        <v>1</v>
      </c>
      <c r="AV338" s="2">
        <f t="shared" si="347"/>
        <v>0</v>
      </c>
      <c r="AW338" s="33">
        <f t="shared" si="348"/>
        <v>0</v>
      </c>
      <c r="AX338" s="31">
        <f t="shared" si="349"/>
        <v>1.5</v>
      </c>
      <c r="AY338" s="33">
        <f t="shared" si="350"/>
        <v>1</v>
      </c>
      <c r="AZ338" s="2"/>
      <c r="BA338" s="101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</row>
    <row r="339" spans="1:71" ht="12" customHeight="1">
      <c r="A339" s="2"/>
      <c r="B339" s="107">
        <v>264</v>
      </c>
      <c r="C339" s="31">
        <v>10</v>
      </c>
      <c r="D339" s="106" t="s">
        <v>16</v>
      </c>
      <c r="E339" s="2" t="s">
        <v>169</v>
      </c>
      <c r="F339" s="2"/>
      <c r="G339" s="2"/>
      <c r="H339" s="33">
        <f t="shared" si="333"/>
        <v>3</v>
      </c>
      <c r="I339" s="99">
        <f t="shared" si="0"/>
        <v>312.29045978655307</v>
      </c>
      <c r="J339" s="101">
        <f t="shared" si="1"/>
        <v>39.166666666666664</v>
      </c>
      <c r="K339" s="101">
        <f t="shared" si="2"/>
        <v>824</v>
      </c>
      <c r="L339" s="74">
        <f t="shared" si="3"/>
        <v>321</v>
      </c>
      <c r="M339" s="99">
        <f t="shared" si="191"/>
        <v>1873.7427587193183</v>
      </c>
      <c r="N339" s="108">
        <f t="shared" si="334"/>
        <v>1873.7427587193183</v>
      </c>
      <c r="O339" s="108"/>
      <c r="P339" s="108"/>
      <c r="Q339" s="108"/>
      <c r="R339" s="109"/>
      <c r="S339" s="99">
        <f t="shared" si="335"/>
        <v>4257.2728236943913</v>
      </c>
      <c r="T339" s="108">
        <f t="shared" si="336"/>
        <v>1419.0909412314636</v>
      </c>
      <c r="U339" s="108"/>
      <c r="V339" s="108"/>
      <c r="W339" s="108"/>
      <c r="X339" s="109"/>
      <c r="Y339" s="99">
        <f t="shared" si="8"/>
        <v>2838.1818824629272</v>
      </c>
      <c r="Z339" s="108">
        <f t="shared" si="337"/>
        <v>2838.1818824629272</v>
      </c>
      <c r="AA339" s="108"/>
      <c r="AB339" s="108"/>
      <c r="AC339" s="108"/>
      <c r="AD339" s="109"/>
      <c r="AE339" s="99">
        <f t="shared" ref="AE339:AF339" si="376">AO339</f>
        <v>6</v>
      </c>
      <c r="AF339" s="101">
        <f t="shared" si="376"/>
        <v>36</v>
      </c>
      <c r="AG339" s="101">
        <f t="shared" si="280"/>
        <v>19.001300000000001</v>
      </c>
      <c r="AH339" s="101">
        <f t="shared" si="339"/>
        <v>235</v>
      </c>
      <c r="AI339" s="101">
        <f t="shared" si="369"/>
        <v>268.61079999999998</v>
      </c>
      <c r="AJ339" s="108">
        <f t="shared" si="340"/>
        <v>2.5714285714285716</v>
      </c>
      <c r="AK339" s="101">
        <f t="shared" si="15"/>
        <v>1013.6363865939026</v>
      </c>
      <c r="AL339" s="101">
        <f t="shared" si="341"/>
        <v>1013.6363865939026</v>
      </c>
      <c r="AM339" s="101"/>
      <c r="AN339" s="101"/>
      <c r="AO339" s="1">
        <v>6</v>
      </c>
      <c r="AP339" s="2">
        <v>36</v>
      </c>
      <c r="AQ339" s="74">
        <f t="shared" si="342"/>
        <v>235</v>
      </c>
      <c r="AR339" s="31">
        <f t="shared" si="343"/>
        <v>1</v>
      </c>
      <c r="AS339" s="2">
        <f t="shared" si="344"/>
        <v>0.9</v>
      </c>
      <c r="AT339" s="33">
        <f t="shared" si="345"/>
        <v>0</v>
      </c>
      <c r="AU339" s="31">
        <f t="shared" si="346"/>
        <v>1.4</v>
      </c>
      <c r="AV339" s="2">
        <f t="shared" si="347"/>
        <v>0</v>
      </c>
      <c r="AW339" s="33">
        <f t="shared" si="348"/>
        <v>0</v>
      </c>
      <c r="AX339" s="31">
        <f t="shared" si="349"/>
        <v>1.5</v>
      </c>
      <c r="AY339" s="33">
        <f t="shared" si="350"/>
        <v>1</v>
      </c>
      <c r="AZ339" s="2"/>
      <c r="BA339" s="101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</row>
    <row r="340" spans="1:71" ht="12" customHeight="1">
      <c r="A340" s="2"/>
      <c r="B340" s="107">
        <v>265</v>
      </c>
      <c r="C340" s="31">
        <v>10</v>
      </c>
      <c r="D340" s="106" t="s">
        <v>16</v>
      </c>
      <c r="E340" s="2" t="s">
        <v>146</v>
      </c>
      <c r="F340" s="2"/>
      <c r="G340" s="2"/>
      <c r="H340" s="33">
        <f t="shared" si="333"/>
        <v>3</v>
      </c>
      <c r="I340" s="99">
        <f t="shared" si="0"/>
        <v>265.79212464642893</v>
      </c>
      <c r="J340" s="101">
        <f t="shared" si="1"/>
        <v>39.166666666666664</v>
      </c>
      <c r="K340" s="101">
        <f t="shared" si="2"/>
        <v>860</v>
      </c>
      <c r="L340" s="74">
        <f t="shared" si="3"/>
        <v>339</v>
      </c>
      <c r="M340" s="99">
        <f t="shared" si="191"/>
        <v>1594.7527478785737</v>
      </c>
      <c r="N340" s="108">
        <f t="shared" si="334"/>
        <v>1594.7527478785737</v>
      </c>
      <c r="O340" s="108"/>
      <c r="P340" s="108"/>
      <c r="Q340" s="108"/>
      <c r="R340" s="109"/>
      <c r="S340" s="99">
        <f t="shared" si="335"/>
        <v>3040.9091597817078</v>
      </c>
      <c r="T340" s="108">
        <f t="shared" si="336"/>
        <v>1013.6363865939026</v>
      </c>
      <c r="U340" s="108"/>
      <c r="V340" s="108"/>
      <c r="W340" s="108"/>
      <c r="X340" s="109"/>
      <c r="Y340" s="99">
        <f t="shared" si="8"/>
        <v>2027.2727731878051</v>
      </c>
      <c r="Z340" s="108">
        <f t="shared" si="337"/>
        <v>2027.2727731878051</v>
      </c>
      <c r="AA340" s="108"/>
      <c r="AB340" s="108"/>
      <c r="AC340" s="108"/>
      <c r="AD340" s="109"/>
      <c r="AE340" s="99">
        <f t="shared" ref="AE340:AF340" si="377">AO340</f>
        <v>6</v>
      </c>
      <c r="AF340" s="101">
        <f t="shared" si="377"/>
        <v>36</v>
      </c>
      <c r="AG340" s="101">
        <f t="shared" si="280"/>
        <v>34.001300000000001</v>
      </c>
      <c r="AH340" s="101">
        <f t="shared" si="339"/>
        <v>235</v>
      </c>
      <c r="AI340" s="101">
        <f t="shared" si="369"/>
        <v>268.61079999999998</v>
      </c>
      <c r="AJ340" s="108">
        <f t="shared" si="340"/>
        <v>2.8571428571428572</v>
      </c>
      <c r="AK340" s="101">
        <f t="shared" si="15"/>
        <v>1013.6363865939026</v>
      </c>
      <c r="AL340" s="101">
        <f t="shared" si="341"/>
        <v>1013.6363865939026</v>
      </c>
      <c r="AM340" s="101"/>
      <c r="AN340" s="101"/>
      <c r="AO340" s="1">
        <v>6</v>
      </c>
      <c r="AP340" s="2">
        <v>36</v>
      </c>
      <c r="AQ340" s="74">
        <f t="shared" si="342"/>
        <v>235</v>
      </c>
      <c r="AR340" s="31">
        <f t="shared" si="343"/>
        <v>1</v>
      </c>
      <c r="AS340" s="2">
        <f t="shared" si="344"/>
        <v>1</v>
      </c>
      <c r="AT340" s="33">
        <f t="shared" si="345"/>
        <v>15</v>
      </c>
      <c r="AU340" s="31">
        <f t="shared" si="346"/>
        <v>1</v>
      </c>
      <c r="AV340" s="2">
        <f t="shared" si="347"/>
        <v>0</v>
      </c>
      <c r="AW340" s="33">
        <f t="shared" si="348"/>
        <v>0</v>
      </c>
      <c r="AX340" s="31">
        <f t="shared" si="349"/>
        <v>1.5</v>
      </c>
      <c r="AY340" s="33">
        <f t="shared" si="350"/>
        <v>1</v>
      </c>
      <c r="AZ340" s="2"/>
      <c r="BA340" s="101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</row>
    <row r="341" spans="1:71" ht="12" customHeight="1">
      <c r="A341" s="2"/>
      <c r="B341" s="107">
        <v>266</v>
      </c>
      <c r="C341" s="31">
        <v>10</v>
      </c>
      <c r="D341" s="106" t="s">
        <v>16</v>
      </c>
      <c r="E341" s="2" t="s">
        <v>182</v>
      </c>
      <c r="F341" s="2"/>
      <c r="G341" s="2"/>
      <c r="H341" s="33">
        <f t="shared" si="333"/>
        <v>3</v>
      </c>
      <c r="I341" s="99">
        <f t="shared" si="0"/>
        <v>372.10897450500056</v>
      </c>
      <c r="J341" s="101">
        <f t="shared" si="1"/>
        <v>39.166666666666664</v>
      </c>
      <c r="K341" s="101">
        <f t="shared" si="2"/>
        <v>755</v>
      </c>
      <c r="L341" s="74">
        <f t="shared" si="3"/>
        <v>276</v>
      </c>
      <c r="M341" s="99">
        <f t="shared" si="191"/>
        <v>2232.6538470300034</v>
      </c>
      <c r="N341" s="108">
        <f t="shared" si="334"/>
        <v>2232.6538470300034</v>
      </c>
      <c r="O341" s="108"/>
      <c r="P341" s="108"/>
      <c r="Q341" s="108"/>
      <c r="R341" s="109"/>
      <c r="S341" s="99">
        <f t="shared" si="335"/>
        <v>4257.2728236943913</v>
      </c>
      <c r="T341" s="108">
        <f t="shared" si="336"/>
        <v>1419.0909412314636</v>
      </c>
      <c r="U341" s="108"/>
      <c r="V341" s="108"/>
      <c r="W341" s="108"/>
      <c r="X341" s="109"/>
      <c r="Y341" s="99">
        <f t="shared" si="8"/>
        <v>2838.1818824629272</v>
      </c>
      <c r="Z341" s="108">
        <f t="shared" si="337"/>
        <v>2838.1818824629272</v>
      </c>
      <c r="AA341" s="108"/>
      <c r="AB341" s="108"/>
      <c r="AC341" s="108"/>
      <c r="AD341" s="109"/>
      <c r="AE341" s="99">
        <f t="shared" ref="AE341:AF341" si="378">AO341</f>
        <v>6</v>
      </c>
      <c r="AF341" s="101">
        <f t="shared" si="378"/>
        <v>36</v>
      </c>
      <c r="AG341" s="101">
        <f t="shared" si="280"/>
        <v>34.001300000000001</v>
      </c>
      <c r="AH341" s="101">
        <f t="shared" si="339"/>
        <v>235</v>
      </c>
      <c r="AI341" s="101">
        <f t="shared" si="369"/>
        <v>268.61079999999998</v>
      </c>
      <c r="AJ341" s="108">
        <f t="shared" si="340"/>
        <v>2.8571428571428572</v>
      </c>
      <c r="AK341" s="101">
        <f t="shared" si="15"/>
        <v>1013.6363865939026</v>
      </c>
      <c r="AL341" s="101">
        <f t="shared" si="341"/>
        <v>1013.6363865939026</v>
      </c>
      <c r="AM341" s="101"/>
      <c r="AN341" s="101"/>
      <c r="AO341" s="1">
        <v>6</v>
      </c>
      <c r="AP341" s="2">
        <v>36</v>
      </c>
      <c r="AQ341" s="74">
        <f t="shared" si="342"/>
        <v>235</v>
      </c>
      <c r="AR341" s="31">
        <f t="shared" si="343"/>
        <v>1</v>
      </c>
      <c r="AS341" s="2">
        <f t="shared" si="344"/>
        <v>1</v>
      </c>
      <c r="AT341" s="33">
        <f t="shared" si="345"/>
        <v>15</v>
      </c>
      <c r="AU341" s="31">
        <f t="shared" si="346"/>
        <v>1.4</v>
      </c>
      <c r="AV341" s="2">
        <f t="shared" si="347"/>
        <v>0</v>
      </c>
      <c r="AW341" s="33">
        <f t="shared" si="348"/>
        <v>0</v>
      </c>
      <c r="AX341" s="31">
        <f t="shared" si="349"/>
        <v>1.5</v>
      </c>
      <c r="AY341" s="33">
        <f t="shared" si="350"/>
        <v>1</v>
      </c>
      <c r="AZ341" s="2"/>
      <c r="BA341" s="101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</row>
    <row r="342" spans="1:71" ht="12" customHeight="1">
      <c r="A342" s="2"/>
      <c r="B342" s="107">
        <v>267</v>
      </c>
      <c r="C342" s="31">
        <v>10</v>
      </c>
      <c r="D342" s="106" t="s">
        <v>16</v>
      </c>
      <c r="E342" s="2" t="s">
        <v>151</v>
      </c>
      <c r="F342" s="2"/>
      <c r="G342" s="2"/>
      <c r="H342" s="33">
        <f t="shared" si="333"/>
        <v>2</v>
      </c>
      <c r="I342" s="99">
        <f t="shared" si="0"/>
        <v>334.5969211998783</v>
      </c>
      <c r="J342" s="101">
        <f t="shared" si="1"/>
        <v>19.583333333333332</v>
      </c>
      <c r="K342" s="101">
        <f t="shared" si="2"/>
        <v>793</v>
      </c>
      <c r="L342" s="74">
        <f t="shared" si="3"/>
        <v>301</v>
      </c>
      <c r="M342" s="99">
        <f t="shared" si="191"/>
        <v>2007.5815271992697</v>
      </c>
      <c r="N342" s="108">
        <f t="shared" si="334"/>
        <v>2007.5815271992697</v>
      </c>
      <c r="O342" s="108"/>
      <c r="P342" s="108"/>
      <c r="Q342" s="108"/>
      <c r="R342" s="109"/>
      <c r="S342" s="99">
        <f t="shared" si="335"/>
        <v>3040.9091597817078</v>
      </c>
      <c r="T342" s="108">
        <f t="shared" si="336"/>
        <v>1520.4545798908539</v>
      </c>
      <c r="U342" s="108"/>
      <c r="V342" s="108"/>
      <c r="W342" s="108"/>
      <c r="X342" s="109"/>
      <c r="Y342" s="99">
        <f t="shared" si="8"/>
        <v>3040.9091597817078</v>
      </c>
      <c r="Z342" s="108">
        <f t="shared" si="337"/>
        <v>3040.9091597817078</v>
      </c>
      <c r="AA342" s="108"/>
      <c r="AB342" s="108"/>
      <c r="AC342" s="108"/>
      <c r="AD342" s="109"/>
      <c r="AE342" s="99">
        <f t="shared" ref="AE342:AF342" si="379">AO342</f>
        <v>6</v>
      </c>
      <c r="AF342" s="101">
        <f t="shared" si="379"/>
        <v>36</v>
      </c>
      <c r="AG342" s="101">
        <f t="shared" si="280"/>
        <v>19.001300000000001</v>
      </c>
      <c r="AH342" s="101">
        <f t="shared" si="339"/>
        <v>117.5</v>
      </c>
      <c r="AI342" s="101">
        <f t="shared" si="369"/>
        <v>268.61079999999998</v>
      </c>
      <c r="AJ342" s="108">
        <f t="shared" si="340"/>
        <v>2</v>
      </c>
      <c r="AK342" s="101">
        <f t="shared" si="15"/>
        <v>1013.6363865939026</v>
      </c>
      <c r="AL342" s="101">
        <f t="shared" si="341"/>
        <v>1013.6363865939026</v>
      </c>
      <c r="AM342" s="101"/>
      <c r="AN342" s="101"/>
      <c r="AO342" s="1">
        <v>6</v>
      </c>
      <c r="AP342" s="2">
        <v>36</v>
      </c>
      <c r="AQ342" s="74">
        <f t="shared" si="342"/>
        <v>235</v>
      </c>
      <c r="AR342" s="31">
        <f t="shared" si="343"/>
        <v>0.5</v>
      </c>
      <c r="AS342" s="2">
        <f t="shared" si="344"/>
        <v>1</v>
      </c>
      <c r="AT342" s="33">
        <f t="shared" si="345"/>
        <v>0</v>
      </c>
      <c r="AU342" s="31">
        <f t="shared" si="346"/>
        <v>1</v>
      </c>
      <c r="AV342" s="2">
        <f t="shared" si="347"/>
        <v>0</v>
      </c>
      <c r="AW342" s="33">
        <f t="shared" si="348"/>
        <v>0</v>
      </c>
      <c r="AX342" s="31">
        <f t="shared" si="349"/>
        <v>1</v>
      </c>
      <c r="AY342" s="33">
        <f t="shared" si="350"/>
        <v>1.5</v>
      </c>
      <c r="AZ342" s="2"/>
      <c r="BA342" s="101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</row>
    <row r="343" spans="1:71" ht="12" customHeight="1">
      <c r="A343" s="2"/>
      <c r="B343" s="107">
        <v>268</v>
      </c>
      <c r="C343" s="31">
        <v>10</v>
      </c>
      <c r="D343" s="106" t="s">
        <v>16</v>
      </c>
      <c r="E343" s="2" t="s">
        <v>165</v>
      </c>
      <c r="F343" s="2"/>
      <c r="G343" s="2"/>
      <c r="H343" s="33">
        <f t="shared" si="333"/>
        <v>2</v>
      </c>
      <c r="I343" s="99">
        <f t="shared" si="0"/>
        <v>468.43568967982964</v>
      </c>
      <c r="J343" s="101">
        <f t="shared" si="1"/>
        <v>19.583333333333332</v>
      </c>
      <c r="K343" s="101">
        <f t="shared" si="2"/>
        <v>646</v>
      </c>
      <c r="L343" s="74">
        <f t="shared" si="3"/>
        <v>231</v>
      </c>
      <c r="M343" s="99">
        <f t="shared" si="191"/>
        <v>2810.6141380789777</v>
      </c>
      <c r="N343" s="108">
        <f t="shared" si="334"/>
        <v>2810.6141380789777</v>
      </c>
      <c r="O343" s="108"/>
      <c r="P343" s="108"/>
      <c r="Q343" s="108"/>
      <c r="R343" s="109"/>
      <c r="S343" s="99">
        <f t="shared" si="335"/>
        <v>4257.2728236943913</v>
      </c>
      <c r="T343" s="108">
        <f t="shared" si="336"/>
        <v>2128.6364118471956</v>
      </c>
      <c r="U343" s="108"/>
      <c r="V343" s="108"/>
      <c r="W343" s="108"/>
      <c r="X343" s="109"/>
      <c r="Y343" s="99">
        <f t="shared" si="8"/>
        <v>4257.2728236943913</v>
      </c>
      <c r="Z343" s="108">
        <f t="shared" si="337"/>
        <v>4257.2728236943913</v>
      </c>
      <c r="AA343" s="108"/>
      <c r="AB343" s="108"/>
      <c r="AC343" s="108"/>
      <c r="AD343" s="109"/>
      <c r="AE343" s="99">
        <f t="shared" ref="AE343:AF343" si="380">AO343</f>
        <v>6</v>
      </c>
      <c r="AF343" s="101">
        <f t="shared" si="380"/>
        <v>36</v>
      </c>
      <c r="AG343" s="101">
        <f t="shared" si="280"/>
        <v>19.001300000000001</v>
      </c>
      <c r="AH343" s="101">
        <f t="shared" si="339"/>
        <v>117.5</v>
      </c>
      <c r="AI343" s="101">
        <f t="shared" si="369"/>
        <v>268.61079999999998</v>
      </c>
      <c r="AJ343" s="108">
        <f t="shared" si="340"/>
        <v>2</v>
      </c>
      <c r="AK343" s="101">
        <f t="shared" si="15"/>
        <v>1013.6363865939026</v>
      </c>
      <c r="AL343" s="101">
        <f t="shared" si="341"/>
        <v>1013.6363865939026</v>
      </c>
      <c r="AM343" s="101"/>
      <c r="AN343" s="101"/>
      <c r="AO343" s="1">
        <v>6</v>
      </c>
      <c r="AP343" s="2">
        <v>36</v>
      </c>
      <c r="AQ343" s="74">
        <f t="shared" si="342"/>
        <v>235</v>
      </c>
      <c r="AR343" s="31">
        <f t="shared" si="343"/>
        <v>0.5</v>
      </c>
      <c r="AS343" s="2">
        <f t="shared" si="344"/>
        <v>1</v>
      </c>
      <c r="AT343" s="33">
        <f t="shared" si="345"/>
        <v>0</v>
      </c>
      <c r="AU343" s="31">
        <f t="shared" si="346"/>
        <v>1.4</v>
      </c>
      <c r="AV343" s="2">
        <f t="shared" si="347"/>
        <v>0</v>
      </c>
      <c r="AW343" s="33">
        <f t="shared" si="348"/>
        <v>0</v>
      </c>
      <c r="AX343" s="31">
        <f t="shared" si="349"/>
        <v>1</v>
      </c>
      <c r="AY343" s="33">
        <f t="shared" si="350"/>
        <v>1.5</v>
      </c>
      <c r="AZ343" s="2"/>
      <c r="BA343" s="101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</row>
    <row r="344" spans="1:71" ht="12" customHeight="1">
      <c r="A344" s="2"/>
      <c r="B344" s="107">
        <v>269</v>
      </c>
      <c r="C344" s="31">
        <v>10</v>
      </c>
      <c r="D344" s="106" t="s">
        <v>16</v>
      </c>
      <c r="E344" s="2" t="s">
        <v>99</v>
      </c>
      <c r="F344" s="2"/>
      <c r="G344" s="2"/>
      <c r="H344" s="33">
        <f t="shared" si="333"/>
        <v>2</v>
      </c>
      <c r="I344" s="99">
        <f t="shared" si="0"/>
        <v>334.5969211998783</v>
      </c>
      <c r="J344" s="101">
        <f t="shared" si="1"/>
        <v>39.166666666666664</v>
      </c>
      <c r="K344" s="101">
        <f t="shared" si="2"/>
        <v>793</v>
      </c>
      <c r="L344" s="74">
        <f t="shared" si="3"/>
        <v>301</v>
      </c>
      <c r="M344" s="99">
        <f t="shared" si="191"/>
        <v>2007.5815271992697</v>
      </c>
      <c r="N344" s="108">
        <f t="shared" si="334"/>
        <v>2007.5815271992697</v>
      </c>
      <c r="O344" s="108"/>
      <c r="P344" s="108"/>
      <c r="Q344" s="108"/>
      <c r="R344" s="109"/>
      <c r="S344" s="99">
        <f t="shared" si="335"/>
        <v>3040.9091597817078</v>
      </c>
      <c r="T344" s="108">
        <f t="shared" si="336"/>
        <v>1520.4545798908539</v>
      </c>
      <c r="U344" s="108"/>
      <c r="V344" s="108"/>
      <c r="W344" s="108"/>
      <c r="X344" s="109"/>
      <c r="Y344" s="99">
        <f t="shared" si="8"/>
        <v>3040.9091597817078</v>
      </c>
      <c r="Z344" s="108">
        <f t="shared" si="337"/>
        <v>3040.9091597817078</v>
      </c>
      <c r="AA344" s="108"/>
      <c r="AB344" s="108"/>
      <c r="AC344" s="108"/>
      <c r="AD344" s="109"/>
      <c r="AE344" s="99">
        <f t="shared" ref="AE344:AF344" si="381">AO344</f>
        <v>6</v>
      </c>
      <c r="AF344" s="101">
        <f t="shared" si="381"/>
        <v>36</v>
      </c>
      <c r="AG344" s="101">
        <f t="shared" si="280"/>
        <v>19.001300000000001</v>
      </c>
      <c r="AH344" s="101">
        <f t="shared" si="339"/>
        <v>235</v>
      </c>
      <c r="AI344" s="101">
        <f t="shared" si="369"/>
        <v>268.61079999999998</v>
      </c>
      <c r="AJ344" s="108">
        <f t="shared" si="340"/>
        <v>1.8</v>
      </c>
      <c r="AK344" s="101">
        <f t="shared" si="15"/>
        <v>1013.6363865939026</v>
      </c>
      <c r="AL344" s="101">
        <f t="shared" si="341"/>
        <v>1013.6363865939026</v>
      </c>
      <c r="AM344" s="101"/>
      <c r="AN344" s="101"/>
      <c r="AO344" s="1">
        <v>6</v>
      </c>
      <c r="AP344" s="2">
        <v>36</v>
      </c>
      <c r="AQ344" s="74">
        <f t="shared" si="342"/>
        <v>235</v>
      </c>
      <c r="AR344" s="31">
        <f t="shared" si="343"/>
        <v>1</v>
      </c>
      <c r="AS344" s="2">
        <f t="shared" si="344"/>
        <v>0.9</v>
      </c>
      <c r="AT344" s="33">
        <f t="shared" si="345"/>
        <v>0</v>
      </c>
      <c r="AU344" s="31">
        <f t="shared" si="346"/>
        <v>1</v>
      </c>
      <c r="AV344" s="2">
        <f t="shared" si="347"/>
        <v>0</v>
      </c>
      <c r="AW344" s="33">
        <f t="shared" si="348"/>
        <v>0</v>
      </c>
      <c r="AX344" s="31">
        <f t="shared" si="349"/>
        <v>1</v>
      </c>
      <c r="AY344" s="33">
        <f t="shared" si="350"/>
        <v>1.5</v>
      </c>
      <c r="AZ344" s="2"/>
      <c r="BA344" s="101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</row>
    <row r="345" spans="1:71" ht="12" customHeight="1">
      <c r="A345" s="2"/>
      <c r="B345" s="107">
        <v>270</v>
      </c>
      <c r="C345" s="31">
        <v>10</v>
      </c>
      <c r="D345" s="106" t="s">
        <v>16</v>
      </c>
      <c r="E345" s="2" t="s">
        <v>170</v>
      </c>
      <c r="F345" s="2"/>
      <c r="G345" s="2"/>
      <c r="H345" s="33">
        <f t="shared" si="333"/>
        <v>2</v>
      </c>
      <c r="I345" s="99">
        <f t="shared" si="0"/>
        <v>468.43568967982964</v>
      </c>
      <c r="J345" s="101">
        <f t="shared" si="1"/>
        <v>39.166666666666664</v>
      </c>
      <c r="K345" s="101">
        <f t="shared" si="2"/>
        <v>646</v>
      </c>
      <c r="L345" s="74">
        <f t="shared" si="3"/>
        <v>231</v>
      </c>
      <c r="M345" s="99">
        <f t="shared" si="191"/>
        <v>2810.6141380789777</v>
      </c>
      <c r="N345" s="108">
        <f t="shared" si="334"/>
        <v>2810.6141380789777</v>
      </c>
      <c r="O345" s="108"/>
      <c r="P345" s="108"/>
      <c r="Q345" s="108"/>
      <c r="R345" s="109"/>
      <c r="S345" s="99">
        <f t="shared" si="335"/>
        <v>4257.2728236943913</v>
      </c>
      <c r="T345" s="108">
        <f t="shared" si="336"/>
        <v>2128.6364118471956</v>
      </c>
      <c r="U345" s="108"/>
      <c r="V345" s="108"/>
      <c r="W345" s="108"/>
      <c r="X345" s="109"/>
      <c r="Y345" s="99">
        <f t="shared" si="8"/>
        <v>4257.2728236943913</v>
      </c>
      <c r="Z345" s="108">
        <f t="shared" si="337"/>
        <v>4257.2728236943913</v>
      </c>
      <c r="AA345" s="108"/>
      <c r="AB345" s="108"/>
      <c r="AC345" s="108"/>
      <c r="AD345" s="109"/>
      <c r="AE345" s="99">
        <f t="shared" ref="AE345:AF345" si="382">AO345</f>
        <v>6</v>
      </c>
      <c r="AF345" s="101">
        <f t="shared" si="382"/>
        <v>36</v>
      </c>
      <c r="AG345" s="101">
        <f t="shared" si="280"/>
        <v>19.001300000000001</v>
      </c>
      <c r="AH345" s="101">
        <f t="shared" si="339"/>
        <v>235</v>
      </c>
      <c r="AI345" s="101">
        <f t="shared" si="369"/>
        <v>268.61079999999998</v>
      </c>
      <c r="AJ345" s="108">
        <f t="shared" si="340"/>
        <v>1.8</v>
      </c>
      <c r="AK345" s="101">
        <f t="shared" si="15"/>
        <v>1013.6363865939026</v>
      </c>
      <c r="AL345" s="101">
        <f t="shared" si="341"/>
        <v>1013.6363865939026</v>
      </c>
      <c r="AM345" s="101"/>
      <c r="AN345" s="101"/>
      <c r="AO345" s="1">
        <v>6</v>
      </c>
      <c r="AP345" s="2">
        <v>36</v>
      </c>
      <c r="AQ345" s="74">
        <f t="shared" si="342"/>
        <v>235</v>
      </c>
      <c r="AR345" s="31">
        <f t="shared" si="343"/>
        <v>1</v>
      </c>
      <c r="AS345" s="2">
        <f t="shared" si="344"/>
        <v>0.9</v>
      </c>
      <c r="AT345" s="33">
        <f t="shared" si="345"/>
        <v>0</v>
      </c>
      <c r="AU345" s="31">
        <f t="shared" si="346"/>
        <v>1.4</v>
      </c>
      <c r="AV345" s="2">
        <f t="shared" si="347"/>
        <v>0</v>
      </c>
      <c r="AW345" s="33">
        <f t="shared" si="348"/>
        <v>0</v>
      </c>
      <c r="AX345" s="31">
        <f t="shared" si="349"/>
        <v>1</v>
      </c>
      <c r="AY345" s="33">
        <f t="shared" si="350"/>
        <v>1.5</v>
      </c>
      <c r="AZ345" s="2"/>
      <c r="BA345" s="101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</row>
    <row r="346" spans="1:71" ht="12" customHeight="1">
      <c r="A346" s="2"/>
      <c r="B346" s="107">
        <v>271</v>
      </c>
      <c r="C346" s="31">
        <v>10</v>
      </c>
      <c r="D346" s="106" t="s">
        <v>16</v>
      </c>
      <c r="E346" s="2" t="s">
        <v>111</v>
      </c>
      <c r="F346" s="2"/>
      <c r="G346" s="2"/>
      <c r="H346" s="33">
        <f t="shared" si="333"/>
        <v>2</v>
      </c>
      <c r="I346" s="99">
        <f t="shared" si="0"/>
        <v>398.68818696964348</v>
      </c>
      <c r="J346" s="101">
        <f t="shared" si="1"/>
        <v>39.166666666666664</v>
      </c>
      <c r="K346" s="101">
        <f t="shared" si="2"/>
        <v>734</v>
      </c>
      <c r="L346" s="74">
        <f t="shared" si="3"/>
        <v>267</v>
      </c>
      <c r="M346" s="99">
        <f t="shared" si="191"/>
        <v>2392.1291218178608</v>
      </c>
      <c r="N346" s="108">
        <f t="shared" si="334"/>
        <v>2392.1291218178608</v>
      </c>
      <c r="O346" s="108"/>
      <c r="P346" s="108"/>
      <c r="Q346" s="108"/>
      <c r="R346" s="109"/>
      <c r="S346" s="99">
        <f t="shared" si="335"/>
        <v>3040.9091597817078</v>
      </c>
      <c r="T346" s="108">
        <f t="shared" si="336"/>
        <v>1520.4545798908539</v>
      </c>
      <c r="U346" s="108"/>
      <c r="V346" s="108"/>
      <c r="W346" s="108"/>
      <c r="X346" s="109"/>
      <c r="Y346" s="99">
        <f t="shared" si="8"/>
        <v>3040.9091597817078</v>
      </c>
      <c r="Z346" s="108">
        <f t="shared" si="337"/>
        <v>3040.9091597817078</v>
      </c>
      <c r="AA346" s="108"/>
      <c r="AB346" s="108"/>
      <c r="AC346" s="108"/>
      <c r="AD346" s="109"/>
      <c r="AE346" s="99">
        <f t="shared" ref="AE346:AF346" si="383">AO346</f>
        <v>6</v>
      </c>
      <c r="AF346" s="101">
        <f t="shared" si="383"/>
        <v>36</v>
      </c>
      <c r="AG346" s="101">
        <f t="shared" si="280"/>
        <v>34.001300000000001</v>
      </c>
      <c r="AH346" s="101">
        <f t="shared" si="339"/>
        <v>235</v>
      </c>
      <c r="AI346" s="101">
        <f t="shared" si="369"/>
        <v>268.61079999999998</v>
      </c>
      <c r="AJ346" s="108">
        <f t="shared" si="340"/>
        <v>2</v>
      </c>
      <c r="AK346" s="101">
        <f t="shared" si="15"/>
        <v>1013.6363865939026</v>
      </c>
      <c r="AL346" s="101">
        <f t="shared" si="341"/>
        <v>1013.6363865939026</v>
      </c>
      <c r="AM346" s="101"/>
      <c r="AN346" s="101"/>
      <c r="AO346" s="1">
        <v>6</v>
      </c>
      <c r="AP346" s="2">
        <v>36</v>
      </c>
      <c r="AQ346" s="74">
        <f t="shared" si="342"/>
        <v>235</v>
      </c>
      <c r="AR346" s="31">
        <f t="shared" si="343"/>
        <v>1</v>
      </c>
      <c r="AS346" s="2">
        <f t="shared" si="344"/>
        <v>1</v>
      </c>
      <c r="AT346" s="33">
        <f t="shared" si="345"/>
        <v>15</v>
      </c>
      <c r="AU346" s="31">
        <f t="shared" si="346"/>
        <v>1</v>
      </c>
      <c r="AV346" s="2">
        <f t="shared" si="347"/>
        <v>0</v>
      </c>
      <c r="AW346" s="33">
        <f t="shared" si="348"/>
        <v>0</v>
      </c>
      <c r="AX346" s="31">
        <f t="shared" si="349"/>
        <v>1</v>
      </c>
      <c r="AY346" s="33">
        <f t="shared" si="350"/>
        <v>1.5</v>
      </c>
      <c r="AZ346" s="2"/>
      <c r="BA346" s="101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</row>
    <row r="347" spans="1:71" ht="12" customHeight="1">
      <c r="A347" s="2"/>
      <c r="B347" s="107">
        <v>272</v>
      </c>
      <c r="C347" s="31">
        <v>10</v>
      </c>
      <c r="D347" s="106" t="s">
        <v>16</v>
      </c>
      <c r="E347" s="2" t="s">
        <v>145</v>
      </c>
      <c r="F347" s="2"/>
      <c r="G347" s="2"/>
      <c r="H347" s="33">
        <f t="shared" si="333"/>
        <v>2</v>
      </c>
      <c r="I347" s="99">
        <f t="shared" si="0"/>
        <v>558.16346175750084</v>
      </c>
      <c r="J347" s="101">
        <f t="shared" si="1"/>
        <v>39.166666666666664</v>
      </c>
      <c r="K347" s="101">
        <f t="shared" si="2"/>
        <v>518</v>
      </c>
      <c r="L347" s="74">
        <f t="shared" si="3"/>
        <v>180</v>
      </c>
      <c r="M347" s="99">
        <f t="shared" si="191"/>
        <v>3348.9807705450053</v>
      </c>
      <c r="N347" s="108">
        <f t="shared" si="334"/>
        <v>3348.9807705450053</v>
      </c>
      <c r="O347" s="108"/>
      <c r="P347" s="108"/>
      <c r="Q347" s="108"/>
      <c r="R347" s="109"/>
      <c r="S347" s="99">
        <f t="shared" si="335"/>
        <v>4257.2728236943913</v>
      </c>
      <c r="T347" s="108">
        <f t="shared" si="336"/>
        <v>2128.6364118471956</v>
      </c>
      <c r="U347" s="108"/>
      <c r="V347" s="108"/>
      <c r="W347" s="108"/>
      <c r="X347" s="109"/>
      <c r="Y347" s="99">
        <f t="shared" si="8"/>
        <v>4257.2728236943913</v>
      </c>
      <c r="Z347" s="108">
        <f t="shared" si="337"/>
        <v>4257.2728236943913</v>
      </c>
      <c r="AA347" s="108"/>
      <c r="AB347" s="108"/>
      <c r="AC347" s="108"/>
      <c r="AD347" s="109"/>
      <c r="AE347" s="99">
        <f t="shared" ref="AE347:AF347" si="384">AO347</f>
        <v>6</v>
      </c>
      <c r="AF347" s="101">
        <f t="shared" si="384"/>
        <v>36</v>
      </c>
      <c r="AG347" s="101">
        <f t="shared" si="280"/>
        <v>34.001300000000001</v>
      </c>
      <c r="AH347" s="101">
        <f t="shared" si="339"/>
        <v>235</v>
      </c>
      <c r="AI347" s="101">
        <f t="shared" si="369"/>
        <v>268.61079999999998</v>
      </c>
      <c r="AJ347" s="108">
        <f t="shared" si="340"/>
        <v>2</v>
      </c>
      <c r="AK347" s="101">
        <f t="shared" si="15"/>
        <v>1013.6363865939026</v>
      </c>
      <c r="AL347" s="101">
        <f t="shared" si="341"/>
        <v>1013.6363865939026</v>
      </c>
      <c r="AM347" s="101"/>
      <c r="AN347" s="101"/>
      <c r="AO347" s="1">
        <v>6</v>
      </c>
      <c r="AP347" s="2">
        <v>36</v>
      </c>
      <c r="AQ347" s="74">
        <f t="shared" si="342"/>
        <v>235</v>
      </c>
      <c r="AR347" s="31">
        <f t="shared" si="343"/>
        <v>1</v>
      </c>
      <c r="AS347" s="2">
        <f t="shared" si="344"/>
        <v>1</v>
      </c>
      <c r="AT347" s="33">
        <f t="shared" si="345"/>
        <v>15</v>
      </c>
      <c r="AU347" s="31">
        <f t="shared" si="346"/>
        <v>1.4</v>
      </c>
      <c r="AV347" s="2">
        <f t="shared" si="347"/>
        <v>0</v>
      </c>
      <c r="AW347" s="33">
        <f t="shared" si="348"/>
        <v>0</v>
      </c>
      <c r="AX347" s="31">
        <f t="shared" si="349"/>
        <v>1</v>
      </c>
      <c r="AY347" s="33">
        <f t="shared" si="350"/>
        <v>1.5</v>
      </c>
      <c r="AZ347" s="2"/>
      <c r="BA347" s="101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</row>
    <row r="348" spans="1:71" ht="12" customHeight="1">
      <c r="A348" s="2"/>
      <c r="B348" s="107">
        <v>273</v>
      </c>
      <c r="C348" s="31">
        <v>7</v>
      </c>
      <c r="D348" s="106" t="s">
        <v>16</v>
      </c>
      <c r="E348" s="2" t="s">
        <v>148</v>
      </c>
      <c r="F348" s="2"/>
      <c r="G348" s="2"/>
      <c r="H348" s="33">
        <f t="shared" si="333"/>
        <v>2</v>
      </c>
      <c r="I348" s="99">
        <f t="shared" si="0"/>
        <v>213.85054992442588</v>
      </c>
      <c r="J348" s="101">
        <f t="shared" si="1"/>
        <v>13.583333333333334</v>
      </c>
      <c r="K348" s="101">
        <f t="shared" si="2"/>
        <v>881</v>
      </c>
      <c r="L348" s="74">
        <f t="shared" si="3"/>
        <v>355</v>
      </c>
      <c r="M348" s="99">
        <f t="shared" si="191"/>
        <v>1283.1032995465553</v>
      </c>
      <c r="N348" s="108">
        <f t="shared" si="334"/>
        <v>1283.1032995465553</v>
      </c>
      <c r="O348" s="108"/>
      <c r="P348" s="108"/>
      <c r="Q348" s="108"/>
      <c r="R348" s="109"/>
      <c r="S348" s="99">
        <f t="shared" si="335"/>
        <v>1943.5328148195124</v>
      </c>
      <c r="T348" s="108">
        <f t="shared" si="336"/>
        <v>971.7664074097562</v>
      </c>
      <c r="U348" s="108"/>
      <c r="V348" s="108"/>
      <c r="W348" s="108"/>
      <c r="X348" s="109"/>
      <c r="Y348" s="99">
        <f t="shared" si="8"/>
        <v>1943.5328148195124</v>
      </c>
      <c r="Z348" s="108">
        <f t="shared" si="337"/>
        <v>1943.5328148195124</v>
      </c>
      <c r="AA348" s="108"/>
      <c r="AB348" s="108"/>
      <c r="AC348" s="108"/>
      <c r="AD348" s="109"/>
      <c r="AE348" s="99">
        <f t="shared" ref="AE348:AF348" si="385">AO348</f>
        <v>6</v>
      </c>
      <c r="AF348" s="101">
        <f t="shared" si="385"/>
        <v>36</v>
      </c>
      <c r="AG348" s="101">
        <f t="shared" si="280"/>
        <v>19.001300000000001</v>
      </c>
      <c r="AH348" s="101">
        <f t="shared" si="339"/>
        <v>81.5</v>
      </c>
      <c r="AI348" s="101">
        <f t="shared" si="369"/>
        <v>268.61079999999998</v>
      </c>
      <c r="AJ348" s="108">
        <f t="shared" si="340"/>
        <v>2</v>
      </c>
      <c r="AK348" s="101">
        <f t="shared" si="15"/>
        <v>971.7664074097562</v>
      </c>
      <c r="AL348" s="101">
        <f t="shared" si="341"/>
        <v>971.7664074097562</v>
      </c>
      <c r="AM348" s="101"/>
      <c r="AN348" s="101"/>
      <c r="AO348" s="1">
        <v>6</v>
      </c>
      <c r="AP348" s="2">
        <v>36</v>
      </c>
      <c r="AQ348" s="74">
        <f t="shared" si="342"/>
        <v>163</v>
      </c>
      <c r="AR348" s="31">
        <f t="shared" si="343"/>
        <v>0.5</v>
      </c>
      <c r="AS348" s="2">
        <f t="shared" si="344"/>
        <v>1</v>
      </c>
      <c r="AT348" s="33">
        <f t="shared" si="345"/>
        <v>0</v>
      </c>
      <c r="AU348" s="31">
        <f t="shared" si="346"/>
        <v>1</v>
      </c>
      <c r="AV348" s="2">
        <f t="shared" si="347"/>
        <v>0</v>
      </c>
      <c r="AW348" s="33">
        <f t="shared" si="348"/>
        <v>0</v>
      </c>
      <c r="AX348" s="31">
        <f t="shared" si="349"/>
        <v>1</v>
      </c>
      <c r="AY348" s="33">
        <f t="shared" si="350"/>
        <v>1</v>
      </c>
      <c r="AZ348" s="2"/>
      <c r="BA348" s="101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</row>
    <row r="349" spans="1:71" ht="12" customHeight="1">
      <c r="A349" s="2"/>
      <c r="B349" s="107">
        <v>274</v>
      </c>
      <c r="C349" s="31">
        <v>7</v>
      </c>
      <c r="D349" s="106" t="s">
        <v>16</v>
      </c>
      <c r="E349" s="2" t="s">
        <v>163</v>
      </c>
      <c r="F349" s="2"/>
      <c r="G349" s="2"/>
      <c r="H349" s="33">
        <f t="shared" si="333"/>
        <v>2</v>
      </c>
      <c r="I349" s="99">
        <f t="shared" si="0"/>
        <v>299.39076989419624</v>
      </c>
      <c r="J349" s="101">
        <f t="shared" si="1"/>
        <v>13.583333333333334</v>
      </c>
      <c r="K349" s="101">
        <f t="shared" si="2"/>
        <v>841</v>
      </c>
      <c r="L349" s="74">
        <f t="shared" si="3"/>
        <v>327</v>
      </c>
      <c r="M349" s="99">
        <f t="shared" si="191"/>
        <v>1796.3446193651773</v>
      </c>
      <c r="N349" s="108">
        <f t="shared" si="334"/>
        <v>1796.3446193651773</v>
      </c>
      <c r="O349" s="108"/>
      <c r="P349" s="108"/>
      <c r="Q349" s="108"/>
      <c r="R349" s="109"/>
      <c r="S349" s="99">
        <f t="shared" si="335"/>
        <v>2720.9459407473173</v>
      </c>
      <c r="T349" s="108">
        <f t="shared" si="336"/>
        <v>1360.4729703736587</v>
      </c>
      <c r="U349" s="108"/>
      <c r="V349" s="108"/>
      <c r="W349" s="108"/>
      <c r="X349" s="109"/>
      <c r="Y349" s="99">
        <f t="shared" si="8"/>
        <v>2720.9459407473173</v>
      </c>
      <c r="Z349" s="108">
        <f t="shared" si="337"/>
        <v>2720.9459407473173</v>
      </c>
      <c r="AA349" s="108"/>
      <c r="AB349" s="108"/>
      <c r="AC349" s="108"/>
      <c r="AD349" s="109"/>
      <c r="AE349" s="99">
        <f t="shared" ref="AE349:AF349" si="386">AO349</f>
        <v>6</v>
      </c>
      <c r="AF349" s="101">
        <f t="shared" si="386"/>
        <v>36</v>
      </c>
      <c r="AG349" s="101">
        <f t="shared" si="280"/>
        <v>19.001300000000001</v>
      </c>
      <c r="AH349" s="101">
        <f t="shared" si="339"/>
        <v>81.5</v>
      </c>
      <c r="AI349" s="101">
        <f t="shared" si="369"/>
        <v>268.61079999999998</v>
      </c>
      <c r="AJ349" s="108">
        <f t="shared" si="340"/>
        <v>2</v>
      </c>
      <c r="AK349" s="101">
        <f t="shared" si="15"/>
        <v>971.7664074097562</v>
      </c>
      <c r="AL349" s="101">
        <f t="shared" si="341"/>
        <v>971.7664074097562</v>
      </c>
      <c r="AM349" s="101"/>
      <c r="AN349" s="101"/>
      <c r="AO349" s="1">
        <v>6</v>
      </c>
      <c r="AP349" s="2">
        <v>36</v>
      </c>
      <c r="AQ349" s="74">
        <f t="shared" si="342"/>
        <v>163</v>
      </c>
      <c r="AR349" s="31">
        <f t="shared" si="343"/>
        <v>0.5</v>
      </c>
      <c r="AS349" s="2">
        <f t="shared" si="344"/>
        <v>1</v>
      </c>
      <c r="AT349" s="33">
        <f t="shared" si="345"/>
        <v>0</v>
      </c>
      <c r="AU349" s="31">
        <f t="shared" si="346"/>
        <v>1.4</v>
      </c>
      <c r="AV349" s="2">
        <f t="shared" si="347"/>
        <v>0</v>
      </c>
      <c r="AW349" s="33">
        <f t="shared" si="348"/>
        <v>0</v>
      </c>
      <c r="AX349" s="31">
        <f t="shared" si="349"/>
        <v>1</v>
      </c>
      <c r="AY349" s="33">
        <f t="shared" si="350"/>
        <v>1</v>
      </c>
      <c r="AZ349" s="2"/>
      <c r="BA349" s="101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</row>
    <row r="350" spans="1:71" ht="12" customHeight="1">
      <c r="A350" s="2"/>
      <c r="B350" s="107">
        <v>275</v>
      </c>
      <c r="C350" s="31">
        <v>7</v>
      </c>
      <c r="D350" s="106" t="s">
        <v>16</v>
      </c>
      <c r="E350" s="2" t="s">
        <v>79</v>
      </c>
      <c r="F350" s="2"/>
      <c r="G350" s="2"/>
      <c r="H350" s="33">
        <f t="shared" si="333"/>
        <v>2</v>
      </c>
      <c r="I350" s="99">
        <f t="shared" si="0"/>
        <v>213.85054992442588</v>
      </c>
      <c r="J350" s="101">
        <f t="shared" si="1"/>
        <v>27.166666666666668</v>
      </c>
      <c r="K350" s="101">
        <f t="shared" si="2"/>
        <v>881</v>
      </c>
      <c r="L350" s="74">
        <f t="shared" si="3"/>
        <v>355</v>
      </c>
      <c r="M350" s="99">
        <f t="shared" si="191"/>
        <v>1283.1032995465553</v>
      </c>
      <c r="N350" s="108">
        <f t="shared" si="334"/>
        <v>1283.1032995465553</v>
      </c>
      <c r="O350" s="108"/>
      <c r="P350" s="108"/>
      <c r="Q350" s="108"/>
      <c r="R350" s="109"/>
      <c r="S350" s="99">
        <f t="shared" si="335"/>
        <v>1943.5328148195124</v>
      </c>
      <c r="T350" s="108">
        <f t="shared" si="336"/>
        <v>971.7664074097562</v>
      </c>
      <c r="U350" s="108"/>
      <c r="V350" s="108"/>
      <c r="W350" s="108"/>
      <c r="X350" s="109"/>
      <c r="Y350" s="99">
        <f t="shared" si="8"/>
        <v>1943.5328148195124</v>
      </c>
      <c r="Z350" s="108">
        <f t="shared" si="337"/>
        <v>1943.5328148195124</v>
      </c>
      <c r="AA350" s="108"/>
      <c r="AB350" s="108"/>
      <c r="AC350" s="108"/>
      <c r="AD350" s="109"/>
      <c r="AE350" s="99">
        <f t="shared" ref="AE350:AF350" si="387">AO350</f>
        <v>6</v>
      </c>
      <c r="AF350" s="101">
        <f t="shared" si="387"/>
        <v>36</v>
      </c>
      <c r="AG350" s="101">
        <f t="shared" si="280"/>
        <v>19.001300000000001</v>
      </c>
      <c r="AH350" s="101">
        <f t="shared" si="339"/>
        <v>163</v>
      </c>
      <c r="AI350" s="101">
        <f t="shared" si="369"/>
        <v>268.61079999999998</v>
      </c>
      <c r="AJ350" s="108">
        <f t="shared" si="340"/>
        <v>1.8</v>
      </c>
      <c r="AK350" s="101">
        <f t="shared" si="15"/>
        <v>971.7664074097562</v>
      </c>
      <c r="AL350" s="101">
        <f t="shared" si="341"/>
        <v>971.7664074097562</v>
      </c>
      <c r="AM350" s="101"/>
      <c r="AN350" s="101"/>
      <c r="AO350" s="1">
        <v>6</v>
      </c>
      <c r="AP350" s="2">
        <v>36</v>
      </c>
      <c r="AQ350" s="74">
        <f t="shared" si="342"/>
        <v>163</v>
      </c>
      <c r="AR350" s="31">
        <f t="shared" si="343"/>
        <v>1</v>
      </c>
      <c r="AS350" s="2">
        <f t="shared" si="344"/>
        <v>0.9</v>
      </c>
      <c r="AT350" s="33">
        <f t="shared" si="345"/>
        <v>0</v>
      </c>
      <c r="AU350" s="31">
        <f t="shared" si="346"/>
        <v>1</v>
      </c>
      <c r="AV350" s="2">
        <f t="shared" si="347"/>
        <v>0</v>
      </c>
      <c r="AW350" s="33">
        <f t="shared" si="348"/>
        <v>0</v>
      </c>
      <c r="AX350" s="31">
        <f t="shared" si="349"/>
        <v>1</v>
      </c>
      <c r="AY350" s="33">
        <f t="shared" si="350"/>
        <v>1</v>
      </c>
      <c r="AZ350" s="2"/>
      <c r="BA350" s="101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</row>
    <row r="351" spans="1:71" ht="12" customHeight="1">
      <c r="A351" s="2"/>
      <c r="B351" s="107">
        <v>276</v>
      </c>
      <c r="C351" s="31">
        <v>7</v>
      </c>
      <c r="D351" s="106" t="s">
        <v>16</v>
      </c>
      <c r="E351" s="2" t="s">
        <v>168</v>
      </c>
      <c r="F351" s="2"/>
      <c r="G351" s="2"/>
      <c r="H351" s="33">
        <f t="shared" si="333"/>
        <v>2</v>
      </c>
      <c r="I351" s="99">
        <f t="shared" si="0"/>
        <v>299.39076989419624</v>
      </c>
      <c r="J351" s="101">
        <f t="shared" si="1"/>
        <v>27.166666666666668</v>
      </c>
      <c r="K351" s="101">
        <f t="shared" si="2"/>
        <v>841</v>
      </c>
      <c r="L351" s="74">
        <f t="shared" si="3"/>
        <v>327</v>
      </c>
      <c r="M351" s="99">
        <f t="shared" si="191"/>
        <v>1796.3446193651773</v>
      </c>
      <c r="N351" s="108">
        <f t="shared" si="334"/>
        <v>1796.3446193651773</v>
      </c>
      <c r="O351" s="108"/>
      <c r="P351" s="108"/>
      <c r="Q351" s="108"/>
      <c r="R351" s="109"/>
      <c r="S351" s="99">
        <f t="shared" si="335"/>
        <v>2720.9459407473173</v>
      </c>
      <c r="T351" s="108">
        <f t="shared" si="336"/>
        <v>1360.4729703736587</v>
      </c>
      <c r="U351" s="108"/>
      <c r="V351" s="108"/>
      <c r="W351" s="108"/>
      <c r="X351" s="109"/>
      <c r="Y351" s="99">
        <f t="shared" si="8"/>
        <v>2720.9459407473173</v>
      </c>
      <c r="Z351" s="108">
        <f t="shared" si="337"/>
        <v>2720.9459407473173</v>
      </c>
      <c r="AA351" s="108"/>
      <c r="AB351" s="108"/>
      <c r="AC351" s="108"/>
      <c r="AD351" s="109"/>
      <c r="AE351" s="99">
        <f t="shared" ref="AE351:AF351" si="388">AO351</f>
        <v>6</v>
      </c>
      <c r="AF351" s="101">
        <f t="shared" si="388"/>
        <v>36</v>
      </c>
      <c r="AG351" s="101">
        <f t="shared" si="280"/>
        <v>19.001300000000001</v>
      </c>
      <c r="AH351" s="101">
        <f t="shared" si="339"/>
        <v>163</v>
      </c>
      <c r="AI351" s="101">
        <f t="shared" si="369"/>
        <v>268.61079999999998</v>
      </c>
      <c r="AJ351" s="108">
        <f t="shared" si="340"/>
        <v>1.8</v>
      </c>
      <c r="AK351" s="101">
        <f t="shared" si="15"/>
        <v>971.7664074097562</v>
      </c>
      <c r="AL351" s="101">
        <f t="shared" si="341"/>
        <v>971.7664074097562</v>
      </c>
      <c r="AM351" s="101"/>
      <c r="AN351" s="101"/>
      <c r="AO351" s="1">
        <v>6</v>
      </c>
      <c r="AP351" s="2">
        <v>36</v>
      </c>
      <c r="AQ351" s="74">
        <f t="shared" si="342"/>
        <v>163</v>
      </c>
      <c r="AR351" s="31">
        <f t="shared" si="343"/>
        <v>1</v>
      </c>
      <c r="AS351" s="2">
        <f t="shared" si="344"/>
        <v>0.9</v>
      </c>
      <c r="AT351" s="33">
        <f t="shared" si="345"/>
        <v>0</v>
      </c>
      <c r="AU351" s="31">
        <f t="shared" si="346"/>
        <v>1.4</v>
      </c>
      <c r="AV351" s="2">
        <f t="shared" si="347"/>
        <v>0</v>
      </c>
      <c r="AW351" s="33">
        <f t="shared" si="348"/>
        <v>0</v>
      </c>
      <c r="AX351" s="31">
        <f t="shared" si="349"/>
        <v>1</v>
      </c>
      <c r="AY351" s="33">
        <f t="shared" si="350"/>
        <v>1</v>
      </c>
      <c r="AZ351" s="2"/>
      <c r="BA351" s="101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</row>
    <row r="352" spans="1:71" ht="12" customHeight="1">
      <c r="A352" s="2"/>
      <c r="B352" s="107">
        <v>277</v>
      </c>
      <c r="C352" s="31">
        <v>7</v>
      </c>
      <c r="D352" s="106" t="s">
        <v>16</v>
      </c>
      <c r="E352" s="2" t="s">
        <v>87</v>
      </c>
      <c r="F352" s="2"/>
      <c r="G352" s="2"/>
      <c r="H352" s="33">
        <f t="shared" si="333"/>
        <v>2</v>
      </c>
      <c r="I352" s="99">
        <f t="shared" si="0"/>
        <v>254.81312776604707</v>
      </c>
      <c r="J352" s="101">
        <f t="shared" si="1"/>
        <v>27.166666666666668</v>
      </c>
      <c r="K352" s="101">
        <f t="shared" si="2"/>
        <v>863</v>
      </c>
      <c r="L352" s="74">
        <f t="shared" si="3"/>
        <v>341</v>
      </c>
      <c r="M352" s="99">
        <f t="shared" si="191"/>
        <v>1528.8787665962825</v>
      </c>
      <c r="N352" s="108">
        <f t="shared" si="334"/>
        <v>1528.8787665962825</v>
      </c>
      <c r="O352" s="108"/>
      <c r="P352" s="108"/>
      <c r="Q352" s="108"/>
      <c r="R352" s="109"/>
      <c r="S352" s="99">
        <f t="shared" si="335"/>
        <v>1943.5328148195124</v>
      </c>
      <c r="T352" s="108">
        <f t="shared" si="336"/>
        <v>971.7664074097562</v>
      </c>
      <c r="U352" s="108"/>
      <c r="V352" s="108"/>
      <c r="W352" s="108"/>
      <c r="X352" s="109"/>
      <c r="Y352" s="99">
        <f t="shared" si="8"/>
        <v>1943.5328148195124</v>
      </c>
      <c r="Z352" s="108">
        <f t="shared" si="337"/>
        <v>1943.5328148195124</v>
      </c>
      <c r="AA352" s="108"/>
      <c r="AB352" s="108"/>
      <c r="AC352" s="108"/>
      <c r="AD352" s="109"/>
      <c r="AE352" s="99">
        <f t="shared" ref="AE352:AF352" si="389">AO352</f>
        <v>6</v>
      </c>
      <c r="AF352" s="101">
        <f t="shared" si="389"/>
        <v>36</v>
      </c>
      <c r="AG352" s="101">
        <f t="shared" si="280"/>
        <v>34.001300000000001</v>
      </c>
      <c r="AH352" s="101">
        <f t="shared" si="339"/>
        <v>163</v>
      </c>
      <c r="AI352" s="101">
        <f t="shared" si="369"/>
        <v>268.61079999999998</v>
      </c>
      <c r="AJ352" s="108">
        <f t="shared" si="340"/>
        <v>2</v>
      </c>
      <c r="AK352" s="101">
        <f t="shared" si="15"/>
        <v>971.7664074097562</v>
      </c>
      <c r="AL352" s="101">
        <f t="shared" si="341"/>
        <v>971.7664074097562</v>
      </c>
      <c r="AM352" s="101"/>
      <c r="AN352" s="101"/>
      <c r="AO352" s="1">
        <v>6</v>
      </c>
      <c r="AP352" s="2">
        <v>36</v>
      </c>
      <c r="AQ352" s="74">
        <f t="shared" si="342"/>
        <v>163</v>
      </c>
      <c r="AR352" s="31">
        <f t="shared" si="343"/>
        <v>1</v>
      </c>
      <c r="AS352" s="2">
        <f t="shared" si="344"/>
        <v>1</v>
      </c>
      <c r="AT352" s="33">
        <f t="shared" si="345"/>
        <v>15</v>
      </c>
      <c r="AU352" s="31">
        <f t="shared" si="346"/>
        <v>1</v>
      </c>
      <c r="AV352" s="2">
        <f t="shared" si="347"/>
        <v>0</v>
      </c>
      <c r="AW352" s="33">
        <f t="shared" si="348"/>
        <v>0</v>
      </c>
      <c r="AX352" s="31">
        <f t="shared" si="349"/>
        <v>1</v>
      </c>
      <c r="AY352" s="33">
        <f t="shared" si="350"/>
        <v>1</v>
      </c>
      <c r="AZ352" s="2"/>
      <c r="BA352" s="101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</row>
    <row r="353" spans="1:71" ht="12" customHeight="1">
      <c r="A353" s="2"/>
      <c r="B353" s="107">
        <v>278</v>
      </c>
      <c r="C353" s="31">
        <v>7</v>
      </c>
      <c r="D353" s="106" t="s">
        <v>16</v>
      </c>
      <c r="E353" s="2" t="s">
        <v>179</v>
      </c>
      <c r="F353" s="2"/>
      <c r="G353" s="2"/>
      <c r="H353" s="33">
        <f t="shared" si="333"/>
        <v>2</v>
      </c>
      <c r="I353" s="99">
        <f t="shared" si="0"/>
        <v>356.73837887246594</v>
      </c>
      <c r="J353" s="101">
        <f t="shared" si="1"/>
        <v>27.166666666666668</v>
      </c>
      <c r="K353" s="101">
        <f t="shared" si="2"/>
        <v>771</v>
      </c>
      <c r="L353" s="74">
        <f t="shared" si="3"/>
        <v>286</v>
      </c>
      <c r="M353" s="99">
        <f t="shared" si="191"/>
        <v>2140.4302732347955</v>
      </c>
      <c r="N353" s="108">
        <f t="shared" si="334"/>
        <v>2140.4302732347955</v>
      </c>
      <c r="O353" s="108"/>
      <c r="P353" s="108"/>
      <c r="Q353" s="108"/>
      <c r="R353" s="109"/>
      <c r="S353" s="99">
        <f t="shared" si="335"/>
        <v>2720.9459407473173</v>
      </c>
      <c r="T353" s="108">
        <f t="shared" si="336"/>
        <v>1360.4729703736587</v>
      </c>
      <c r="U353" s="108"/>
      <c r="V353" s="108"/>
      <c r="W353" s="108"/>
      <c r="X353" s="109"/>
      <c r="Y353" s="99">
        <f t="shared" si="8"/>
        <v>2720.9459407473173</v>
      </c>
      <c r="Z353" s="108">
        <f t="shared" si="337"/>
        <v>2720.9459407473173</v>
      </c>
      <c r="AA353" s="108"/>
      <c r="AB353" s="108"/>
      <c r="AC353" s="108"/>
      <c r="AD353" s="109"/>
      <c r="AE353" s="99">
        <f t="shared" ref="AE353:AF353" si="390">AO353</f>
        <v>6</v>
      </c>
      <c r="AF353" s="101">
        <f t="shared" si="390"/>
        <v>36</v>
      </c>
      <c r="AG353" s="101">
        <f t="shared" si="280"/>
        <v>34.001300000000001</v>
      </c>
      <c r="AH353" s="101">
        <f t="shared" si="339"/>
        <v>163</v>
      </c>
      <c r="AI353" s="101">
        <f t="shared" si="369"/>
        <v>268.61079999999998</v>
      </c>
      <c r="AJ353" s="108">
        <f t="shared" si="340"/>
        <v>2</v>
      </c>
      <c r="AK353" s="101">
        <f t="shared" si="15"/>
        <v>971.7664074097562</v>
      </c>
      <c r="AL353" s="101">
        <f t="shared" si="341"/>
        <v>971.7664074097562</v>
      </c>
      <c r="AM353" s="101"/>
      <c r="AN353" s="101"/>
      <c r="AO353" s="1">
        <v>6</v>
      </c>
      <c r="AP353" s="2">
        <v>36</v>
      </c>
      <c r="AQ353" s="74">
        <f t="shared" si="342"/>
        <v>163</v>
      </c>
      <c r="AR353" s="31">
        <f t="shared" si="343"/>
        <v>1</v>
      </c>
      <c r="AS353" s="2">
        <f t="shared" si="344"/>
        <v>1</v>
      </c>
      <c r="AT353" s="33">
        <f t="shared" si="345"/>
        <v>15</v>
      </c>
      <c r="AU353" s="31">
        <f t="shared" si="346"/>
        <v>1.4</v>
      </c>
      <c r="AV353" s="2">
        <f t="shared" si="347"/>
        <v>0</v>
      </c>
      <c r="AW353" s="33">
        <f t="shared" si="348"/>
        <v>0</v>
      </c>
      <c r="AX353" s="31">
        <f t="shared" si="349"/>
        <v>1</v>
      </c>
      <c r="AY353" s="33">
        <f t="shared" si="350"/>
        <v>1</v>
      </c>
      <c r="AZ353" s="2"/>
      <c r="BA353" s="101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</row>
    <row r="354" spans="1:71" ht="12" customHeight="1">
      <c r="A354" s="2"/>
      <c r="B354" s="107">
        <v>279</v>
      </c>
      <c r="C354" s="31">
        <v>4</v>
      </c>
      <c r="D354" s="106" t="s">
        <v>16</v>
      </c>
      <c r="E354" s="2" t="s">
        <v>148</v>
      </c>
      <c r="F354" s="2"/>
      <c r="G354" s="2"/>
      <c r="H354" s="33">
        <f t="shared" si="333"/>
        <v>2</v>
      </c>
      <c r="I354" s="99">
        <f t="shared" si="0"/>
        <v>198.09787770909156</v>
      </c>
      <c r="J354" s="101">
        <f t="shared" si="1"/>
        <v>7.5</v>
      </c>
      <c r="K354" s="101">
        <f t="shared" si="2"/>
        <v>886</v>
      </c>
      <c r="L354" s="74">
        <f t="shared" si="3"/>
        <v>359</v>
      </c>
      <c r="M354" s="99">
        <f t="shared" si="191"/>
        <v>1188.5872662545494</v>
      </c>
      <c r="N354" s="108">
        <f t="shared" si="334"/>
        <v>1188.5872662545494</v>
      </c>
      <c r="O354" s="108"/>
      <c r="P354" s="108"/>
      <c r="Q354" s="108"/>
      <c r="R354" s="109"/>
      <c r="S354" s="99">
        <f t="shared" si="335"/>
        <v>1800.3681824048781</v>
      </c>
      <c r="T354" s="108">
        <f t="shared" si="336"/>
        <v>900.18409120243905</v>
      </c>
      <c r="U354" s="108"/>
      <c r="V354" s="108"/>
      <c r="W354" s="108"/>
      <c r="X354" s="109"/>
      <c r="Y354" s="99">
        <f t="shared" si="8"/>
        <v>1800.3681824048781</v>
      </c>
      <c r="Z354" s="108">
        <f t="shared" si="337"/>
        <v>1800.3681824048781</v>
      </c>
      <c r="AA354" s="108"/>
      <c r="AB354" s="108"/>
      <c r="AC354" s="108"/>
      <c r="AD354" s="109"/>
      <c r="AE354" s="99">
        <f t="shared" ref="AE354:AF354" si="391">AO354</f>
        <v>6</v>
      </c>
      <c r="AF354" s="101">
        <f t="shared" si="391"/>
        <v>36</v>
      </c>
      <c r="AG354" s="101">
        <f t="shared" si="280"/>
        <v>19.001300000000001</v>
      </c>
      <c r="AH354" s="101">
        <f t="shared" si="339"/>
        <v>45</v>
      </c>
      <c r="AI354" s="101">
        <f t="shared" si="369"/>
        <v>268.61079999999998</v>
      </c>
      <c r="AJ354" s="108">
        <f t="shared" si="340"/>
        <v>2</v>
      </c>
      <c r="AK354" s="101">
        <f t="shared" si="15"/>
        <v>900.18409120243905</v>
      </c>
      <c r="AL354" s="101">
        <f t="shared" si="341"/>
        <v>900.18409120243905</v>
      </c>
      <c r="AM354" s="101"/>
      <c r="AN354" s="101"/>
      <c r="AO354" s="1">
        <v>6</v>
      </c>
      <c r="AP354" s="2">
        <v>36</v>
      </c>
      <c r="AQ354" s="74">
        <f t="shared" si="342"/>
        <v>90</v>
      </c>
      <c r="AR354" s="31">
        <f t="shared" si="343"/>
        <v>0.5</v>
      </c>
      <c r="AS354" s="2">
        <f t="shared" si="344"/>
        <v>1</v>
      </c>
      <c r="AT354" s="33">
        <f t="shared" si="345"/>
        <v>0</v>
      </c>
      <c r="AU354" s="31">
        <f t="shared" si="346"/>
        <v>1</v>
      </c>
      <c r="AV354" s="2">
        <f t="shared" si="347"/>
        <v>0</v>
      </c>
      <c r="AW354" s="33">
        <f t="shared" si="348"/>
        <v>0</v>
      </c>
      <c r="AX354" s="31">
        <f t="shared" si="349"/>
        <v>1</v>
      </c>
      <c r="AY354" s="33">
        <f t="shared" si="350"/>
        <v>1</v>
      </c>
      <c r="AZ354" s="2"/>
      <c r="BA354" s="101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</row>
    <row r="355" spans="1:71" ht="12" customHeight="1">
      <c r="A355" s="2"/>
      <c r="B355" s="107">
        <v>280</v>
      </c>
      <c r="C355" s="31">
        <v>4</v>
      </c>
      <c r="D355" s="106" t="s">
        <v>16</v>
      </c>
      <c r="E355" s="2" t="s">
        <v>79</v>
      </c>
      <c r="F355" s="2"/>
      <c r="G355" s="2"/>
      <c r="H355" s="33">
        <f t="shared" si="333"/>
        <v>2</v>
      </c>
      <c r="I355" s="99">
        <f t="shared" si="0"/>
        <v>198.09787770909156</v>
      </c>
      <c r="J355" s="101">
        <f t="shared" si="1"/>
        <v>15</v>
      </c>
      <c r="K355" s="101">
        <f t="shared" si="2"/>
        <v>886</v>
      </c>
      <c r="L355" s="74">
        <f t="shared" si="3"/>
        <v>359</v>
      </c>
      <c r="M355" s="99">
        <f t="shared" si="191"/>
        <v>1188.5872662545494</v>
      </c>
      <c r="N355" s="108">
        <f t="shared" si="334"/>
        <v>1188.5872662545494</v>
      </c>
      <c r="O355" s="108"/>
      <c r="P355" s="108"/>
      <c r="Q355" s="108"/>
      <c r="R355" s="109"/>
      <c r="S355" s="99">
        <f t="shared" si="335"/>
        <v>1800.3681824048781</v>
      </c>
      <c r="T355" s="108">
        <f t="shared" si="336"/>
        <v>900.18409120243905</v>
      </c>
      <c r="U355" s="108"/>
      <c r="V355" s="108"/>
      <c r="W355" s="108"/>
      <c r="X355" s="109"/>
      <c r="Y355" s="99">
        <f t="shared" si="8"/>
        <v>1800.3681824048781</v>
      </c>
      <c r="Z355" s="108">
        <f t="shared" si="337"/>
        <v>1800.3681824048781</v>
      </c>
      <c r="AA355" s="108"/>
      <c r="AB355" s="108"/>
      <c r="AC355" s="108"/>
      <c r="AD355" s="109"/>
      <c r="AE355" s="99">
        <f t="shared" ref="AE355:AF355" si="392">AO355</f>
        <v>6</v>
      </c>
      <c r="AF355" s="101">
        <f t="shared" si="392"/>
        <v>36</v>
      </c>
      <c r="AG355" s="101">
        <f t="shared" si="280"/>
        <v>19.001300000000001</v>
      </c>
      <c r="AH355" s="101">
        <f t="shared" si="339"/>
        <v>90</v>
      </c>
      <c r="AI355" s="101">
        <f t="shared" si="369"/>
        <v>268.61079999999998</v>
      </c>
      <c r="AJ355" s="108">
        <f t="shared" si="340"/>
        <v>1.8</v>
      </c>
      <c r="AK355" s="101">
        <f t="shared" si="15"/>
        <v>900.18409120243905</v>
      </c>
      <c r="AL355" s="101">
        <f t="shared" si="341"/>
        <v>900.18409120243905</v>
      </c>
      <c r="AM355" s="101"/>
      <c r="AN355" s="101"/>
      <c r="AO355" s="1">
        <v>6</v>
      </c>
      <c r="AP355" s="2">
        <v>36</v>
      </c>
      <c r="AQ355" s="74">
        <f t="shared" si="342"/>
        <v>90</v>
      </c>
      <c r="AR355" s="31">
        <f t="shared" si="343"/>
        <v>1</v>
      </c>
      <c r="AS355" s="2">
        <f t="shared" si="344"/>
        <v>0.9</v>
      </c>
      <c r="AT355" s="33">
        <f t="shared" si="345"/>
        <v>0</v>
      </c>
      <c r="AU355" s="31">
        <f t="shared" si="346"/>
        <v>1</v>
      </c>
      <c r="AV355" s="2">
        <f t="shared" si="347"/>
        <v>0</v>
      </c>
      <c r="AW355" s="33">
        <f t="shared" si="348"/>
        <v>0</v>
      </c>
      <c r="AX355" s="31">
        <f t="shared" si="349"/>
        <v>1</v>
      </c>
      <c r="AY355" s="33">
        <f t="shared" si="350"/>
        <v>1</v>
      </c>
      <c r="AZ355" s="2"/>
      <c r="BA355" s="101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</row>
    <row r="356" spans="1:71" ht="12" customHeight="1">
      <c r="A356" s="2"/>
      <c r="B356" s="107">
        <v>281</v>
      </c>
      <c r="C356" s="31">
        <v>4</v>
      </c>
      <c r="D356" s="106" t="s">
        <v>16</v>
      </c>
      <c r="E356" s="2" t="s">
        <v>87</v>
      </c>
      <c r="F356" s="2"/>
      <c r="G356" s="2"/>
      <c r="H356" s="33">
        <f t="shared" si="333"/>
        <v>2</v>
      </c>
      <c r="I356" s="99">
        <f t="shared" si="0"/>
        <v>236.04306765032058</v>
      </c>
      <c r="J356" s="101">
        <f t="shared" si="1"/>
        <v>15</v>
      </c>
      <c r="K356" s="101">
        <f t="shared" si="2"/>
        <v>873</v>
      </c>
      <c r="L356" s="74">
        <f t="shared" si="3"/>
        <v>349</v>
      </c>
      <c r="M356" s="99">
        <f t="shared" si="191"/>
        <v>1416.2584059019234</v>
      </c>
      <c r="N356" s="108">
        <f t="shared" si="334"/>
        <v>1416.2584059019234</v>
      </c>
      <c r="O356" s="108"/>
      <c r="P356" s="108"/>
      <c r="Q356" s="108"/>
      <c r="R356" s="109"/>
      <c r="S356" s="99">
        <f t="shared" si="335"/>
        <v>1800.3681824048781</v>
      </c>
      <c r="T356" s="108">
        <f t="shared" si="336"/>
        <v>900.18409120243905</v>
      </c>
      <c r="U356" s="108"/>
      <c r="V356" s="108"/>
      <c r="W356" s="108"/>
      <c r="X356" s="109"/>
      <c r="Y356" s="99">
        <f t="shared" si="8"/>
        <v>1800.3681824048781</v>
      </c>
      <c r="Z356" s="108">
        <f t="shared" si="337"/>
        <v>1800.3681824048781</v>
      </c>
      <c r="AA356" s="108"/>
      <c r="AB356" s="108"/>
      <c r="AC356" s="108"/>
      <c r="AD356" s="109"/>
      <c r="AE356" s="99">
        <f t="shared" ref="AE356:AF356" si="393">AO356</f>
        <v>6</v>
      </c>
      <c r="AF356" s="101">
        <f t="shared" si="393"/>
        <v>36</v>
      </c>
      <c r="AG356" s="101">
        <f t="shared" si="280"/>
        <v>34.001300000000001</v>
      </c>
      <c r="AH356" s="101">
        <f t="shared" si="339"/>
        <v>90</v>
      </c>
      <c r="AI356" s="101">
        <f t="shared" si="369"/>
        <v>268.61079999999998</v>
      </c>
      <c r="AJ356" s="108">
        <f t="shared" si="340"/>
        <v>2</v>
      </c>
      <c r="AK356" s="101">
        <f t="shared" si="15"/>
        <v>900.18409120243905</v>
      </c>
      <c r="AL356" s="101">
        <f t="shared" si="341"/>
        <v>900.18409120243905</v>
      </c>
      <c r="AM356" s="101"/>
      <c r="AN356" s="101"/>
      <c r="AO356" s="1">
        <v>6</v>
      </c>
      <c r="AP356" s="2">
        <v>36</v>
      </c>
      <c r="AQ356" s="74">
        <f t="shared" si="342"/>
        <v>90</v>
      </c>
      <c r="AR356" s="31">
        <f t="shared" si="343"/>
        <v>1</v>
      </c>
      <c r="AS356" s="2">
        <f t="shared" si="344"/>
        <v>1</v>
      </c>
      <c r="AT356" s="33">
        <f t="shared" si="345"/>
        <v>15</v>
      </c>
      <c r="AU356" s="31">
        <f t="shared" si="346"/>
        <v>1</v>
      </c>
      <c r="AV356" s="2">
        <f t="shared" si="347"/>
        <v>0</v>
      </c>
      <c r="AW356" s="33">
        <f t="shared" si="348"/>
        <v>0</v>
      </c>
      <c r="AX356" s="31">
        <f t="shared" si="349"/>
        <v>1</v>
      </c>
      <c r="AY356" s="33">
        <f t="shared" si="350"/>
        <v>1</v>
      </c>
      <c r="AZ356" s="2"/>
      <c r="BA356" s="101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</row>
    <row r="357" spans="1:71" ht="12" customHeight="1">
      <c r="A357" s="2"/>
      <c r="B357" s="107">
        <v>282</v>
      </c>
      <c r="C357" s="31">
        <v>1</v>
      </c>
      <c r="D357" s="106" t="s">
        <v>16</v>
      </c>
      <c r="E357" s="2" t="s">
        <v>67</v>
      </c>
      <c r="F357" s="2"/>
      <c r="G357" s="2"/>
      <c r="H357" s="33">
        <f t="shared" si="333"/>
        <v>2</v>
      </c>
      <c r="I357" s="99">
        <f t="shared" si="0"/>
        <v>158.94558233512626</v>
      </c>
      <c r="J357" s="101">
        <f t="shared" si="1"/>
        <v>7.5</v>
      </c>
      <c r="K357" s="101">
        <f t="shared" si="2"/>
        <v>890</v>
      </c>
      <c r="L357" s="74">
        <f t="shared" si="3"/>
        <v>363</v>
      </c>
      <c r="M357" s="99">
        <f t="shared" si="191"/>
        <v>953.67349401075762</v>
      </c>
      <c r="N357" s="108">
        <f t="shared" si="334"/>
        <v>953.67349401075762</v>
      </c>
      <c r="O357" s="108"/>
      <c r="P357" s="108"/>
      <c r="Q357" s="108"/>
      <c r="R357" s="109"/>
      <c r="S357" s="99">
        <f t="shared" si="335"/>
        <v>1444.5413170463414</v>
      </c>
      <c r="T357" s="108">
        <f t="shared" si="336"/>
        <v>722.27065852317071</v>
      </c>
      <c r="U357" s="108"/>
      <c r="V357" s="108"/>
      <c r="W357" s="108"/>
      <c r="X357" s="109"/>
      <c r="Y357" s="99">
        <f t="shared" si="8"/>
        <v>1444.5413170463414</v>
      </c>
      <c r="Z357" s="108">
        <f t="shared" si="337"/>
        <v>1444.5413170463414</v>
      </c>
      <c r="AA357" s="108"/>
      <c r="AB357" s="108"/>
      <c r="AC357" s="108"/>
      <c r="AD357" s="109"/>
      <c r="AE357" s="99">
        <f t="shared" ref="AE357:AF357" si="394">AO357</f>
        <v>6</v>
      </c>
      <c r="AF357" s="101">
        <f t="shared" si="394"/>
        <v>36</v>
      </c>
      <c r="AG357" s="101">
        <f t="shared" si="280"/>
        <v>19.001300000000001</v>
      </c>
      <c r="AH357" s="101">
        <f t="shared" si="339"/>
        <v>45</v>
      </c>
      <c r="AI357" s="101">
        <f t="shared" si="369"/>
        <v>268.61079999999998</v>
      </c>
      <c r="AJ357" s="108">
        <f t="shared" si="340"/>
        <v>2</v>
      </c>
      <c r="AK357" s="101">
        <f t="shared" si="15"/>
        <v>722.27065852317071</v>
      </c>
      <c r="AL357" s="101">
        <f t="shared" si="341"/>
        <v>722.27065852317071</v>
      </c>
      <c r="AM357" s="101"/>
      <c r="AN357" s="101"/>
      <c r="AO357" s="1">
        <v>6</v>
      </c>
      <c r="AP357" s="2">
        <v>36</v>
      </c>
      <c r="AQ357" s="74">
        <f t="shared" si="342"/>
        <v>45</v>
      </c>
      <c r="AR357" s="31">
        <f t="shared" si="343"/>
        <v>1</v>
      </c>
      <c r="AS357" s="2">
        <f t="shared" si="344"/>
        <v>1</v>
      </c>
      <c r="AT357" s="33">
        <f t="shared" si="345"/>
        <v>0</v>
      </c>
      <c r="AU357" s="31">
        <f t="shared" si="346"/>
        <v>1</v>
      </c>
      <c r="AV357" s="2">
        <f t="shared" si="347"/>
        <v>0</v>
      </c>
      <c r="AW357" s="33">
        <f t="shared" si="348"/>
        <v>0</v>
      </c>
      <c r="AX357" s="31">
        <f t="shared" si="349"/>
        <v>1</v>
      </c>
      <c r="AY357" s="33">
        <f t="shared" si="350"/>
        <v>1</v>
      </c>
      <c r="AZ357" s="2"/>
      <c r="BA357" s="101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</row>
    <row r="358" spans="1:71" ht="12" customHeight="1">
      <c r="A358" s="2"/>
      <c r="B358" s="107">
        <v>283</v>
      </c>
      <c r="C358" s="31">
        <v>10</v>
      </c>
      <c r="D358" s="106" t="s">
        <v>17</v>
      </c>
      <c r="E358" s="2" t="s">
        <v>144</v>
      </c>
      <c r="F358" s="2"/>
      <c r="G358" s="2"/>
      <c r="H358" s="33">
        <f t="shared" ref="H358:H388" si="395">IF(AT358=1,3,IF(AY358=1,3,2))</f>
        <v>2</v>
      </c>
      <c r="I358" s="99">
        <f t="shared" si="0"/>
        <v>308.4221042838368</v>
      </c>
      <c r="J358" s="101">
        <f t="shared" si="1"/>
        <v>34.625</v>
      </c>
      <c r="K358" s="101">
        <f t="shared" si="2"/>
        <v>829</v>
      </c>
      <c r="L358" s="74">
        <f t="shared" si="3"/>
        <v>323</v>
      </c>
      <c r="M358" s="99">
        <f t="shared" si="191"/>
        <v>2467.3768342706944</v>
      </c>
      <c r="N358" s="108">
        <f t="shared" ref="N358:N388" si="396">T358*(1+(AG358/100)*(AI358/100-1))</f>
        <v>1233.6884171353472</v>
      </c>
      <c r="O358" s="108">
        <f t="shared" ref="O358:O388" si="397">U358*(1+(AG358/100)*(AI358/100-1))</f>
        <v>1233.6884171353472</v>
      </c>
      <c r="P358" s="108">
        <f t="shared" ref="P358:P388" si="398">V358*(1+(AG358/100)*(AI358/100-1))</f>
        <v>0</v>
      </c>
      <c r="Q358" s="108"/>
      <c r="R358" s="109"/>
      <c r="S358" s="99">
        <f t="shared" ref="S358:S534" si="399">SUM(T358:X358)</f>
        <v>1868.6834667268295</v>
      </c>
      <c r="T358" s="108">
        <f t="shared" ref="T358:T388" si="400">AL358*AV358</f>
        <v>934.34173336341473</v>
      </c>
      <c r="U358" s="108">
        <f t="shared" ref="U358:U388" si="401">AL358*AW358</f>
        <v>934.34173336341473</v>
      </c>
      <c r="V358" s="108">
        <f t="shared" ref="V358:V388" si="402">IF(H358=3,AL358,0)*(1+AW358-1+AW358-1)</f>
        <v>0</v>
      </c>
      <c r="W358" s="108"/>
      <c r="X358" s="109"/>
      <c r="Y358" s="99">
        <f t="shared" si="8"/>
        <v>5019.4856094426705</v>
      </c>
      <c r="Z358" s="108">
        <f t="shared" ref="Z358:Z388" si="403">T358*AI358/100</f>
        <v>2509.7428047213352</v>
      </c>
      <c r="AA358" s="108">
        <f t="shared" ref="AA358:AA388" si="404">U358*AI358/100</f>
        <v>2509.7428047213352</v>
      </c>
      <c r="AB358" s="108">
        <f t="shared" ref="AB358:AB388" si="405">V358*AI358/100</f>
        <v>0</v>
      </c>
      <c r="AC358" s="108"/>
      <c r="AD358" s="109"/>
      <c r="AE358" s="99">
        <f t="shared" ref="AE358:AF358" si="406">AO358</f>
        <v>8</v>
      </c>
      <c r="AF358" s="101">
        <f t="shared" si="406"/>
        <v>36</v>
      </c>
      <c r="AG358" s="101">
        <f t="shared" ref="AG358:AG388" si="407">IF($D$57&gt;100,100,$D$57)</f>
        <v>19.001300000000001</v>
      </c>
      <c r="AH358" s="101">
        <f t="shared" ref="AH358:AH388" si="408">AQ358</f>
        <v>277</v>
      </c>
      <c r="AI358" s="101">
        <f t="shared" si="369"/>
        <v>268.61079999999998</v>
      </c>
      <c r="AJ358" s="108">
        <f t="shared" ref="AJ358:AJ388" si="409">10*AR358/IF(AT358=0,IF(AY358=0,8,5),5)</f>
        <v>1.25</v>
      </c>
      <c r="AK358" s="101">
        <f t="shared" ref="AK358:AK388" si="410">H358*SUM(AL358:AN358)</f>
        <v>1868.6834667268295</v>
      </c>
      <c r="AL358" s="101">
        <f t="shared" ref="AL358:AL388" si="411">((VLOOKUP(C358,$B$36:$AG$39,24,FALSE)+VLOOKUP(C358,$B$40:$AG$43,24,FALSE)*$D$54))*$D$59/100</f>
        <v>934.34173336341473</v>
      </c>
      <c r="AM358" s="101"/>
      <c r="AN358" s="101"/>
      <c r="AO358" s="1">
        <v>8</v>
      </c>
      <c r="AP358" s="2">
        <v>36</v>
      </c>
      <c r="AQ358" s="74">
        <f t="shared" ref="AQ358:AQ388" si="412">VLOOKUP(C358,$B$45:$AA$48,24,FALSE)</f>
        <v>277</v>
      </c>
      <c r="AR358" s="31">
        <f t="shared" ref="AR358:AR388" si="413">IF(LEFT(E358,1)*1=1,$S$67,$R$67)</f>
        <v>1</v>
      </c>
      <c r="AS358" s="2">
        <f t="shared" ref="AS358:AS388" si="414">IF(LEFT(E358,1)*1=2,$U$67,$T$67)</f>
        <v>0</v>
      </c>
      <c r="AT358" s="33">
        <f t="shared" ref="AT358:AT388" si="415">IF(LEFT(E358,1)*1=3,$W$67,$V$67)</f>
        <v>0</v>
      </c>
      <c r="AU358" s="31">
        <f t="shared" ref="AU358:AU388" si="416">IF(MID(E358,3,1)*1=1,$Y$67,$X$67)</f>
        <v>0</v>
      </c>
      <c r="AV358" s="2">
        <f t="shared" ref="AV358:AV388" si="417">IF(MID(E358,3,1)*1=2,$AA$67,$Z$67)</f>
        <v>1</v>
      </c>
      <c r="AW358" s="33">
        <f t="shared" ref="AW358:AW388" si="418">IF(MID(E358,3,1)*1=3,$AC$67,$AB$67)</f>
        <v>1</v>
      </c>
      <c r="AX358" s="31">
        <f t="shared" ref="AX358:AX388" si="419">IF(MID(E358,5,1)*1=1,$AE$67,$AD$67)</f>
        <v>150</v>
      </c>
      <c r="AY358" s="33">
        <f t="shared" ref="AY358:AY388" si="420">IF(MID(E358,5,1)*1=2,$AG$67,$AF$67)</f>
        <v>0</v>
      </c>
      <c r="AZ358" s="2"/>
      <c r="BA358" s="101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</row>
    <row r="359" spans="1:71" ht="12" customHeight="1">
      <c r="A359" s="2"/>
      <c r="B359" s="107">
        <v>284</v>
      </c>
      <c r="C359" s="31">
        <v>10</v>
      </c>
      <c r="D359" s="106" t="s">
        <v>17</v>
      </c>
      <c r="E359" s="2" t="s">
        <v>140</v>
      </c>
      <c r="F359" s="2"/>
      <c r="G359" s="2"/>
      <c r="H359" s="33">
        <f t="shared" si="395"/>
        <v>2</v>
      </c>
      <c r="I359" s="99">
        <f t="shared" si="0"/>
        <v>385.52763035479603</v>
      </c>
      <c r="J359" s="101">
        <f t="shared" si="1"/>
        <v>34.625</v>
      </c>
      <c r="K359" s="101">
        <f t="shared" si="2"/>
        <v>746</v>
      </c>
      <c r="L359" s="74">
        <f t="shared" si="3"/>
        <v>272</v>
      </c>
      <c r="M359" s="99">
        <f t="shared" si="191"/>
        <v>3084.2210428383682</v>
      </c>
      <c r="N359" s="108">
        <f t="shared" si="396"/>
        <v>1850.532625703021</v>
      </c>
      <c r="O359" s="108">
        <f t="shared" si="397"/>
        <v>1233.6884171353472</v>
      </c>
      <c r="P359" s="108">
        <f t="shared" si="398"/>
        <v>0</v>
      </c>
      <c r="Q359" s="108"/>
      <c r="R359" s="109"/>
      <c r="S359" s="99">
        <f t="shared" si="399"/>
        <v>2335.8543334085371</v>
      </c>
      <c r="T359" s="108">
        <f t="shared" si="400"/>
        <v>1401.5126000451221</v>
      </c>
      <c r="U359" s="108">
        <f t="shared" si="401"/>
        <v>934.34173336341473</v>
      </c>
      <c r="V359" s="108">
        <f t="shared" si="402"/>
        <v>0</v>
      </c>
      <c r="W359" s="108"/>
      <c r="X359" s="109"/>
      <c r="Y359" s="99">
        <f t="shared" si="8"/>
        <v>6274.3570118033376</v>
      </c>
      <c r="Z359" s="108">
        <f t="shared" si="403"/>
        <v>3764.6142070820024</v>
      </c>
      <c r="AA359" s="108">
        <f t="shared" si="404"/>
        <v>2509.7428047213352</v>
      </c>
      <c r="AB359" s="108">
        <f t="shared" si="405"/>
        <v>0</v>
      </c>
      <c r="AC359" s="108"/>
      <c r="AD359" s="109"/>
      <c r="AE359" s="99">
        <f t="shared" ref="AE359:AF359" si="421">AO359</f>
        <v>8</v>
      </c>
      <c r="AF359" s="101">
        <f t="shared" si="421"/>
        <v>36</v>
      </c>
      <c r="AG359" s="101">
        <f t="shared" si="407"/>
        <v>19.001300000000001</v>
      </c>
      <c r="AH359" s="101">
        <f t="shared" si="408"/>
        <v>277</v>
      </c>
      <c r="AI359" s="101">
        <f t="shared" si="369"/>
        <v>268.61079999999998</v>
      </c>
      <c r="AJ359" s="108">
        <f t="shared" si="409"/>
        <v>1.25</v>
      </c>
      <c r="AK359" s="101">
        <f t="shared" si="410"/>
        <v>1868.6834667268295</v>
      </c>
      <c r="AL359" s="101">
        <f t="shared" si="411"/>
        <v>934.34173336341473</v>
      </c>
      <c r="AM359" s="101"/>
      <c r="AN359" s="101"/>
      <c r="AO359" s="1">
        <v>8</v>
      </c>
      <c r="AP359" s="2">
        <v>36</v>
      </c>
      <c r="AQ359" s="74">
        <f t="shared" si="412"/>
        <v>277</v>
      </c>
      <c r="AR359" s="31">
        <f t="shared" si="413"/>
        <v>1</v>
      </c>
      <c r="AS359" s="2">
        <f t="shared" si="414"/>
        <v>0</v>
      </c>
      <c r="AT359" s="33">
        <f t="shared" si="415"/>
        <v>0</v>
      </c>
      <c r="AU359" s="31">
        <f t="shared" si="416"/>
        <v>0</v>
      </c>
      <c r="AV359" s="2">
        <f t="shared" si="417"/>
        <v>1.5</v>
      </c>
      <c r="AW359" s="33">
        <f t="shared" si="418"/>
        <v>1</v>
      </c>
      <c r="AX359" s="31">
        <f t="shared" si="419"/>
        <v>150</v>
      </c>
      <c r="AY359" s="33">
        <f t="shared" si="420"/>
        <v>0</v>
      </c>
      <c r="AZ359" s="2"/>
      <c r="BA359" s="101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</row>
    <row r="360" spans="1:71" ht="12" customHeight="1">
      <c r="A360" s="2"/>
      <c r="B360" s="107">
        <v>285</v>
      </c>
      <c r="C360" s="31">
        <v>10</v>
      </c>
      <c r="D360" s="106" t="s">
        <v>17</v>
      </c>
      <c r="E360" s="2" t="s">
        <v>141</v>
      </c>
      <c r="F360" s="2"/>
      <c r="G360" s="2"/>
      <c r="H360" s="33">
        <f t="shared" si="395"/>
        <v>2</v>
      </c>
      <c r="I360" s="99">
        <f t="shared" si="0"/>
        <v>370.10652514060416</v>
      </c>
      <c r="J360" s="101">
        <f t="shared" si="1"/>
        <v>34.625</v>
      </c>
      <c r="K360" s="101">
        <f t="shared" si="2"/>
        <v>757</v>
      </c>
      <c r="L360" s="74">
        <f t="shared" si="3"/>
        <v>278</v>
      </c>
      <c r="M360" s="99">
        <f t="shared" si="191"/>
        <v>2960.8522011248333</v>
      </c>
      <c r="N360" s="108">
        <f t="shared" si="396"/>
        <v>1233.6884171353472</v>
      </c>
      <c r="O360" s="108">
        <f t="shared" si="397"/>
        <v>1727.1637839894863</v>
      </c>
      <c r="P360" s="108">
        <f t="shared" si="398"/>
        <v>0</v>
      </c>
      <c r="Q360" s="108"/>
      <c r="R360" s="109"/>
      <c r="S360" s="99">
        <f t="shared" si="399"/>
        <v>2242.4201600721954</v>
      </c>
      <c r="T360" s="108">
        <f t="shared" si="400"/>
        <v>934.34173336341473</v>
      </c>
      <c r="U360" s="108">
        <f t="shared" si="401"/>
        <v>1308.0784267087806</v>
      </c>
      <c r="V360" s="108">
        <f t="shared" si="402"/>
        <v>0</v>
      </c>
      <c r="W360" s="108"/>
      <c r="X360" s="109"/>
      <c r="Y360" s="99">
        <f t="shared" si="8"/>
        <v>6023.382731331204</v>
      </c>
      <c r="Z360" s="108">
        <f t="shared" si="403"/>
        <v>2509.7428047213352</v>
      </c>
      <c r="AA360" s="108">
        <f t="shared" si="404"/>
        <v>3513.6399266098688</v>
      </c>
      <c r="AB360" s="108">
        <f t="shared" si="405"/>
        <v>0</v>
      </c>
      <c r="AC360" s="108"/>
      <c r="AD360" s="109"/>
      <c r="AE360" s="99">
        <f t="shared" ref="AE360:AF360" si="422">AO360</f>
        <v>8</v>
      </c>
      <c r="AF360" s="101">
        <f t="shared" si="422"/>
        <v>36</v>
      </c>
      <c r="AG360" s="101">
        <f t="shared" si="407"/>
        <v>19.001300000000001</v>
      </c>
      <c r="AH360" s="101">
        <f t="shared" si="408"/>
        <v>277</v>
      </c>
      <c r="AI360" s="101">
        <f t="shared" si="369"/>
        <v>268.61079999999998</v>
      </c>
      <c r="AJ360" s="108">
        <f t="shared" si="409"/>
        <v>1.25</v>
      </c>
      <c r="AK360" s="101">
        <f t="shared" si="410"/>
        <v>1868.6834667268295</v>
      </c>
      <c r="AL360" s="101">
        <f t="shared" si="411"/>
        <v>934.34173336341473</v>
      </c>
      <c r="AM360" s="101"/>
      <c r="AN360" s="101"/>
      <c r="AO360" s="1">
        <v>8</v>
      </c>
      <c r="AP360" s="2">
        <v>36</v>
      </c>
      <c r="AQ360" s="74">
        <f t="shared" si="412"/>
        <v>277</v>
      </c>
      <c r="AR360" s="31">
        <f t="shared" si="413"/>
        <v>1</v>
      </c>
      <c r="AS360" s="2">
        <f t="shared" si="414"/>
        <v>0</v>
      </c>
      <c r="AT360" s="33">
        <f t="shared" si="415"/>
        <v>0</v>
      </c>
      <c r="AU360" s="31">
        <f t="shared" si="416"/>
        <v>0</v>
      </c>
      <c r="AV360" s="2">
        <f t="shared" si="417"/>
        <v>1</v>
      </c>
      <c r="AW360" s="33">
        <f t="shared" si="418"/>
        <v>1.4</v>
      </c>
      <c r="AX360" s="31">
        <f t="shared" si="419"/>
        <v>150</v>
      </c>
      <c r="AY360" s="33">
        <f t="shared" si="420"/>
        <v>0</v>
      </c>
      <c r="AZ360" s="2"/>
      <c r="BA360" s="101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</row>
    <row r="361" spans="1:71" ht="12" customHeight="1">
      <c r="A361" s="2"/>
      <c r="B361" s="107">
        <v>286</v>
      </c>
      <c r="C361" s="31">
        <v>10</v>
      </c>
      <c r="D361" s="106" t="s">
        <v>17</v>
      </c>
      <c r="E361" s="2" t="s">
        <v>150</v>
      </c>
      <c r="F361" s="2"/>
      <c r="G361" s="2"/>
      <c r="H361" s="33">
        <f t="shared" si="395"/>
        <v>2</v>
      </c>
      <c r="I361" s="99">
        <f t="shared" si="0"/>
        <v>308.4221042838368</v>
      </c>
      <c r="J361" s="101">
        <f t="shared" si="1"/>
        <v>34.625</v>
      </c>
      <c r="K361" s="101">
        <f t="shared" si="2"/>
        <v>829</v>
      </c>
      <c r="L361" s="74">
        <f t="shared" si="3"/>
        <v>323</v>
      </c>
      <c r="M361" s="99">
        <f t="shared" si="191"/>
        <v>2467.3768342706944</v>
      </c>
      <c r="N361" s="108">
        <f t="shared" si="396"/>
        <v>1233.6884171353472</v>
      </c>
      <c r="O361" s="108">
        <f t="shared" si="397"/>
        <v>1233.6884171353472</v>
      </c>
      <c r="P361" s="108">
        <f t="shared" si="398"/>
        <v>0</v>
      </c>
      <c r="Q361" s="108"/>
      <c r="R361" s="109"/>
      <c r="S361" s="99">
        <f t="shared" si="399"/>
        <v>1868.6834667268295</v>
      </c>
      <c r="T361" s="108">
        <f t="shared" si="400"/>
        <v>934.34173336341473</v>
      </c>
      <c r="U361" s="108">
        <f t="shared" si="401"/>
        <v>934.34173336341473</v>
      </c>
      <c r="V361" s="108">
        <f t="shared" si="402"/>
        <v>0</v>
      </c>
      <c r="W361" s="108"/>
      <c r="X361" s="109"/>
      <c r="Y361" s="99">
        <f t="shared" si="8"/>
        <v>5019.4856094426705</v>
      </c>
      <c r="Z361" s="108">
        <f t="shared" si="403"/>
        <v>2509.7428047213352</v>
      </c>
      <c r="AA361" s="108">
        <f t="shared" si="404"/>
        <v>2509.7428047213352</v>
      </c>
      <c r="AB361" s="108">
        <f t="shared" si="405"/>
        <v>0</v>
      </c>
      <c r="AC361" s="108"/>
      <c r="AD361" s="109"/>
      <c r="AE361" s="99">
        <f t="shared" ref="AE361:AF361" si="423">AO361</f>
        <v>8</v>
      </c>
      <c r="AF361" s="101">
        <f t="shared" si="423"/>
        <v>36</v>
      </c>
      <c r="AG361" s="101">
        <f t="shared" si="407"/>
        <v>19.001300000000001</v>
      </c>
      <c r="AH361" s="101">
        <f t="shared" si="408"/>
        <v>277</v>
      </c>
      <c r="AI361" s="101">
        <f t="shared" si="369"/>
        <v>268.61079999999998</v>
      </c>
      <c r="AJ361" s="108">
        <f t="shared" si="409"/>
        <v>1</v>
      </c>
      <c r="AK361" s="101">
        <f t="shared" si="410"/>
        <v>1868.6834667268295</v>
      </c>
      <c r="AL361" s="101">
        <f t="shared" si="411"/>
        <v>934.34173336341473</v>
      </c>
      <c r="AM361" s="101"/>
      <c r="AN361" s="101"/>
      <c r="AO361" s="1">
        <v>8</v>
      </c>
      <c r="AP361" s="2">
        <v>36</v>
      </c>
      <c r="AQ361" s="74">
        <f t="shared" si="412"/>
        <v>277</v>
      </c>
      <c r="AR361" s="31">
        <f t="shared" si="413"/>
        <v>0.8</v>
      </c>
      <c r="AS361" s="2">
        <f t="shared" si="414"/>
        <v>0</v>
      </c>
      <c r="AT361" s="33">
        <f t="shared" si="415"/>
        <v>0</v>
      </c>
      <c r="AU361" s="31">
        <f t="shared" si="416"/>
        <v>0</v>
      </c>
      <c r="AV361" s="2">
        <f t="shared" si="417"/>
        <v>1</v>
      </c>
      <c r="AW361" s="33">
        <f t="shared" si="418"/>
        <v>1</v>
      </c>
      <c r="AX361" s="31">
        <f t="shared" si="419"/>
        <v>150</v>
      </c>
      <c r="AY361" s="33">
        <f t="shared" si="420"/>
        <v>0</v>
      </c>
      <c r="AZ361" s="2"/>
      <c r="BA361" s="101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</row>
    <row r="362" spans="1:71" ht="12" customHeight="1">
      <c r="A362" s="2"/>
      <c r="B362" s="107">
        <v>287</v>
      </c>
      <c r="C362" s="31">
        <v>10</v>
      </c>
      <c r="D362" s="106" t="s">
        <v>17</v>
      </c>
      <c r="E362" s="2" t="s">
        <v>153</v>
      </c>
      <c r="F362" s="2"/>
      <c r="G362" s="2"/>
      <c r="H362" s="33">
        <f t="shared" si="395"/>
        <v>2</v>
      </c>
      <c r="I362" s="99">
        <f t="shared" si="0"/>
        <v>385.52763035479603</v>
      </c>
      <c r="J362" s="101">
        <f t="shared" si="1"/>
        <v>34.625</v>
      </c>
      <c r="K362" s="101">
        <f t="shared" si="2"/>
        <v>746</v>
      </c>
      <c r="L362" s="74">
        <f t="shared" si="3"/>
        <v>272</v>
      </c>
      <c r="M362" s="99">
        <f t="shared" si="191"/>
        <v>3084.2210428383682</v>
      </c>
      <c r="N362" s="108">
        <f t="shared" si="396"/>
        <v>1850.532625703021</v>
      </c>
      <c r="O362" s="108">
        <f t="shared" si="397"/>
        <v>1233.6884171353472</v>
      </c>
      <c r="P362" s="108">
        <f t="shared" si="398"/>
        <v>0</v>
      </c>
      <c r="Q362" s="108"/>
      <c r="R362" s="109"/>
      <c r="S362" s="99">
        <f t="shared" si="399"/>
        <v>2335.8543334085371</v>
      </c>
      <c r="T362" s="108">
        <f t="shared" si="400"/>
        <v>1401.5126000451221</v>
      </c>
      <c r="U362" s="108">
        <f t="shared" si="401"/>
        <v>934.34173336341473</v>
      </c>
      <c r="V362" s="108">
        <f t="shared" si="402"/>
        <v>0</v>
      </c>
      <c r="W362" s="108"/>
      <c r="X362" s="109"/>
      <c r="Y362" s="99">
        <f t="shared" si="8"/>
        <v>6274.3570118033376</v>
      </c>
      <c r="Z362" s="108">
        <f t="shared" si="403"/>
        <v>3764.6142070820024</v>
      </c>
      <c r="AA362" s="108">
        <f t="shared" si="404"/>
        <v>2509.7428047213352</v>
      </c>
      <c r="AB362" s="108">
        <f t="shared" si="405"/>
        <v>0</v>
      </c>
      <c r="AC362" s="108"/>
      <c r="AD362" s="109"/>
      <c r="AE362" s="99">
        <f t="shared" ref="AE362:AF362" si="424">AO362</f>
        <v>8</v>
      </c>
      <c r="AF362" s="101">
        <f t="shared" si="424"/>
        <v>36</v>
      </c>
      <c r="AG362" s="101">
        <f t="shared" si="407"/>
        <v>19.001300000000001</v>
      </c>
      <c r="AH362" s="101">
        <f t="shared" si="408"/>
        <v>277</v>
      </c>
      <c r="AI362" s="101">
        <f t="shared" si="369"/>
        <v>268.61079999999998</v>
      </c>
      <c r="AJ362" s="108">
        <f t="shared" si="409"/>
        <v>1</v>
      </c>
      <c r="AK362" s="101">
        <f t="shared" si="410"/>
        <v>1868.6834667268295</v>
      </c>
      <c r="AL362" s="101">
        <f t="shared" si="411"/>
        <v>934.34173336341473</v>
      </c>
      <c r="AM362" s="101"/>
      <c r="AN362" s="101"/>
      <c r="AO362" s="1">
        <v>8</v>
      </c>
      <c r="AP362" s="2">
        <v>36</v>
      </c>
      <c r="AQ362" s="74">
        <f t="shared" si="412"/>
        <v>277</v>
      </c>
      <c r="AR362" s="31">
        <f t="shared" si="413"/>
        <v>0.8</v>
      </c>
      <c r="AS362" s="2">
        <f t="shared" si="414"/>
        <v>0</v>
      </c>
      <c r="AT362" s="33">
        <f t="shared" si="415"/>
        <v>0</v>
      </c>
      <c r="AU362" s="31">
        <f t="shared" si="416"/>
        <v>0</v>
      </c>
      <c r="AV362" s="2">
        <f t="shared" si="417"/>
        <v>1.5</v>
      </c>
      <c r="AW362" s="33">
        <f t="shared" si="418"/>
        <v>1</v>
      </c>
      <c r="AX362" s="31">
        <f t="shared" si="419"/>
        <v>150</v>
      </c>
      <c r="AY362" s="33">
        <f t="shared" si="420"/>
        <v>0</v>
      </c>
      <c r="AZ362" s="2"/>
      <c r="BA362" s="101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</row>
    <row r="363" spans="1:71" ht="12" customHeight="1">
      <c r="A363" s="2"/>
      <c r="B363" s="107">
        <v>288</v>
      </c>
      <c r="C363" s="31">
        <v>10</v>
      </c>
      <c r="D363" s="106" t="s">
        <v>17</v>
      </c>
      <c r="E363" s="2" t="s">
        <v>156</v>
      </c>
      <c r="F363" s="2"/>
      <c r="G363" s="2"/>
      <c r="H363" s="33">
        <f t="shared" si="395"/>
        <v>2</v>
      </c>
      <c r="I363" s="99">
        <f t="shared" si="0"/>
        <v>370.10652514060416</v>
      </c>
      <c r="J363" s="101">
        <f t="shared" si="1"/>
        <v>34.625</v>
      </c>
      <c r="K363" s="101">
        <f t="shared" si="2"/>
        <v>757</v>
      </c>
      <c r="L363" s="74">
        <f t="shared" si="3"/>
        <v>278</v>
      </c>
      <c r="M363" s="99">
        <f t="shared" si="191"/>
        <v>2960.8522011248333</v>
      </c>
      <c r="N363" s="108">
        <f t="shared" si="396"/>
        <v>1233.6884171353472</v>
      </c>
      <c r="O363" s="108">
        <f t="shared" si="397"/>
        <v>1727.1637839894863</v>
      </c>
      <c r="P363" s="108">
        <f t="shared" si="398"/>
        <v>0</v>
      </c>
      <c r="Q363" s="108"/>
      <c r="R363" s="109"/>
      <c r="S363" s="99">
        <f t="shared" si="399"/>
        <v>2242.4201600721954</v>
      </c>
      <c r="T363" s="108">
        <f t="shared" si="400"/>
        <v>934.34173336341473</v>
      </c>
      <c r="U363" s="108">
        <f t="shared" si="401"/>
        <v>1308.0784267087806</v>
      </c>
      <c r="V363" s="108">
        <f t="shared" si="402"/>
        <v>0</v>
      </c>
      <c r="W363" s="108"/>
      <c r="X363" s="109"/>
      <c r="Y363" s="99">
        <f t="shared" si="8"/>
        <v>6023.382731331204</v>
      </c>
      <c r="Z363" s="108">
        <f t="shared" si="403"/>
        <v>2509.7428047213352</v>
      </c>
      <c r="AA363" s="108">
        <f t="shared" si="404"/>
        <v>3513.6399266098688</v>
      </c>
      <c r="AB363" s="108">
        <f t="shared" si="405"/>
        <v>0</v>
      </c>
      <c r="AC363" s="108"/>
      <c r="AD363" s="109"/>
      <c r="AE363" s="99">
        <f t="shared" ref="AE363:AF363" si="425">AO363</f>
        <v>8</v>
      </c>
      <c r="AF363" s="101">
        <f t="shared" si="425"/>
        <v>36</v>
      </c>
      <c r="AG363" s="101">
        <f t="shared" si="407"/>
        <v>19.001300000000001</v>
      </c>
      <c r="AH363" s="101">
        <f t="shared" si="408"/>
        <v>277</v>
      </c>
      <c r="AI363" s="101">
        <f t="shared" si="369"/>
        <v>268.61079999999998</v>
      </c>
      <c r="AJ363" s="108">
        <f t="shared" si="409"/>
        <v>1</v>
      </c>
      <c r="AK363" s="101">
        <f t="shared" si="410"/>
        <v>1868.6834667268295</v>
      </c>
      <c r="AL363" s="101">
        <f t="shared" si="411"/>
        <v>934.34173336341473</v>
      </c>
      <c r="AM363" s="101"/>
      <c r="AN363" s="101"/>
      <c r="AO363" s="1">
        <v>8</v>
      </c>
      <c r="AP363" s="2">
        <v>36</v>
      </c>
      <c r="AQ363" s="74">
        <f t="shared" si="412"/>
        <v>277</v>
      </c>
      <c r="AR363" s="31">
        <f t="shared" si="413"/>
        <v>0.8</v>
      </c>
      <c r="AS363" s="2">
        <f t="shared" si="414"/>
        <v>0</v>
      </c>
      <c r="AT363" s="33">
        <f t="shared" si="415"/>
        <v>0</v>
      </c>
      <c r="AU363" s="31">
        <f t="shared" si="416"/>
        <v>0</v>
      </c>
      <c r="AV363" s="2">
        <f t="shared" si="417"/>
        <v>1</v>
      </c>
      <c r="AW363" s="33">
        <f t="shared" si="418"/>
        <v>1.4</v>
      </c>
      <c r="AX363" s="31">
        <f t="shared" si="419"/>
        <v>150</v>
      </c>
      <c r="AY363" s="33">
        <f t="shared" si="420"/>
        <v>0</v>
      </c>
      <c r="AZ363" s="2"/>
      <c r="BA363" s="101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</row>
    <row r="364" spans="1:71" ht="12" customHeight="1">
      <c r="A364" s="2"/>
      <c r="B364" s="107">
        <v>289</v>
      </c>
      <c r="C364" s="31">
        <v>10</v>
      </c>
      <c r="D364" s="106" t="s">
        <v>17</v>
      </c>
      <c r="E364" s="2" t="s">
        <v>146</v>
      </c>
      <c r="F364" s="2"/>
      <c r="G364" s="2"/>
      <c r="H364" s="33">
        <f t="shared" si="395"/>
        <v>3</v>
      </c>
      <c r="I364" s="99">
        <f t="shared" si="0"/>
        <v>462.6331564257552</v>
      </c>
      <c r="J364" s="101">
        <f t="shared" si="1"/>
        <v>34.625</v>
      </c>
      <c r="K364" s="101">
        <f t="shared" si="2"/>
        <v>653</v>
      </c>
      <c r="L364" s="74">
        <f t="shared" si="3"/>
        <v>234</v>
      </c>
      <c r="M364" s="99">
        <f t="shared" si="191"/>
        <v>3701.0652514060416</v>
      </c>
      <c r="N364" s="108">
        <f t="shared" si="396"/>
        <v>1233.6884171353472</v>
      </c>
      <c r="O364" s="108">
        <f t="shared" si="397"/>
        <v>1233.6884171353472</v>
      </c>
      <c r="P364" s="108">
        <f t="shared" si="398"/>
        <v>1233.6884171353472</v>
      </c>
      <c r="Q364" s="108"/>
      <c r="R364" s="109"/>
      <c r="S364" s="99">
        <f t="shared" si="399"/>
        <v>2803.0252000902442</v>
      </c>
      <c r="T364" s="108">
        <f t="shared" si="400"/>
        <v>934.34173336341473</v>
      </c>
      <c r="U364" s="108">
        <f t="shared" si="401"/>
        <v>934.34173336341473</v>
      </c>
      <c r="V364" s="108">
        <f t="shared" si="402"/>
        <v>934.34173336341473</v>
      </c>
      <c r="W364" s="108"/>
      <c r="X364" s="109"/>
      <c r="Y364" s="99">
        <f t="shared" si="8"/>
        <v>7529.2284141640057</v>
      </c>
      <c r="Z364" s="108">
        <f t="shared" si="403"/>
        <v>2509.7428047213352</v>
      </c>
      <c r="AA364" s="108">
        <f t="shared" si="404"/>
        <v>2509.7428047213352</v>
      </c>
      <c r="AB364" s="108">
        <f t="shared" si="405"/>
        <v>2509.7428047213352</v>
      </c>
      <c r="AC364" s="108"/>
      <c r="AD364" s="109"/>
      <c r="AE364" s="99">
        <f t="shared" ref="AE364:AF364" si="426">AO364</f>
        <v>8</v>
      </c>
      <c r="AF364" s="101">
        <f t="shared" si="426"/>
        <v>36</v>
      </c>
      <c r="AG364" s="101">
        <f t="shared" si="407"/>
        <v>19.001300000000001</v>
      </c>
      <c r="AH364" s="101">
        <f t="shared" si="408"/>
        <v>277</v>
      </c>
      <c r="AI364" s="101">
        <f t="shared" si="369"/>
        <v>268.61079999999998</v>
      </c>
      <c r="AJ364" s="108">
        <f t="shared" si="409"/>
        <v>2</v>
      </c>
      <c r="AK364" s="101">
        <f t="shared" si="410"/>
        <v>2803.0252000902442</v>
      </c>
      <c r="AL364" s="101">
        <f t="shared" si="411"/>
        <v>934.34173336341473</v>
      </c>
      <c r="AM364" s="101"/>
      <c r="AN364" s="101"/>
      <c r="AO364" s="1">
        <v>8</v>
      </c>
      <c r="AP364" s="2">
        <v>36</v>
      </c>
      <c r="AQ364" s="74">
        <f t="shared" si="412"/>
        <v>277</v>
      </c>
      <c r="AR364" s="31">
        <f t="shared" si="413"/>
        <v>1</v>
      </c>
      <c r="AS364" s="2">
        <f t="shared" si="414"/>
        <v>0</v>
      </c>
      <c r="AT364" s="33">
        <f t="shared" si="415"/>
        <v>1</v>
      </c>
      <c r="AU364" s="31">
        <f t="shared" si="416"/>
        <v>0</v>
      </c>
      <c r="AV364" s="2">
        <f t="shared" si="417"/>
        <v>1</v>
      </c>
      <c r="AW364" s="33">
        <f t="shared" si="418"/>
        <v>1</v>
      </c>
      <c r="AX364" s="31">
        <f t="shared" si="419"/>
        <v>150</v>
      </c>
      <c r="AY364" s="33">
        <f t="shared" si="420"/>
        <v>0</v>
      </c>
      <c r="AZ364" s="2"/>
      <c r="BA364" s="101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</row>
    <row r="365" spans="1:71" ht="12" customHeight="1">
      <c r="A365" s="2"/>
      <c r="B365" s="107">
        <v>290</v>
      </c>
      <c r="C365" s="31">
        <v>10</v>
      </c>
      <c r="D365" s="106" t="s">
        <v>17</v>
      </c>
      <c r="E365" s="2" t="s">
        <v>159</v>
      </c>
      <c r="F365" s="2"/>
      <c r="G365" s="2"/>
      <c r="H365" s="33">
        <f t="shared" si="395"/>
        <v>3</v>
      </c>
      <c r="I365" s="99">
        <f t="shared" si="0"/>
        <v>539.73868249671443</v>
      </c>
      <c r="J365" s="101">
        <f t="shared" si="1"/>
        <v>34.625</v>
      </c>
      <c r="K365" s="101">
        <f t="shared" si="2"/>
        <v>549</v>
      </c>
      <c r="L365" s="74">
        <f t="shared" si="3"/>
        <v>193</v>
      </c>
      <c r="M365" s="99">
        <f t="shared" si="191"/>
        <v>4317.9094599737155</v>
      </c>
      <c r="N365" s="108">
        <f t="shared" si="396"/>
        <v>1850.532625703021</v>
      </c>
      <c r="O365" s="108">
        <f t="shared" si="397"/>
        <v>1233.6884171353472</v>
      </c>
      <c r="P365" s="108">
        <f t="shared" si="398"/>
        <v>1233.6884171353472</v>
      </c>
      <c r="Q365" s="108"/>
      <c r="R365" s="109"/>
      <c r="S365" s="99">
        <f t="shared" si="399"/>
        <v>3270.1960667719518</v>
      </c>
      <c r="T365" s="108">
        <f t="shared" si="400"/>
        <v>1401.5126000451221</v>
      </c>
      <c r="U365" s="108">
        <f t="shared" si="401"/>
        <v>934.34173336341473</v>
      </c>
      <c r="V365" s="108">
        <f t="shared" si="402"/>
        <v>934.34173336341473</v>
      </c>
      <c r="W365" s="108"/>
      <c r="X365" s="109"/>
      <c r="Y365" s="99">
        <f t="shared" si="8"/>
        <v>8784.0998165246729</v>
      </c>
      <c r="Z365" s="108">
        <f t="shared" si="403"/>
        <v>3764.6142070820024</v>
      </c>
      <c r="AA365" s="108">
        <f t="shared" si="404"/>
        <v>2509.7428047213352</v>
      </c>
      <c r="AB365" s="108">
        <f t="shared" si="405"/>
        <v>2509.7428047213352</v>
      </c>
      <c r="AC365" s="108"/>
      <c r="AD365" s="109"/>
      <c r="AE365" s="99">
        <f t="shared" ref="AE365:AF365" si="427">AO365</f>
        <v>8</v>
      </c>
      <c r="AF365" s="101">
        <f t="shared" si="427"/>
        <v>36</v>
      </c>
      <c r="AG365" s="101">
        <f t="shared" si="407"/>
        <v>19.001300000000001</v>
      </c>
      <c r="AH365" s="101">
        <f t="shared" si="408"/>
        <v>277</v>
      </c>
      <c r="AI365" s="101">
        <f t="shared" si="369"/>
        <v>268.61079999999998</v>
      </c>
      <c r="AJ365" s="108">
        <f t="shared" si="409"/>
        <v>2</v>
      </c>
      <c r="AK365" s="101">
        <f t="shared" si="410"/>
        <v>2803.0252000902442</v>
      </c>
      <c r="AL365" s="101">
        <f t="shared" si="411"/>
        <v>934.34173336341473</v>
      </c>
      <c r="AM365" s="101"/>
      <c r="AN365" s="101"/>
      <c r="AO365" s="1">
        <v>8</v>
      </c>
      <c r="AP365" s="2">
        <v>36</v>
      </c>
      <c r="AQ365" s="74">
        <f t="shared" si="412"/>
        <v>277</v>
      </c>
      <c r="AR365" s="31">
        <f t="shared" si="413"/>
        <v>1</v>
      </c>
      <c r="AS365" s="2">
        <f t="shared" si="414"/>
        <v>0</v>
      </c>
      <c r="AT365" s="33">
        <f t="shared" si="415"/>
        <v>1</v>
      </c>
      <c r="AU365" s="31">
        <f t="shared" si="416"/>
        <v>0</v>
      </c>
      <c r="AV365" s="2">
        <f t="shared" si="417"/>
        <v>1.5</v>
      </c>
      <c r="AW365" s="33">
        <f t="shared" si="418"/>
        <v>1</v>
      </c>
      <c r="AX365" s="31">
        <f t="shared" si="419"/>
        <v>150</v>
      </c>
      <c r="AY365" s="33">
        <f t="shared" si="420"/>
        <v>0</v>
      </c>
      <c r="AZ365" s="2"/>
      <c r="BA365" s="101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</row>
    <row r="366" spans="1:71" ht="12" customHeight="1">
      <c r="A366" s="2"/>
      <c r="B366" s="107">
        <v>291</v>
      </c>
      <c r="C366" s="31">
        <v>10</v>
      </c>
      <c r="D366" s="106" t="s">
        <v>17</v>
      </c>
      <c r="E366" s="2" t="s">
        <v>147</v>
      </c>
      <c r="F366" s="2"/>
      <c r="G366" s="2"/>
      <c r="H366" s="33">
        <f t="shared" si="395"/>
        <v>3</v>
      </c>
      <c r="I366" s="99">
        <f t="shared" si="0"/>
        <v>647.68641899605723</v>
      </c>
      <c r="J366" s="101">
        <f t="shared" si="1"/>
        <v>34.625</v>
      </c>
      <c r="K366" s="101">
        <f t="shared" si="2"/>
        <v>409</v>
      </c>
      <c r="L366" s="74">
        <f t="shared" si="3"/>
        <v>130</v>
      </c>
      <c r="M366" s="99">
        <f t="shared" si="191"/>
        <v>5181.4913519684578</v>
      </c>
      <c r="N366" s="108">
        <f t="shared" si="396"/>
        <v>1233.6884171353472</v>
      </c>
      <c r="O366" s="108">
        <f t="shared" si="397"/>
        <v>1727.1637839894863</v>
      </c>
      <c r="P366" s="108">
        <f t="shared" si="398"/>
        <v>2220.639150843625</v>
      </c>
      <c r="Q366" s="108"/>
      <c r="R366" s="109"/>
      <c r="S366" s="99">
        <f t="shared" si="399"/>
        <v>3924.2352801263414</v>
      </c>
      <c r="T366" s="108">
        <f t="shared" si="400"/>
        <v>934.34173336341473</v>
      </c>
      <c r="U366" s="108">
        <f t="shared" si="401"/>
        <v>1308.0784267087806</v>
      </c>
      <c r="V366" s="108">
        <f t="shared" si="402"/>
        <v>1681.8151200541463</v>
      </c>
      <c r="W366" s="108"/>
      <c r="X366" s="109"/>
      <c r="Y366" s="99">
        <f t="shared" si="8"/>
        <v>10540.919779829606</v>
      </c>
      <c r="Z366" s="108">
        <f t="shared" si="403"/>
        <v>2509.7428047213352</v>
      </c>
      <c r="AA366" s="108">
        <f t="shared" si="404"/>
        <v>3513.6399266098688</v>
      </c>
      <c r="AB366" s="108">
        <f t="shared" si="405"/>
        <v>4517.5370484984023</v>
      </c>
      <c r="AC366" s="108"/>
      <c r="AD366" s="109"/>
      <c r="AE366" s="99">
        <f t="shared" ref="AE366:AF366" si="428">AO366</f>
        <v>8</v>
      </c>
      <c r="AF366" s="101">
        <f t="shared" si="428"/>
        <v>36</v>
      </c>
      <c r="AG366" s="101">
        <f t="shared" si="407"/>
        <v>19.001300000000001</v>
      </c>
      <c r="AH366" s="101">
        <f t="shared" si="408"/>
        <v>277</v>
      </c>
      <c r="AI366" s="101">
        <f t="shared" si="369"/>
        <v>268.61079999999998</v>
      </c>
      <c r="AJ366" s="108">
        <f t="shared" si="409"/>
        <v>2</v>
      </c>
      <c r="AK366" s="101">
        <f t="shared" si="410"/>
        <v>2803.0252000902442</v>
      </c>
      <c r="AL366" s="101">
        <f t="shared" si="411"/>
        <v>934.34173336341473</v>
      </c>
      <c r="AM366" s="101"/>
      <c r="AN366" s="101"/>
      <c r="AO366" s="1">
        <v>8</v>
      </c>
      <c r="AP366" s="2">
        <v>36</v>
      </c>
      <c r="AQ366" s="74">
        <f t="shared" si="412"/>
        <v>277</v>
      </c>
      <c r="AR366" s="31">
        <f t="shared" si="413"/>
        <v>1</v>
      </c>
      <c r="AS366" s="2">
        <f t="shared" si="414"/>
        <v>0</v>
      </c>
      <c r="AT366" s="33">
        <f t="shared" si="415"/>
        <v>1</v>
      </c>
      <c r="AU366" s="31">
        <f t="shared" si="416"/>
        <v>0</v>
      </c>
      <c r="AV366" s="2">
        <f t="shared" si="417"/>
        <v>1</v>
      </c>
      <c r="AW366" s="33">
        <f t="shared" si="418"/>
        <v>1.4</v>
      </c>
      <c r="AX366" s="31">
        <f t="shared" si="419"/>
        <v>150</v>
      </c>
      <c r="AY366" s="33">
        <f t="shared" si="420"/>
        <v>0</v>
      </c>
      <c r="AZ366" s="2"/>
      <c r="BA366" s="101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</row>
    <row r="367" spans="1:71" ht="12" customHeight="1">
      <c r="A367" s="2"/>
      <c r="B367" s="107">
        <v>292</v>
      </c>
      <c r="C367" s="31">
        <v>10</v>
      </c>
      <c r="D367" s="106" t="s">
        <v>17</v>
      </c>
      <c r="E367" s="2" t="s">
        <v>92</v>
      </c>
      <c r="F367" s="2"/>
      <c r="G367" s="2"/>
      <c r="H367" s="33">
        <f t="shared" si="395"/>
        <v>3</v>
      </c>
      <c r="I367" s="99">
        <f t="shared" si="0"/>
        <v>462.6331564257552</v>
      </c>
      <c r="J367" s="101">
        <f t="shared" si="1"/>
        <v>34.625</v>
      </c>
      <c r="K367" s="101">
        <f t="shared" si="2"/>
        <v>653</v>
      </c>
      <c r="L367" s="74">
        <f t="shared" si="3"/>
        <v>234</v>
      </c>
      <c r="M367" s="99">
        <f t="shared" si="191"/>
        <v>3701.0652514060416</v>
      </c>
      <c r="N367" s="108">
        <f t="shared" si="396"/>
        <v>1233.6884171353472</v>
      </c>
      <c r="O367" s="108">
        <f t="shared" si="397"/>
        <v>1233.6884171353472</v>
      </c>
      <c r="P367" s="108">
        <f t="shared" si="398"/>
        <v>1233.6884171353472</v>
      </c>
      <c r="Q367" s="108"/>
      <c r="R367" s="109"/>
      <c r="S367" s="99">
        <f t="shared" si="399"/>
        <v>2803.0252000902442</v>
      </c>
      <c r="T367" s="108">
        <f t="shared" si="400"/>
        <v>934.34173336341473</v>
      </c>
      <c r="U367" s="108">
        <f t="shared" si="401"/>
        <v>934.34173336341473</v>
      </c>
      <c r="V367" s="108">
        <f t="shared" si="402"/>
        <v>934.34173336341473</v>
      </c>
      <c r="W367" s="108"/>
      <c r="X367" s="109"/>
      <c r="Y367" s="99">
        <f t="shared" si="8"/>
        <v>7529.2284141640057</v>
      </c>
      <c r="Z367" s="108">
        <f t="shared" si="403"/>
        <v>2509.7428047213352</v>
      </c>
      <c r="AA367" s="108">
        <f t="shared" si="404"/>
        <v>2509.7428047213352</v>
      </c>
      <c r="AB367" s="108">
        <f t="shared" si="405"/>
        <v>2509.7428047213352</v>
      </c>
      <c r="AC367" s="108"/>
      <c r="AD367" s="109"/>
      <c r="AE367" s="99">
        <f t="shared" ref="AE367:AF367" si="429">AO367</f>
        <v>8</v>
      </c>
      <c r="AF367" s="101">
        <f t="shared" si="429"/>
        <v>36</v>
      </c>
      <c r="AG367" s="101">
        <f t="shared" si="407"/>
        <v>19.001300000000001</v>
      </c>
      <c r="AH367" s="101">
        <f t="shared" si="408"/>
        <v>277</v>
      </c>
      <c r="AI367" s="101">
        <f t="shared" si="369"/>
        <v>268.61079999999998</v>
      </c>
      <c r="AJ367" s="108">
        <f t="shared" si="409"/>
        <v>2</v>
      </c>
      <c r="AK367" s="101">
        <f t="shared" si="410"/>
        <v>2803.0252000902442</v>
      </c>
      <c r="AL367" s="101">
        <f t="shared" si="411"/>
        <v>934.34173336341473</v>
      </c>
      <c r="AM367" s="101"/>
      <c r="AN367" s="101"/>
      <c r="AO367" s="1">
        <v>8</v>
      </c>
      <c r="AP367" s="2">
        <v>36</v>
      </c>
      <c r="AQ367" s="74">
        <f t="shared" si="412"/>
        <v>277</v>
      </c>
      <c r="AR367" s="31">
        <f t="shared" si="413"/>
        <v>1</v>
      </c>
      <c r="AS367" s="2">
        <f t="shared" si="414"/>
        <v>0</v>
      </c>
      <c r="AT367" s="33">
        <f t="shared" si="415"/>
        <v>0</v>
      </c>
      <c r="AU367" s="31">
        <f t="shared" si="416"/>
        <v>0</v>
      </c>
      <c r="AV367" s="2">
        <f t="shared" si="417"/>
        <v>1</v>
      </c>
      <c r="AW367" s="33">
        <f t="shared" si="418"/>
        <v>1</v>
      </c>
      <c r="AX367" s="31">
        <f t="shared" si="419"/>
        <v>0</v>
      </c>
      <c r="AY367" s="33">
        <f t="shared" si="420"/>
        <v>1</v>
      </c>
      <c r="AZ367" s="2"/>
      <c r="BA367" s="101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</row>
    <row r="368" spans="1:71" ht="12" customHeight="1">
      <c r="A368" s="2"/>
      <c r="B368" s="107">
        <v>293</v>
      </c>
      <c r="C368" s="31">
        <v>10</v>
      </c>
      <c r="D368" s="106" t="s">
        <v>17</v>
      </c>
      <c r="E368" s="2" t="s">
        <v>95</v>
      </c>
      <c r="F368" s="2"/>
      <c r="G368" s="2"/>
      <c r="H368" s="33">
        <f t="shared" si="395"/>
        <v>3</v>
      </c>
      <c r="I368" s="99">
        <f t="shared" si="0"/>
        <v>539.73868249671443</v>
      </c>
      <c r="J368" s="101">
        <f t="shared" si="1"/>
        <v>34.625</v>
      </c>
      <c r="K368" s="101">
        <f t="shared" si="2"/>
        <v>549</v>
      </c>
      <c r="L368" s="74">
        <f t="shared" si="3"/>
        <v>193</v>
      </c>
      <c r="M368" s="99">
        <f t="shared" si="191"/>
        <v>4317.9094599737155</v>
      </c>
      <c r="N368" s="108">
        <f t="shared" si="396"/>
        <v>1850.532625703021</v>
      </c>
      <c r="O368" s="108">
        <f t="shared" si="397"/>
        <v>1233.6884171353472</v>
      </c>
      <c r="P368" s="108">
        <f t="shared" si="398"/>
        <v>1233.6884171353472</v>
      </c>
      <c r="Q368" s="108"/>
      <c r="R368" s="109"/>
      <c r="S368" s="99">
        <f t="shared" si="399"/>
        <v>3270.1960667719518</v>
      </c>
      <c r="T368" s="108">
        <f t="shared" si="400"/>
        <v>1401.5126000451221</v>
      </c>
      <c r="U368" s="108">
        <f t="shared" si="401"/>
        <v>934.34173336341473</v>
      </c>
      <c r="V368" s="108">
        <f t="shared" si="402"/>
        <v>934.34173336341473</v>
      </c>
      <c r="W368" s="108"/>
      <c r="X368" s="109"/>
      <c r="Y368" s="99">
        <f t="shared" si="8"/>
        <v>8784.0998165246729</v>
      </c>
      <c r="Z368" s="108">
        <f t="shared" si="403"/>
        <v>3764.6142070820024</v>
      </c>
      <c r="AA368" s="108">
        <f t="shared" si="404"/>
        <v>2509.7428047213352</v>
      </c>
      <c r="AB368" s="108">
        <f t="shared" si="405"/>
        <v>2509.7428047213352</v>
      </c>
      <c r="AC368" s="108"/>
      <c r="AD368" s="109"/>
      <c r="AE368" s="99">
        <f t="shared" ref="AE368:AF368" si="430">AO368</f>
        <v>8</v>
      </c>
      <c r="AF368" s="101">
        <f t="shared" si="430"/>
        <v>36</v>
      </c>
      <c r="AG368" s="101">
        <f t="shared" si="407"/>
        <v>19.001300000000001</v>
      </c>
      <c r="AH368" s="101">
        <f t="shared" si="408"/>
        <v>277</v>
      </c>
      <c r="AI368" s="101">
        <f t="shared" si="369"/>
        <v>268.61079999999998</v>
      </c>
      <c r="AJ368" s="108">
        <f t="shared" si="409"/>
        <v>2</v>
      </c>
      <c r="AK368" s="101">
        <f t="shared" si="410"/>
        <v>2803.0252000902442</v>
      </c>
      <c r="AL368" s="101">
        <f t="shared" si="411"/>
        <v>934.34173336341473</v>
      </c>
      <c r="AM368" s="101"/>
      <c r="AN368" s="101"/>
      <c r="AO368" s="1">
        <v>8</v>
      </c>
      <c r="AP368" s="2">
        <v>36</v>
      </c>
      <c r="AQ368" s="74">
        <f t="shared" si="412"/>
        <v>277</v>
      </c>
      <c r="AR368" s="31">
        <f t="shared" si="413"/>
        <v>1</v>
      </c>
      <c r="AS368" s="2">
        <f t="shared" si="414"/>
        <v>0</v>
      </c>
      <c r="AT368" s="33">
        <f t="shared" si="415"/>
        <v>0</v>
      </c>
      <c r="AU368" s="31">
        <f t="shared" si="416"/>
        <v>0</v>
      </c>
      <c r="AV368" s="2">
        <f t="shared" si="417"/>
        <v>1.5</v>
      </c>
      <c r="AW368" s="33">
        <f t="shared" si="418"/>
        <v>1</v>
      </c>
      <c r="AX368" s="31">
        <f t="shared" si="419"/>
        <v>0</v>
      </c>
      <c r="AY368" s="33">
        <f t="shared" si="420"/>
        <v>1</v>
      </c>
      <c r="AZ368" s="2"/>
      <c r="BA368" s="101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</row>
    <row r="369" spans="1:71" ht="12" customHeight="1">
      <c r="A369" s="2"/>
      <c r="B369" s="107">
        <v>294</v>
      </c>
      <c r="C369" s="31">
        <v>10</v>
      </c>
      <c r="D369" s="106" t="s">
        <v>17</v>
      </c>
      <c r="E369" s="2" t="s">
        <v>98</v>
      </c>
      <c r="F369" s="2"/>
      <c r="G369" s="2"/>
      <c r="H369" s="33">
        <f t="shared" si="395"/>
        <v>3</v>
      </c>
      <c r="I369" s="99">
        <f t="shared" si="0"/>
        <v>647.68641899605723</v>
      </c>
      <c r="J369" s="101">
        <f t="shared" si="1"/>
        <v>34.625</v>
      </c>
      <c r="K369" s="101">
        <f t="shared" si="2"/>
        <v>409</v>
      </c>
      <c r="L369" s="74">
        <f t="shared" si="3"/>
        <v>130</v>
      </c>
      <c r="M369" s="99">
        <f t="shared" si="191"/>
        <v>5181.4913519684578</v>
      </c>
      <c r="N369" s="108">
        <f t="shared" si="396"/>
        <v>1233.6884171353472</v>
      </c>
      <c r="O369" s="108">
        <f t="shared" si="397"/>
        <v>1727.1637839894863</v>
      </c>
      <c r="P369" s="108">
        <f t="shared" si="398"/>
        <v>2220.639150843625</v>
      </c>
      <c r="Q369" s="108"/>
      <c r="R369" s="109"/>
      <c r="S369" s="99">
        <f t="shared" si="399"/>
        <v>3924.2352801263414</v>
      </c>
      <c r="T369" s="108">
        <f t="shared" si="400"/>
        <v>934.34173336341473</v>
      </c>
      <c r="U369" s="108">
        <f t="shared" si="401"/>
        <v>1308.0784267087806</v>
      </c>
      <c r="V369" s="108">
        <f t="shared" si="402"/>
        <v>1681.8151200541463</v>
      </c>
      <c r="W369" s="108"/>
      <c r="X369" s="109"/>
      <c r="Y369" s="99">
        <f t="shared" si="8"/>
        <v>10540.919779829606</v>
      </c>
      <c r="Z369" s="108">
        <f t="shared" si="403"/>
        <v>2509.7428047213352</v>
      </c>
      <c r="AA369" s="108">
        <f t="shared" si="404"/>
        <v>3513.6399266098688</v>
      </c>
      <c r="AB369" s="108">
        <f t="shared" si="405"/>
        <v>4517.5370484984023</v>
      </c>
      <c r="AC369" s="108"/>
      <c r="AD369" s="109"/>
      <c r="AE369" s="99">
        <f t="shared" ref="AE369:AF369" si="431">AO369</f>
        <v>8</v>
      </c>
      <c r="AF369" s="101">
        <f t="shared" si="431"/>
        <v>36</v>
      </c>
      <c r="AG369" s="101">
        <f t="shared" si="407"/>
        <v>19.001300000000001</v>
      </c>
      <c r="AH369" s="101">
        <f t="shared" si="408"/>
        <v>277</v>
      </c>
      <c r="AI369" s="101">
        <f t="shared" si="369"/>
        <v>268.61079999999998</v>
      </c>
      <c r="AJ369" s="108">
        <f t="shared" si="409"/>
        <v>2</v>
      </c>
      <c r="AK369" s="101">
        <f t="shared" si="410"/>
        <v>2803.0252000902442</v>
      </c>
      <c r="AL369" s="101">
        <f t="shared" si="411"/>
        <v>934.34173336341473</v>
      </c>
      <c r="AM369" s="101"/>
      <c r="AN369" s="101"/>
      <c r="AO369" s="1">
        <v>8</v>
      </c>
      <c r="AP369" s="2">
        <v>36</v>
      </c>
      <c r="AQ369" s="74">
        <f t="shared" si="412"/>
        <v>277</v>
      </c>
      <c r="AR369" s="31">
        <f t="shared" si="413"/>
        <v>1</v>
      </c>
      <c r="AS369" s="2">
        <f t="shared" si="414"/>
        <v>0</v>
      </c>
      <c r="AT369" s="33">
        <f t="shared" si="415"/>
        <v>0</v>
      </c>
      <c r="AU369" s="31">
        <f t="shared" si="416"/>
        <v>0</v>
      </c>
      <c r="AV369" s="2">
        <f t="shared" si="417"/>
        <v>1</v>
      </c>
      <c r="AW369" s="33">
        <f t="shared" si="418"/>
        <v>1.4</v>
      </c>
      <c r="AX369" s="31">
        <f t="shared" si="419"/>
        <v>0</v>
      </c>
      <c r="AY369" s="33">
        <f t="shared" si="420"/>
        <v>1</v>
      </c>
      <c r="AZ369" s="2"/>
      <c r="BA369" s="101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</row>
    <row r="370" spans="1:71" ht="12" customHeight="1">
      <c r="A370" s="2"/>
      <c r="B370" s="107">
        <v>295</v>
      </c>
      <c r="C370" s="31">
        <v>10</v>
      </c>
      <c r="D370" s="106" t="s">
        <v>17</v>
      </c>
      <c r="E370" s="2" t="s">
        <v>151</v>
      </c>
      <c r="F370" s="2"/>
      <c r="G370" s="2"/>
      <c r="H370" s="33">
        <f t="shared" si="395"/>
        <v>3</v>
      </c>
      <c r="I370" s="99">
        <f t="shared" si="0"/>
        <v>462.6331564257552</v>
      </c>
      <c r="J370" s="101">
        <f t="shared" si="1"/>
        <v>34.625</v>
      </c>
      <c r="K370" s="101">
        <f t="shared" si="2"/>
        <v>653</v>
      </c>
      <c r="L370" s="74">
        <f t="shared" si="3"/>
        <v>234</v>
      </c>
      <c r="M370" s="99">
        <f t="shared" si="191"/>
        <v>3701.0652514060416</v>
      </c>
      <c r="N370" s="108">
        <f t="shared" si="396"/>
        <v>1233.6884171353472</v>
      </c>
      <c r="O370" s="108">
        <f t="shared" si="397"/>
        <v>1233.6884171353472</v>
      </c>
      <c r="P370" s="108">
        <f t="shared" si="398"/>
        <v>1233.6884171353472</v>
      </c>
      <c r="Q370" s="108"/>
      <c r="R370" s="109"/>
      <c r="S370" s="99">
        <f t="shared" si="399"/>
        <v>2803.0252000902442</v>
      </c>
      <c r="T370" s="108">
        <f t="shared" si="400"/>
        <v>934.34173336341473</v>
      </c>
      <c r="U370" s="108">
        <f t="shared" si="401"/>
        <v>934.34173336341473</v>
      </c>
      <c r="V370" s="108">
        <f t="shared" si="402"/>
        <v>934.34173336341473</v>
      </c>
      <c r="W370" s="108"/>
      <c r="X370" s="109"/>
      <c r="Y370" s="99">
        <f t="shared" si="8"/>
        <v>7529.2284141640057</v>
      </c>
      <c r="Z370" s="108">
        <f t="shared" si="403"/>
        <v>2509.7428047213352</v>
      </c>
      <c r="AA370" s="108">
        <f t="shared" si="404"/>
        <v>2509.7428047213352</v>
      </c>
      <c r="AB370" s="108">
        <f t="shared" si="405"/>
        <v>2509.7428047213352</v>
      </c>
      <c r="AC370" s="108"/>
      <c r="AD370" s="109"/>
      <c r="AE370" s="99">
        <f t="shared" ref="AE370:AF370" si="432">AO370</f>
        <v>8</v>
      </c>
      <c r="AF370" s="101">
        <f t="shared" si="432"/>
        <v>36</v>
      </c>
      <c r="AG370" s="101">
        <f t="shared" si="407"/>
        <v>19.001300000000001</v>
      </c>
      <c r="AH370" s="101">
        <f t="shared" si="408"/>
        <v>277</v>
      </c>
      <c r="AI370" s="101">
        <f t="shared" si="369"/>
        <v>268.61079999999998</v>
      </c>
      <c r="AJ370" s="108">
        <f t="shared" si="409"/>
        <v>1.6</v>
      </c>
      <c r="AK370" s="101">
        <f t="shared" si="410"/>
        <v>2803.0252000902442</v>
      </c>
      <c r="AL370" s="101">
        <f t="shared" si="411"/>
        <v>934.34173336341473</v>
      </c>
      <c r="AM370" s="101"/>
      <c r="AN370" s="101"/>
      <c r="AO370" s="1">
        <v>8</v>
      </c>
      <c r="AP370" s="2">
        <v>36</v>
      </c>
      <c r="AQ370" s="74">
        <f t="shared" si="412"/>
        <v>277</v>
      </c>
      <c r="AR370" s="31">
        <f t="shared" si="413"/>
        <v>0.8</v>
      </c>
      <c r="AS370" s="2">
        <f t="shared" si="414"/>
        <v>0</v>
      </c>
      <c r="AT370" s="33">
        <f t="shared" si="415"/>
        <v>0</v>
      </c>
      <c r="AU370" s="31">
        <f t="shared" si="416"/>
        <v>0</v>
      </c>
      <c r="AV370" s="2">
        <f t="shared" si="417"/>
        <v>1</v>
      </c>
      <c r="AW370" s="33">
        <f t="shared" si="418"/>
        <v>1</v>
      </c>
      <c r="AX370" s="31">
        <f t="shared" si="419"/>
        <v>0</v>
      </c>
      <c r="AY370" s="33">
        <f t="shared" si="420"/>
        <v>1</v>
      </c>
      <c r="AZ370" s="2"/>
      <c r="BA370" s="101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</row>
    <row r="371" spans="1:71" ht="12" customHeight="1">
      <c r="A371" s="2"/>
      <c r="B371" s="107">
        <v>296</v>
      </c>
      <c r="C371" s="31">
        <v>10</v>
      </c>
      <c r="D371" s="106" t="s">
        <v>17</v>
      </c>
      <c r="E371" s="2" t="s">
        <v>154</v>
      </c>
      <c r="F371" s="2"/>
      <c r="G371" s="2"/>
      <c r="H371" s="33">
        <f t="shared" si="395"/>
        <v>3</v>
      </c>
      <c r="I371" s="99">
        <f t="shared" si="0"/>
        <v>539.73868249671443</v>
      </c>
      <c r="J371" s="101">
        <f t="shared" si="1"/>
        <v>34.625</v>
      </c>
      <c r="K371" s="101">
        <f t="shared" si="2"/>
        <v>549</v>
      </c>
      <c r="L371" s="74">
        <f t="shared" si="3"/>
        <v>193</v>
      </c>
      <c r="M371" s="99">
        <f t="shared" si="191"/>
        <v>4317.9094599737155</v>
      </c>
      <c r="N371" s="108">
        <f t="shared" si="396"/>
        <v>1850.532625703021</v>
      </c>
      <c r="O371" s="108">
        <f t="shared" si="397"/>
        <v>1233.6884171353472</v>
      </c>
      <c r="P371" s="108">
        <f t="shared" si="398"/>
        <v>1233.6884171353472</v>
      </c>
      <c r="Q371" s="108"/>
      <c r="R371" s="109"/>
      <c r="S371" s="99">
        <f t="shared" si="399"/>
        <v>3270.1960667719518</v>
      </c>
      <c r="T371" s="108">
        <f t="shared" si="400"/>
        <v>1401.5126000451221</v>
      </c>
      <c r="U371" s="108">
        <f t="shared" si="401"/>
        <v>934.34173336341473</v>
      </c>
      <c r="V371" s="108">
        <f t="shared" si="402"/>
        <v>934.34173336341473</v>
      </c>
      <c r="W371" s="108"/>
      <c r="X371" s="109"/>
      <c r="Y371" s="99">
        <f t="shared" si="8"/>
        <v>8784.0998165246729</v>
      </c>
      <c r="Z371" s="108">
        <f t="shared" si="403"/>
        <v>3764.6142070820024</v>
      </c>
      <c r="AA371" s="108">
        <f t="shared" si="404"/>
        <v>2509.7428047213352</v>
      </c>
      <c r="AB371" s="108">
        <f t="shared" si="405"/>
        <v>2509.7428047213352</v>
      </c>
      <c r="AC371" s="108"/>
      <c r="AD371" s="109"/>
      <c r="AE371" s="99">
        <f t="shared" ref="AE371:AF371" si="433">AO371</f>
        <v>8</v>
      </c>
      <c r="AF371" s="101">
        <f t="shared" si="433"/>
        <v>36</v>
      </c>
      <c r="AG371" s="101">
        <f t="shared" si="407"/>
        <v>19.001300000000001</v>
      </c>
      <c r="AH371" s="101">
        <f t="shared" si="408"/>
        <v>277</v>
      </c>
      <c r="AI371" s="101">
        <f t="shared" si="369"/>
        <v>268.61079999999998</v>
      </c>
      <c r="AJ371" s="108">
        <f t="shared" si="409"/>
        <v>1.6</v>
      </c>
      <c r="AK371" s="101">
        <f t="shared" si="410"/>
        <v>2803.0252000902442</v>
      </c>
      <c r="AL371" s="101">
        <f t="shared" si="411"/>
        <v>934.34173336341473</v>
      </c>
      <c r="AM371" s="101"/>
      <c r="AN371" s="101"/>
      <c r="AO371" s="1">
        <v>8</v>
      </c>
      <c r="AP371" s="2">
        <v>36</v>
      </c>
      <c r="AQ371" s="74">
        <f t="shared" si="412"/>
        <v>277</v>
      </c>
      <c r="AR371" s="31">
        <f t="shared" si="413"/>
        <v>0.8</v>
      </c>
      <c r="AS371" s="2">
        <f t="shared" si="414"/>
        <v>0</v>
      </c>
      <c r="AT371" s="33">
        <f t="shared" si="415"/>
        <v>0</v>
      </c>
      <c r="AU371" s="31">
        <f t="shared" si="416"/>
        <v>0</v>
      </c>
      <c r="AV371" s="2">
        <f t="shared" si="417"/>
        <v>1.5</v>
      </c>
      <c r="AW371" s="33">
        <f t="shared" si="418"/>
        <v>1</v>
      </c>
      <c r="AX371" s="31">
        <f t="shared" si="419"/>
        <v>0</v>
      </c>
      <c r="AY371" s="33">
        <f t="shared" si="420"/>
        <v>1</v>
      </c>
      <c r="AZ371" s="2"/>
      <c r="BA371" s="101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</row>
    <row r="372" spans="1:71" ht="12" customHeight="1">
      <c r="A372" s="2"/>
      <c r="B372" s="107">
        <v>297</v>
      </c>
      <c r="C372" s="31">
        <v>10</v>
      </c>
      <c r="D372" s="106" t="s">
        <v>17</v>
      </c>
      <c r="E372" s="2" t="s">
        <v>157</v>
      </c>
      <c r="F372" s="2"/>
      <c r="G372" s="2"/>
      <c r="H372" s="33">
        <f t="shared" si="395"/>
        <v>3</v>
      </c>
      <c r="I372" s="99">
        <f t="shared" si="0"/>
        <v>647.68641899605723</v>
      </c>
      <c r="J372" s="101">
        <f t="shared" si="1"/>
        <v>34.625</v>
      </c>
      <c r="K372" s="101">
        <f t="shared" si="2"/>
        <v>409</v>
      </c>
      <c r="L372" s="74">
        <f t="shared" si="3"/>
        <v>130</v>
      </c>
      <c r="M372" s="99">
        <f t="shared" si="191"/>
        <v>5181.4913519684578</v>
      </c>
      <c r="N372" s="108">
        <f t="shared" si="396"/>
        <v>1233.6884171353472</v>
      </c>
      <c r="O372" s="108">
        <f t="shared" si="397"/>
        <v>1727.1637839894863</v>
      </c>
      <c r="P372" s="108">
        <f t="shared" si="398"/>
        <v>2220.639150843625</v>
      </c>
      <c r="Q372" s="108"/>
      <c r="R372" s="109"/>
      <c r="S372" s="99">
        <f t="shared" si="399"/>
        <v>3924.2352801263414</v>
      </c>
      <c r="T372" s="108">
        <f t="shared" si="400"/>
        <v>934.34173336341473</v>
      </c>
      <c r="U372" s="108">
        <f t="shared" si="401"/>
        <v>1308.0784267087806</v>
      </c>
      <c r="V372" s="108">
        <f t="shared" si="402"/>
        <v>1681.8151200541463</v>
      </c>
      <c r="W372" s="108"/>
      <c r="X372" s="109"/>
      <c r="Y372" s="99">
        <f t="shared" si="8"/>
        <v>10540.919779829606</v>
      </c>
      <c r="Z372" s="108">
        <f t="shared" si="403"/>
        <v>2509.7428047213352</v>
      </c>
      <c r="AA372" s="108">
        <f t="shared" si="404"/>
        <v>3513.6399266098688</v>
      </c>
      <c r="AB372" s="108">
        <f t="shared" si="405"/>
        <v>4517.5370484984023</v>
      </c>
      <c r="AC372" s="108"/>
      <c r="AD372" s="109"/>
      <c r="AE372" s="99">
        <f t="shared" ref="AE372:AF372" si="434">AO372</f>
        <v>8</v>
      </c>
      <c r="AF372" s="101">
        <f t="shared" si="434"/>
        <v>36</v>
      </c>
      <c r="AG372" s="101">
        <f t="shared" si="407"/>
        <v>19.001300000000001</v>
      </c>
      <c r="AH372" s="101">
        <f t="shared" si="408"/>
        <v>277</v>
      </c>
      <c r="AI372" s="101">
        <f t="shared" si="369"/>
        <v>268.61079999999998</v>
      </c>
      <c r="AJ372" s="108">
        <f t="shared" si="409"/>
        <v>1.6</v>
      </c>
      <c r="AK372" s="101">
        <f t="shared" si="410"/>
        <v>2803.0252000902442</v>
      </c>
      <c r="AL372" s="101">
        <f t="shared" si="411"/>
        <v>934.34173336341473</v>
      </c>
      <c r="AM372" s="101"/>
      <c r="AN372" s="101"/>
      <c r="AO372" s="1">
        <v>8</v>
      </c>
      <c r="AP372" s="2">
        <v>36</v>
      </c>
      <c r="AQ372" s="74">
        <f t="shared" si="412"/>
        <v>277</v>
      </c>
      <c r="AR372" s="31">
        <f t="shared" si="413"/>
        <v>0.8</v>
      </c>
      <c r="AS372" s="2">
        <f t="shared" si="414"/>
        <v>0</v>
      </c>
      <c r="AT372" s="33">
        <f t="shared" si="415"/>
        <v>0</v>
      </c>
      <c r="AU372" s="31">
        <f t="shared" si="416"/>
        <v>0</v>
      </c>
      <c r="AV372" s="2">
        <f t="shared" si="417"/>
        <v>1</v>
      </c>
      <c r="AW372" s="33">
        <f t="shared" si="418"/>
        <v>1.4</v>
      </c>
      <c r="AX372" s="31">
        <f t="shared" si="419"/>
        <v>0</v>
      </c>
      <c r="AY372" s="33">
        <f t="shared" si="420"/>
        <v>1</v>
      </c>
      <c r="AZ372" s="2"/>
      <c r="BA372" s="101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</row>
    <row r="373" spans="1:71" ht="12" customHeight="1">
      <c r="A373" s="2"/>
      <c r="B373" s="107">
        <v>298</v>
      </c>
      <c r="C373" s="31">
        <v>10</v>
      </c>
      <c r="D373" s="106" t="s">
        <v>17</v>
      </c>
      <c r="E373" s="2" t="s">
        <v>111</v>
      </c>
      <c r="F373" s="2"/>
      <c r="G373" s="2"/>
      <c r="H373" s="33">
        <f t="shared" si="395"/>
        <v>3</v>
      </c>
      <c r="I373" s="99">
        <f t="shared" si="0"/>
        <v>462.6331564257552</v>
      </c>
      <c r="J373" s="101">
        <f t="shared" si="1"/>
        <v>34.625</v>
      </c>
      <c r="K373" s="101">
        <f t="shared" si="2"/>
        <v>653</v>
      </c>
      <c r="L373" s="74">
        <f t="shared" si="3"/>
        <v>234</v>
      </c>
      <c r="M373" s="99">
        <f t="shared" si="191"/>
        <v>3701.0652514060416</v>
      </c>
      <c r="N373" s="108">
        <f t="shared" si="396"/>
        <v>1233.6884171353472</v>
      </c>
      <c r="O373" s="108">
        <f t="shared" si="397"/>
        <v>1233.6884171353472</v>
      </c>
      <c r="P373" s="108">
        <f t="shared" si="398"/>
        <v>1233.6884171353472</v>
      </c>
      <c r="Q373" s="108"/>
      <c r="R373" s="109"/>
      <c r="S373" s="99">
        <f t="shared" si="399"/>
        <v>2803.0252000902442</v>
      </c>
      <c r="T373" s="108">
        <f t="shared" si="400"/>
        <v>934.34173336341473</v>
      </c>
      <c r="U373" s="108">
        <f t="shared" si="401"/>
        <v>934.34173336341473</v>
      </c>
      <c r="V373" s="108">
        <f t="shared" si="402"/>
        <v>934.34173336341473</v>
      </c>
      <c r="W373" s="108"/>
      <c r="X373" s="109"/>
      <c r="Y373" s="99">
        <f t="shared" si="8"/>
        <v>7529.2284141640057</v>
      </c>
      <c r="Z373" s="108">
        <f t="shared" si="403"/>
        <v>2509.7428047213352</v>
      </c>
      <c r="AA373" s="108">
        <f t="shared" si="404"/>
        <v>2509.7428047213352</v>
      </c>
      <c r="AB373" s="108">
        <f t="shared" si="405"/>
        <v>2509.7428047213352</v>
      </c>
      <c r="AC373" s="108"/>
      <c r="AD373" s="109"/>
      <c r="AE373" s="99">
        <f t="shared" ref="AE373:AF373" si="435">AO373</f>
        <v>8</v>
      </c>
      <c r="AF373" s="101">
        <f t="shared" si="435"/>
        <v>36</v>
      </c>
      <c r="AG373" s="101">
        <f t="shared" si="407"/>
        <v>19.001300000000001</v>
      </c>
      <c r="AH373" s="101">
        <f t="shared" si="408"/>
        <v>277</v>
      </c>
      <c r="AI373" s="101">
        <f t="shared" si="369"/>
        <v>268.61079999999998</v>
      </c>
      <c r="AJ373" s="108">
        <f t="shared" si="409"/>
        <v>2</v>
      </c>
      <c r="AK373" s="101">
        <f t="shared" si="410"/>
        <v>2803.0252000902442</v>
      </c>
      <c r="AL373" s="101">
        <f t="shared" si="411"/>
        <v>934.34173336341473</v>
      </c>
      <c r="AM373" s="101"/>
      <c r="AN373" s="101"/>
      <c r="AO373" s="1">
        <v>8</v>
      </c>
      <c r="AP373" s="2">
        <v>36</v>
      </c>
      <c r="AQ373" s="74">
        <f t="shared" si="412"/>
        <v>277</v>
      </c>
      <c r="AR373" s="31">
        <f t="shared" si="413"/>
        <v>1</v>
      </c>
      <c r="AS373" s="2">
        <f t="shared" si="414"/>
        <v>0</v>
      </c>
      <c r="AT373" s="33">
        <f t="shared" si="415"/>
        <v>1</v>
      </c>
      <c r="AU373" s="31">
        <f t="shared" si="416"/>
        <v>0</v>
      </c>
      <c r="AV373" s="2">
        <f t="shared" si="417"/>
        <v>1</v>
      </c>
      <c r="AW373" s="33">
        <f t="shared" si="418"/>
        <v>1</v>
      </c>
      <c r="AX373" s="31">
        <f t="shared" si="419"/>
        <v>0</v>
      </c>
      <c r="AY373" s="33">
        <f t="shared" si="420"/>
        <v>1</v>
      </c>
      <c r="AZ373" s="2"/>
      <c r="BA373" s="101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</row>
    <row r="374" spans="1:71" ht="12" customHeight="1">
      <c r="A374" s="2"/>
      <c r="B374" s="107">
        <v>299</v>
      </c>
      <c r="C374" s="31">
        <v>10</v>
      </c>
      <c r="D374" s="106" t="s">
        <v>17</v>
      </c>
      <c r="E374" s="2" t="s">
        <v>132</v>
      </c>
      <c r="F374" s="2"/>
      <c r="G374" s="2"/>
      <c r="H374" s="33">
        <f t="shared" si="395"/>
        <v>3</v>
      </c>
      <c r="I374" s="99">
        <f t="shared" si="0"/>
        <v>539.73868249671443</v>
      </c>
      <c r="J374" s="101">
        <f t="shared" si="1"/>
        <v>34.625</v>
      </c>
      <c r="K374" s="101">
        <f t="shared" si="2"/>
        <v>549</v>
      </c>
      <c r="L374" s="74">
        <f t="shared" si="3"/>
        <v>193</v>
      </c>
      <c r="M374" s="99">
        <f t="shared" si="191"/>
        <v>4317.9094599737155</v>
      </c>
      <c r="N374" s="108">
        <f t="shared" si="396"/>
        <v>1850.532625703021</v>
      </c>
      <c r="O374" s="108">
        <f t="shared" si="397"/>
        <v>1233.6884171353472</v>
      </c>
      <c r="P374" s="108">
        <f t="shared" si="398"/>
        <v>1233.6884171353472</v>
      </c>
      <c r="Q374" s="108"/>
      <c r="R374" s="109"/>
      <c r="S374" s="99">
        <f t="shared" si="399"/>
        <v>3270.1960667719518</v>
      </c>
      <c r="T374" s="108">
        <f t="shared" si="400"/>
        <v>1401.5126000451221</v>
      </c>
      <c r="U374" s="108">
        <f t="shared" si="401"/>
        <v>934.34173336341473</v>
      </c>
      <c r="V374" s="108">
        <f t="shared" si="402"/>
        <v>934.34173336341473</v>
      </c>
      <c r="W374" s="108"/>
      <c r="X374" s="109"/>
      <c r="Y374" s="99">
        <f t="shared" si="8"/>
        <v>8784.0998165246729</v>
      </c>
      <c r="Z374" s="108">
        <f t="shared" si="403"/>
        <v>3764.6142070820024</v>
      </c>
      <c r="AA374" s="108">
        <f t="shared" si="404"/>
        <v>2509.7428047213352</v>
      </c>
      <c r="AB374" s="108">
        <f t="shared" si="405"/>
        <v>2509.7428047213352</v>
      </c>
      <c r="AC374" s="108"/>
      <c r="AD374" s="109"/>
      <c r="AE374" s="99">
        <f t="shared" ref="AE374:AF374" si="436">AO374</f>
        <v>8</v>
      </c>
      <c r="AF374" s="101">
        <f t="shared" si="436"/>
        <v>36</v>
      </c>
      <c r="AG374" s="101">
        <f t="shared" si="407"/>
        <v>19.001300000000001</v>
      </c>
      <c r="AH374" s="101">
        <f t="shared" si="408"/>
        <v>277</v>
      </c>
      <c r="AI374" s="101">
        <f t="shared" si="369"/>
        <v>268.61079999999998</v>
      </c>
      <c r="AJ374" s="108">
        <f t="shared" si="409"/>
        <v>2</v>
      </c>
      <c r="AK374" s="101">
        <f t="shared" si="410"/>
        <v>2803.0252000902442</v>
      </c>
      <c r="AL374" s="101">
        <f t="shared" si="411"/>
        <v>934.34173336341473</v>
      </c>
      <c r="AM374" s="101"/>
      <c r="AN374" s="101"/>
      <c r="AO374" s="1">
        <v>8</v>
      </c>
      <c r="AP374" s="2">
        <v>36</v>
      </c>
      <c r="AQ374" s="74">
        <f t="shared" si="412"/>
        <v>277</v>
      </c>
      <c r="AR374" s="31">
        <f t="shared" si="413"/>
        <v>1</v>
      </c>
      <c r="AS374" s="2">
        <f t="shared" si="414"/>
        <v>0</v>
      </c>
      <c r="AT374" s="33">
        <f t="shared" si="415"/>
        <v>1</v>
      </c>
      <c r="AU374" s="31">
        <f t="shared" si="416"/>
        <v>0</v>
      </c>
      <c r="AV374" s="2">
        <f t="shared" si="417"/>
        <v>1.5</v>
      </c>
      <c r="AW374" s="33">
        <f t="shared" si="418"/>
        <v>1</v>
      </c>
      <c r="AX374" s="31">
        <f t="shared" si="419"/>
        <v>0</v>
      </c>
      <c r="AY374" s="33">
        <f t="shared" si="420"/>
        <v>1</v>
      </c>
      <c r="AZ374" s="2"/>
      <c r="BA374" s="101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</row>
    <row r="375" spans="1:71" ht="12" customHeight="1">
      <c r="A375" s="2"/>
      <c r="B375" s="107">
        <v>300</v>
      </c>
      <c r="C375" s="31">
        <v>10</v>
      </c>
      <c r="D375" s="106" t="s">
        <v>17</v>
      </c>
      <c r="E375" s="2" t="s">
        <v>135</v>
      </c>
      <c r="F375" s="2"/>
      <c r="G375" s="2"/>
      <c r="H375" s="33">
        <f t="shared" si="395"/>
        <v>3</v>
      </c>
      <c r="I375" s="99">
        <f t="shared" si="0"/>
        <v>647.68641899605723</v>
      </c>
      <c r="J375" s="101">
        <f t="shared" si="1"/>
        <v>34.625</v>
      </c>
      <c r="K375" s="101">
        <f t="shared" si="2"/>
        <v>409</v>
      </c>
      <c r="L375" s="74">
        <f t="shared" si="3"/>
        <v>130</v>
      </c>
      <c r="M375" s="99">
        <f t="shared" si="191"/>
        <v>5181.4913519684578</v>
      </c>
      <c r="N375" s="108">
        <f t="shared" si="396"/>
        <v>1233.6884171353472</v>
      </c>
      <c r="O375" s="108">
        <f t="shared" si="397"/>
        <v>1727.1637839894863</v>
      </c>
      <c r="P375" s="108">
        <f t="shared" si="398"/>
        <v>2220.639150843625</v>
      </c>
      <c r="Q375" s="108"/>
      <c r="R375" s="109"/>
      <c r="S375" s="99">
        <f t="shared" si="399"/>
        <v>3924.2352801263414</v>
      </c>
      <c r="T375" s="108">
        <f t="shared" si="400"/>
        <v>934.34173336341473</v>
      </c>
      <c r="U375" s="108">
        <f t="shared" si="401"/>
        <v>1308.0784267087806</v>
      </c>
      <c r="V375" s="108">
        <f t="shared" si="402"/>
        <v>1681.8151200541463</v>
      </c>
      <c r="W375" s="108"/>
      <c r="X375" s="109"/>
      <c r="Y375" s="99">
        <f t="shared" si="8"/>
        <v>10540.919779829606</v>
      </c>
      <c r="Z375" s="108">
        <f t="shared" si="403"/>
        <v>2509.7428047213352</v>
      </c>
      <c r="AA375" s="108">
        <f t="shared" si="404"/>
        <v>3513.6399266098688</v>
      </c>
      <c r="AB375" s="108">
        <f t="shared" si="405"/>
        <v>4517.5370484984023</v>
      </c>
      <c r="AC375" s="108"/>
      <c r="AD375" s="109"/>
      <c r="AE375" s="99">
        <f t="shared" ref="AE375:AF375" si="437">AO375</f>
        <v>8</v>
      </c>
      <c r="AF375" s="101">
        <f t="shared" si="437"/>
        <v>36</v>
      </c>
      <c r="AG375" s="101">
        <f t="shared" si="407"/>
        <v>19.001300000000001</v>
      </c>
      <c r="AH375" s="101">
        <f t="shared" si="408"/>
        <v>277</v>
      </c>
      <c r="AI375" s="101">
        <f t="shared" si="369"/>
        <v>268.61079999999998</v>
      </c>
      <c r="AJ375" s="108">
        <f t="shared" si="409"/>
        <v>2</v>
      </c>
      <c r="AK375" s="101">
        <f t="shared" si="410"/>
        <v>2803.0252000902442</v>
      </c>
      <c r="AL375" s="101">
        <f t="shared" si="411"/>
        <v>934.34173336341473</v>
      </c>
      <c r="AM375" s="101"/>
      <c r="AN375" s="101"/>
      <c r="AO375" s="1">
        <v>8</v>
      </c>
      <c r="AP375" s="2">
        <v>36</v>
      </c>
      <c r="AQ375" s="74">
        <f t="shared" si="412"/>
        <v>277</v>
      </c>
      <c r="AR375" s="31">
        <f t="shared" si="413"/>
        <v>1</v>
      </c>
      <c r="AS375" s="2">
        <f t="shared" si="414"/>
        <v>0</v>
      </c>
      <c r="AT375" s="33">
        <f t="shared" si="415"/>
        <v>1</v>
      </c>
      <c r="AU375" s="31">
        <f t="shared" si="416"/>
        <v>0</v>
      </c>
      <c r="AV375" s="2">
        <f t="shared" si="417"/>
        <v>1</v>
      </c>
      <c r="AW375" s="33">
        <f t="shared" si="418"/>
        <v>1.4</v>
      </c>
      <c r="AX375" s="31">
        <f t="shared" si="419"/>
        <v>0</v>
      </c>
      <c r="AY375" s="33">
        <f t="shared" si="420"/>
        <v>1</v>
      </c>
      <c r="AZ375" s="2"/>
      <c r="BA375" s="101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</row>
    <row r="376" spans="1:71" ht="12" customHeight="1">
      <c r="A376" s="2"/>
      <c r="B376" s="107">
        <v>301</v>
      </c>
      <c r="C376" s="31">
        <v>7</v>
      </c>
      <c r="D376" s="106" t="s">
        <v>17</v>
      </c>
      <c r="E376" s="2" t="s">
        <v>67</v>
      </c>
      <c r="F376" s="2"/>
      <c r="G376" s="2"/>
      <c r="H376" s="33">
        <f t="shared" si="395"/>
        <v>2</v>
      </c>
      <c r="I376" s="99">
        <f t="shared" si="0"/>
        <v>295.27420843661571</v>
      </c>
      <c r="J376" s="101">
        <f t="shared" si="1"/>
        <v>24.125</v>
      </c>
      <c r="K376" s="101">
        <f t="shared" si="2"/>
        <v>846</v>
      </c>
      <c r="L376" s="74">
        <f t="shared" si="3"/>
        <v>332</v>
      </c>
      <c r="M376" s="99">
        <f t="shared" si="191"/>
        <v>2362.1936674929257</v>
      </c>
      <c r="N376" s="108">
        <f t="shared" si="396"/>
        <v>1181.0968337464628</v>
      </c>
      <c r="O376" s="108">
        <f t="shared" si="397"/>
        <v>1181.0968337464628</v>
      </c>
      <c r="P376" s="108">
        <f t="shared" si="398"/>
        <v>0</v>
      </c>
      <c r="Q376" s="108"/>
      <c r="R376" s="109"/>
      <c r="S376" s="99">
        <f t="shared" si="399"/>
        <v>1789.0223294390246</v>
      </c>
      <c r="T376" s="108">
        <f t="shared" si="400"/>
        <v>894.51116471951229</v>
      </c>
      <c r="U376" s="108">
        <f t="shared" si="401"/>
        <v>894.51116471951229</v>
      </c>
      <c r="V376" s="108">
        <f t="shared" si="402"/>
        <v>0</v>
      </c>
      <c r="W376" s="108"/>
      <c r="X376" s="109"/>
      <c r="Y376" s="99">
        <f t="shared" si="8"/>
        <v>4805.5071912847989</v>
      </c>
      <c r="Z376" s="108">
        <f t="shared" si="403"/>
        <v>2402.7535956423994</v>
      </c>
      <c r="AA376" s="108">
        <f t="shared" si="404"/>
        <v>2402.7535956423994</v>
      </c>
      <c r="AB376" s="108">
        <f t="shared" si="405"/>
        <v>0</v>
      </c>
      <c r="AC376" s="108"/>
      <c r="AD376" s="109"/>
      <c r="AE376" s="99">
        <f t="shared" ref="AE376:AF376" si="438">AO376</f>
        <v>8</v>
      </c>
      <c r="AF376" s="101">
        <f t="shared" si="438"/>
        <v>36</v>
      </c>
      <c r="AG376" s="101">
        <f t="shared" si="407"/>
        <v>19.001300000000001</v>
      </c>
      <c r="AH376" s="101">
        <f t="shared" si="408"/>
        <v>193</v>
      </c>
      <c r="AI376" s="101">
        <f t="shared" si="369"/>
        <v>268.61079999999998</v>
      </c>
      <c r="AJ376" s="108">
        <f t="shared" si="409"/>
        <v>1.25</v>
      </c>
      <c r="AK376" s="101">
        <f t="shared" si="410"/>
        <v>1789.0223294390246</v>
      </c>
      <c r="AL376" s="101">
        <f t="shared" si="411"/>
        <v>894.51116471951229</v>
      </c>
      <c r="AM376" s="101"/>
      <c r="AN376" s="101"/>
      <c r="AO376" s="1">
        <v>8</v>
      </c>
      <c r="AP376" s="2">
        <v>36</v>
      </c>
      <c r="AQ376" s="74">
        <f t="shared" si="412"/>
        <v>193</v>
      </c>
      <c r="AR376" s="31">
        <f t="shared" si="413"/>
        <v>1</v>
      </c>
      <c r="AS376" s="2">
        <f t="shared" si="414"/>
        <v>0</v>
      </c>
      <c r="AT376" s="33">
        <f t="shared" si="415"/>
        <v>0</v>
      </c>
      <c r="AU376" s="31">
        <f t="shared" si="416"/>
        <v>0</v>
      </c>
      <c r="AV376" s="2">
        <f t="shared" si="417"/>
        <v>1</v>
      </c>
      <c r="AW376" s="33">
        <f t="shared" si="418"/>
        <v>1</v>
      </c>
      <c r="AX376" s="31">
        <f t="shared" si="419"/>
        <v>0</v>
      </c>
      <c r="AY376" s="33">
        <f t="shared" si="420"/>
        <v>0</v>
      </c>
      <c r="AZ376" s="2"/>
      <c r="BA376" s="101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</row>
    <row r="377" spans="1:71" ht="12" customHeight="1">
      <c r="A377" s="2"/>
      <c r="B377" s="107">
        <v>302</v>
      </c>
      <c r="C377" s="31">
        <v>7</v>
      </c>
      <c r="D377" s="106" t="s">
        <v>17</v>
      </c>
      <c r="E377" s="2" t="s">
        <v>89</v>
      </c>
      <c r="F377" s="2"/>
      <c r="G377" s="2"/>
      <c r="H377" s="33">
        <f t="shared" si="395"/>
        <v>2</v>
      </c>
      <c r="I377" s="99">
        <f t="shared" si="0"/>
        <v>369.09276054576969</v>
      </c>
      <c r="J377" s="101">
        <f t="shared" si="1"/>
        <v>24.125</v>
      </c>
      <c r="K377" s="101">
        <f t="shared" si="2"/>
        <v>759</v>
      </c>
      <c r="L377" s="74">
        <f t="shared" si="3"/>
        <v>280</v>
      </c>
      <c r="M377" s="99">
        <f t="shared" si="191"/>
        <v>2952.7420843661575</v>
      </c>
      <c r="N377" s="108">
        <f t="shared" si="396"/>
        <v>1771.6452506196945</v>
      </c>
      <c r="O377" s="108">
        <f t="shared" si="397"/>
        <v>1181.0968337464628</v>
      </c>
      <c r="P377" s="108">
        <f t="shared" si="398"/>
        <v>0</v>
      </c>
      <c r="Q377" s="108"/>
      <c r="R377" s="109"/>
      <c r="S377" s="99">
        <f t="shared" si="399"/>
        <v>2236.2779117987807</v>
      </c>
      <c r="T377" s="108">
        <f t="shared" si="400"/>
        <v>1341.7667470792685</v>
      </c>
      <c r="U377" s="108">
        <f t="shared" si="401"/>
        <v>894.51116471951229</v>
      </c>
      <c r="V377" s="108">
        <f t="shared" si="402"/>
        <v>0</v>
      </c>
      <c r="W377" s="108"/>
      <c r="X377" s="109"/>
      <c r="Y377" s="99">
        <f t="shared" si="8"/>
        <v>6006.8839891059997</v>
      </c>
      <c r="Z377" s="108">
        <f t="shared" si="403"/>
        <v>3604.1303934635998</v>
      </c>
      <c r="AA377" s="108">
        <f t="shared" si="404"/>
        <v>2402.7535956423994</v>
      </c>
      <c r="AB377" s="108">
        <f t="shared" si="405"/>
        <v>0</v>
      </c>
      <c r="AC377" s="108"/>
      <c r="AD377" s="109"/>
      <c r="AE377" s="99">
        <f t="shared" ref="AE377:AF377" si="439">AO377</f>
        <v>8</v>
      </c>
      <c r="AF377" s="101">
        <f t="shared" si="439"/>
        <v>36</v>
      </c>
      <c r="AG377" s="101">
        <f t="shared" si="407"/>
        <v>19.001300000000001</v>
      </c>
      <c r="AH377" s="101">
        <f t="shared" si="408"/>
        <v>193</v>
      </c>
      <c r="AI377" s="101">
        <f t="shared" si="369"/>
        <v>268.61079999999998</v>
      </c>
      <c r="AJ377" s="108">
        <f t="shared" si="409"/>
        <v>1.25</v>
      </c>
      <c r="AK377" s="101">
        <f t="shared" si="410"/>
        <v>1789.0223294390246</v>
      </c>
      <c r="AL377" s="101">
        <f t="shared" si="411"/>
        <v>894.51116471951229</v>
      </c>
      <c r="AM377" s="101"/>
      <c r="AN377" s="101"/>
      <c r="AO377" s="1">
        <v>8</v>
      </c>
      <c r="AP377" s="2">
        <v>36</v>
      </c>
      <c r="AQ377" s="74">
        <f t="shared" si="412"/>
        <v>193</v>
      </c>
      <c r="AR377" s="31">
        <f t="shared" si="413"/>
        <v>1</v>
      </c>
      <c r="AS377" s="2">
        <f t="shared" si="414"/>
        <v>0</v>
      </c>
      <c r="AT377" s="33">
        <f t="shared" si="415"/>
        <v>0</v>
      </c>
      <c r="AU377" s="31">
        <f t="shared" si="416"/>
        <v>0</v>
      </c>
      <c r="AV377" s="2">
        <f t="shared" si="417"/>
        <v>1.5</v>
      </c>
      <c r="AW377" s="33">
        <f t="shared" si="418"/>
        <v>1</v>
      </c>
      <c r="AX377" s="31">
        <f t="shared" si="419"/>
        <v>0</v>
      </c>
      <c r="AY377" s="33">
        <f t="shared" si="420"/>
        <v>0</v>
      </c>
      <c r="AZ377" s="2"/>
      <c r="BA377" s="101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</row>
    <row r="378" spans="1:71" ht="12" customHeight="1">
      <c r="A378" s="2"/>
      <c r="B378" s="107">
        <v>303</v>
      </c>
      <c r="C378" s="31">
        <v>7</v>
      </c>
      <c r="D378" s="106" t="s">
        <v>17</v>
      </c>
      <c r="E378" s="2" t="s">
        <v>91</v>
      </c>
      <c r="F378" s="2"/>
      <c r="G378" s="2"/>
      <c r="H378" s="33">
        <f t="shared" si="395"/>
        <v>2</v>
      </c>
      <c r="I378" s="99">
        <f t="shared" si="0"/>
        <v>354.32905012393883</v>
      </c>
      <c r="J378" s="101">
        <f t="shared" si="1"/>
        <v>24.125</v>
      </c>
      <c r="K378" s="101">
        <f t="shared" si="2"/>
        <v>774</v>
      </c>
      <c r="L378" s="74">
        <f t="shared" si="3"/>
        <v>289</v>
      </c>
      <c r="M378" s="99">
        <f t="shared" si="191"/>
        <v>2834.6324009915106</v>
      </c>
      <c r="N378" s="108">
        <f t="shared" si="396"/>
        <v>1181.0968337464628</v>
      </c>
      <c r="O378" s="108">
        <f t="shared" si="397"/>
        <v>1653.535567245048</v>
      </c>
      <c r="P378" s="108">
        <f t="shared" si="398"/>
        <v>0</v>
      </c>
      <c r="Q378" s="108"/>
      <c r="R378" s="109"/>
      <c r="S378" s="99">
        <f t="shared" si="399"/>
        <v>2146.8267953268296</v>
      </c>
      <c r="T378" s="108">
        <f t="shared" si="400"/>
        <v>894.51116471951229</v>
      </c>
      <c r="U378" s="108">
        <f t="shared" si="401"/>
        <v>1252.3156306073172</v>
      </c>
      <c r="V378" s="108">
        <f t="shared" si="402"/>
        <v>0</v>
      </c>
      <c r="W378" s="108"/>
      <c r="X378" s="109"/>
      <c r="Y378" s="99">
        <f t="shared" si="8"/>
        <v>5766.608629541759</v>
      </c>
      <c r="Z378" s="108">
        <f t="shared" si="403"/>
        <v>2402.7535956423994</v>
      </c>
      <c r="AA378" s="108">
        <f t="shared" si="404"/>
        <v>3363.8550338993596</v>
      </c>
      <c r="AB378" s="108">
        <f t="shared" si="405"/>
        <v>0</v>
      </c>
      <c r="AC378" s="108"/>
      <c r="AD378" s="109"/>
      <c r="AE378" s="99">
        <f t="shared" ref="AE378:AF378" si="440">AO378</f>
        <v>8</v>
      </c>
      <c r="AF378" s="101">
        <f t="shared" si="440"/>
        <v>36</v>
      </c>
      <c r="AG378" s="101">
        <f t="shared" si="407"/>
        <v>19.001300000000001</v>
      </c>
      <c r="AH378" s="101">
        <f t="shared" si="408"/>
        <v>193</v>
      </c>
      <c r="AI378" s="101">
        <f t="shared" si="369"/>
        <v>268.61079999999998</v>
      </c>
      <c r="AJ378" s="108">
        <f t="shared" si="409"/>
        <v>1.25</v>
      </c>
      <c r="AK378" s="101">
        <f t="shared" si="410"/>
        <v>1789.0223294390246</v>
      </c>
      <c r="AL378" s="101">
        <f t="shared" si="411"/>
        <v>894.51116471951229</v>
      </c>
      <c r="AM378" s="101"/>
      <c r="AN378" s="101"/>
      <c r="AO378" s="1">
        <v>8</v>
      </c>
      <c r="AP378" s="2">
        <v>36</v>
      </c>
      <c r="AQ378" s="74">
        <f t="shared" si="412"/>
        <v>193</v>
      </c>
      <c r="AR378" s="31">
        <f t="shared" si="413"/>
        <v>1</v>
      </c>
      <c r="AS378" s="2">
        <f t="shared" si="414"/>
        <v>0</v>
      </c>
      <c r="AT378" s="33">
        <f t="shared" si="415"/>
        <v>0</v>
      </c>
      <c r="AU378" s="31">
        <f t="shared" si="416"/>
        <v>0</v>
      </c>
      <c r="AV378" s="2">
        <f t="shared" si="417"/>
        <v>1</v>
      </c>
      <c r="AW378" s="33">
        <f t="shared" si="418"/>
        <v>1.4</v>
      </c>
      <c r="AX378" s="31">
        <f t="shared" si="419"/>
        <v>0</v>
      </c>
      <c r="AY378" s="33">
        <f t="shared" si="420"/>
        <v>0</v>
      </c>
      <c r="AZ378" s="2"/>
      <c r="BA378" s="101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</row>
    <row r="379" spans="1:71" ht="12" customHeight="1">
      <c r="A379" s="2"/>
      <c r="B379" s="107">
        <v>304</v>
      </c>
      <c r="C379" s="31">
        <v>7</v>
      </c>
      <c r="D379" s="106" t="s">
        <v>17</v>
      </c>
      <c r="E379" s="2" t="s">
        <v>148</v>
      </c>
      <c r="F379" s="2"/>
      <c r="G379" s="2"/>
      <c r="H379" s="33">
        <f t="shared" si="395"/>
        <v>2</v>
      </c>
      <c r="I379" s="99">
        <f t="shared" si="0"/>
        <v>295.27420843661571</v>
      </c>
      <c r="J379" s="101">
        <f t="shared" si="1"/>
        <v>24.125</v>
      </c>
      <c r="K379" s="101">
        <f t="shared" si="2"/>
        <v>846</v>
      </c>
      <c r="L379" s="74">
        <f t="shared" si="3"/>
        <v>332</v>
      </c>
      <c r="M379" s="99">
        <f t="shared" si="191"/>
        <v>2362.1936674929257</v>
      </c>
      <c r="N379" s="108">
        <f t="shared" si="396"/>
        <v>1181.0968337464628</v>
      </c>
      <c r="O379" s="108">
        <f t="shared" si="397"/>
        <v>1181.0968337464628</v>
      </c>
      <c r="P379" s="108">
        <f t="shared" si="398"/>
        <v>0</v>
      </c>
      <c r="Q379" s="108"/>
      <c r="R379" s="109"/>
      <c r="S379" s="99">
        <f t="shared" si="399"/>
        <v>1789.0223294390246</v>
      </c>
      <c r="T379" s="108">
        <f t="shared" si="400"/>
        <v>894.51116471951229</v>
      </c>
      <c r="U379" s="108">
        <f t="shared" si="401"/>
        <v>894.51116471951229</v>
      </c>
      <c r="V379" s="108">
        <f t="shared" si="402"/>
        <v>0</v>
      </c>
      <c r="W379" s="108"/>
      <c r="X379" s="109"/>
      <c r="Y379" s="99">
        <f t="shared" si="8"/>
        <v>4805.5071912847989</v>
      </c>
      <c r="Z379" s="108">
        <f t="shared" si="403"/>
        <v>2402.7535956423994</v>
      </c>
      <c r="AA379" s="108">
        <f t="shared" si="404"/>
        <v>2402.7535956423994</v>
      </c>
      <c r="AB379" s="108">
        <f t="shared" si="405"/>
        <v>0</v>
      </c>
      <c r="AC379" s="108"/>
      <c r="AD379" s="109"/>
      <c r="AE379" s="99">
        <f t="shared" ref="AE379:AF379" si="441">AO379</f>
        <v>8</v>
      </c>
      <c r="AF379" s="101">
        <f t="shared" si="441"/>
        <v>36</v>
      </c>
      <c r="AG379" s="101">
        <f t="shared" si="407"/>
        <v>19.001300000000001</v>
      </c>
      <c r="AH379" s="101">
        <f t="shared" si="408"/>
        <v>193</v>
      </c>
      <c r="AI379" s="101">
        <f t="shared" si="369"/>
        <v>268.61079999999998</v>
      </c>
      <c r="AJ379" s="108">
        <f t="shared" si="409"/>
        <v>1</v>
      </c>
      <c r="AK379" s="101">
        <f t="shared" si="410"/>
        <v>1789.0223294390246</v>
      </c>
      <c r="AL379" s="101">
        <f t="shared" si="411"/>
        <v>894.51116471951229</v>
      </c>
      <c r="AM379" s="101"/>
      <c r="AN379" s="101"/>
      <c r="AO379" s="1">
        <v>8</v>
      </c>
      <c r="AP379" s="2">
        <v>36</v>
      </c>
      <c r="AQ379" s="74">
        <f t="shared" si="412"/>
        <v>193</v>
      </c>
      <c r="AR379" s="31">
        <f t="shared" si="413"/>
        <v>0.8</v>
      </c>
      <c r="AS379" s="2">
        <f t="shared" si="414"/>
        <v>0</v>
      </c>
      <c r="AT379" s="33">
        <f t="shared" si="415"/>
        <v>0</v>
      </c>
      <c r="AU379" s="31">
        <f t="shared" si="416"/>
        <v>0</v>
      </c>
      <c r="AV379" s="2">
        <f t="shared" si="417"/>
        <v>1</v>
      </c>
      <c r="AW379" s="33">
        <f t="shared" si="418"/>
        <v>1</v>
      </c>
      <c r="AX379" s="31">
        <f t="shared" si="419"/>
        <v>0</v>
      </c>
      <c r="AY379" s="33">
        <f t="shared" si="420"/>
        <v>0</v>
      </c>
      <c r="AZ379" s="2"/>
      <c r="BA379" s="101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</row>
    <row r="380" spans="1:71" ht="12" customHeight="1">
      <c r="A380" s="2"/>
      <c r="B380" s="107">
        <v>305</v>
      </c>
      <c r="C380" s="31">
        <v>7</v>
      </c>
      <c r="D380" s="106" t="s">
        <v>17</v>
      </c>
      <c r="E380" s="2" t="s">
        <v>152</v>
      </c>
      <c r="F380" s="2"/>
      <c r="G380" s="2"/>
      <c r="H380" s="33">
        <f t="shared" si="395"/>
        <v>2</v>
      </c>
      <c r="I380" s="99">
        <f t="shared" si="0"/>
        <v>369.09276054576969</v>
      </c>
      <c r="J380" s="101">
        <f t="shared" si="1"/>
        <v>24.125</v>
      </c>
      <c r="K380" s="101">
        <f t="shared" si="2"/>
        <v>759</v>
      </c>
      <c r="L380" s="74">
        <f t="shared" si="3"/>
        <v>280</v>
      </c>
      <c r="M380" s="99">
        <f t="shared" si="191"/>
        <v>2952.7420843661575</v>
      </c>
      <c r="N380" s="108">
        <f t="shared" si="396"/>
        <v>1771.6452506196945</v>
      </c>
      <c r="O380" s="108">
        <f t="shared" si="397"/>
        <v>1181.0968337464628</v>
      </c>
      <c r="P380" s="108">
        <f t="shared" si="398"/>
        <v>0</v>
      </c>
      <c r="Q380" s="108"/>
      <c r="R380" s="109"/>
      <c r="S380" s="99">
        <f t="shared" si="399"/>
        <v>2236.2779117987807</v>
      </c>
      <c r="T380" s="108">
        <f t="shared" si="400"/>
        <v>1341.7667470792685</v>
      </c>
      <c r="U380" s="108">
        <f t="shared" si="401"/>
        <v>894.51116471951229</v>
      </c>
      <c r="V380" s="108">
        <f t="shared" si="402"/>
        <v>0</v>
      </c>
      <c r="W380" s="108"/>
      <c r="X380" s="109"/>
      <c r="Y380" s="99">
        <f t="shared" si="8"/>
        <v>6006.8839891059997</v>
      </c>
      <c r="Z380" s="108">
        <f t="shared" si="403"/>
        <v>3604.1303934635998</v>
      </c>
      <c r="AA380" s="108">
        <f t="shared" si="404"/>
        <v>2402.7535956423994</v>
      </c>
      <c r="AB380" s="108">
        <f t="shared" si="405"/>
        <v>0</v>
      </c>
      <c r="AC380" s="108"/>
      <c r="AD380" s="109"/>
      <c r="AE380" s="99">
        <f t="shared" ref="AE380:AF380" si="442">AO380</f>
        <v>8</v>
      </c>
      <c r="AF380" s="101">
        <f t="shared" si="442"/>
        <v>36</v>
      </c>
      <c r="AG380" s="101">
        <f t="shared" si="407"/>
        <v>19.001300000000001</v>
      </c>
      <c r="AH380" s="101">
        <f t="shared" si="408"/>
        <v>193</v>
      </c>
      <c r="AI380" s="101">
        <f t="shared" si="369"/>
        <v>268.61079999999998</v>
      </c>
      <c r="AJ380" s="108">
        <f t="shared" si="409"/>
        <v>1</v>
      </c>
      <c r="AK380" s="101">
        <f t="shared" si="410"/>
        <v>1789.0223294390246</v>
      </c>
      <c r="AL380" s="101">
        <f t="shared" si="411"/>
        <v>894.51116471951229</v>
      </c>
      <c r="AM380" s="101"/>
      <c r="AN380" s="101"/>
      <c r="AO380" s="1">
        <v>8</v>
      </c>
      <c r="AP380" s="2">
        <v>36</v>
      </c>
      <c r="AQ380" s="74">
        <f t="shared" si="412"/>
        <v>193</v>
      </c>
      <c r="AR380" s="31">
        <f t="shared" si="413"/>
        <v>0.8</v>
      </c>
      <c r="AS380" s="2">
        <f t="shared" si="414"/>
        <v>0</v>
      </c>
      <c r="AT380" s="33">
        <f t="shared" si="415"/>
        <v>0</v>
      </c>
      <c r="AU380" s="31">
        <f t="shared" si="416"/>
        <v>0</v>
      </c>
      <c r="AV380" s="2">
        <f t="shared" si="417"/>
        <v>1.5</v>
      </c>
      <c r="AW380" s="33">
        <f t="shared" si="418"/>
        <v>1</v>
      </c>
      <c r="AX380" s="31">
        <f t="shared" si="419"/>
        <v>0</v>
      </c>
      <c r="AY380" s="33">
        <f t="shared" si="420"/>
        <v>0</v>
      </c>
      <c r="AZ380" s="2"/>
      <c r="BA380" s="101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</row>
    <row r="381" spans="1:71" ht="12" customHeight="1">
      <c r="A381" s="2"/>
      <c r="B381" s="107">
        <v>306</v>
      </c>
      <c r="C381" s="31">
        <v>7</v>
      </c>
      <c r="D381" s="106" t="s">
        <v>17</v>
      </c>
      <c r="E381" s="2" t="s">
        <v>155</v>
      </c>
      <c r="F381" s="2"/>
      <c r="G381" s="2"/>
      <c r="H381" s="33">
        <f t="shared" si="395"/>
        <v>2</v>
      </c>
      <c r="I381" s="99">
        <f t="shared" si="0"/>
        <v>354.32905012393883</v>
      </c>
      <c r="J381" s="101">
        <f t="shared" si="1"/>
        <v>24.125</v>
      </c>
      <c r="K381" s="101">
        <f t="shared" si="2"/>
        <v>774</v>
      </c>
      <c r="L381" s="74">
        <f t="shared" si="3"/>
        <v>289</v>
      </c>
      <c r="M381" s="99">
        <f t="shared" si="191"/>
        <v>2834.6324009915106</v>
      </c>
      <c r="N381" s="108">
        <f t="shared" si="396"/>
        <v>1181.0968337464628</v>
      </c>
      <c r="O381" s="108">
        <f t="shared" si="397"/>
        <v>1653.535567245048</v>
      </c>
      <c r="P381" s="108">
        <f t="shared" si="398"/>
        <v>0</v>
      </c>
      <c r="Q381" s="108"/>
      <c r="R381" s="109"/>
      <c r="S381" s="99">
        <f t="shared" si="399"/>
        <v>2146.8267953268296</v>
      </c>
      <c r="T381" s="108">
        <f t="shared" si="400"/>
        <v>894.51116471951229</v>
      </c>
      <c r="U381" s="108">
        <f t="shared" si="401"/>
        <v>1252.3156306073172</v>
      </c>
      <c r="V381" s="108">
        <f t="shared" si="402"/>
        <v>0</v>
      </c>
      <c r="W381" s="108"/>
      <c r="X381" s="109"/>
      <c r="Y381" s="99">
        <f t="shared" si="8"/>
        <v>5766.608629541759</v>
      </c>
      <c r="Z381" s="108">
        <f t="shared" si="403"/>
        <v>2402.7535956423994</v>
      </c>
      <c r="AA381" s="108">
        <f t="shared" si="404"/>
        <v>3363.8550338993596</v>
      </c>
      <c r="AB381" s="108">
        <f t="shared" si="405"/>
        <v>0</v>
      </c>
      <c r="AC381" s="108"/>
      <c r="AD381" s="109"/>
      <c r="AE381" s="99">
        <f t="shared" ref="AE381:AF381" si="443">AO381</f>
        <v>8</v>
      </c>
      <c r="AF381" s="101">
        <f t="shared" si="443"/>
        <v>36</v>
      </c>
      <c r="AG381" s="101">
        <f t="shared" si="407"/>
        <v>19.001300000000001</v>
      </c>
      <c r="AH381" s="101">
        <f t="shared" si="408"/>
        <v>193</v>
      </c>
      <c r="AI381" s="101">
        <f t="shared" si="369"/>
        <v>268.61079999999998</v>
      </c>
      <c r="AJ381" s="108">
        <f t="shared" si="409"/>
        <v>1</v>
      </c>
      <c r="AK381" s="101">
        <f t="shared" si="410"/>
        <v>1789.0223294390246</v>
      </c>
      <c r="AL381" s="101">
        <f t="shared" si="411"/>
        <v>894.51116471951229</v>
      </c>
      <c r="AM381" s="101"/>
      <c r="AN381" s="101"/>
      <c r="AO381" s="1">
        <v>8</v>
      </c>
      <c r="AP381" s="2">
        <v>36</v>
      </c>
      <c r="AQ381" s="74">
        <f t="shared" si="412"/>
        <v>193</v>
      </c>
      <c r="AR381" s="31">
        <f t="shared" si="413"/>
        <v>0.8</v>
      </c>
      <c r="AS381" s="2">
        <f t="shared" si="414"/>
        <v>0</v>
      </c>
      <c r="AT381" s="33">
        <f t="shared" si="415"/>
        <v>0</v>
      </c>
      <c r="AU381" s="31">
        <f t="shared" si="416"/>
        <v>0</v>
      </c>
      <c r="AV381" s="2">
        <f t="shared" si="417"/>
        <v>1</v>
      </c>
      <c r="AW381" s="33">
        <f t="shared" si="418"/>
        <v>1.4</v>
      </c>
      <c r="AX381" s="31">
        <f t="shared" si="419"/>
        <v>0</v>
      </c>
      <c r="AY381" s="33">
        <f t="shared" si="420"/>
        <v>0</v>
      </c>
      <c r="AZ381" s="2"/>
      <c r="BA381" s="101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</row>
    <row r="382" spans="1:71" ht="12" customHeight="1">
      <c r="A382" s="2"/>
      <c r="B382" s="107">
        <v>307</v>
      </c>
      <c r="C382" s="31">
        <v>7</v>
      </c>
      <c r="D382" s="106" t="s">
        <v>17</v>
      </c>
      <c r="E382" s="2" t="s">
        <v>87</v>
      </c>
      <c r="F382" s="2"/>
      <c r="G382" s="2"/>
      <c r="H382" s="33">
        <f t="shared" si="395"/>
        <v>3</v>
      </c>
      <c r="I382" s="99">
        <f t="shared" si="0"/>
        <v>442.91131265492356</v>
      </c>
      <c r="J382" s="101">
        <f t="shared" si="1"/>
        <v>24.125</v>
      </c>
      <c r="K382" s="101">
        <f t="shared" si="2"/>
        <v>682</v>
      </c>
      <c r="L382" s="74">
        <f t="shared" si="3"/>
        <v>248</v>
      </c>
      <c r="M382" s="99">
        <f t="shared" si="191"/>
        <v>3543.2905012393885</v>
      </c>
      <c r="N382" s="108">
        <f t="shared" si="396"/>
        <v>1181.0968337464628</v>
      </c>
      <c r="O382" s="108">
        <f t="shared" si="397"/>
        <v>1181.0968337464628</v>
      </c>
      <c r="P382" s="108">
        <f t="shared" si="398"/>
        <v>1181.0968337464628</v>
      </c>
      <c r="Q382" s="108"/>
      <c r="R382" s="109"/>
      <c r="S382" s="99">
        <f t="shared" si="399"/>
        <v>2683.533494158537</v>
      </c>
      <c r="T382" s="108">
        <f t="shared" si="400"/>
        <v>894.51116471951229</v>
      </c>
      <c r="U382" s="108">
        <f t="shared" si="401"/>
        <v>894.51116471951229</v>
      </c>
      <c r="V382" s="108">
        <f t="shared" si="402"/>
        <v>894.51116471951229</v>
      </c>
      <c r="W382" s="108"/>
      <c r="X382" s="109"/>
      <c r="Y382" s="99">
        <f t="shared" si="8"/>
        <v>7208.2607869271978</v>
      </c>
      <c r="Z382" s="108">
        <f t="shared" si="403"/>
        <v>2402.7535956423994</v>
      </c>
      <c r="AA382" s="108">
        <f t="shared" si="404"/>
        <v>2402.7535956423994</v>
      </c>
      <c r="AB382" s="108">
        <f t="shared" si="405"/>
        <v>2402.7535956423994</v>
      </c>
      <c r="AC382" s="108"/>
      <c r="AD382" s="109"/>
      <c r="AE382" s="99">
        <f t="shared" ref="AE382:AF382" si="444">AO382</f>
        <v>8</v>
      </c>
      <c r="AF382" s="101">
        <f t="shared" si="444"/>
        <v>36</v>
      </c>
      <c r="AG382" s="101">
        <f t="shared" si="407"/>
        <v>19.001300000000001</v>
      </c>
      <c r="AH382" s="101">
        <f t="shared" si="408"/>
        <v>193</v>
      </c>
      <c r="AI382" s="101">
        <f t="shared" si="369"/>
        <v>268.61079999999998</v>
      </c>
      <c r="AJ382" s="108">
        <f t="shared" si="409"/>
        <v>2</v>
      </c>
      <c r="AK382" s="101">
        <f t="shared" si="410"/>
        <v>2683.533494158537</v>
      </c>
      <c r="AL382" s="101">
        <f t="shared" si="411"/>
        <v>894.51116471951229</v>
      </c>
      <c r="AM382" s="101"/>
      <c r="AN382" s="101"/>
      <c r="AO382" s="1">
        <v>8</v>
      </c>
      <c r="AP382" s="2">
        <v>36</v>
      </c>
      <c r="AQ382" s="74">
        <f t="shared" si="412"/>
        <v>193</v>
      </c>
      <c r="AR382" s="31">
        <f t="shared" si="413"/>
        <v>1</v>
      </c>
      <c r="AS382" s="2">
        <f t="shared" si="414"/>
        <v>0</v>
      </c>
      <c r="AT382" s="33">
        <f t="shared" si="415"/>
        <v>1</v>
      </c>
      <c r="AU382" s="31">
        <f t="shared" si="416"/>
        <v>0</v>
      </c>
      <c r="AV382" s="2">
        <f t="shared" si="417"/>
        <v>1</v>
      </c>
      <c r="AW382" s="33">
        <f t="shared" si="418"/>
        <v>1</v>
      </c>
      <c r="AX382" s="31">
        <f t="shared" si="419"/>
        <v>0</v>
      </c>
      <c r="AY382" s="33">
        <f t="shared" si="420"/>
        <v>0</v>
      </c>
      <c r="AZ382" s="2"/>
      <c r="BA382" s="101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</row>
    <row r="383" spans="1:71" ht="12" customHeight="1">
      <c r="A383" s="2"/>
      <c r="B383" s="107">
        <v>308</v>
      </c>
      <c r="C383" s="31">
        <v>7</v>
      </c>
      <c r="D383" s="106" t="s">
        <v>17</v>
      </c>
      <c r="E383" s="2" t="s">
        <v>117</v>
      </c>
      <c r="F383" s="2"/>
      <c r="G383" s="2"/>
      <c r="H383" s="33">
        <f t="shared" si="395"/>
        <v>3</v>
      </c>
      <c r="I383" s="99">
        <f t="shared" si="0"/>
        <v>516.72986476407755</v>
      </c>
      <c r="J383" s="101">
        <f t="shared" si="1"/>
        <v>24.125</v>
      </c>
      <c r="K383" s="101">
        <f t="shared" si="2"/>
        <v>580</v>
      </c>
      <c r="L383" s="74">
        <f t="shared" si="3"/>
        <v>206</v>
      </c>
      <c r="M383" s="99">
        <f t="shared" si="191"/>
        <v>4133.8389181126204</v>
      </c>
      <c r="N383" s="108">
        <f t="shared" si="396"/>
        <v>1771.6452506196945</v>
      </c>
      <c r="O383" s="108">
        <f t="shared" si="397"/>
        <v>1181.0968337464628</v>
      </c>
      <c r="P383" s="108">
        <f t="shared" si="398"/>
        <v>1181.0968337464628</v>
      </c>
      <c r="Q383" s="108"/>
      <c r="R383" s="109"/>
      <c r="S383" s="99">
        <f t="shared" si="399"/>
        <v>3130.7890765182929</v>
      </c>
      <c r="T383" s="108">
        <f t="shared" si="400"/>
        <v>1341.7667470792685</v>
      </c>
      <c r="U383" s="108">
        <f t="shared" si="401"/>
        <v>894.51116471951229</v>
      </c>
      <c r="V383" s="108">
        <f t="shared" si="402"/>
        <v>894.51116471951229</v>
      </c>
      <c r="W383" s="108"/>
      <c r="X383" s="109"/>
      <c r="Y383" s="99">
        <f t="shared" si="8"/>
        <v>8409.6375847483996</v>
      </c>
      <c r="Z383" s="108">
        <f t="shared" si="403"/>
        <v>3604.1303934635998</v>
      </c>
      <c r="AA383" s="108">
        <f t="shared" si="404"/>
        <v>2402.7535956423994</v>
      </c>
      <c r="AB383" s="108">
        <f t="shared" si="405"/>
        <v>2402.7535956423994</v>
      </c>
      <c r="AC383" s="108"/>
      <c r="AD383" s="109"/>
      <c r="AE383" s="99">
        <f t="shared" ref="AE383:AF383" si="445">AO383</f>
        <v>8</v>
      </c>
      <c r="AF383" s="101">
        <f t="shared" si="445"/>
        <v>36</v>
      </c>
      <c r="AG383" s="101">
        <f t="shared" si="407"/>
        <v>19.001300000000001</v>
      </c>
      <c r="AH383" s="101">
        <f t="shared" si="408"/>
        <v>193</v>
      </c>
      <c r="AI383" s="101">
        <f t="shared" si="369"/>
        <v>268.61079999999998</v>
      </c>
      <c r="AJ383" s="108">
        <f t="shared" si="409"/>
        <v>2</v>
      </c>
      <c r="AK383" s="101">
        <f t="shared" si="410"/>
        <v>2683.533494158537</v>
      </c>
      <c r="AL383" s="101">
        <f t="shared" si="411"/>
        <v>894.51116471951229</v>
      </c>
      <c r="AM383" s="101"/>
      <c r="AN383" s="101"/>
      <c r="AO383" s="1">
        <v>8</v>
      </c>
      <c r="AP383" s="2">
        <v>36</v>
      </c>
      <c r="AQ383" s="74">
        <f t="shared" si="412"/>
        <v>193</v>
      </c>
      <c r="AR383" s="31">
        <f t="shared" si="413"/>
        <v>1</v>
      </c>
      <c r="AS383" s="2">
        <f t="shared" si="414"/>
        <v>0</v>
      </c>
      <c r="AT383" s="33">
        <f t="shared" si="415"/>
        <v>1</v>
      </c>
      <c r="AU383" s="31">
        <f t="shared" si="416"/>
        <v>0</v>
      </c>
      <c r="AV383" s="2">
        <f t="shared" si="417"/>
        <v>1.5</v>
      </c>
      <c r="AW383" s="33">
        <f t="shared" si="418"/>
        <v>1</v>
      </c>
      <c r="AX383" s="31">
        <f t="shared" si="419"/>
        <v>0</v>
      </c>
      <c r="AY383" s="33">
        <f t="shared" si="420"/>
        <v>0</v>
      </c>
      <c r="AZ383" s="2"/>
      <c r="BA383" s="101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</row>
    <row r="384" spans="1:71" ht="12" customHeight="1">
      <c r="A384" s="2"/>
      <c r="B384" s="107">
        <v>309</v>
      </c>
      <c r="C384" s="31">
        <v>7</v>
      </c>
      <c r="D384" s="106" t="s">
        <v>17</v>
      </c>
      <c r="E384" s="2" t="s">
        <v>134</v>
      </c>
      <c r="F384" s="2"/>
      <c r="G384" s="2"/>
      <c r="H384" s="33">
        <f t="shared" si="395"/>
        <v>3</v>
      </c>
      <c r="I384" s="99">
        <f t="shared" si="0"/>
        <v>620.07583771689292</v>
      </c>
      <c r="J384" s="101">
        <f t="shared" si="1"/>
        <v>24.125</v>
      </c>
      <c r="K384" s="101">
        <f t="shared" si="2"/>
        <v>441</v>
      </c>
      <c r="L384" s="74">
        <f t="shared" si="3"/>
        <v>149</v>
      </c>
      <c r="M384" s="99">
        <f t="shared" si="191"/>
        <v>4960.6067017351434</v>
      </c>
      <c r="N384" s="108">
        <f t="shared" si="396"/>
        <v>1181.0968337464628</v>
      </c>
      <c r="O384" s="108">
        <f t="shared" si="397"/>
        <v>1653.535567245048</v>
      </c>
      <c r="P384" s="108">
        <f t="shared" si="398"/>
        <v>2125.9743007436332</v>
      </c>
      <c r="Q384" s="108"/>
      <c r="R384" s="109"/>
      <c r="S384" s="99">
        <f t="shared" si="399"/>
        <v>3756.9468918219518</v>
      </c>
      <c r="T384" s="108">
        <f t="shared" si="400"/>
        <v>894.51116471951229</v>
      </c>
      <c r="U384" s="108">
        <f t="shared" si="401"/>
        <v>1252.3156306073172</v>
      </c>
      <c r="V384" s="108">
        <f t="shared" si="402"/>
        <v>1610.120096495122</v>
      </c>
      <c r="W384" s="108"/>
      <c r="X384" s="109"/>
      <c r="Y384" s="99">
        <f t="shared" si="8"/>
        <v>10091.565101698077</v>
      </c>
      <c r="Z384" s="108">
        <f t="shared" si="403"/>
        <v>2402.7535956423994</v>
      </c>
      <c r="AA384" s="108">
        <f t="shared" si="404"/>
        <v>3363.8550338993596</v>
      </c>
      <c r="AB384" s="108">
        <f t="shared" si="405"/>
        <v>4324.9564721563193</v>
      </c>
      <c r="AC384" s="108"/>
      <c r="AD384" s="109"/>
      <c r="AE384" s="99">
        <f t="shared" ref="AE384:AF384" si="446">AO384</f>
        <v>8</v>
      </c>
      <c r="AF384" s="101">
        <f t="shared" si="446"/>
        <v>36</v>
      </c>
      <c r="AG384" s="101">
        <f t="shared" si="407"/>
        <v>19.001300000000001</v>
      </c>
      <c r="AH384" s="101">
        <f t="shared" si="408"/>
        <v>193</v>
      </c>
      <c r="AI384" s="101">
        <f t="shared" si="369"/>
        <v>268.61079999999998</v>
      </c>
      <c r="AJ384" s="108">
        <f t="shared" si="409"/>
        <v>2</v>
      </c>
      <c r="AK384" s="101">
        <f t="shared" si="410"/>
        <v>2683.533494158537</v>
      </c>
      <c r="AL384" s="101">
        <f t="shared" si="411"/>
        <v>894.51116471951229</v>
      </c>
      <c r="AM384" s="101"/>
      <c r="AN384" s="101"/>
      <c r="AO384" s="1">
        <v>8</v>
      </c>
      <c r="AP384" s="2">
        <v>36</v>
      </c>
      <c r="AQ384" s="74">
        <f t="shared" si="412"/>
        <v>193</v>
      </c>
      <c r="AR384" s="31">
        <f t="shared" si="413"/>
        <v>1</v>
      </c>
      <c r="AS384" s="2">
        <f t="shared" si="414"/>
        <v>0</v>
      </c>
      <c r="AT384" s="33">
        <f t="shared" si="415"/>
        <v>1</v>
      </c>
      <c r="AU384" s="31">
        <f t="shared" si="416"/>
        <v>0</v>
      </c>
      <c r="AV384" s="2">
        <f t="shared" si="417"/>
        <v>1</v>
      </c>
      <c r="AW384" s="33">
        <f t="shared" si="418"/>
        <v>1.4</v>
      </c>
      <c r="AX384" s="31">
        <f t="shared" si="419"/>
        <v>0</v>
      </c>
      <c r="AY384" s="33">
        <f t="shared" si="420"/>
        <v>0</v>
      </c>
      <c r="AZ384" s="2"/>
      <c r="BA384" s="101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</row>
    <row r="385" spans="1:71" ht="12" customHeight="1">
      <c r="A385" s="2"/>
      <c r="B385" s="107">
        <v>310</v>
      </c>
      <c r="C385" s="31">
        <v>4</v>
      </c>
      <c r="D385" s="106" t="s">
        <v>17</v>
      </c>
      <c r="E385" s="2" t="s">
        <v>67</v>
      </c>
      <c r="F385" s="2"/>
      <c r="G385" s="2"/>
      <c r="H385" s="33">
        <f t="shared" si="395"/>
        <v>2</v>
      </c>
      <c r="I385" s="99">
        <f t="shared" si="0"/>
        <v>273.79683975560977</v>
      </c>
      <c r="J385" s="101">
        <f t="shared" si="1"/>
        <v>13.25</v>
      </c>
      <c r="K385" s="101">
        <f t="shared" si="2"/>
        <v>855</v>
      </c>
      <c r="L385" s="74">
        <f t="shared" si="3"/>
        <v>335</v>
      </c>
      <c r="M385" s="99">
        <f t="shared" si="191"/>
        <v>2190.3747180448781</v>
      </c>
      <c r="N385" s="108">
        <f t="shared" si="396"/>
        <v>1095.1873590224391</v>
      </c>
      <c r="O385" s="108">
        <f t="shared" si="397"/>
        <v>1095.1873590224391</v>
      </c>
      <c r="P385" s="108">
        <f t="shared" si="398"/>
        <v>0</v>
      </c>
      <c r="Q385" s="108"/>
      <c r="R385" s="109"/>
      <c r="S385" s="99">
        <f t="shared" si="399"/>
        <v>1658.8941602658538</v>
      </c>
      <c r="T385" s="108">
        <f t="shared" si="400"/>
        <v>829.44708013292689</v>
      </c>
      <c r="U385" s="108">
        <f t="shared" si="401"/>
        <v>829.44708013292689</v>
      </c>
      <c r="V385" s="108">
        <f t="shared" si="402"/>
        <v>0</v>
      </c>
      <c r="W385" s="108"/>
      <c r="X385" s="109"/>
      <c r="Y385" s="99">
        <f t="shared" si="8"/>
        <v>4455.9688750433916</v>
      </c>
      <c r="Z385" s="108">
        <f t="shared" si="403"/>
        <v>2227.9844375216958</v>
      </c>
      <c r="AA385" s="108">
        <f t="shared" si="404"/>
        <v>2227.9844375216958</v>
      </c>
      <c r="AB385" s="108">
        <f t="shared" si="405"/>
        <v>0</v>
      </c>
      <c r="AC385" s="108"/>
      <c r="AD385" s="109"/>
      <c r="AE385" s="99">
        <f t="shared" ref="AE385:AF385" si="447">AO385</f>
        <v>8</v>
      </c>
      <c r="AF385" s="101">
        <f t="shared" si="447"/>
        <v>36</v>
      </c>
      <c r="AG385" s="101">
        <f t="shared" si="407"/>
        <v>19.001300000000001</v>
      </c>
      <c r="AH385" s="101">
        <f t="shared" si="408"/>
        <v>106</v>
      </c>
      <c r="AI385" s="101">
        <f t="shared" si="369"/>
        <v>268.61079999999998</v>
      </c>
      <c r="AJ385" s="108">
        <f t="shared" si="409"/>
        <v>1.25</v>
      </c>
      <c r="AK385" s="101">
        <f t="shared" si="410"/>
        <v>1658.8941602658538</v>
      </c>
      <c r="AL385" s="101">
        <f t="shared" si="411"/>
        <v>829.44708013292689</v>
      </c>
      <c r="AM385" s="101"/>
      <c r="AN385" s="101"/>
      <c r="AO385" s="1">
        <v>8</v>
      </c>
      <c r="AP385" s="2">
        <v>36</v>
      </c>
      <c r="AQ385" s="74">
        <f t="shared" si="412"/>
        <v>106</v>
      </c>
      <c r="AR385" s="31">
        <f t="shared" si="413"/>
        <v>1</v>
      </c>
      <c r="AS385" s="2">
        <f t="shared" si="414"/>
        <v>0</v>
      </c>
      <c r="AT385" s="33">
        <f t="shared" si="415"/>
        <v>0</v>
      </c>
      <c r="AU385" s="31">
        <f t="shared" si="416"/>
        <v>0</v>
      </c>
      <c r="AV385" s="2">
        <f t="shared" si="417"/>
        <v>1</v>
      </c>
      <c r="AW385" s="33">
        <f t="shared" si="418"/>
        <v>1</v>
      </c>
      <c r="AX385" s="31">
        <f t="shared" si="419"/>
        <v>0</v>
      </c>
      <c r="AY385" s="33">
        <f t="shared" si="420"/>
        <v>0</v>
      </c>
      <c r="AZ385" s="2"/>
      <c r="BA385" s="101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</row>
    <row r="386" spans="1:71" ht="12" customHeight="1">
      <c r="A386" s="2"/>
      <c r="B386" s="107">
        <v>311</v>
      </c>
      <c r="C386" s="31">
        <v>4</v>
      </c>
      <c r="D386" s="106" t="s">
        <v>17</v>
      </c>
      <c r="E386" s="2" t="s">
        <v>148</v>
      </c>
      <c r="F386" s="2"/>
      <c r="G386" s="2"/>
      <c r="H386" s="33">
        <f t="shared" si="395"/>
        <v>2</v>
      </c>
      <c r="I386" s="99">
        <f t="shared" si="0"/>
        <v>273.79683975560977</v>
      </c>
      <c r="J386" s="101">
        <f t="shared" si="1"/>
        <v>13.25</v>
      </c>
      <c r="K386" s="101">
        <f t="shared" si="2"/>
        <v>855</v>
      </c>
      <c r="L386" s="74">
        <f t="shared" si="3"/>
        <v>335</v>
      </c>
      <c r="M386" s="99">
        <f t="shared" si="191"/>
        <v>2190.3747180448781</v>
      </c>
      <c r="N386" s="108">
        <f t="shared" si="396"/>
        <v>1095.1873590224391</v>
      </c>
      <c r="O386" s="108">
        <f t="shared" si="397"/>
        <v>1095.1873590224391</v>
      </c>
      <c r="P386" s="108">
        <f t="shared" si="398"/>
        <v>0</v>
      </c>
      <c r="Q386" s="108"/>
      <c r="R386" s="109"/>
      <c r="S386" s="99">
        <f t="shared" si="399"/>
        <v>1658.8941602658538</v>
      </c>
      <c r="T386" s="108">
        <f t="shared" si="400"/>
        <v>829.44708013292689</v>
      </c>
      <c r="U386" s="108">
        <f t="shared" si="401"/>
        <v>829.44708013292689</v>
      </c>
      <c r="V386" s="108">
        <f t="shared" si="402"/>
        <v>0</v>
      </c>
      <c r="W386" s="108"/>
      <c r="X386" s="109"/>
      <c r="Y386" s="99">
        <f t="shared" si="8"/>
        <v>4455.9688750433916</v>
      </c>
      <c r="Z386" s="108">
        <f t="shared" si="403"/>
        <v>2227.9844375216958</v>
      </c>
      <c r="AA386" s="108">
        <f t="shared" si="404"/>
        <v>2227.9844375216958</v>
      </c>
      <c r="AB386" s="108">
        <f t="shared" si="405"/>
        <v>0</v>
      </c>
      <c r="AC386" s="108"/>
      <c r="AD386" s="109"/>
      <c r="AE386" s="99">
        <f t="shared" ref="AE386:AF386" si="448">AO386</f>
        <v>8</v>
      </c>
      <c r="AF386" s="101">
        <f t="shared" si="448"/>
        <v>36</v>
      </c>
      <c r="AG386" s="101">
        <f t="shared" si="407"/>
        <v>19.001300000000001</v>
      </c>
      <c r="AH386" s="101">
        <f t="shared" si="408"/>
        <v>106</v>
      </c>
      <c r="AI386" s="101">
        <f t="shared" si="369"/>
        <v>268.61079999999998</v>
      </c>
      <c r="AJ386" s="108">
        <f t="shared" si="409"/>
        <v>1</v>
      </c>
      <c r="AK386" s="101">
        <f t="shared" si="410"/>
        <v>1658.8941602658538</v>
      </c>
      <c r="AL386" s="101">
        <f t="shared" si="411"/>
        <v>829.44708013292689</v>
      </c>
      <c r="AM386" s="101"/>
      <c r="AN386" s="101"/>
      <c r="AO386" s="1">
        <v>8</v>
      </c>
      <c r="AP386" s="2">
        <v>36</v>
      </c>
      <c r="AQ386" s="74">
        <f t="shared" si="412"/>
        <v>106</v>
      </c>
      <c r="AR386" s="31">
        <f t="shared" si="413"/>
        <v>0.8</v>
      </c>
      <c r="AS386" s="2">
        <f t="shared" si="414"/>
        <v>0</v>
      </c>
      <c r="AT386" s="33">
        <f t="shared" si="415"/>
        <v>0</v>
      </c>
      <c r="AU386" s="31">
        <f t="shared" si="416"/>
        <v>0</v>
      </c>
      <c r="AV386" s="2">
        <f t="shared" si="417"/>
        <v>1</v>
      </c>
      <c r="AW386" s="33">
        <f t="shared" si="418"/>
        <v>1</v>
      </c>
      <c r="AX386" s="31">
        <f t="shared" si="419"/>
        <v>0</v>
      </c>
      <c r="AY386" s="33">
        <f t="shared" si="420"/>
        <v>0</v>
      </c>
      <c r="AZ386" s="2"/>
      <c r="BA386" s="101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</row>
    <row r="387" spans="1:71" ht="12" customHeight="1">
      <c r="A387" s="2"/>
      <c r="B387" s="107">
        <v>312</v>
      </c>
      <c r="C387" s="31">
        <v>4</v>
      </c>
      <c r="D387" s="106" t="s">
        <v>17</v>
      </c>
      <c r="E387" s="2" t="s">
        <v>87</v>
      </c>
      <c r="F387" s="2"/>
      <c r="G387" s="2"/>
      <c r="H387" s="33">
        <f t="shared" si="395"/>
        <v>3</v>
      </c>
      <c r="I387" s="99">
        <f t="shared" si="0"/>
        <v>410.69525963341465</v>
      </c>
      <c r="J387" s="101">
        <f t="shared" si="1"/>
        <v>13.25</v>
      </c>
      <c r="K387" s="101">
        <f t="shared" si="2"/>
        <v>721</v>
      </c>
      <c r="L387" s="74">
        <f t="shared" si="3"/>
        <v>265</v>
      </c>
      <c r="M387" s="99">
        <f t="shared" si="191"/>
        <v>3285.5620770673172</v>
      </c>
      <c r="N387" s="108">
        <f t="shared" si="396"/>
        <v>1095.1873590224391</v>
      </c>
      <c r="O387" s="108">
        <f t="shared" si="397"/>
        <v>1095.1873590224391</v>
      </c>
      <c r="P387" s="108">
        <f t="shared" si="398"/>
        <v>1095.1873590224391</v>
      </c>
      <c r="Q387" s="108"/>
      <c r="R387" s="109"/>
      <c r="S387" s="99">
        <f t="shared" si="399"/>
        <v>2488.3412403987804</v>
      </c>
      <c r="T387" s="108">
        <f t="shared" si="400"/>
        <v>829.44708013292689</v>
      </c>
      <c r="U387" s="108">
        <f t="shared" si="401"/>
        <v>829.44708013292689</v>
      </c>
      <c r="V387" s="108">
        <f t="shared" si="402"/>
        <v>829.44708013292689</v>
      </c>
      <c r="W387" s="108"/>
      <c r="X387" s="109"/>
      <c r="Y387" s="99">
        <f t="shared" si="8"/>
        <v>6683.9533125650869</v>
      </c>
      <c r="Z387" s="108">
        <f t="shared" si="403"/>
        <v>2227.9844375216958</v>
      </c>
      <c r="AA387" s="108">
        <f t="shared" si="404"/>
        <v>2227.9844375216958</v>
      </c>
      <c r="AB387" s="108">
        <f t="shared" si="405"/>
        <v>2227.9844375216958</v>
      </c>
      <c r="AC387" s="108"/>
      <c r="AD387" s="109"/>
      <c r="AE387" s="99">
        <f t="shared" ref="AE387:AF387" si="449">AO387</f>
        <v>8</v>
      </c>
      <c r="AF387" s="101">
        <f t="shared" si="449"/>
        <v>36</v>
      </c>
      <c r="AG387" s="101">
        <f t="shared" si="407"/>
        <v>19.001300000000001</v>
      </c>
      <c r="AH387" s="101">
        <f t="shared" si="408"/>
        <v>106</v>
      </c>
      <c r="AI387" s="101">
        <f t="shared" si="369"/>
        <v>268.61079999999998</v>
      </c>
      <c r="AJ387" s="108">
        <f t="shared" si="409"/>
        <v>2</v>
      </c>
      <c r="AK387" s="101">
        <f t="shared" si="410"/>
        <v>2488.3412403987804</v>
      </c>
      <c r="AL387" s="101">
        <f t="shared" si="411"/>
        <v>829.44708013292689</v>
      </c>
      <c r="AM387" s="101"/>
      <c r="AN387" s="101"/>
      <c r="AO387" s="1">
        <v>8</v>
      </c>
      <c r="AP387" s="2">
        <v>36</v>
      </c>
      <c r="AQ387" s="74">
        <f t="shared" si="412"/>
        <v>106</v>
      </c>
      <c r="AR387" s="31">
        <f t="shared" si="413"/>
        <v>1</v>
      </c>
      <c r="AS387" s="2">
        <f t="shared" si="414"/>
        <v>0</v>
      </c>
      <c r="AT387" s="33">
        <f t="shared" si="415"/>
        <v>1</v>
      </c>
      <c r="AU387" s="31">
        <f t="shared" si="416"/>
        <v>0</v>
      </c>
      <c r="AV387" s="2">
        <f t="shared" si="417"/>
        <v>1</v>
      </c>
      <c r="AW387" s="33">
        <f t="shared" si="418"/>
        <v>1</v>
      </c>
      <c r="AX387" s="31">
        <f t="shared" si="419"/>
        <v>0</v>
      </c>
      <c r="AY387" s="33">
        <f t="shared" si="420"/>
        <v>0</v>
      </c>
      <c r="AZ387" s="2"/>
      <c r="BA387" s="101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</row>
    <row r="388" spans="1:71" ht="12" customHeight="1">
      <c r="A388" s="2"/>
      <c r="B388" s="107">
        <v>313</v>
      </c>
      <c r="C388" s="31">
        <v>1</v>
      </c>
      <c r="D388" s="106" t="s">
        <v>17</v>
      </c>
      <c r="E388" s="2" t="s">
        <v>67</v>
      </c>
      <c r="F388" s="2"/>
      <c r="G388" s="2"/>
      <c r="H388" s="33">
        <f t="shared" si="395"/>
        <v>2</v>
      </c>
      <c r="I388" s="99">
        <f t="shared" si="0"/>
        <v>219.89982895441446</v>
      </c>
      <c r="J388" s="101">
        <f t="shared" si="1"/>
        <v>6.625</v>
      </c>
      <c r="K388" s="101">
        <f t="shared" si="2"/>
        <v>880</v>
      </c>
      <c r="L388" s="74">
        <f t="shared" si="3"/>
        <v>354</v>
      </c>
      <c r="M388" s="99">
        <f t="shared" si="191"/>
        <v>1759.1986316353157</v>
      </c>
      <c r="N388" s="108">
        <f t="shared" si="396"/>
        <v>879.59931581765784</v>
      </c>
      <c r="O388" s="108">
        <f t="shared" si="397"/>
        <v>879.59931581765784</v>
      </c>
      <c r="P388" s="108">
        <f t="shared" si="398"/>
        <v>0</v>
      </c>
      <c r="Q388" s="108"/>
      <c r="R388" s="109"/>
      <c r="S388" s="99">
        <f t="shared" si="399"/>
        <v>1332.3402213902439</v>
      </c>
      <c r="T388" s="108">
        <f t="shared" si="400"/>
        <v>666.17011069512193</v>
      </c>
      <c r="U388" s="108">
        <f t="shared" si="401"/>
        <v>666.17011069512193</v>
      </c>
      <c r="V388" s="108">
        <f t="shared" si="402"/>
        <v>0</v>
      </c>
      <c r="W388" s="108"/>
      <c r="X388" s="109"/>
      <c r="Y388" s="99">
        <f t="shared" si="8"/>
        <v>3578.8097273981048</v>
      </c>
      <c r="Z388" s="108">
        <f t="shared" si="403"/>
        <v>1789.4048636990524</v>
      </c>
      <c r="AA388" s="108">
        <f t="shared" si="404"/>
        <v>1789.4048636990524</v>
      </c>
      <c r="AB388" s="108">
        <f t="shared" si="405"/>
        <v>0</v>
      </c>
      <c r="AC388" s="108"/>
      <c r="AD388" s="109"/>
      <c r="AE388" s="99">
        <f t="shared" ref="AE388:AF388" si="450">AO388</f>
        <v>8</v>
      </c>
      <c r="AF388" s="101">
        <f t="shared" si="450"/>
        <v>36</v>
      </c>
      <c r="AG388" s="101">
        <f t="shared" si="407"/>
        <v>19.001300000000001</v>
      </c>
      <c r="AH388" s="101">
        <f t="shared" si="408"/>
        <v>53</v>
      </c>
      <c r="AI388" s="101">
        <f t="shared" si="369"/>
        <v>268.61079999999998</v>
      </c>
      <c r="AJ388" s="108">
        <f t="shared" si="409"/>
        <v>1.25</v>
      </c>
      <c r="AK388" s="101">
        <f t="shared" si="410"/>
        <v>1332.3402213902439</v>
      </c>
      <c r="AL388" s="101">
        <f t="shared" si="411"/>
        <v>666.17011069512193</v>
      </c>
      <c r="AM388" s="101"/>
      <c r="AN388" s="101"/>
      <c r="AO388" s="1">
        <v>8</v>
      </c>
      <c r="AP388" s="2">
        <v>36</v>
      </c>
      <c r="AQ388" s="74">
        <f t="shared" si="412"/>
        <v>53</v>
      </c>
      <c r="AR388" s="31">
        <f t="shared" si="413"/>
        <v>1</v>
      </c>
      <c r="AS388" s="2">
        <f t="shared" si="414"/>
        <v>0</v>
      </c>
      <c r="AT388" s="33">
        <f t="shared" si="415"/>
        <v>0</v>
      </c>
      <c r="AU388" s="31">
        <f t="shared" si="416"/>
        <v>0</v>
      </c>
      <c r="AV388" s="2">
        <f t="shared" si="417"/>
        <v>1</v>
      </c>
      <c r="AW388" s="33">
        <f t="shared" si="418"/>
        <v>1</v>
      </c>
      <c r="AX388" s="31">
        <f t="shared" si="419"/>
        <v>0</v>
      </c>
      <c r="AY388" s="33">
        <f t="shared" si="420"/>
        <v>0</v>
      </c>
      <c r="AZ388" s="2"/>
      <c r="BA388" s="101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</row>
    <row r="389" spans="1:71" ht="12" customHeight="1">
      <c r="A389" s="2"/>
      <c r="B389" s="107">
        <v>314</v>
      </c>
      <c r="C389" s="31">
        <v>10</v>
      </c>
      <c r="D389" s="106" t="s">
        <v>20</v>
      </c>
      <c r="E389" s="2" t="s">
        <v>144</v>
      </c>
      <c r="F389" s="2" t="s">
        <v>149</v>
      </c>
      <c r="G389" s="2"/>
      <c r="H389" s="33"/>
      <c r="I389" s="99">
        <f t="shared" si="0"/>
        <v>721.21116563087583</v>
      </c>
      <c r="J389" s="101">
        <f t="shared" si="1"/>
        <v>24.5</v>
      </c>
      <c r="K389" s="101">
        <f t="shared" si="2"/>
        <v>332</v>
      </c>
      <c r="L389" s="74">
        <f t="shared" si="3"/>
        <v>94</v>
      </c>
      <c r="M389" s="99">
        <f t="shared" si="191"/>
        <v>12981.800981355766</v>
      </c>
      <c r="N389" s="108">
        <f t="shared" ref="N389:N450" si="451">T389*(1+((AG389+IF(F389="백어택",20,0))/100)*(AI389/100-1))</f>
        <v>4849.6867505853861</v>
      </c>
      <c r="O389" s="108">
        <f t="shared" ref="O389:O450" si="452">U389*(1+(($D$57+IF(F389="백어택",20,0))/100)*($D$58/100-1))</f>
        <v>8132.1142307703803</v>
      </c>
      <c r="P389" s="108"/>
      <c r="Q389" s="108"/>
      <c r="R389" s="109"/>
      <c r="S389" s="99">
        <f t="shared" si="399"/>
        <v>8776.1080578321944</v>
      </c>
      <c r="T389" s="108">
        <f t="shared" ref="T389:T450" si="453">AL389*AV389*IF(F389="백어택",1.2,1)</f>
        <v>2925.720881042927</v>
      </c>
      <c r="U389" s="108">
        <f t="shared" ref="U389:U450" si="454">AM389*AX389*AY389*IF(F389="백어택",1.2,1)</f>
        <v>5850.3871767892679</v>
      </c>
      <c r="V389" s="108"/>
      <c r="W389" s="108"/>
      <c r="X389" s="109"/>
      <c r="Y389" s="99">
        <f t="shared" si="8"/>
        <v>17552.216115664389</v>
      </c>
      <c r="Z389" s="108">
        <f t="shared" ref="Z389:AA389" si="455">T389*$D$58/100</f>
        <v>5851.441762085854</v>
      </c>
      <c r="AA389" s="108">
        <f t="shared" si="455"/>
        <v>11700.774353578536</v>
      </c>
      <c r="AB389" s="108"/>
      <c r="AC389" s="108"/>
      <c r="AD389" s="109"/>
      <c r="AE389" s="99">
        <f t="shared" ref="AE389:AE450" si="456">AO389-AR389</f>
        <v>18</v>
      </c>
      <c r="AF389" s="101">
        <f t="shared" ref="AF389:AF450" si="457">AP389</f>
        <v>36</v>
      </c>
      <c r="AG389" s="101">
        <f t="shared" ref="AG389:AG534" si="458">IF($D$57+AU389&gt;100,100,$D$57+AU389)</f>
        <v>19.001300000000001</v>
      </c>
      <c r="AH389" s="101">
        <f t="shared" ref="AH389:AH450" si="459">AQ389*AS389</f>
        <v>441</v>
      </c>
      <c r="AI389" s="101">
        <f t="shared" si="369"/>
        <v>268.61079999999998</v>
      </c>
      <c r="AJ389" s="108">
        <f t="shared" ref="AJ389:AJ450" si="460">10*IF(AV389=1,1,5/4.5)/IF(AX389=1,5,3.5)</f>
        <v>2.8571428571428572</v>
      </c>
      <c r="AK389" s="101">
        <f t="shared" ref="AK389:AK977" si="461">SUM(AL389:AN389)</f>
        <v>4875.7620578646347</v>
      </c>
      <c r="AL389" s="101">
        <f t="shared" ref="AL389:AL450" si="462">(VLOOKUP(C389,$B$36:$AG$39,29,FALSE)+VLOOKUP(C389,$B$40:$AG$43,29,FALSE)*$D$54)*$D$59/100</f>
        <v>2438.1007342024391</v>
      </c>
      <c r="AM389" s="101">
        <f t="shared" ref="AM389:AM450" si="463">(VLOOKUP(C389,$B$36:$AG$39,30,FALSE)+VLOOKUP(C389,$B$40:$AG$43,30,FALSE)*$D$54)*$D$59/100</f>
        <v>2437.6613236621952</v>
      </c>
      <c r="AN389" s="101"/>
      <c r="AO389" s="1">
        <v>18</v>
      </c>
      <c r="AP389" s="2">
        <v>36</v>
      </c>
      <c r="AQ389" s="74">
        <f t="shared" ref="AQ389:AQ450" si="464">VLOOKUP(C389,$B$45:$AG$48,29,FALSE)</f>
        <v>441</v>
      </c>
      <c r="AR389" s="31">
        <f t="shared" ref="AR389:AR450" si="465">IF(LEFT(E389,1)*1=1,$S$70,$R$70)</f>
        <v>0</v>
      </c>
      <c r="AS389" s="2">
        <f t="shared" ref="AS389:AS450" si="466">IF(LEFT(E389,1)*1=2,$U$70,$T$70)</f>
        <v>1</v>
      </c>
      <c r="AT389" s="33">
        <f t="shared" ref="AT389:AT450" si="467">IF(LEFT(E389,1)*1=3,$W$70,$V$70)</f>
        <v>0</v>
      </c>
      <c r="AU389" s="31">
        <f t="shared" ref="AU389:AU450" si="468">IF(MID(E389,3,1)*1=1,$Y$70,$X$70)</f>
        <v>0</v>
      </c>
      <c r="AV389" s="2">
        <f t="shared" ref="AV389:AV450" si="469">IF(MID(E389,3,1)*1=2,$AA$70,$Z$70)</f>
        <v>1</v>
      </c>
      <c r="AW389" s="33">
        <f t="shared" ref="AW389:AW450" si="470">IF(MID(E389,3,1)*1=3,$AC$70,$AB$70)</f>
        <v>0</v>
      </c>
      <c r="AX389" s="31">
        <f t="shared" ref="AX389:AX450" si="471">IF(MID(E389,5,1)*1=1,$AE$70,$AD$70)</f>
        <v>2</v>
      </c>
      <c r="AY389" s="33">
        <f t="shared" ref="AY389:AY450" si="472">IF(MID(E389,5,1)*1=2,$AG$70,$AF$70)</f>
        <v>1</v>
      </c>
      <c r="AZ389" s="2"/>
      <c r="BA389" s="101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</row>
    <row r="390" spans="1:71" ht="12" customHeight="1">
      <c r="A390" s="2"/>
      <c r="B390" s="107">
        <v>315</v>
      </c>
      <c r="C390" s="31">
        <v>10</v>
      </c>
      <c r="D390" s="106" t="s">
        <v>20</v>
      </c>
      <c r="E390" s="2" t="s">
        <v>138</v>
      </c>
      <c r="F390" s="2" t="s">
        <v>149</v>
      </c>
      <c r="G390" s="2"/>
      <c r="H390" s="33"/>
      <c r="I390" s="99">
        <f t="shared" si="0"/>
        <v>885.64721174066017</v>
      </c>
      <c r="J390" s="101">
        <f t="shared" si="1"/>
        <v>24.5</v>
      </c>
      <c r="K390" s="101">
        <f t="shared" si="2"/>
        <v>217</v>
      </c>
      <c r="L390" s="74">
        <f t="shared" si="3"/>
        <v>53</v>
      </c>
      <c r="M390" s="99">
        <f t="shared" si="191"/>
        <v>15941.649811331883</v>
      </c>
      <c r="N390" s="108">
        <f t="shared" si="451"/>
        <v>7809.5355805615027</v>
      </c>
      <c r="O390" s="108">
        <f t="shared" si="452"/>
        <v>8132.1142307703803</v>
      </c>
      <c r="P390" s="108"/>
      <c r="Q390" s="108"/>
      <c r="R390" s="109"/>
      <c r="S390" s="99">
        <f t="shared" si="399"/>
        <v>8776.1080578321944</v>
      </c>
      <c r="T390" s="108">
        <f t="shared" si="453"/>
        <v>2925.720881042927</v>
      </c>
      <c r="U390" s="108">
        <f t="shared" si="454"/>
        <v>5850.3871767892679</v>
      </c>
      <c r="V390" s="108"/>
      <c r="W390" s="108"/>
      <c r="X390" s="109"/>
      <c r="Y390" s="99">
        <f t="shared" si="8"/>
        <v>17552.216115664389</v>
      </c>
      <c r="Z390" s="108">
        <f t="shared" ref="Z390:AA390" si="473">T390*$D$58/100</f>
        <v>5851.441762085854</v>
      </c>
      <c r="AA390" s="108">
        <f t="shared" si="473"/>
        <v>11700.774353578536</v>
      </c>
      <c r="AB390" s="108"/>
      <c r="AC390" s="108"/>
      <c r="AD390" s="109"/>
      <c r="AE390" s="99">
        <f t="shared" si="456"/>
        <v>18</v>
      </c>
      <c r="AF390" s="101">
        <f t="shared" si="457"/>
        <v>36</v>
      </c>
      <c r="AG390" s="101">
        <f t="shared" si="458"/>
        <v>79.001300000000001</v>
      </c>
      <c r="AH390" s="101">
        <f t="shared" si="459"/>
        <v>441</v>
      </c>
      <c r="AI390" s="101">
        <f t="shared" si="369"/>
        <v>268.61079999999998</v>
      </c>
      <c r="AJ390" s="108">
        <f t="shared" si="460"/>
        <v>2.8571428571428572</v>
      </c>
      <c r="AK390" s="101">
        <f t="shared" si="461"/>
        <v>4875.7620578646347</v>
      </c>
      <c r="AL390" s="101">
        <f t="shared" si="462"/>
        <v>2438.1007342024391</v>
      </c>
      <c r="AM390" s="101">
        <f t="shared" si="463"/>
        <v>2437.6613236621952</v>
      </c>
      <c r="AN390" s="101"/>
      <c r="AO390" s="1">
        <v>18</v>
      </c>
      <c r="AP390" s="2">
        <v>36</v>
      </c>
      <c r="AQ390" s="74">
        <f t="shared" si="464"/>
        <v>441</v>
      </c>
      <c r="AR390" s="31">
        <f t="shared" si="465"/>
        <v>0</v>
      </c>
      <c r="AS390" s="2">
        <f t="shared" si="466"/>
        <v>1</v>
      </c>
      <c r="AT390" s="33">
        <f t="shared" si="467"/>
        <v>0</v>
      </c>
      <c r="AU390" s="31">
        <f t="shared" si="468"/>
        <v>60</v>
      </c>
      <c r="AV390" s="2">
        <f t="shared" si="469"/>
        <v>1</v>
      </c>
      <c r="AW390" s="33">
        <f t="shared" si="470"/>
        <v>0</v>
      </c>
      <c r="AX390" s="31">
        <f t="shared" si="471"/>
        <v>2</v>
      </c>
      <c r="AY390" s="33">
        <f t="shared" si="472"/>
        <v>1</v>
      </c>
      <c r="AZ390" s="2"/>
      <c r="BA390" s="101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</row>
    <row r="391" spans="1:71" ht="12" customHeight="1">
      <c r="A391" s="2"/>
      <c r="B391" s="107">
        <v>316</v>
      </c>
      <c r="C391" s="31">
        <v>10</v>
      </c>
      <c r="D391" s="106" t="s">
        <v>20</v>
      </c>
      <c r="E391" s="2" t="s">
        <v>140</v>
      </c>
      <c r="F391" s="2" t="s">
        <v>149</v>
      </c>
      <c r="G391" s="2"/>
      <c r="H391" s="33"/>
      <c r="I391" s="99">
        <f t="shared" si="0"/>
        <v>855.92468648046997</v>
      </c>
      <c r="J391" s="101">
        <f t="shared" si="1"/>
        <v>24.5</v>
      </c>
      <c r="K391" s="101">
        <f t="shared" si="2"/>
        <v>238</v>
      </c>
      <c r="L391" s="74">
        <f t="shared" si="3"/>
        <v>62</v>
      </c>
      <c r="M391" s="99">
        <f t="shared" si="191"/>
        <v>15406.64435664846</v>
      </c>
      <c r="N391" s="108">
        <f t="shared" si="451"/>
        <v>7274.5301258780783</v>
      </c>
      <c r="O391" s="108">
        <f t="shared" si="452"/>
        <v>8132.1142307703803</v>
      </c>
      <c r="P391" s="108"/>
      <c r="Q391" s="108"/>
      <c r="R391" s="109"/>
      <c r="S391" s="99">
        <f t="shared" si="399"/>
        <v>10238.968498353657</v>
      </c>
      <c r="T391" s="108">
        <f t="shared" si="453"/>
        <v>4388.5813215643902</v>
      </c>
      <c r="U391" s="108">
        <f t="shared" si="454"/>
        <v>5850.3871767892679</v>
      </c>
      <c r="V391" s="108"/>
      <c r="W391" s="108"/>
      <c r="X391" s="109"/>
      <c r="Y391" s="99">
        <f t="shared" si="8"/>
        <v>20477.936996707314</v>
      </c>
      <c r="Z391" s="108">
        <f t="shared" ref="Z391:AA391" si="474">T391*$D$58/100</f>
        <v>8777.1626431287805</v>
      </c>
      <c r="AA391" s="108">
        <f t="shared" si="474"/>
        <v>11700.774353578536</v>
      </c>
      <c r="AB391" s="108"/>
      <c r="AC391" s="108"/>
      <c r="AD391" s="109"/>
      <c r="AE391" s="99">
        <f t="shared" si="456"/>
        <v>18</v>
      </c>
      <c r="AF391" s="101">
        <f t="shared" si="457"/>
        <v>36</v>
      </c>
      <c r="AG391" s="101">
        <f t="shared" si="458"/>
        <v>19.001300000000001</v>
      </c>
      <c r="AH391" s="101">
        <f t="shared" si="459"/>
        <v>441</v>
      </c>
      <c r="AI391" s="101">
        <f t="shared" si="369"/>
        <v>268.61079999999998</v>
      </c>
      <c r="AJ391" s="108">
        <f t="shared" si="460"/>
        <v>3.1746031746031744</v>
      </c>
      <c r="AK391" s="101">
        <f t="shared" si="461"/>
        <v>4875.7620578646347</v>
      </c>
      <c r="AL391" s="101">
        <f t="shared" si="462"/>
        <v>2438.1007342024391</v>
      </c>
      <c r="AM391" s="101">
        <f t="shared" si="463"/>
        <v>2437.6613236621952</v>
      </c>
      <c r="AN391" s="101"/>
      <c r="AO391" s="1">
        <v>18</v>
      </c>
      <c r="AP391" s="2">
        <v>36</v>
      </c>
      <c r="AQ391" s="74">
        <f t="shared" si="464"/>
        <v>441</v>
      </c>
      <c r="AR391" s="31">
        <f t="shared" si="465"/>
        <v>0</v>
      </c>
      <c r="AS391" s="2">
        <f t="shared" si="466"/>
        <v>1</v>
      </c>
      <c r="AT391" s="33">
        <f t="shared" si="467"/>
        <v>0</v>
      </c>
      <c r="AU391" s="31">
        <f t="shared" si="468"/>
        <v>0</v>
      </c>
      <c r="AV391" s="2">
        <f t="shared" si="469"/>
        <v>1.5</v>
      </c>
      <c r="AW391" s="33">
        <f t="shared" si="470"/>
        <v>0</v>
      </c>
      <c r="AX391" s="31">
        <f t="shared" si="471"/>
        <v>2</v>
      </c>
      <c r="AY391" s="33">
        <f t="shared" si="472"/>
        <v>1</v>
      </c>
      <c r="AZ391" s="2"/>
      <c r="BA391" s="101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</row>
    <row r="392" spans="1:71" ht="12" customHeight="1">
      <c r="A392" s="2"/>
      <c r="B392" s="107">
        <v>317</v>
      </c>
      <c r="C392" s="31">
        <v>10</v>
      </c>
      <c r="D392" s="106" t="s">
        <v>20</v>
      </c>
      <c r="E392" s="2" t="s">
        <v>150</v>
      </c>
      <c r="F392" s="2" t="s">
        <v>149</v>
      </c>
      <c r="G392" s="2"/>
      <c r="H392" s="33"/>
      <c r="I392" s="99">
        <f t="shared" si="0"/>
        <v>865.45339875705099</v>
      </c>
      <c r="J392" s="101">
        <f t="shared" si="1"/>
        <v>29.4</v>
      </c>
      <c r="K392" s="101">
        <f t="shared" si="2"/>
        <v>234</v>
      </c>
      <c r="L392" s="74">
        <f t="shared" si="3"/>
        <v>59</v>
      </c>
      <c r="M392" s="99">
        <f t="shared" si="191"/>
        <v>12981.800981355766</v>
      </c>
      <c r="N392" s="108">
        <f t="shared" si="451"/>
        <v>4849.6867505853861</v>
      </c>
      <c r="O392" s="108">
        <f t="shared" si="452"/>
        <v>8132.1142307703803</v>
      </c>
      <c r="P392" s="108"/>
      <c r="Q392" s="108"/>
      <c r="R392" s="109"/>
      <c r="S392" s="99">
        <f t="shared" si="399"/>
        <v>8776.1080578321944</v>
      </c>
      <c r="T392" s="108">
        <f t="shared" si="453"/>
        <v>2925.720881042927</v>
      </c>
      <c r="U392" s="108">
        <f t="shared" si="454"/>
        <v>5850.3871767892679</v>
      </c>
      <c r="V392" s="108"/>
      <c r="W392" s="108"/>
      <c r="X392" s="109"/>
      <c r="Y392" s="99">
        <f t="shared" si="8"/>
        <v>17552.216115664389</v>
      </c>
      <c r="Z392" s="108">
        <f t="shared" ref="Z392:AA392" si="475">T392*$D$58/100</f>
        <v>5851.441762085854</v>
      </c>
      <c r="AA392" s="108">
        <f t="shared" si="475"/>
        <v>11700.774353578536</v>
      </c>
      <c r="AB392" s="108"/>
      <c r="AC392" s="108"/>
      <c r="AD392" s="109"/>
      <c r="AE392" s="99">
        <f t="shared" si="456"/>
        <v>15</v>
      </c>
      <c r="AF392" s="101">
        <f t="shared" si="457"/>
        <v>36</v>
      </c>
      <c r="AG392" s="101">
        <f t="shared" si="458"/>
        <v>19.001300000000001</v>
      </c>
      <c r="AH392" s="101">
        <f t="shared" si="459"/>
        <v>441</v>
      </c>
      <c r="AI392" s="101">
        <f t="shared" si="369"/>
        <v>268.61079999999998</v>
      </c>
      <c r="AJ392" s="108">
        <f t="shared" si="460"/>
        <v>2.8571428571428572</v>
      </c>
      <c r="AK392" s="101">
        <f t="shared" si="461"/>
        <v>4875.7620578646347</v>
      </c>
      <c r="AL392" s="101">
        <f t="shared" si="462"/>
        <v>2438.1007342024391</v>
      </c>
      <c r="AM392" s="101">
        <f t="shared" si="463"/>
        <v>2437.6613236621952</v>
      </c>
      <c r="AN392" s="101"/>
      <c r="AO392" s="1">
        <v>18</v>
      </c>
      <c r="AP392" s="2">
        <v>36</v>
      </c>
      <c r="AQ392" s="74">
        <f t="shared" si="464"/>
        <v>441</v>
      </c>
      <c r="AR392" s="31">
        <f t="shared" si="465"/>
        <v>3</v>
      </c>
      <c r="AS392" s="2">
        <f t="shared" si="466"/>
        <v>1</v>
      </c>
      <c r="AT392" s="33">
        <f t="shared" si="467"/>
        <v>0</v>
      </c>
      <c r="AU392" s="31">
        <f t="shared" si="468"/>
        <v>0</v>
      </c>
      <c r="AV392" s="2">
        <f t="shared" si="469"/>
        <v>1</v>
      </c>
      <c r="AW392" s="33">
        <f t="shared" si="470"/>
        <v>0</v>
      </c>
      <c r="AX392" s="31">
        <f t="shared" si="471"/>
        <v>2</v>
      </c>
      <c r="AY392" s="33">
        <f t="shared" si="472"/>
        <v>1</v>
      </c>
      <c r="AZ392" s="2"/>
      <c r="BA392" s="101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</row>
    <row r="393" spans="1:71" ht="12" customHeight="1">
      <c r="A393" s="2"/>
      <c r="B393" s="107">
        <v>318</v>
      </c>
      <c r="C393" s="31">
        <v>10</v>
      </c>
      <c r="D393" s="106" t="s">
        <v>20</v>
      </c>
      <c r="E393" s="2" t="s">
        <v>164</v>
      </c>
      <c r="F393" s="2" t="s">
        <v>149</v>
      </c>
      <c r="G393" s="2"/>
      <c r="H393" s="33"/>
      <c r="I393" s="99">
        <f t="shared" si="0"/>
        <v>1062.7766540887922</v>
      </c>
      <c r="J393" s="101">
        <f t="shared" si="1"/>
        <v>29.4</v>
      </c>
      <c r="K393" s="101">
        <f t="shared" si="2"/>
        <v>136</v>
      </c>
      <c r="L393" s="74">
        <f t="shared" si="3"/>
        <v>26</v>
      </c>
      <c r="M393" s="99">
        <f t="shared" si="191"/>
        <v>15941.649811331883</v>
      </c>
      <c r="N393" s="108">
        <f t="shared" si="451"/>
        <v>7809.5355805615027</v>
      </c>
      <c r="O393" s="108">
        <f t="shared" si="452"/>
        <v>8132.1142307703803</v>
      </c>
      <c r="P393" s="108"/>
      <c r="Q393" s="108"/>
      <c r="R393" s="109"/>
      <c r="S393" s="99">
        <f t="shared" si="399"/>
        <v>8776.1080578321944</v>
      </c>
      <c r="T393" s="108">
        <f t="shared" si="453"/>
        <v>2925.720881042927</v>
      </c>
      <c r="U393" s="108">
        <f t="shared" si="454"/>
        <v>5850.3871767892679</v>
      </c>
      <c r="V393" s="108"/>
      <c r="W393" s="108"/>
      <c r="X393" s="109"/>
      <c r="Y393" s="99">
        <f t="shared" si="8"/>
        <v>17552.216115664389</v>
      </c>
      <c r="Z393" s="108">
        <f t="shared" ref="Z393:AA393" si="476">T393*$D$58/100</f>
        <v>5851.441762085854</v>
      </c>
      <c r="AA393" s="108">
        <f t="shared" si="476"/>
        <v>11700.774353578536</v>
      </c>
      <c r="AB393" s="108"/>
      <c r="AC393" s="108"/>
      <c r="AD393" s="109"/>
      <c r="AE393" s="99">
        <f t="shared" si="456"/>
        <v>15</v>
      </c>
      <c r="AF393" s="101">
        <f t="shared" si="457"/>
        <v>36</v>
      </c>
      <c r="AG393" s="101">
        <f t="shared" si="458"/>
        <v>79.001300000000001</v>
      </c>
      <c r="AH393" s="101">
        <f t="shared" si="459"/>
        <v>441</v>
      </c>
      <c r="AI393" s="101">
        <f t="shared" si="369"/>
        <v>268.61079999999998</v>
      </c>
      <c r="AJ393" s="108">
        <f t="shared" si="460"/>
        <v>2.8571428571428572</v>
      </c>
      <c r="AK393" s="101">
        <f t="shared" si="461"/>
        <v>4875.7620578646347</v>
      </c>
      <c r="AL393" s="101">
        <f t="shared" si="462"/>
        <v>2438.1007342024391</v>
      </c>
      <c r="AM393" s="101">
        <f t="shared" si="463"/>
        <v>2437.6613236621952</v>
      </c>
      <c r="AN393" s="101"/>
      <c r="AO393" s="1">
        <v>18</v>
      </c>
      <c r="AP393" s="2">
        <v>36</v>
      </c>
      <c r="AQ393" s="74">
        <f t="shared" si="464"/>
        <v>441</v>
      </c>
      <c r="AR393" s="31">
        <f t="shared" si="465"/>
        <v>3</v>
      </c>
      <c r="AS393" s="2">
        <f t="shared" si="466"/>
        <v>1</v>
      </c>
      <c r="AT393" s="33">
        <f t="shared" si="467"/>
        <v>0</v>
      </c>
      <c r="AU393" s="31">
        <f t="shared" si="468"/>
        <v>60</v>
      </c>
      <c r="AV393" s="2">
        <f t="shared" si="469"/>
        <v>1</v>
      </c>
      <c r="AW393" s="33">
        <f t="shared" si="470"/>
        <v>0</v>
      </c>
      <c r="AX393" s="31">
        <f t="shared" si="471"/>
        <v>2</v>
      </c>
      <c r="AY393" s="33">
        <f t="shared" si="472"/>
        <v>1</v>
      </c>
      <c r="AZ393" s="2"/>
      <c r="BA393" s="101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</row>
    <row r="394" spans="1:71" ht="12" customHeight="1">
      <c r="A394" s="2"/>
      <c r="B394" s="107">
        <v>319</v>
      </c>
      <c r="C394" s="31">
        <v>10</v>
      </c>
      <c r="D394" s="106" t="s">
        <v>20</v>
      </c>
      <c r="E394" s="2" t="s">
        <v>153</v>
      </c>
      <c r="F394" s="2" t="s">
        <v>149</v>
      </c>
      <c r="G394" s="2"/>
      <c r="H394" s="33"/>
      <c r="I394" s="99">
        <f t="shared" si="0"/>
        <v>1027.1096237765639</v>
      </c>
      <c r="J394" s="101">
        <f t="shared" si="1"/>
        <v>29.4</v>
      </c>
      <c r="K394" s="101">
        <f t="shared" si="2"/>
        <v>151</v>
      </c>
      <c r="L394" s="74">
        <f t="shared" si="3"/>
        <v>32</v>
      </c>
      <c r="M394" s="99">
        <f t="shared" si="191"/>
        <v>15406.64435664846</v>
      </c>
      <c r="N394" s="108">
        <f t="shared" si="451"/>
        <v>7274.5301258780783</v>
      </c>
      <c r="O394" s="108">
        <f t="shared" si="452"/>
        <v>8132.1142307703803</v>
      </c>
      <c r="P394" s="108"/>
      <c r="Q394" s="108"/>
      <c r="R394" s="109"/>
      <c r="S394" s="99">
        <f t="shared" si="399"/>
        <v>10238.968498353657</v>
      </c>
      <c r="T394" s="108">
        <f t="shared" si="453"/>
        <v>4388.5813215643902</v>
      </c>
      <c r="U394" s="108">
        <f t="shared" si="454"/>
        <v>5850.3871767892679</v>
      </c>
      <c r="V394" s="108"/>
      <c r="W394" s="108"/>
      <c r="X394" s="109"/>
      <c r="Y394" s="99">
        <f t="shared" si="8"/>
        <v>20477.936996707314</v>
      </c>
      <c r="Z394" s="108">
        <f t="shared" ref="Z394:AA394" si="477">T394*$D$58/100</f>
        <v>8777.1626431287805</v>
      </c>
      <c r="AA394" s="108">
        <f t="shared" si="477"/>
        <v>11700.774353578536</v>
      </c>
      <c r="AB394" s="108"/>
      <c r="AC394" s="108"/>
      <c r="AD394" s="109"/>
      <c r="AE394" s="99">
        <f t="shared" si="456"/>
        <v>15</v>
      </c>
      <c r="AF394" s="101">
        <f t="shared" si="457"/>
        <v>36</v>
      </c>
      <c r="AG394" s="101">
        <f t="shared" si="458"/>
        <v>19.001300000000001</v>
      </c>
      <c r="AH394" s="101">
        <f t="shared" si="459"/>
        <v>441</v>
      </c>
      <c r="AI394" s="101">
        <f t="shared" si="369"/>
        <v>268.61079999999998</v>
      </c>
      <c r="AJ394" s="108">
        <f t="shared" si="460"/>
        <v>3.1746031746031744</v>
      </c>
      <c r="AK394" s="101">
        <f t="shared" si="461"/>
        <v>4875.7620578646347</v>
      </c>
      <c r="AL394" s="101">
        <f t="shared" si="462"/>
        <v>2438.1007342024391</v>
      </c>
      <c r="AM394" s="101">
        <f t="shared" si="463"/>
        <v>2437.6613236621952</v>
      </c>
      <c r="AN394" s="101"/>
      <c r="AO394" s="1">
        <v>18</v>
      </c>
      <c r="AP394" s="2">
        <v>36</v>
      </c>
      <c r="AQ394" s="74">
        <f t="shared" si="464"/>
        <v>441</v>
      </c>
      <c r="AR394" s="31">
        <f t="shared" si="465"/>
        <v>3</v>
      </c>
      <c r="AS394" s="2">
        <f t="shared" si="466"/>
        <v>1</v>
      </c>
      <c r="AT394" s="33">
        <f t="shared" si="467"/>
        <v>0</v>
      </c>
      <c r="AU394" s="31">
        <f t="shared" si="468"/>
        <v>0</v>
      </c>
      <c r="AV394" s="2">
        <f t="shared" si="469"/>
        <v>1.5</v>
      </c>
      <c r="AW394" s="33">
        <f t="shared" si="470"/>
        <v>0</v>
      </c>
      <c r="AX394" s="31">
        <f t="shared" si="471"/>
        <v>2</v>
      </c>
      <c r="AY394" s="33">
        <f t="shared" si="472"/>
        <v>1</v>
      </c>
      <c r="AZ394" s="2"/>
      <c r="BA394" s="101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</row>
    <row r="395" spans="1:71" ht="12" customHeight="1">
      <c r="A395" s="2"/>
      <c r="B395" s="107">
        <v>320</v>
      </c>
      <c r="C395" s="31">
        <v>10</v>
      </c>
      <c r="D395" s="106" t="s">
        <v>20</v>
      </c>
      <c r="E395" s="2" t="s">
        <v>161</v>
      </c>
      <c r="F395" s="2" t="s">
        <v>149</v>
      </c>
      <c r="G395" s="2"/>
      <c r="H395" s="33"/>
      <c r="I395" s="99">
        <f t="shared" si="0"/>
        <v>721.21116563087583</v>
      </c>
      <c r="J395" s="101">
        <f t="shared" si="1"/>
        <v>12.25</v>
      </c>
      <c r="K395" s="101">
        <f t="shared" si="2"/>
        <v>332</v>
      </c>
      <c r="L395" s="74">
        <f t="shared" si="3"/>
        <v>94</v>
      </c>
      <c r="M395" s="99">
        <f t="shared" si="191"/>
        <v>12981.800981355766</v>
      </c>
      <c r="N395" s="108">
        <f t="shared" si="451"/>
        <v>4849.6867505853861</v>
      </c>
      <c r="O395" s="108">
        <f t="shared" si="452"/>
        <v>8132.1142307703803</v>
      </c>
      <c r="P395" s="108"/>
      <c r="Q395" s="108"/>
      <c r="R395" s="109"/>
      <c r="S395" s="99">
        <f t="shared" si="399"/>
        <v>8776.1080578321944</v>
      </c>
      <c r="T395" s="108">
        <f t="shared" si="453"/>
        <v>2925.720881042927</v>
      </c>
      <c r="U395" s="108">
        <f t="shared" si="454"/>
        <v>5850.3871767892679</v>
      </c>
      <c r="V395" s="108"/>
      <c r="W395" s="108"/>
      <c r="X395" s="109"/>
      <c r="Y395" s="99">
        <f t="shared" si="8"/>
        <v>17552.216115664389</v>
      </c>
      <c r="Z395" s="108">
        <f t="shared" ref="Z395:AA395" si="478">T395*$D$58/100</f>
        <v>5851.441762085854</v>
      </c>
      <c r="AA395" s="108">
        <f t="shared" si="478"/>
        <v>11700.774353578536</v>
      </c>
      <c r="AB395" s="108"/>
      <c r="AC395" s="108"/>
      <c r="AD395" s="109"/>
      <c r="AE395" s="99">
        <f t="shared" si="456"/>
        <v>18</v>
      </c>
      <c r="AF395" s="101">
        <f t="shared" si="457"/>
        <v>36</v>
      </c>
      <c r="AG395" s="101">
        <f t="shared" si="458"/>
        <v>19.001300000000001</v>
      </c>
      <c r="AH395" s="101">
        <f t="shared" si="459"/>
        <v>220.5</v>
      </c>
      <c r="AI395" s="101">
        <f t="shared" si="369"/>
        <v>268.61079999999998</v>
      </c>
      <c r="AJ395" s="108">
        <f t="shared" si="460"/>
        <v>2.8571428571428572</v>
      </c>
      <c r="AK395" s="101">
        <f t="shared" si="461"/>
        <v>4875.7620578646347</v>
      </c>
      <c r="AL395" s="101">
        <f t="shared" si="462"/>
        <v>2438.1007342024391</v>
      </c>
      <c r="AM395" s="101">
        <f t="shared" si="463"/>
        <v>2437.6613236621952</v>
      </c>
      <c r="AN395" s="101"/>
      <c r="AO395" s="1">
        <v>18</v>
      </c>
      <c r="AP395" s="2">
        <v>36</v>
      </c>
      <c r="AQ395" s="74">
        <f t="shared" si="464"/>
        <v>441</v>
      </c>
      <c r="AR395" s="31">
        <f t="shared" si="465"/>
        <v>0</v>
      </c>
      <c r="AS395" s="2">
        <f t="shared" si="466"/>
        <v>0.5</v>
      </c>
      <c r="AT395" s="33">
        <f t="shared" si="467"/>
        <v>0</v>
      </c>
      <c r="AU395" s="31">
        <f t="shared" si="468"/>
        <v>0</v>
      </c>
      <c r="AV395" s="2">
        <f t="shared" si="469"/>
        <v>1</v>
      </c>
      <c r="AW395" s="33">
        <f t="shared" si="470"/>
        <v>0</v>
      </c>
      <c r="AX395" s="31">
        <f t="shared" si="471"/>
        <v>2</v>
      </c>
      <c r="AY395" s="33">
        <f t="shared" si="472"/>
        <v>1</v>
      </c>
      <c r="AZ395" s="2"/>
      <c r="BA395" s="101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</row>
    <row r="396" spans="1:71" ht="12" customHeight="1">
      <c r="A396" s="2"/>
      <c r="B396" s="107">
        <v>321</v>
      </c>
      <c r="C396" s="31">
        <v>10</v>
      </c>
      <c r="D396" s="106" t="s">
        <v>20</v>
      </c>
      <c r="E396" s="2" t="s">
        <v>169</v>
      </c>
      <c r="F396" s="2" t="s">
        <v>149</v>
      </c>
      <c r="G396" s="2"/>
      <c r="H396" s="33"/>
      <c r="I396" s="99">
        <f t="shared" si="0"/>
        <v>885.64721174066017</v>
      </c>
      <c r="J396" s="101">
        <f t="shared" si="1"/>
        <v>12.25</v>
      </c>
      <c r="K396" s="101">
        <f t="shared" si="2"/>
        <v>217</v>
      </c>
      <c r="L396" s="74">
        <f t="shared" si="3"/>
        <v>53</v>
      </c>
      <c r="M396" s="99">
        <f t="shared" si="191"/>
        <v>15941.649811331883</v>
      </c>
      <c r="N396" s="108">
        <f t="shared" si="451"/>
        <v>7809.5355805615027</v>
      </c>
      <c r="O396" s="108">
        <f t="shared" si="452"/>
        <v>8132.1142307703803</v>
      </c>
      <c r="P396" s="108"/>
      <c r="Q396" s="108"/>
      <c r="R396" s="109"/>
      <c r="S396" s="99">
        <f t="shared" si="399"/>
        <v>8776.1080578321944</v>
      </c>
      <c r="T396" s="108">
        <f t="shared" si="453"/>
        <v>2925.720881042927</v>
      </c>
      <c r="U396" s="108">
        <f t="shared" si="454"/>
        <v>5850.3871767892679</v>
      </c>
      <c r="V396" s="108"/>
      <c r="W396" s="108"/>
      <c r="X396" s="109"/>
      <c r="Y396" s="99">
        <f t="shared" si="8"/>
        <v>17552.216115664389</v>
      </c>
      <c r="Z396" s="108">
        <f t="shared" ref="Z396:AA396" si="479">T396*$D$58/100</f>
        <v>5851.441762085854</v>
      </c>
      <c r="AA396" s="108">
        <f t="shared" si="479"/>
        <v>11700.774353578536</v>
      </c>
      <c r="AB396" s="108"/>
      <c r="AC396" s="108"/>
      <c r="AD396" s="109"/>
      <c r="AE396" s="99">
        <f t="shared" si="456"/>
        <v>18</v>
      </c>
      <c r="AF396" s="101">
        <f t="shared" si="457"/>
        <v>36</v>
      </c>
      <c r="AG396" s="101">
        <f t="shared" si="458"/>
        <v>79.001300000000001</v>
      </c>
      <c r="AH396" s="101">
        <f t="shared" si="459"/>
        <v>220.5</v>
      </c>
      <c r="AI396" s="101">
        <f t="shared" ref="AI396:AI450" si="480">$D$58+$D$19</f>
        <v>268.61079999999998</v>
      </c>
      <c r="AJ396" s="108">
        <f t="shared" si="460"/>
        <v>2.8571428571428572</v>
      </c>
      <c r="AK396" s="101">
        <f t="shared" si="461"/>
        <v>4875.7620578646347</v>
      </c>
      <c r="AL396" s="101">
        <f t="shared" si="462"/>
        <v>2438.1007342024391</v>
      </c>
      <c r="AM396" s="101">
        <f t="shared" si="463"/>
        <v>2437.6613236621952</v>
      </c>
      <c r="AN396" s="101"/>
      <c r="AO396" s="1">
        <v>18</v>
      </c>
      <c r="AP396" s="2">
        <v>36</v>
      </c>
      <c r="AQ396" s="74">
        <f t="shared" si="464"/>
        <v>441</v>
      </c>
      <c r="AR396" s="31">
        <f t="shared" si="465"/>
        <v>0</v>
      </c>
      <c r="AS396" s="2">
        <f t="shared" si="466"/>
        <v>0.5</v>
      </c>
      <c r="AT396" s="33">
        <f t="shared" si="467"/>
        <v>0</v>
      </c>
      <c r="AU396" s="31">
        <f t="shared" si="468"/>
        <v>60</v>
      </c>
      <c r="AV396" s="2">
        <f t="shared" si="469"/>
        <v>1</v>
      </c>
      <c r="AW396" s="33">
        <f t="shared" si="470"/>
        <v>0</v>
      </c>
      <c r="AX396" s="31">
        <f t="shared" si="471"/>
        <v>2</v>
      </c>
      <c r="AY396" s="33">
        <f t="shared" si="472"/>
        <v>1</v>
      </c>
      <c r="AZ396" s="2"/>
      <c r="BA396" s="101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</row>
    <row r="397" spans="1:71" ht="12" customHeight="1">
      <c r="A397" s="2"/>
      <c r="B397" s="107">
        <v>322</v>
      </c>
      <c r="C397" s="31">
        <v>10</v>
      </c>
      <c r="D397" s="106" t="s">
        <v>20</v>
      </c>
      <c r="E397" s="2" t="s">
        <v>162</v>
      </c>
      <c r="F397" s="2" t="s">
        <v>149</v>
      </c>
      <c r="G397" s="2"/>
      <c r="H397" s="33"/>
      <c r="I397" s="99">
        <f t="shared" si="0"/>
        <v>855.92468648046997</v>
      </c>
      <c r="J397" s="101">
        <f t="shared" si="1"/>
        <v>12.25</v>
      </c>
      <c r="K397" s="101">
        <f t="shared" si="2"/>
        <v>238</v>
      </c>
      <c r="L397" s="74">
        <f t="shared" si="3"/>
        <v>62</v>
      </c>
      <c r="M397" s="99">
        <f t="shared" si="191"/>
        <v>15406.64435664846</v>
      </c>
      <c r="N397" s="108">
        <f t="shared" si="451"/>
        <v>7274.5301258780783</v>
      </c>
      <c r="O397" s="108">
        <f t="shared" si="452"/>
        <v>8132.1142307703803</v>
      </c>
      <c r="P397" s="108"/>
      <c r="Q397" s="108"/>
      <c r="R397" s="109"/>
      <c r="S397" s="99">
        <f t="shared" si="399"/>
        <v>10238.968498353657</v>
      </c>
      <c r="T397" s="108">
        <f t="shared" si="453"/>
        <v>4388.5813215643902</v>
      </c>
      <c r="U397" s="108">
        <f t="shared" si="454"/>
        <v>5850.3871767892679</v>
      </c>
      <c r="V397" s="108"/>
      <c r="W397" s="108"/>
      <c r="X397" s="109"/>
      <c r="Y397" s="99">
        <f t="shared" si="8"/>
        <v>20477.936996707314</v>
      </c>
      <c r="Z397" s="108">
        <f t="shared" ref="Z397:AA397" si="481">T397*$D$58/100</f>
        <v>8777.1626431287805</v>
      </c>
      <c r="AA397" s="108">
        <f t="shared" si="481"/>
        <v>11700.774353578536</v>
      </c>
      <c r="AB397" s="108"/>
      <c r="AC397" s="108"/>
      <c r="AD397" s="109"/>
      <c r="AE397" s="99">
        <f t="shared" si="456"/>
        <v>18</v>
      </c>
      <c r="AF397" s="101">
        <f t="shared" si="457"/>
        <v>36</v>
      </c>
      <c r="AG397" s="101">
        <f t="shared" si="458"/>
        <v>19.001300000000001</v>
      </c>
      <c r="AH397" s="101">
        <f t="shared" si="459"/>
        <v>220.5</v>
      </c>
      <c r="AI397" s="101">
        <f t="shared" si="480"/>
        <v>268.61079999999998</v>
      </c>
      <c r="AJ397" s="108">
        <f t="shared" si="460"/>
        <v>3.1746031746031744</v>
      </c>
      <c r="AK397" s="101">
        <f t="shared" si="461"/>
        <v>4875.7620578646347</v>
      </c>
      <c r="AL397" s="101">
        <f t="shared" si="462"/>
        <v>2438.1007342024391</v>
      </c>
      <c r="AM397" s="101">
        <f t="shared" si="463"/>
        <v>2437.6613236621952</v>
      </c>
      <c r="AN397" s="101"/>
      <c r="AO397" s="1">
        <v>18</v>
      </c>
      <c r="AP397" s="2">
        <v>36</v>
      </c>
      <c r="AQ397" s="74">
        <f t="shared" si="464"/>
        <v>441</v>
      </c>
      <c r="AR397" s="31">
        <f t="shared" si="465"/>
        <v>0</v>
      </c>
      <c r="AS397" s="2">
        <f t="shared" si="466"/>
        <v>0.5</v>
      </c>
      <c r="AT397" s="33">
        <f t="shared" si="467"/>
        <v>0</v>
      </c>
      <c r="AU397" s="31">
        <f t="shared" si="468"/>
        <v>0</v>
      </c>
      <c r="AV397" s="2">
        <f t="shared" si="469"/>
        <v>1.5</v>
      </c>
      <c r="AW397" s="33">
        <f t="shared" si="470"/>
        <v>0</v>
      </c>
      <c r="AX397" s="31">
        <f t="shared" si="471"/>
        <v>2</v>
      </c>
      <c r="AY397" s="33">
        <f t="shared" si="472"/>
        <v>1</v>
      </c>
      <c r="AZ397" s="2"/>
      <c r="BA397" s="101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</row>
    <row r="398" spans="1:71" ht="12" customHeight="1">
      <c r="A398" s="2"/>
      <c r="B398" s="107">
        <v>323</v>
      </c>
      <c r="C398" s="31">
        <v>10</v>
      </c>
      <c r="D398" s="106" t="s">
        <v>20</v>
      </c>
      <c r="E398" s="2" t="s">
        <v>92</v>
      </c>
      <c r="F398" s="2" t="s">
        <v>149</v>
      </c>
      <c r="G398" s="2"/>
      <c r="H398" s="33"/>
      <c r="I398" s="99">
        <f t="shared" si="0"/>
        <v>721.21116563087583</v>
      </c>
      <c r="J398" s="101">
        <f t="shared" si="1"/>
        <v>24.5</v>
      </c>
      <c r="K398" s="101">
        <f t="shared" si="2"/>
        <v>332</v>
      </c>
      <c r="L398" s="74">
        <f t="shared" si="3"/>
        <v>94</v>
      </c>
      <c r="M398" s="99">
        <f t="shared" si="191"/>
        <v>12981.800981355766</v>
      </c>
      <c r="N398" s="108">
        <f t="shared" si="451"/>
        <v>4849.6867505853861</v>
      </c>
      <c r="O398" s="108">
        <f t="shared" si="452"/>
        <v>8132.1142307703803</v>
      </c>
      <c r="P398" s="108"/>
      <c r="Q398" s="108"/>
      <c r="R398" s="109"/>
      <c r="S398" s="99">
        <f t="shared" si="399"/>
        <v>8776.1080578321944</v>
      </c>
      <c r="T398" s="108">
        <f t="shared" si="453"/>
        <v>2925.720881042927</v>
      </c>
      <c r="U398" s="108">
        <f t="shared" si="454"/>
        <v>5850.3871767892679</v>
      </c>
      <c r="V398" s="108"/>
      <c r="W398" s="108"/>
      <c r="X398" s="109"/>
      <c r="Y398" s="99">
        <f t="shared" si="8"/>
        <v>17552.216115664389</v>
      </c>
      <c r="Z398" s="108">
        <f t="shared" ref="Z398:AA398" si="482">T398*$D$58/100</f>
        <v>5851.441762085854</v>
      </c>
      <c r="AA398" s="108">
        <f t="shared" si="482"/>
        <v>11700.774353578536</v>
      </c>
      <c r="AB398" s="108"/>
      <c r="AC398" s="108"/>
      <c r="AD398" s="109"/>
      <c r="AE398" s="99">
        <f t="shared" si="456"/>
        <v>18</v>
      </c>
      <c r="AF398" s="101">
        <f t="shared" si="457"/>
        <v>36</v>
      </c>
      <c r="AG398" s="101">
        <f t="shared" si="458"/>
        <v>19.001300000000001</v>
      </c>
      <c r="AH398" s="101">
        <f t="shared" si="459"/>
        <v>441</v>
      </c>
      <c r="AI398" s="101">
        <f t="shared" si="480"/>
        <v>268.61079999999998</v>
      </c>
      <c r="AJ398" s="108">
        <f t="shared" si="460"/>
        <v>2</v>
      </c>
      <c r="AK398" s="101">
        <f t="shared" si="461"/>
        <v>4875.7620578646347</v>
      </c>
      <c r="AL398" s="101">
        <f t="shared" si="462"/>
        <v>2438.1007342024391</v>
      </c>
      <c r="AM398" s="101">
        <f t="shared" si="463"/>
        <v>2437.6613236621952</v>
      </c>
      <c r="AN398" s="101"/>
      <c r="AO398" s="1">
        <v>18</v>
      </c>
      <c r="AP398" s="2">
        <v>36</v>
      </c>
      <c r="AQ398" s="74">
        <f t="shared" si="464"/>
        <v>441</v>
      </c>
      <c r="AR398" s="31">
        <f t="shared" si="465"/>
        <v>0</v>
      </c>
      <c r="AS398" s="2">
        <f t="shared" si="466"/>
        <v>1</v>
      </c>
      <c r="AT398" s="33">
        <f t="shared" si="467"/>
        <v>0</v>
      </c>
      <c r="AU398" s="31">
        <f t="shared" si="468"/>
        <v>0</v>
      </c>
      <c r="AV398" s="2">
        <f t="shared" si="469"/>
        <v>1</v>
      </c>
      <c r="AW398" s="33">
        <f t="shared" si="470"/>
        <v>0</v>
      </c>
      <c r="AX398" s="31">
        <f t="shared" si="471"/>
        <v>1</v>
      </c>
      <c r="AY398" s="33">
        <f t="shared" si="472"/>
        <v>2</v>
      </c>
      <c r="AZ398" s="2"/>
      <c r="BA398" s="101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</row>
    <row r="399" spans="1:71" ht="12" customHeight="1">
      <c r="A399" s="2"/>
      <c r="B399" s="107">
        <v>324</v>
      </c>
      <c r="C399" s="31">
        <v>10</v>
      </c>
      <c r="D399" s="106" t="s">
        <v>20</v>
      </c>
      <c r="E399" s="2" t="s">
        <v>139</v>
      </c>
      <c r="F399" s="2" t="s">
        <v>149</v>
      </c>
      <c r="G399" s="2"/>
      <c r="H399" s="33"/>
      <c r="I399" s="99">
        <f t="shared" si="0"/>
        <v>885.64721174066017</v>
      </c>
      <c r="J399" s="101">
        <f t="shared" si="1"/>
        <v>24.5</v>
      </c>
      <c r="K399" s="101">
        <f t="shared" si="2"/>
        <v>217</v>
      </c>
      <c r="L399" s="74">
        <f t="shared" si="3"/>
        <v>53</v>
      </c>
      <c r="M399" s="99">
        <f t="shared" si="191"/>
        <v>15941.649811331883</v>
      </c>
      <c r="N399" s="108">
        <f t="shared" si="451"/>
        <v>7809.5355805615027</v>
      </c>
      <c r="O399" s="108">
        <f t="shared" si="452"/>
        <v>8132.1142307703803</v>
      </c>
      <c r="P399" s="108"/>
      <c r="Q399" s="108"/>
      <c r="R399" s="109"/>
      <c r="S399" s="99">
        <f t="shared" si="399"/>
        <v>8776.1080578321944</v>
      </c>
      <c r="T399" s="108">
        <f t="shared" si="453"/>
        <v>2925.720881042927</v>
      </c>
      <c r="U399" s="108">
        <f t="shared" si="454"/>
        <v>5850.3871767892679</v>
      </c>
      <c r="V399" s="108"/>
      <c r="W399" s="108"/>
      <c r="X399" s="109"/>
      <c r="Y399" s="99">
        <f t="shared" si="8"/>
        <v>17552.216115664389</v>
      </c>
      <c r="Z399" s="108">
        <f t="shared" ref="Z399:AA399" si="483">T399*$D$58/100</f>
        <v>5851.441762085854</v>
      </c>
      <c r="AA399" s="108">
        <f t="shared" si="483"/>
        <v>11700.774353578536</v>
      </c>
      <c r="AB399" s="108"/>
      <c r="AC399" s="108"/>
      <c r="AD399" s="109"/>
      <c r="AE399" s="99">
        <f t="shared" si="456"/>
        <v>18</v>
      </c>
      <c r="AF399" s="101">
        <f t="shared" si="457"/>
        <v>36</v>
      </c>
      <c r="AG399" s="101">
        <f t="shared" si="458"/>
        <v>79.001300000000001</v>
      </c>
      <c r="AH399" s="101">
        <f t="shared" si="459"/>
        <v>441</v>
      </c>
      <c r="AI399" s="101">
        <f t="shared" si="480"/>
        <v>268.61079999999998</v>
      </c>
      <c r="AJ399" s="108">
        <f t="shared" si="460"/>
        <v>2</v>
      </c>
      <c r="AK399" s="101">
        <f t="shared" si="461"/>
        <v>4875.7620578646347</v>
      </c>
      <c r="AL399" s="101">
        <f t="shared" si="462"/>
        <v>2438.1007342024391</v>
      </c>
      <c r="AM399" s="101">
        <f t="shared" si="463"/>
        <v>2437.6613236621952</v>
      </c>
      <c r="AN399" s="101"/>
      <c r="AO399" s="1">
        <v>18</v>
      </c>
      <c r="AP399" s="2">
        <v>36</v>
      </c>
      <c r="AQ399" s="74">
        <f t="shared" si="464"/>
        <v>441</v>
      </c>
      <c r="AR399" s="31">
        <f t="shared" si="465"/>
        <v>0</v>
      </c>
      <c r="AS399" s="2">
        <f t="shared" si="466"/>
        <v>1</v>
      </c>
      <c r="AT399" s="33">
        <f t="shared" si="467"/>
        <v>0</v>
      </c>
      <c r="AU399" s="31">
        <f t="shared" si="468"/>
        <v>60</v>
      </c>
      <c r="AV399" s="2">
        <f t="shared" si="469"/>
        <v>1</v>
      </c>
      <c r="AW399" s="33">
        <f t="shared" si="470"/>
        <v>0</v>
      </c>
      <c r="AX399" s="31">
        <f t="shared" si="471"/>
        <v>1</v>
      </c>
      <c r="AY399" s="33">
        <f t="shared" si="472"/>
        <v>2</v>
      </c>
      <c r="AZ399" s="2"/>
      <c r="BA399" s="101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</row>
    <row r="400" spans="1:71" ht="12" customHeight="1">
      <c r="A400" s="2"/>
      <c r="B400" s="107">
        <v>325</v>
      </c>
      <c r="C400" s="31">
        <v>10</v>
      </c>
      <c r="D400" s="106" t="s">
        <v>20</v>
      </c>
      <c r="E400" s="2" t="s">
        <v>95</v>
      </c>
      <c r="F400" s="2" t="s">
        <v>149</v>
      </c>
      <c r="G400" s="2"/>
      <c r="H400" s="33"/>
      <c r="I400" s="99">
        <f t="shared" si="0"/>
        <v>855.92468648046997</v>
      </c>
      <c r="J400" s="101">
        <f t="shared" si="1"/>
        <v>24.5</v>
      </c>
      <c r="K400" s="101">
        <f t="shared" si="2"/>
        <v>238</v>
      </c>
      <c r="L400" s="74">
        <f t="shared" si="3"/>
        <v>62</v>
      </c>
      <c r="M400" s="99">
        <f t="shared" si="191"/>
        <v>15406.64435664846</v>
      </c>
      <c r="N400" s="108">
        <f t="shared" si="451"/>
        <v>7274.5301258780783</v>
      </c>
      <c r="O400" s="108">
        <f t="shared" si="452"/>
        <v>8132.1142307703803</v>
      </c>
      <c r="P400" s="108"/>
      <c r="Q400" s="108"/>
      <c r="R400" s="109"/>
      <c r="S400" s="99">
        <f t="shared" si="399"/>
        <v>10238.968498353657</v>
      </c>
      <c r="T400" s="108">
        <f t="shared" si="453"/>
        <v>4388.5813215643902</v>
      </c>
      <c r="U400" s="108">
        <f t="shared" si="454"/>
        <v>5850.3871767892679</v>
      </c>
      <c r="V400" s="108"/>
      <c r="W400" s="108"/>
      <c r="X400" s="109"/>
      <c r="Y400" s="99">
        <f t="shared" si="8"/>
        <v>20477.936996707314</v>
      </c>
      <c r="Z400" s="108">
        <f t="shared" ref="Z400:AA400" si="484">T400*$D$58/100</f>
        <v>8777.1626431287805</v>
      </c>
      <c r="AA400" s="108">
        <f t="shared" si="484"/>
        <v>11700.774353578536</v>
      </c>
      <c r="AB400" s="108"/>
      <c r="AC400" s="108"/>
      <c r="AD400" s="109"/>
      <c r="AE400" s="99">
        <f t="shared" si="456"/>
        <v>18</v>
      </c>
      <c r="AF400" s="101">
        <f t="shared" si="457"/>
        <v>36</v>
      </c>
      <c r="AG400" s="101">
        <f t="shared" si="458"/>
        <v>19.001300000000001</v>
      </c>
      <c r="AH400" s="101">
        <f t="shared" si="459"/>
        <v>441</v>
      </c>
      <c r="AI400" s="101">
        <f t="shared" si="480"/>
        <v>268.61079999999998</v>
      </c>
      <c r="AJ400" s="108">
        <f t="shared" si="460"/>
        <v>2.2222222222222223</v>
      </c>
      <c r="AK400" s="101">
        <f t="shared" si="461"/>
        <v>4875.7620578646347</v>
      </c>
      <c r="AL400" s="101">
        <f t="shared" si="462"/>
        <v>2438.1007342024391</v>
      </c>
      <c r="AM400" s="101">
        <f t="shared" si="463"/>
        <v>2437.6613236621952</v>
      </c>
      <c r="AN400" s="101"/>
      <c r="AO400" s="1">
        <v>18</v>
      </c>
      <c r="AP400" s="2">
        <v>36</v>
      </c>
      <c r="AQ400" s="74">
        <f t="shared" si="464"/>
        <v>441</v>
      </c>
      <c r="AR400" s="31">
        <f t="shared" si="465"/>
        <v>0</v>
      </c>
      <c r="AS400" s="2">
        <f t="shared" si="466"/>
        <v>1</v>
      </c>
      <c r="AT400" s="33">
        <f t="shared" si="467"/>
        <v>0</v>
      </c>
      <c r="AU400" s="31">
        <f t="shared" si="468"/>
        <v>0</v>
      </c>
      <c r="AV400" s="2">
        <f t="shared" si="469"/>
        <v>1.5</v>
      </c>
      <c r="AW400" s="33">
        <f t="shared" si="470"/>
        <v>0</v>
      </c>
      <c r="AX400" s="31">
        <f t="shared" si="471"/>
        <v>1</v>
      </c>
      <c r="AY400" s="33">
        <f t="shared" si="472"/>
        <v>2</v>
      </c>
      <c r="AZ400" s="2"/>
      <c r="BA400" s="101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</row>
    <row r="401" spans="1:71" ht="12" customHeight="1">
      <c r="A401" s="2"/>
      <c r="B401" s="107">
        <v>326</v>
      </c>
      <c r="C401" s="31">
        <v>10</v>
      </c>
      <c r="D401" s="106" t="s">
        <v>20</v>
      </c>
      <c r="E401" s="2" t="s">
        <v>151</v>
      </c>
      <c r="F401" s="2" t="s">
        <v>149</v>
      </c>
      <c r="G401" s="2"/>
      <c r="H401" s="33"/>
      <c r="I401" s="99">
        <f t="shared" si="0"/>
        <v>865.45339875705099</v>
      </c>
      <c r="J401" s="101">
        <f t="shared" si="1"/>
        <v>29.4</v>
      </c>
      <c r="K401" s="101">
        <f t="shared" si="2"/>
        <v>234</v>
      </c>
      <c r="L401" s="74">
        <f t="shared" si="3"/>
        <v>59</v>
      </c>
      <c r="M401" s="99">
        <f t="shared" si="191"/>
        <v>12981.800981355766</v>
      </c>
      <c r="N401" s="108">
        <f t="shared" si="451"/>
        <v>4849.6867505853861</v>
      </c>
      <c r="O401" s="108">
        <f t="shared" si="452"/>
        <v>8132.1142307703803</v>
      </c>
      <c r="P401" s="108"/>
      <c r="Q401" s="108"/>
      <c r="R401" s="109"/>
      <c r="S401" s="99">
        <f t="shared" si="399"/>
        <v>8776.1080578321944</v>
      </c>
      <c r="T401" s="108">
        <f t="shared" si="453"/>
        <v>2925.720881042927</v>
      </c>
      <c r="U401" s="108">
        <f t="shared" si="454"/>
        <v>5850.3871767892679</v>
      </c>
      <c r="V401" s="108"/>
      <c r="W401" s="108"/>
      <c r="X401" s="109"/>
      <c r="Y401" s="99">
        <f t="shared" si="8"/>
        <v>17552.216115664389</v>
      </c>
      <c r="Z401" s="108">
        <f t="shared" ref="Z401:AA401" si="485">T401*$D$58/100</f>
        <v>5851.441762085854</v>
      </c>
      <c r="AA401" s="108">
        <f t="shared" si="485"/>
        <v>11700.774353578536</v>
      </c>
      <c r="AB401" s="108"/>
      <c r="AC401" s="108"/>
      <c r="AD401" s="109"/>
      <c r="AE401" s="99">
        <f t="shared" si="456"/>
        <v>15</v>
      </c>
      <c r="AF401" s="101">
        <f t="shared" si="457"/>
        <v>36</v>
      </c>
      <c r="AG401" s="101">
        <f t="shared" si="458"/>
        <v>19.001300000000001</v>
      </c>
      <c r="AH401" s="101">
        <f t="shared" si="459"/>
        <v>441</v>
      </c>
      <c r="AI401" s="101">
        <f t="shared" si="480"/>
        <v>268.61079999999998</v>
      </c>
      <c r="AJ401" s="108">
        <f t="shared" si="460"/>
        <v>2</v>
      </c>
      <c r="AK401" s="101">
        <f t="shared" si="461"/>
        <v>4875.7620578646347</v>
      </c>
      <c r="AL401" s="101">
        <f t="shared" si="462"/>
        <v>2438.1007342024391</v>
      </c>
      <c r="AM401" s="101">
        <f t="shared" si="463"/>
        <v>2437.6613236621952</v>
      </c>
      <c r="AN401" s="101"/>
      <c r="AO401" s="1">
        <v>18</v>
      </c>
      <c r="AP401" s="2">
        <v>36</v>
      </c>
      <c r="AQ401" s="74">
        <f t="shared" si="464"/>
        <v>441</v>
      </c>
      <c r="AR401" s="31">
        <f t="shared" si="465"/>
        <v>3</v>
      </c>
      <c r="AS401" s="2">
        <f t="shared" si="466"/>
        <v>1</v>
      </c>
      <c r="AT401" s="33">
        <f t="shared" si="467"/>
        <v>0</v>
      </c>
      <c r="AU401" s="31">
        <f t="shared" si="468"/>
        <v>0</v>
      </c>
      <c r="AV401" s="2">
        <f t="shared" si="469"/>
        <v>1</v>
      </c>
      <c r="AW401" s="33">
        <f t="shared" si="470"/>
        <v>0</v>
      </c>
      <c r="AX401" s="31">
        <f t="shared" si="471"/>
        <v>1</v>
      </c>
      <c r="AY401" s="33">
        <f t="shared" si="472"/>
        <v>2</v>
      </c>
      <c r="AZ401" s="2"/>
      <c r="BA401" s="101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</row>
    <row r="402" spans="1:71" ht="12" customHeight="1">
      <c r="A402" s="2"/>
      <c r="B402" s="107">
        <v>327</v>
      </c>
      <c r="C402" s="31">
        <v>10</v>
      </c>
      <c r="D402" s="106" t="s">
        <v>20</v>
      </c>
      <c r="E402" s="2" t="s">
        <v>165</v>
      </c>
      <c r="F402" s="2" t="s">
        <v>149</v>
      </c>
      <c r="G402" s="2"/>
      <c r="H402" s="33"/>
      <c r="I402" s="99">
        <f t="shared" si="0"/>
        <v>1062.7766540887922</v>
      </c>
      <c r="J402" s="101">
        <f t="shared" si="1"/>
        <v>29.4</v>
      </c>
      <c r="K402" s="101">
        <f t="shared" si="2"/>
        <v>136</v>
      </c>
      <c r="L402" s="74">
        <f t="shared" si="3"/>
        <v>26</v>
      </c>
      <c r="M402" s="99">
        <f t="shared" si="191"/>
        <v>15941.649811331883</v>
      </c>
      <c r="N402" s="108">
        <f t="shared" si="451"/>
        <v>7809.5355805615027</v>
      </c>
      <c r="O402" s="108">
        <f t="shared" si="452"/>
        <v>8132.1142307703803</v>
      </c>
      <c r="P402" s="108"/>
      <c r="Q402" s="108"/>
      <c r="R402" s="109"/>
      <c r="S402" s="99">
        <f t="shared" si="399"/>
        <v>8776.1080578321944</v>
      </c>
      <c r="T402" s="108">
        <f t="shared" si="453"/>
        <v>2925.720881042927</v>
      </c>
      <c r="U402" s="108">
        <f t="shared" si="454"/>
        <v>5850.3871767892679</v>
      </c>
      <c r="V402" s="108"/>
      <c r="W402" s="108"/>
      <c r="X402" s="109"/>
      <c r="Y402" s="99">
        <f t="shared" si="8"/>
        <v>17552.216115664389</v>
      </c>
      <c r="Z402" s="108">
        <f t="shared" ref="Z402:AA402" si="486">T402*$D$58/100</f>
        <v>5851.441762085854</v>
      </c>
      <c r="AA402" s="108">
        <f t="shared" si="486"/>
        <v>11700.774353578536</v>
      </c>
      <c r="AB402" s="108"/>
      <c r="AC402" s="108"/>
      <c r="AD402" s="109"/>
      <c r="AE402" s="99">
        <f t="shared" si="456"/>
        <v>15</v>
      </c>
      <c r="AF402" s="101">
        <f t="shared" si="457"/>
        <v>36</v>
      </c>
      <c r="AG402" s="101">
        <f t="shared" si="458"/>
        <v>79.001300000000001</v>
      </c>
      <c r="AH402" s="101">
        <f t="shared" si="459"/>
        <v>441</v>
      </c>
      <c r="AI402" s="101">
        <f t="shared" si="480"/>
        <v>268.61079999999998</v>
      </c>
      <c r="AJ402" s="108">
        <f t="shared" si="460"/>
        <v>2</v>
      </c>
      <c r="AK402" s="101">
        <f t="shared" si="461"/>
        <v>4875.7620578646347</v>
      </c>
      <c r="AL402" s="101">
        <f t="shared" si="462"/>
        <v>2438.1007342024391</v>
      </c>
      <c r="AM402" s="101">
        <f t="shared" si="463"/>
        <v>2437.6613236621952</v>
      </c>
      <c r="AN402" s="101"/>
      <c r="AO402" s="1">
        <v>18</v>
      </c>
      <c r="AP402" s="2">
        <v>36</v>
      </c>
      <c r="AQ402" s="74">
        <f t="shared" si="464"/>
        <v>441</v>
      </c>
      <c r="AR402" s="31">
        <f t="shared" si="465"/>
        <v>3</v>
      </c>
      <c r="AS402" s="2">
        <f t="shared" si="466"/>
        <v>1</v>
      </c>
      <c r="AT402" s="33">
        <f t="shared" si="467"/>
        <v>0</v>
      </c>
      <c r="AU402" s="31">
        <f t="shared" si="468"/>
        <v>60</v>
      </c>
      <c r="AV402" s="2">
        <f t="shared" si="469"/>
        <v>1</v>
      </c>
      <c r="AW402" s="33">
        <f t="shared" si="470"/>
        <v>0</v>
      </c>
      <c r="AX402" s="31">
        <f t="shared" si="471"/>
        <v>1</v>
      </c>
      <c r="AY402" s="33">
        <f t="shared" si="472"/>
        <v>2</v>
      </c>
      <c r="AZ402" s="2"/>
      <c r="BA402" s="101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</row>
    <row r="403" spans="1:71" ht="12" customHeight="1">
      <c r="A403" s="2"/>
      <c r="B403" s="107">
        <v>328</v>
      </c>
      <c r="C403" s="31">
        <v>10</v>
      </c>
      <c r="D403" s="106" t="s">
        <v>20</v>
      </c>
      <c r="E403" s="2" t="s">
        <v>154</v>
      </c>
      <c r="F403" s="2" t="s">
        <v>149</v>
      </c>
      <c r="G403" s="2"/>
      <c r="H403" s="33"/>
      <c r="I403" s="99">
        <f t="shared" si="0"/>
        <v>1027.1096237765639</v>
      </c>
      <c r="J403" s="101">
        <f t="shared" si="1"/>
        <v>29.4</v>
      </c>
      <c r="K403" s="101">
        <f t="shared" si="2"/>
        <v>151</v>
      </c>
      <c r="L403" s="74">
        <f t="shared" si="3"/>
        <v>32</v>
      </c>
      <c r="M403" s="99">
        <f t="shared" si="191"/>
        <v>15406.64435664846</v>
      </c>
      <c r="N403" s="108">
        <f t="shared" si="451"/>
        <v>7274.5301258780783</v>
      </c>
      <c r="O403" s="108">
        <f t="shared" si="452"/>
        <v>8132.1142307703803</v>
      </c>
      <c r="P403" s="108"/>
      <c r="Q403" s="108"/>
      <c r="R403" s="109"/>
      <c r="S403" s="99">
        <f t="shared" si="399"/>
        <v>10238.968498353657</v>
      </c>
      <c r="T403" s="108">
        <f t="shared" si="453"/>
        <v>4388.5813215643902</v>
      </c>
      <c r="U403" s="108">
        <f t="shared" si="454"/>
        <v>5850.3871767892679</v>
      </c>
      <c r="V403" s="108"/>
      <c r="W403" s="108"/>
      <c r="X403" s="109"/>
      <c r="Y403" s="99">
        <f t="shared" si="8"/>
        <v>20477.936996707314</v>
      </c>
      <c r="Z403" s="108">
        <f t="shared" ref="Z403:AA403" si="487">T403*$D$58/100</f>
        <v>8777.1626431287805</v>
      </c>
      <c r="AA403" s="108">
        <f t="shared" si="487"/>
        <v>11700.774353578536</v>
      </c>
      <c r="AB403" s="108"/>
      <c r="AC403" s="108"/>
      <c r="AD403" s="109"/>
      <c r="AE403" s="99">
        <f t="shared" si="456"/>
        <v>15</v>
      </c>
      <c r="AF403" s="101">
        <f t="shared" si="457"/>
        <v>36</v>
      </c>
      <c r="AG403" s="101">
        <f t="shared" si="458"/>
        <v>19.001300000000001</v>
      </c>
      <c r="AH403" s="101">
        <f t="shared" si="459"/>
        <v>441</v>
      </c>
      <c r="AI403" s="101">
        <f t="shared" si="480"/>
        <v>268.61079999999998</v>
      </c>
      <c r="AJ403" s="108">
        <f t="shared" si="460"/>
        <v>2.2222222222222223</v>
      </c>
      <c r="AK403" s="101">
        <f t="shared" si="461"/>
        <v>4875.7620578646347</v>
      </c>
      <c r="AL403" s="101">
        <f t="shared" si="462"/>
        <v>2438.1007342024391</v>
      </c>
      <c r="AM403" s="101">
        <f t="shared" si="463"/>
        <v>2437.6613236621952</v>
      </c>
      <c r="AN403" s="101"/>
      <c r="AO403" s="1">
        <v>18</v>
      </c>
      <c r="AP403" s="2">
        <v>36</v>
      </c>
      <c r="AQ403" s="74">
        <f t="shared" si="464"/>
        <v>441</v>
      </c>
      <c r="AR403" s="31">
        <f t="shared" si="465"/>
        <v>3</v>
      </c>
      <c r="AS403" s="2">
        <f t="shared" si="466"/>
        <v>1</v>
      </c>
      <c r="AT403" s="33">
        <f t="shared" si="467"/>
        <v>0</v>
      </c>
      <c r="AU403" s="31">
        <f t="shared" si="468"/>
        <v>0</v>
      </c>
      <c r="AV403" s="2">
        <f t="shared" si="469"/>
        <v>1.5</v>
      </c>
      <c r="AW403" s="33">
        <f t="shared" si="470"/>
        <v>0</v>
      </c>
      <c r="AX403" s="31">
        <f t="shared" si="471"/>
        <v>1</v>
      </c>
      <c r="AY403" s="33">
        <f t="shared" si="472"/>
        <v>2</v>
      </c>
      <c r="AZ403" s="2"/>
      <c r="BA403" s="101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</row>
    <row r="404" spans="1:71" ht="12" customHeight="1">
      <c r="A404" s="2"/>
      <c r="B404" s="107">
        <v>329</v>
      </c>
      <c r="C404" s="31">
        <v>10</v>
      </c>
      <c r="D404" s="106" t="s">
        <v>20</v>
      </c>
      <c r="E404" s="2" t="s">
        <v>99</v>
      </c>
      <c r="F404" s="2" t="s">
        <v>149</v>
      </c>
      <c r="G404" s="2"/>
      <c r="H404" s="33"/>
      <c r="I404" s="99">
        <f t="shared" si="0"/>
        <v>721.21116563087583</v>
      </c>
      <c r="J404" s="101">
        <f t="shared" si="1"/>
        <v>12.25</v>
      </c>
      <c r="K404" s="101">
        <f t="shared" si="2"/>
        <v>332</v>
      </c>
      <c r="L404" s="74">
        <f t="shared" si="3"/>
        <v>94</v>
      </c>
      <c r="M404" s="99">
        <f t="shared" si="191"/>
        <v>12981.800981355766</v>
      </c>
      <c r="N404" s="108">
        <f t="shared" si="451"/>
        <v>4849.6867505853861</v>
      </c>
      <c r="O404" s="108">
        <f t="shared" si="452"/>
        <v>8132.1142307703803</v>
      </c>
      <c r="P404" s="108"/>
      <c r="Q404" s="108"/>
      <c r="R404" s="109"/>
      <c r="S404" s="99">
        <f t="shared" si="399"/>
        <v>8776.1080578321944</v>
      </c>
      <c r="T404" s="108">
        <f t="shared" si="453"/>
        <v>2925.720881042927</v>
      </c>
      <c r="U404" s="108">
        <f t="shared" si="454"/>
        <v>5850.3871767892679</v>
      </c>
      <c r="V404" s="108"/>
      <c r="W404" s="108"/>
      <c r="X404" s="109"/>
      <c r="Y404" s="99">
        <f t="shared" si="8"/>
        <v>17552.216115664389</v>
      </c>
      <c r="Z404" s="108">
        <f t="shared" ref="Z404:AA404" si="488">T404*$D$58/100</f>
        <v>5851.441762085854</v>
      </c>
      <c r="AA404" s="108">
        <f t="shared" si="488"/>
        <v>11700.774353578536</v>
      </c>
      <c r="AB404" s="108"/>
      <c r="AC404" s="108"/>
      <c r="AD404" s="109"/>
      <c r="AE404" s="99">
        <f t="shared" si="456"/>
        <v>18</v>
      </c>
      <c r="AF404" s="101">
        <f t="shared" si="457"/>
        <v>36</v>
      </c>
      <c r="AG404" s="101">
        <f t="shared" si="458"/>
        <v>19.001300000000001</v>
      </c>
      <c r="AH404" s="101">
        <f t="shared" si="459"/>
        <v>220.5</v>
      </c>
      <c r="AI404" s="101">
        <f t="shared" si="480"/>
        <v>268.61079999999998</v>
      </c>
      <c r="AJ404" s="108">
        <f t="shared" si="460"/>
        <v>2</v>
      </c>
      <c r="AK404" s="101">
        <f t="shared" si="461"/>
        <v>4875.7620578646347</v>
      </c>
      <c r="AL404" s="101">
        <f t="shared" si="462"/>
        <v>2438.1007342024391</v>
      </c>
      <c r="AM404" s="101">
        <f t="shared" si="463"/>
        <v>2437.6613236621952</v>
      </c>
      <c r="AN404" s="101"/>
      <c r="AO404" s="1">
        <v>18</v>
      </c>
      <c r="AP404" s="2">
        <v>36</v>
      </c>
      <c r="AQ404" s="74">
        <f t="shared" si="464"/>
        <v>441</v>
      </c>
      <c r="AR404" s="31">
        <f t="shared" si="465"/>
        <v>0</v>
      </c>
      <c r="AS404" s="2">
        <f t="shared" si="466"/>
        <v>0.5</v>
      </c>
      <c r="AT404" s="33">
        <f t="shared" si="467"/>
        <v>0</v>
      </c>
      <c r="AU404" s="31">
        <f t="shared" si="468"/>
        <v>0</v>
      </c>
      <c r="AV404" s="2">
        <f t="shared" si="469"/>
        <v>1</v>
      </c>
      <c r="AW404" s="33">
        <f t="shared" si="470"/>
        <v>0</v>
      </c>
      <c r="AX404" s="31">
        <f t="shared" si="471"/>
        <v>1</v>
      </c>
      <c r="AY404" s="33">
        <f t="shared" si="472"/>
        <v>2</v>
      </c>
      <c r="AZ404" s="2"/>
      <c r="BA404" s="101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</row>
    <row r="405" spans="1:71" ht="12" customHeight="1">
      <c r="A405" s="2"/>
      <c r="B405" s="107">
        <v>330</v>
      </c>
      <c r="C405" s="31">
        <v>10</v>
      </c>
      <c r="D405" s="106" t="s">
        <v>20</v>
      </c>
      <c r="E405" s="2" t="s">
        <v>170</v>
      </c>
      <c r="F405" s="2" t="s">
        <v>149</v>
      </c>
      <c r="G405" s="2"/>
      <c r="H405" s="33"/>
      <c r="I405" s="99">
        <f t="shared" si="0"/>
        <v>885.64721174066017</v>
      </c>
      <c r="J405" s="101">
        <f t="shared" si="1"/>
        <v>12.25</v>
      </c>
      <c r="K405" s="101">
        <f t="shared" si="2"/>
        <v>217</v>
      </c>
      <c r="L405" s="74">
        <f t="shared" si="3"/>
        <v>53</v>
      </c>
      <c r="M405" s="99">
        <f t="shared" si="191"/>
        <v>15941.649811331883</v>
      </c>
      <c r="N405" s="108">
        <f t="shared" si="451"/>
        <v>7809.5355805615027</v>
      </c>
      <c r="O405" s="108">
        <f t="shared" si="452"/>
        <v>8132.1142307703803</v>
      </c>
      <c r="P405" s="108"/>
      <c r="Q405" s="108"/>
      <c r="R405" s="109"/>
      <c r="S405" s="99">
        <f t="shared" si="399"/>
        <v>8776.1080578321944</v>
      </c>
      <c r="T405" s="108">
        <f t="shared" si="453"/>
        <v>2925.720881042927</v>
      </c>
      <c r="U405" s="108">
        <f t="shared" si="454"/>
        <v>5850.3871767892679</v>
      </c>
      <c r="V405" s="108"/>
      <c r="W405" s="108"/>
      <c r="X405" s="109"/>
      <c r="Y405" s="99">
        <f t="shared" si="8"/>
        <v>17552.216115664389</v>
      </c>
      <c r="Z405" s="108">
        <f t="shared" ref="Z405:AA405" si="489">T405*$D$58/100</f>
        <v>5851.441762085854</v>
      </c>
      <c r="AA405" s="108">
        <f t="shared" si="489"/>
        <v>11700.774353578536</v>
      </c>
      <c r="AB405" s="108"/>
      <c r="AC405" s="108"/>
      <c r="AD405" s="109"/>
      <c r="AE405" s="99">
        <f t="shared" si="456"/>
        <v>18</v>
      </c>
      <c r="AF405" s="101">
        <f t="shared" si="457"/>
        <v>36</v>
      </c>
      <c r="AG405" s="101">
        <f t="shared" si="458"/>
        <v>79.001300000000001</v>
      </c>
      <c r="AH405" s="101">
        <f t="shared" si="459"/>
        <v>220.5</v>
      </c>
      <c r="AI405" s="101">
        <f t="shared" si="480"/>
        <v>268.61079999999998</v>
      </c>
      <c r="AJ405" s="108">
        <f t="shared" si="460"/>
        <v>2</v>
      </c>
      <c r="AK405" s="101">
        <f t="shared" si="461"/>
        <v>4875.7620578646347</v>
      </c>
      <c r="AL405" s="101">
        <f t="shared" si="462"/>
        <v>2438.1007342024391</v>
      </c>
      <c r="AM405" s="101">
        <f t="shared" si="463"/>
        <v>2437.6613236621952</v>
      </c>
      <c r="AN405" s="101"/>
      <c r="AO405" s="1">
        <v>18</v>
      </c>
      <c r="AP405" s="2">
        <v>36</v>
      </c>
      <c r="AQ405" s="74">
        <f t="shared" si="464"/>
        <v>441</v>
      </c>
      <c r="AR405" s="31">
        <f t="shared" si="465"/>
        <v>0</v>
      </c>
      <c r="AS405" s="2">
        <f t="shared" si="466"/>
        <v>0.5</v>
      </c>
      <c r="AT405" s="33">
        <f t="shared" si="467"/>
        <v>0</v>
      </c>
      <c r="AU405" s="31">
        <f t="shared" si="468"/>
        <v>60</v>
      </c>
      <c r="AV405" s="2">
        <f t="shared" si="469"/>
        <v>1</v>
      </c>
      <c r="AW405" s="33">
        <f t="shared" si="470"/>
        <v>0</v>
      </c>
      <c r="AX405" s="31">
        <f t="shared" si="471"/>
        <v>1</v>
      </c>
      <c r="AY405" s="33">
        <f t="shared" si="472"/>
        <v>2</v>
      </c>
      <c r="AZ405" s="2"/>
      <c r="BA405" s="101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</row>
    <row r="406" spans="1:71" ht="12" customHeight="1">
      <c r="A406" s="2"/>
      <c r="B406" s="107">
        <v>331</v>
      </c>
      <c r="C406" s="31">
        <v>10</v>
      </c>
      <c r="D406" s="106" t="s">
        <v>20</v>
      </c>
      <c r="E406" s="2" t="s">
        <v>102</v>
      </c>
      <c r="F406" s="2" t="s">
        <v>149</v>
      </c>
      <c r="G406" s="2"/>
      <c r="H406" s="33"/>
      <c r="I406" s="99">
        <f t="shared" si="0"/>
        <v>855.92468648046997</v>
      </c>
      <c r="J406" s="101">
        <f t="shared" si="1"/>
        <v>12.25</v>
      </c>
      <c r="K406" s="101">
        <f t="shared" si="2"/>
        <v>238</v>
      </c>
      <c r="L406" s="74">
        <f t="shared" si="3"/>
        <v>62</v>
      </c>
      <c r="M406" s="99">
        <f t="shared" si="191"/>
        <v>15406.64435664846</v>
      </c>
      <c r="N406" s="108">
        <f t="shared" si="451"/>
        <v>7274.5301258780783</v>
      </c>
      <c r="O406" s="108">
        <f t="shared" si="452"/>
        <v>8132.1142307703803</v>
      </c>
      <c r="P406" s="108"/>
      <c r="Q406" s="108"/>
      <c r="R406" s="109"/>
      <c r="S406" s="99">
        <f t="shared" si="399"/>
        <v>10238.968498353657</v>
      </c>
      <c r="T406" s="108">
        <f t="shared" si="453"/>
        <v>4388.5813215643902</v>
      </c>
      <c r="U406" s="108">
        <f t="shared" si="454"/>
        <v>5850.3871767892679</v>
      </c>
      <c r="V406" s="108"/>
      <c r="W406" s="108"/>
      <c r="X406" s="109"/>
      <c r="Y406" s="99">
        <f t="shared" si="8"/>
        <v>20477.936996707314</v>
      </c>
      <c r="Z406" s="108">
        <f t="shared" ref="Z406:AA406" si="490">T406*$D$58/100</f>
        <v>8777.1626431287805</v>
      </c>
      <c r="AA406" s="108">
        <f t="shared" si="490"/>
        <v>11700.774353578536</v>
      </c>
      <c r="AB406" s="108"/>
      <c r="AC406" s="108"/>
      <c r="AD406" s="109"/>
      <c r="AE406" s="99">
        <f t="shared" si="456"/>
        <v>18</v>
      </c>
      <c r="AF406" s="101">
        <f t="shared" si="457"/>
        <v>36</v>
      </c>
      <c r="AG406" s="101">
        <f t="shared" si="458"/>
        <v>19.001300000000001</v>
      </c>
      <c r="AH406" s="101">
        <f t="shared" si="459"/>
        <v>220.5</v>
      </c>
      <c r="AI406" s="101">
        <f t="shared" si="480"/>
        <v>268.61079999999998</v>
      </c>
      <c r="AJ406" s="108">
        <f t="shared" si="460"/>
        <v>2.2222222222222223</v>
      </c>
      <c r="AK406" s="101">
        <f t="shared" si="461"/>
        <v>4875.7620578646347</v>
      </c>
      <c r="AL406" s="101">
        <f t="shared" si="462"/>
        <v>2438.1007342024391</v>
      </c>
      <c r="AM406" s="101">
        <f t="shared" si="463"/>
        <v>2437.6613236621952</v>
      </c>
      <c r="AN406" s="101"/>
      <c r="AO406" s="1">
        <v>18</v>
      </c>
      <c r="AP406" s="2">
        <v>36</v>
      </c>
      <c r="AQ406" s="74">
        <f t="shared" si="464"/>
        <v>441</v>
      </c>
      <c r="AR406" s="31">
        <f t="shared" si="465"/>
        <v>0</v>
      </c>
      <c r="AS406" s="2">
        <f t="shared" si="466"/>
        <v>0.5</v>
      </c>
      <c r="AT406" s="33">
        <f t="shared" si="467"/>
        <v>0</v>
      </c>
      <c r="AU406" s="31">
        <f t="shared" si="468"/>
        <v>0</v>
      </c>
      <c r="AV406" s="2">
        <f t="shared" si="469"/>
        <v>1.5</v>
      </c>
      <c r="AW406" s="33">
        <f t="shared" si="470"/>
        <v>0</v>
      </c>
      <c r="AX406" s="31">
        <f t="shared" si="471"/>
        <v>1</v>
      </c>
      <c r="AY406" s="33">
        <f t="shared" si="472"/>
        <v>2</v>
      </c>
      <c r="AZ406" s="2"/>
      <c r="BA406" s="101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</row>
    <row r="407" spans="1:71" ht="12" customHeight="1">
      <c r="A407" s="2"/>
      <c r="B407" s="107">
        <v>332</v>
      </c>
      <c r="C407" s="31">
        <v>7</v>
      </c>
      <c r="D407" s="106" t="s">
        <v>20</v>
      </c>
      <c r="E407" s="2" t="s">
        <v>67</v>
      </c>
      <c r="F407" s="2" t="s">
        <v>149</v>
      </c>
      <c r="G407" s="2"/>
      <c r="H407" s="33"/>
      <c r="I407" s="99">
        <f t="shared" si="0"/>
        <v>474.33591939161306</v>
      </c>
      <c r="J407" s="101">
        <f t="shared" si="1"/>
        <v>17.055555555555557</v>
      </c>
      <c r="K407" s="101">
        <f t="shared" si="2"/>
        <v>634</v>
      </c>
      <c r="L407" s="74">
        <f t="shared" si="3"/>
        <v>226</v>
      </c>
      <c r="M407" s="99">
        <f t="shared" si="191"/>
        <v>8538.0465490490351</v>
      </c>
      <c r="N407" s="108">
        <f t="shared" si="451"/>
        <v>4644.2207892529559</v>
      </c>
      <c r="O407" s="108">
        <f t="shared" si="452"/>
        <v>3893.8257597960783</v>
      </c>
      <c r="P407" s="108"/>
      <c r="Q407" s="108"/>
      <c r="R407" s="109"/>
      <c r="S407" s="99">
        <f t="shared" si="399"/>
        <v>5603.0545943326833</v>
      </c>
      <c r="T407" s="108">
        <f t="shared" si="453"/>
        <v>2801.7672971663419</v>
      </c>
      <c r="U407" s="108">
        <f t="shared" si="454"/>
        <v>2801.2872971663419</v>
      </c>
      <c r="V407" s="108"/>
      <c r="W407" s="108"/>
      <c r="X407" s="109"/>
      <c r="Y407" s="99">
        <f t="shared" si="8"/>
        <v>11206.109188665367</v>
      </c>
      <c r="Z407" s="108">
        <f t="shared" ref="Z407:AA407" si="491">T407*$D$58/100</f>
        <v>5603.5345943326838</v>
      </c>
      <c r="AA407" s="108">
        <f t="shared" si="491"/>
        <v>5602.5745943326838</v>
      </c>
      <c r="AB407" s="108"/>
      <c r="AC407" s="108"/>
      <c r="AD407" s="109"/>
      <c r="AE407" s="99">
        <f t="shared" si="456"/>
        <v>18</v>
      </c>
      <c r="AF407" s="101">
        <f t="shared" si="457"/>
        <v>36</v>
      </c>
      <c r="AG407" s="101">
        <f t="shared" si="458"/>
        <v>19.001300000000001</v>
      </c>
      <c r="AH407" s="101">
        <f t="shared" si="459"/>
        <v>307</v>
      </c>
      <c r="AI407" s="101">
        <f t="shared" si="480"/>
        <v>268.61079999999998</v>
      </c>
      <c r="AJ407" s="108">
        <f t="shared" si="460"/>
        <v>2</v>
      </c>
      <c r="AK407" s="101">
        <f t="shared" si="461"/>
        <v>4669.212161943904</v>
      </c>
      <c r="AL407" s="101">
        <f t="shared" si="462"/>
        <v>2334.8060809719518</v>
      </c>
      <c r="AM407" s="101">
        <f t="shared" si="463"/>
        <v>2334.4060809719517</v>
      </c>
      <c r="AN407" s="101"/>
      <c r="AO407" s="1">
        <v>18</v>
      </c>
      <c r="AP407" s="2">
        <v>36</v>
      </c>
      <c r="AQ407" s="74">
        <f t="shared" si="464"/>
        <v>307</v>
      </c>
      <c r="AR407" s="31">
        <f t="shared" si="465"/>
        <v>0</v>
      </c>
      <c r="AS407" s="2">
        <f t="shared" si="466"/>
        <v>1</v>
      </c>
      <c r="AT407" s="33">
        <f t="shared" si="467"/>
        <v>0</v>
      </c>
      <c r="AU407" s="31">
        <f t="shared" si="468"/>
        <v>0</v>
      </c>
      <c r="AV407" s="2">
        <f t="shared" si="469"/>
        <v>1</v>
      </c>
      <c r="AW407" s="33">
        <f t="shared" si="470"/>
        <v>0</v>
      </c>
      <c r="AX407" s="31">
        <f t="shared" si="471"/>
        <v>1</v>
      </c>
      <c r="AY407" s="33">
        <f t="shared" si="472"/>
        <v>1</v>
      </c>
      <c r="AZ407" s="2"/>
      <c r="BA407" s="101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</row>
    <row r="408" spans="1:71" ht="12" customHeight="1">
      <c r="A408" s="2"/>
      <c r="B408" s="107">
        <v>333</v>
      </c>
      <c r="C408" s="31">
        <v>7</v>
      </c>
      <c r="D408" s="106" t="s">
        <v>20</v>
      </c>
      <c r="E408" s="2" t="s">
        <v>136</v>
      </c>
      <c r="F408" s="2" t="s">
        <v>149</v>
      </c>
      <c r="G408" s="2"/>
      <c r="H408" s="33"/>
      <c r="I408" s="99">
        <f t="shared" si="0"/>
        <v>631.80532785463117</v>
      </c>
      <c r="J408" s="101">
        <f t="shared" si="1"/>
        <v>17.055555555555557</v>
      </c>
      <c r="K408" s="101">
        <f t="shared" si="2"/>
        <v>428</v>
      </c>
      <c r="L408" s="74">
        <f t="shared" si="3"/>
        <v>140</v>
      </c>
      <c r="M408" s="99">
        <f t="shared" si="191"/>
        <v>11372.495901383361</v>
      </c>
      <c r="N408" s="108">
        <f t="shared" si="451"/>
        <v>7478.670141587284</v>
      </c>
      <c r="O408" s="108">
        <f t="shared" si="452"/>
        <v>3893.8257597960783</v>
      </c>
      <c r="P408" s="108"/>
      <c r="Q408" s="108"/>
      <c r="R408" s="109"/>
      <c r="S408" s="99">
        <f t="shared" si="399"/>
        <v>5603.0545943326833</v>
      </c>
      <c r="T408" s="108">
        <f t="shared" si="453"/>
        <v>2801.7672971663419</v>
      </c>
      <c r="U408" s="108">
        <f t="shared" si="454"/>
        <v>2801.2872971663419</v>
      </c>
      <c r="V408" s="108"/>
      <c r="W408" s="108"/>
      <c r="X408" s="109"/>
      <c r="Y408" s="99">
        <f t="shared" si="8"/>
        <v>11206.109188665367</v>
      </c>
      <c r="Z408" s="108">
        <f t="shared" ref="Z408:AA408" si="492">T408*$D$58/100</f>
        <v>5603.5345943326838</v>
      </c>
      <c r="AA408" s="108">
        <f t="shared" si="492"/>
        <v>5602.5745943326838</v>
      </c>
      <c r="AB408" s="108"/>
      <c r="AC408" s="108"/>
      <c r="AD408" s="109"/>
      <c r="AE408" s="99">
        <f t="shared" si="456"/>
        <v>18</v>
      </c>
      <c r="AF408" s="101">
        <f t="shared" si="457"/>
        <v>36</v>
      </c>
      <c r="AG408" s="101">
        <f t="shared" si="458"/>
        <v>79.001300000000001</v>
      </c>
      <c r="AH408" s="101">
        <f t="shared" si="459"/>
        <v>307</v>
      </c>
      <c r="AI408" s="101">
        <f t="shared" si="480"/>
        <v>268.61079999999998</v>
      </c>
      <c r="AJ408" s="108">
        <f t="shared" si="460"/>
        <v>2</v>
      </c>
      <c r="AK408" s="101">
        <f t="shared" si="461"/>
        <v>4669.212161943904</v>
      </c>
      <c r="AL408" s="101">
        <f t="shared" si="462"/>
        <v>2334.8060809719518</v>
      </c>
      <c r="AM408" s="101">
        <f t="shared" si="463"/>
        <v>2334.4060809719517</v>
      </c>
      <c r="AN408" s="101"/>
      <c r="AO408" s="1">
        <v>18</v>
      </c>
      <c r="AP408" s="2">
        <v>36</v>
      </c>
      <c r="AQ408" s="74">
        <f t="shared" si="464"/>
        <v>307</v>
      </c>
      <c r="AR408" s="31">
        <f t="shared" si="465"/>
        <v>0</v>
      </c>
      <c r="AS408" s="2">
        <f t="shared" si="466"/>
        <v>1</v>
      </c>
      <c r="AT408" s="33">
        <f t="shared" si="467"/>
        <v>0</v>
      </c>
      <c r="AU408" s="31">
        <f t="shared" si="468"/>
        <v>60</v>
      </c>
      <c r="AV408" s="2">
        <f t="shared" si="469"/>
        <v>1</v>
      </c>
      <c r="AW408" s="33">
        <f t="shared" si="470"/>
        <v>0</v>
      </c>
      <c r="AX408" s="31">
        <f t="shared" si="471"/>
        <v>1</v>
      </c>
      <c r="AY408" s="33">
        <f t="shared" si="472"/>
        <v>1</v>
      </c>
      <c r="AZ408" s="2"/>
      <c r="BA408" s="101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</row>
    <row r="409" spans="1:71" ht="12" customHeight="1">
      <c r="A409" s="2"/>
      <c r="B409" s="107">
        <v>334</v>
      </c>
      <c r="C409" s="31">
        <v>7</v>
      </c>
      <c r="D409" s="106" t="s">
        <v>20</v>
      </c>
      <c r="E409" s="2" t="s">
        <v>89</v>
      </c>
      <c r="F409" s="2" t="s">
        <v>149</v>
      </c>
      <c r="G409" s="2"/>
      <c r="H409" s="33"/>
      <c r="I409" s="99">
        <f t="shared" si="0"/>
        <v>603.34205242641735</v>
      </c>
      <c r="J409" s="101">
        <f t="shared" si="1"/>
        <v>17.055555555555557</v>
      </c>
      <c r="K409" s="101">
        <f t="shared" si="2"/>
        <v>460</v>
      </c>
      <c r="L409" s="74">
        <f t="shared" si="3"/>
        <v>154</v>
      </c>
      <c r="M409" s="99">
        <f t="shared" si="191"/>
        <v>10860.156943675513</v>
      </c>
      <c r="N409" s="108">
        <f t="shared" si="451"/>
        <v>6966.3311838794343</v>
      </c>
      <c r="O409" s="108">
        <f t="shared" si="452"/>
        <v>3893.8257597960783</v>
      </c>
      <c r="P409" s="108"/>
      <c r="Q409" s="108"/>
      <c r="R409" s="109"/>
      <c r="S409" s="99">
        <f t="shared" si="399"/>
        <v>7003.938242915855</v>
      </c>
      <c r="T409" s="108">
        <f t="shared" si="453"/>
        <v>4202.6509457495131</v>
      </c>
      <c r="U409" s="108">
        <f t="shared" si="454"/>
        <v>2801.2872971663419</v>
      </c>
      <c r="V409" s="108"/>
      <c r="W409" s="108"/>
      <c r="X409" s="109"/>
      <c r="Y409" s="99">
        <f t="shared" si="8"/>
        <v>14007.87648583171</v>
      </c>
      <c r="Z409" s="108">
        <f t="shared" ref="Z409:AA409" si="493">T409*$D$58/100</f>
        <v>8405.3018914990262</v>
      </c>
      <c r="AA409" s="108">
        <f t="shared" si="493"/>
        <v>5602.5745943326838</v>
      </c>
      <c r="AB409" s="108"/>
      <c r="AC409" s="108"/>
      <c r="AD409" s="109"/>
      <c r="AE409" s="99">
        <f t="shared" si="456"/>
        <v>18</v>
      </c>
      <c r="AF409" s="101">
        <f t="shared" si="457"/>
        <v>36</v>
      </c>
      <c r="AG409" s="101">
        <f t="shared" si="458"/>
        <v>19.001300000000001</v>
      </c>
      <c r="AH409" s="101">
        <f t="shared" si="459"/>
        <v>307</v>
      </c>
      <c r="AI409" s="101">
        <f t="shared" si="480"/>
        <v>268.61079999999998</v>
      </c>
      <c r="AJ409" s="108">
        <f t="shared" si="460"/>
        <v>2.2222222222222223</v>
      </c>
      <c r="AK409" s="101">
        <f t="shared" si="461"/>
        <v>4669.212161943904</v>
      </c>
      <c r="AL409" s="101">
        <f t="shared" si="462"/>
        <v>2334.8060809719518</v>
      </c>
      <c r="AM409" s="101">
        <f t="shared" si="463"/>
        <v>2334.4060809719517</v>
      </c>
      <c r="AN409" s="101"/>
      <c r="AO409" s="1">
        <v>18</v>
      </c>
      <c r="AP409" s="2">
        <v>36</v>
      </c>
      <c r="AQ409" s="74">
        <f t="shared" si="464"/>
        <v>307</v>
      </c>
      <c r="AR409" s="31">
        <f t="shared" si="465"/>
        <v>0</v>
      </c>
      <c r="AS409" s="2">
        <f t="shared" si="466"/>
        <v>1</v>
      </c>
      <c r="AT409" s="33">
        <f t="shared" si="467"/>
        <v>0</v>
      </c>
      <c r="AU409" s="31">
        <f t="shared" si="468"/>
        <v>0</v>
      </c>
      <c r="AV409" s="2">
        <f t="shared" si="469"/>
        <v>1.5</v>
      </c>
      <c r="AW409" s="33">
        <f t="shared" si="470"/>
        <v>0</v>
      </c>
      <c r="AX409" s="31">
        <f t="shared" si="471"/>
        <v>1</v>
      </c>
      <c r="AY409" s="33">
        <f t="shared" si="472"/>
        <v>1</v>
      </c>
      <c r="AZ409" s="2"/>
      <c r="BA409" s="101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</row>
    <row r="410" spans="1:71" ht="12" customHeight="1">
      <c r="A410" s="2"/>
      <c r="B410" s="107">
        <v>335</v>
      </c>
      <c r="C410" s="31">
        <v>7</v>
      </c>
      <c r="D410" s="106" t="s">
        <v>20</v>
      </c>
      <c r="E410" s="2" t="s">
        <v>148</v>
      </c>
      <c r="F410" s="2" t="s">
        <v>149</v>
      </c>
      <c r="G410" s="2"/>
      <c r="H410" s="33"/>
      <c r="I410" s="99">
        <f t="shared" si="0"/>
        <v>569.2031032699357</v>
      </c>
      <c r="J410" s="101">
        <f t="shared" si="1"/>
        <v>20.466666666666665</v>
      </c>
      <c r="K410" s="101">
        <f t="shared" si="2"/>
        <v>509</v>
      </c>
      <c r="L410" s="74">
        <f t="shared" si="3"/>
        <v>179</v>
      </c>
      <c r="M410" s="99">
        <f t="shared" si="191"/>
        <v>8538.0465490490351</v>
      </c>
      <c r="N410" s="108">
        <f t="shared" si="451"/>
        <v>4644.2207892529559</v>
      </c>
      <c r="O410" s="108">
        <f t="shared" si="452"/>
        <v>3893.8257597960783</v>
      </c>
      <c r="P410" s="108"/>
      <c r="Q410" s="108"/>
      <c r="R410" s="109"/>
      <c r="S410" s="99">
        <f t="shared" si="399"/>
        <v>5603.0545943326833</v>
      </c>
      <c r="T410" s="108">
        <f t="shared" si="453"/>
        <v>2801.7672971663419</v>
      </c>
      <c r="U410" s="108">
        <f t="shared" si="454"/>
        <v>2801.2872971663419</v>
      </c>
      <c r="V410" s="108"/>
      <c r="W410" s="108"/>
      <c r="X410" s="109"/>
      <c r="Y410" s="99">
        <f t="shared" si="8"/>
        <v>11206.109188665367</v>
      </c>
      <c r="Z410" s="108">
        <f t="shared" ref="Z410:AA410" si="494">T410*$D$58/100</f>
        <v>5603.5345943326838</v>
      </c>
      <c r="AA410" s="108">
        <f t="shared" si="494"/>
        <v>5602.5745943326838</v>
      </c>
      <c r="AB410" s="108"/>
      <c r="AC410" s="108"/>
      <c r="AD410" s="109"/>
      <c r="AE410" s="99">
        <f t="shared" si="456"/>
        <v>15</v>
      </c>
      <c r="AF410" s="101">
        <f t="shared" si="457"/>
        <v>36</v>
      </c>
      <c r="AG410" s="101">
        <f t="shared" si="458"/>
        <v>19.001300000000001</v>
      </c>
      <c r="AH410" s="101">
        <f t="shared" si="459"/>
        <v>307</v>
      </c>
      <c r="AI410" s="101">
        <f t="shared" si="480"/>
        <v>268.61079999999998</v>
      </c>
      <c r="AJ410" s="108">
        <f t="shared" si="460"/>
        <v>2</v>
      </c>
      <c r="AK410" s="101">
        <f t="shared" si="461"/>
        <v>4669.212161943904</v>
      </c>
      <c r="AL410" s="101">
        <f t="shared" si="462"/>
        <v>2334.8060809719518</v>
      </c>
      <c r="AM410" s="101">
        <f t="shared" si="463"/>
        <v>2334.4060809719517</v>
      </c>
      <c r="AN410" s="101"/>
      <c r="AO410" s="1">
        <v>18</v>
      </c>
      <c r="AP410" s="2">
        <v>36</v>
      </c>
      <c r="AQ410" s="74">
        <f t="shared" si="464"/>
        <v>307</v>
      </c>
      <c r="AR410" s="31">
        <f t="shared" si="465"/>
        <v>3</v>
      </c>
      <c r="AS410" s="2">
        <f t="shared" si="466"/>
        <v>1</v>
      </c>
      <c r="AT410" s="33">
        <f t="shared" si="467"/>
        <v>0</v>
      </c>
      <c r="AU410" s="31">
        <f t="shared" si="468"/>
        <v>0</v>
      </c>
      <c r="AV410" s="2">
        <f t="shared" si="469"/>
        <v>1</v>
      </c>
      <c r="AW410" s="33">
        <f t="shared" si="470"/>
        <v>0</v>
      </c>
      <c r="AX410" s="31">
        <f t="shared" si="471"/>
        <v>1</v>
      </c>
      <c r="AY410" s="33">
        <f t="shared" si="472"/>
        <v>1</v>
      </c>
      <c r="AZ410" s="2"/>
      <c r="BA410" s="101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</row>
    <row r="411" spans="1:71" ht="12" customHeight="1">
      <c r="A411" s="2"/>
      <c r="B411" s="107">
        <v>336</v>
      </c>
      <c r="C411" s="31">
        <v>7</v>
      </c>
      <c r="D411" s="106" t="s">
        <v>20</v>
      </c>
      <c r="E411" s="2" t="s">
        <v>163</v>
      </c>
      <c r="F411" s="2" t="s">
        <v>149</v>
      </c>
      <c r="G411" s="2"/>
      <c r="H411" s="33"/>
      <c r="I411" s="99">
        <f t="shared" si="0"/>
        <v>758.16639342555743</v>
      </c>
      <c r="J411" s="101">
        <f t="shared" si="1"/>
        <v>20.466666666666665</v>
      </c>
      <c r="K411" s="101">
        <f t="shared" si="2"/>
        <v>297</v>
      </c>
      <c r="L411" s="74">
        <f t="shared" si="3"/>
        <v>80</v>
      </c>
      <c r="M411" s="99">
        <f t="shared" si="191"/>
        <v>11372.495901383361</v>
      </c>
      <c r="N411" s="108">
        <f t="shared" si="451"/>
        <v>7478.670141587284</v>
      </c>
      <c r="O411" s="108">
        <f t="shared" si="452"/>
        <v>3893.8257597960783</v>
      </c>
      <c r="P411" s="108"/>
      <c r="Q411" s="108"/>
      <c r="R411" s="109"/>
      <c r="S411" s="99">
        <f t="shared" si="399"/>
        <v>5603.0545943326833</v>
      </c>
      <c r="T411" s="108">
        <f t="shared" si="453"/>
        <v>2801.7672971663419</v>
      </c>
      <c r="U411" s="108">
        <f t="shared" si="454"/>
        <v>2801.2872971663419</v>
      </c>
      <c r="V411" s="108"/>
      <c r="W411" s="108"/>
      <c r="X411" s="109"/>
      <c r="Y411" s="99">
        <f t="shared" si="8"/>
        <v>11206.109188665367</v>
      </c>
      <c r="Z411" s="108">
        <f t="shared" ref="Z411:AA411" si="495">T411*$D$58/100</f>
        <v>5603.5345943326838</v>
      </c>
      <c r="AA411" s="108">
        <f t="shared" si="495"/>
        <v>5602.5745943326838</v>
      </c>
      <c r="AB411" s="108"/>
      <c r="AC411" s="108"/>
      <c r="AD411" s="109"/>
      <c r="AE411" s="99">
        <f t="shared" si="456"/>
        <v>15</v>
      </c>
      <c r="AF411" s="101">
        <f t="shared" si="457"/>
        <v>36</v>
      </c>
      <c r="AG411" s="101">
        <f t="shared" si="458"/>
        <v>79.001300000000001</v>
      </c>
      <c r="AH411" s="101">
        <f t="shared" si="459"/>
        <v>307</v>
      </c>
      <c r="AI411" s="101">
        <f t="shared" si="480"/>
        <v>268.61079999999998</v>
      </c>
      <c r="AJ411" s="108">
        <f t="shared" si="460"/>
        <v>2</v>
      </c>
      <c r="AK411" s="101">
        <f t="shared" si="461"/>
        <v>4669.212161943904</v>
      </c>
      <c r="AL411" s="101">
        <f t="shared" si="462"/>
        <v>2334.8060809719518</v>
      </c>
      <c r="AM411" s="101">
        <f t="shared" si="463"/>
        <v>2334.4060809719517</v>
      </c>
      <c r="AN411" s="101"/>
      <c r="AO411" s="1">
        <v>18</v>
      </c>
      <c r="AP411" s="2">
        <v>36</v>
      </c>
      <c r="AQ411" s="74">
        <f t="shared" si="464"/>
        <v>307</v>
      </c>
      <c r="AR411" s="31">
        <f t="shared" si="465"/>
        <v>3</v>
      </c>
      <c r="AS411" s="2">
        <f t="shared" si="466"/>
        <v>1</v>
      </c>
      <c r="AT411" s="33">
        <f t="shared" si="467"/>
        <v>0</v>
      </c>
      <c r="AU411" s="31">
        <f t="shared" si="468"/>
        <v>60</v>
      </c>
      <c r="AV411" s="2">
        <f t="shared" si="469"/>
        <v>1</v>
      </c>
      <c r="AW411" s="33">
        <f t="shared" si="470"/>
        <v>0</v>
      </c>
      <c r="AX411" s="31">
        <f t="shared" si="471"/>
        <v>1</v>
      </c>
      <c r="AY411" s="33">
        <f t="shared" si="472"/>
        <v>1</v>
      </c>
      <c r="AZ411" s="2"/>
      <c r="BA411" s="101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</row>
    <row r="412" spans="1:71" ht="12" customHeight="1">
      <c r="A412" s="2"/>
      <c r="B412" s="107">
        <v>337</v>
      </c>
      <c r="C412" s="31">
        <v>7</v>
      </c>
      <c r="D412" s="106" t="s">
        <v>20</v>
      </c>
      <c r="E412" s="2" t="s">
        <v>152</v>
      </c>
      <c r="F412" s="2" t="s">
        <v>149</v>
      </c>
      <c r="G412" s="2"/>
      <c r="H412" s="33"/>
      <c r="I412" s="99">
        <f t="shared" si="0"/>
        <v>724.01046291170087</v>
      </c>
      <c r="J412" s="101">
        <f t="shared" si="1"/>
        <v>20.466666666666665</v>
      </c>
      <c r="K412" s="101">
        <f t="shared" si="2"/>
        <v>328</v>
      </c>
      <c r="L412" s="74">
        <f t="shared" si="3"/>
        <v>92</v>
      </c>
      <c r="M412" s="99">
        <f t="shared" si="191"/>
        <v>10860.156943675513</v>
      </c>
      <c r="N412" s="108">
        <f t="shared" si="451"/>
        <v>6966.3311838794343</v>
      </c>
      <c r="O412" s="108">
        <f t="shared" si="452"/>
        <v>3893.8257597960783</v>
      </c>
      <c r="P412" s="108"/>
      <c r="Q412" s="108"/>
      <c r="R412" s="109"/>
      <c r="S412" s="99">
        <f t="shared" si="399"/>
        <v>7003.938242915855</v>
      </c>
      <c r="T412" s="108">
        <f t="shared" si="453"/>
        <v>4202.6509457495131</v>
      </c>
      <c r="U412" s="108">
        <f t="shared" si="454"/>
        <v>2801.2872971663419</v>
      </c>
      <c r="V412" s="108"/>
      <c r="W412" s="108"/>
      <c r="X412" s="109"/>
      <c r="Y412" s="99">
        <f t="shared" si="8"/>
        <v>14007.87648583171</v>
      </c>
      <c r="Z412" s="108">
        <f t="shared" ref="Z412:AA412" si="496">T412*$D$58/100</f>
        <v>8405.3018914990262</v>
      </c>
      <c r="AA412" s="108">
        <f t="shared" si="496"/>
        <v>5602.5745943326838</v>
      </c>
      <c r="AB412" s="108"/>
      <c r="AC412" s="108"/>
      <c r="AD412" s="109"/>
      <c r="AE412" s="99">
        <f t="shared" si="456"/>
        <v>15</v>
      </c>
      <c r="AF412" s="101">
        <f t="shared" si="457"/>
        <v>36</v>
      </c>
      <c r="AG412" s="101">
        <f t="shared" si="458"/>
        <v>19.001300000000001</v>
      </c>
      <c r="AH412" s="101">
        <f t="shared" si="459"/>
        <v>307</v>
      </c>
      <c r="AI412" s="101">
        <f t="shared" si="480"/>
        <v>268.61079999999998</v>
      </c>
      <c r="AJ412" s="108">
        <f t="shared" si="460"/>
        <v>2.2222222222222223</v>
      </c>
      <c r="AK412" s="101">
        <f t="shared" si="461"/>
        <v>4669.212161943904</v>
      </c>
      <c r="AL412" s="101">
        <f t="shared" si="462"/>
        <v>2334.8060809719518</v>
      </c>
      <c r="AM412" s="101">
        <f t="shared" si="463"/>
        <v>2334.4060809719517</v>
      </c>
      <c r="AN412" s="101"/>
      <c r="AO412" s="1">
        <v>18</v>
      </c>
      <c r="AP412" s="2">
        <v>36</v>
      </c>
      <c r="AQ412" s="74">
        <f t="shared" si="464"/>
        <v>307</v>
      </c>
      <c r="AR412" s="31">
        <f t="shared" si="465"/>
        <v>3</v>
      </c>
      <c r="AS412" s="2">
        <f t="shared" si="466"/>
        <v>1</v>
      </c>
      <c r="AT412" s="33">
        <f t="shared" si="467"/>
        <v>0</v>
      </c>
      <c r="AU412" s="31">
        <f t="shared" si="468"/>
        <v>0</v>
      </c>
      <c r="AV412" s="2">
        <f t="shared" si="469"/>
        <v>1.5</v>
      </c>
      <c r="AW412" s="33">
        <f t="shared" si="470"/>
        <v>0</v>
      </c>
      <c r="AX412" s="31">
        <f t="shared" si="471"/>
        <v>1</v>
      </c>
      <c r="AY412" s="33">
        <f t="shared" si="472"/>
        <v>1</v>
      </c>
      <c r="AZ412" s="2"/>
      <c r="BA412" s="101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</row>
    <row r="413" spans="1:71" ht="12" customHeight="1">
      <c r="A413" s="2"/>
      <c r="B413" s="107">
        <v>338</v>
      </c>
      <c r="C413" s="31">
        <v>7</v>
      </c>
      <c r="D413" s="106" t="s">
        <v>20</v>
      </c>
      <c r="E413" s="2" t="s">
        <v>79</v>
      </c>
      <c r="F413" s="2" t="s">
        <v>149</v>
      </c>
      <c r="G413" s="2"/>
      <c r="H413" s="33"/>
      <c r="I413" s="99">
        <f t="shared" si="0"/>
        <v>474.33591939161306</v>
      </c>
      <c r="J413" s="101">
        <f t="shared" si="1"/>
        <v>8.5277777777777786</v>
      </c>
      <c r="K413" s="101">
        <f t="shared" si="2"/>
        <v>634</v>
      </c>
      <c r="L413" s="74">
        <f t="shared" si="3"/>
        <v>226</v>
      </c>
      <c r="M413" s="99">
        <f t="shared" si="191"/>
        <v>8538.0465490490351</v>
      </c>
      <c r="N413" s="108">
        <f t="shared" si="451"/>
        <v>4644.2207892529559</v>
      </c>
      <c r="O413" s="108">
        <f t="shared" si="452"/>
        <v>3893.8257597960783</v>
      </c>
      <c r="P413" s="108"/>
      <c r="Q413" s="108"/>
      <c r="R413" s="109"/>
      <c r="S413" s="99">
        <f t="shared" si="399"/>
        <v>5603.0545943326833</v>
      </c>
      <c r="T413" s="108">
        <f t="shared" si="453"/>
        <v>2801.7672971663419</v>
      </c>
      <c r="U413" s="108">
        <f t="shared" si="454"/>
        <v>2801.2872971663419</v>
      </c>
      <c r="V413" s="108"/>
      <c r="W413" s="108"/>
      <c r="X413" s="109"/>
      <c r="Y413" s="99">
        <f t="shared" si="8"/>
        <v>11206.109188665367</v>
      </c>
      <c r="Z413" s="108">
        <f t="shared" ref="Z413:AA413" si="497">T413*$D$58/100</f>
        <v>5603.5345943326838</v>
      </c>
      <c r="AA413" s="108">
        <f t="shared" si="497"/>
        <v>5602.5745943326838</v>
      </c>
      <c r="AB413" s="108"/>
      <c r="AC413" s="108"/>
      <c r="AD413" s="109"/>
      <c r="AE413" s="99">
        <f t="shared" si="456"/>
        <v>18</v>
      </c>
      <c r="AF413" s="101">
        <f t="shared" si="457"/>
        <v>36</v>
      </c>
      <c r="AG413" s="101">
        <f t="shared" si="458"/>
        <v>19.001300000000001</v>
      </c>
      <c r="AH413" s="101">
        <f t="shared" si="459"/>
        <v>153.5</v>
      </c>
      <c r="AI413" s="101">
        <f t="shared" si="480"/>
        <v>268.61079999999998</v>
      </c>
      <c r="AJ413" s="108">
        <f t="shared" si="460"/>
        <v>2</v>
      </c>
      <c r="AK413" s="101">
        <f t="shared" si="461"/>
        <v>4669.212161943904</v>
      </c>
      <c r="AL413" s="101">
        <f t="shared" si="462"/>
        <v>2334.8060809719518</v>
      </c>
      <c r="AM413" s="101">
        <f t="shared" si="463"/>
        <v>2334.4060809719517</v>
      </c>
      <c r="AN413" s="101"/>
      <c r="AO413" s="1">
        <v>18</v>
      </c>
      <c r="AP413" s="2">
        <v>36</v>
      </c>
      <c r="AQ413" s="74">
        <f t="shared" si="464"/>
        <v>307</v>
      </c>
      <c r="AR413" s="31">
        <f t="shared" si="465"/>
        <v>0</v>
      </c>
      <c r="AS413" s="2">
        <f t="shared" si="466"/>
        <v>0.5</v>
      </c>
      <c r="AT413" s="33">
        <f t="shared" si="467"/>
        <v>0</v>
      </c>
      <c r="AU413" s="31">
        <f t="shared" si="468"/>
        <v>0</v>
      </c>
      <c r="AV413" s="2">
        <f t="shared" si="469"/>
        <v>1</v>
      </c>
      <c r="AW413" s="33">
        <f t="shared" si="470"/>
        <v>0</v>
      </c>
      <c r="AX413" s="31">
        <f t="shared" si="471"/>
        <v>1</v>
      </c>
      <c r="AY413" s="33">
        <f t="shared" si="472"/>
        <v>1</v>
      </c>
      <c r="AZ413" s="2"/>
      <c r="BA413" s="101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</row>
    <row r="414" spans="1:71" ht="12" customHeight="1">
      <c r="A414" s="2"/>
      <c r="B414" s="107">
        <v>339</v>
      </c>
      <c r="C414" s="31">
        <v>7</v>
      </c>
      <c r="D414" s="106" t="s">
        <v>20</v>
      </c>
      <c r="E414" s="2" t="s">
        <v>168</v>
      </c>
      <c r="F414" s="2" t="s">
        <v>149</v>
      </c>
      <c r="G414" s="2"/>
      <c r="H414" s="33"/>
      <c r="I414" s="99">
        <f t="shared" si="0"/>
        <v>631.80532785463117</v>
      </c>
      <c r="J414" s="101">
        <f t="shared" si="1"/>
        <v>8.5277777777777786</v>
      </c>
      <c r="K414" s="101">
        <f t="shared" si="2"/>
        <v>428</v>
      </c>
      <c r="L414" s="74">
        <f t="shared" si="3"/>
        <v>140</v>
      </c>
      <c r="M414" s="99">
        <f t="shared" si="191"/>
        <v>11372.495901383361</v>
      </c>
      <c r="N414" s="108">
        <f t="shared" si="451"/>
        <v>7478.670141587284</v>
      </c>
      <c r="O414" s="108">
        <f t="shared" si="452"/>
        <v>3893.8257597960783</v>
      </c>
      <c r="P414" s="108"/>
      <c r="Q414" s="108"/>
      <c r="R414" s="109"/>
      <c r="S414" s="99">
        <f t="shared" si="399"/>
        <v>5603.0545943326833</v>
      </c>
      <c r="T414" s="108">
        <f t="shared" si="453"/>
        <v>2801.7672971663419</v>
      </c>
      <c r="U414" s="108">
        <f t="shared" si="454"/>
        <v>2801.2872971663419</v>
      </c>
      <c r="V414" s="108"/>
      <c r="W414" s="108"/>
      <c r="X414" s="109"/>
      <c r="Y414" s="99">
        <f t="shared" si="8"/>
        <v>11206.109188665367</v>
      </c>
      <c r="Z414" s="108">
        <f t="shared" ref="Z414:AA414" si="498">T414*$D$58/100</f>
        <v>5603.5345943326838</v>
      </c>
      <c r="AA414" s="108">
        <f t="shared" si="498"/>
        <v>5602.5745943326838</v>
      </c>
      <c r="AB414" s="108"/>
      <c r="AC414" s="108"/>
      <c r="AD414" s="109"/>
      <c r="AE414" s="99">
        <f t="shared" si="456"/>
        <v>18</v>
      </c>
      <c r="AF414" s="101">
        <f t="shared" si="457"/>
        <v>36</v>
      </c>
      <c r="AG414" s="101">
        <f t="shared" si="458"/>
        <v>79.001300000000001</v>
      </c>
      <c r="AH414" s="101">
        <f t="shared" si="459"/>
        <v>153.5</v>
      </c>
      <c r="AI414" s="101">
        <f t="shared" si="480"/>
        <v>268.61079999999998</v>
      </c>
      <c r="AJ414" s="108">
        <f t="shared" si="460"/>
        <v>2</v>
      </c>
      <c r="AK414" s="101">
        <f t="shared" si="461"/>
        <v>4669.212161943904</v>
      </c>
      <c r="AL414" s="101">
        <f t="shared" si="462"/>
        <v>2334.8060809719518</v>
      </c>
      <c r="AM414" s="101">
        <f t="shared" si="463"/>
        <v>2334.4060809719517</v>
      </c>
      <c r="AN414" s="101"/>
      <c r="AO414" s="1">
        <v>18</v>
      </c>
      <c r="AP414" s="2">
        <v>36</v>
      </c>
      <c r="AQ414" s="74">
        <f t="shared" si="464"/>
        <v>307</v>
      </c>
      <c r="AR414" s="31">
        <f t="shared" si="465"/>
        <v>0</v>
      </c>
      <c r="AS414" s="2">
        <f t="shared" si="466"/>
        <v>0.5</v>
      </c>
      <c r="AT414" s="33">
        <f t="shared" si="467"/>
        <v>0</v>
      </c>
      <c r="AU414" s="31">
        <f t="shared" si="468"/>
        <v>60</v>
      </c>
      <c r="AV414" s="2">
        <f t="shared" si="469"/>
        <v>1</v>
      </c>
      <c r="AW414" s="33">
        <f t="shared" si="470"/>
        <v>0</v>
      </c>
      <c r="AX414" s="31">
        <f t="shared" si="471"/>
        <v>1</v>
      </c>
      <c r="AY414" s="33">
        <f t="shared" si="472"/>
        <v>1</v>
      </c>
      <c r="AZ414" s="2"/>
      <c r="BA414" s="101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</row>
    <row r="415" spans="1:71" ht="12" customHeight="1">
      <c r="A415" s="2"/>
      <c r="B415" s="107">
        <v>340</v>
      </c>
      <c r="C415" s="31">
        <v>7</v>
      </c>
      <c r="D415" s="106" t="s">
        <v>20</v>
      </c>
      <c r="E415" s="2" t="s">
        <v>101</v>
      </c>
      <c r="F415" s="2" t="s">
        <v>149</v>
      </c>
      <c r="G415" s="2"/>
      <c r="H415" s="33"/>
      <c r="I415" s="99">
        <f t="shared" si="0"/>
        <v>603.34205242641735</v>
      </c>
      <c r="J415" s="101">
        <f t="shared" si="1"/>
        <v>8.5277777777777786</v>
      </c>
      <c r="K415" s="101">
        <f t="shared" si="2"/>
        <v>460</v>
      </c>
      <c r="L415" s="74">
        <f t="shared" si="3"/>
        <v>154</v>
      </c>
      <c r="M415" s="99">
        <f t="shared" si="191"/>
        <v>10860.156943675513</v>
      </c>
      <c r="N415" s="108">
        <f t="shared" si="451"/>
        <v>6966.3311838794343</v>
      </c>
      <c r="O415" s="108">
        <f t="shared" si="452"/>
        <v>3893.8257597960783</v>
      </c>
      <c r="P415" s="108"/>
      <c r="Q415" s="108"/>
      <c r="R415" s="109"/>
      <c r="S415" s="99">
        <f t="shared" si="399"/>
        <v>7003.938242915855</v>
      </c>
      <c r="T415" s="108">
        <f t="shared" si="453"/>
        <v>4202.6509457495131</v>
      </c>
      <c r="U415" s="108">
        <f t="shared" si="454"/>
        <v>2801.2872971663419</v>
      </c>
      <c r="V415" s="108"/>
      <c r="W415" s="108"/>
      <c r="X415" s="109"/>
      <c r="Y415" s="99">
        <f t="shared" si="8"/>
        <v>14007.87648583171</v>
      </c>
      <c r="Z415" s="108">
        <f t="shared" ref="Z415:AA415" si="499">T415*$D$58/100</f>
        <v>8405.3018914990262</v>
      </c>
      <c r="AA415" s="108">
        <f t="shared" si="499"/>
        <v>5602.5745943326838</v>
      </c>
      <c r="AB415" s="108"/>
      <c r="AC415" s="108"/>
      <c r="AD415" s="109"/>
      <c r="AE415" s="99">
        <f t="shared" si="456"/>
        <v>18</v>
      </c>
      <c r="AF415" s="101">
        <f t="shared" si="457"/>
        <v>36</v>
      </c>
      <c r="AG415" s="101">
        <f t="shared" si="458"/>
        <v>19.001300000000001</v>
      </c>
      <c r="AH415" s="101">
        <f t="shared" si="459"/>
        <v>153.5</v>
      </c>
      <c r="AI415" s="101">
        <f t="shared" si="480"/>
        <v>268.61079999999998</v>
      </c>
      <c r="AJ415" s="108">
        <f t="shared" si="460"/>
        <v>2.2222222222222223</v>
      </c>
      <c r="AK415" s="101">
        <f t="shared" si="461"/>
        <v>4669.212161943904</v>
      </c>
      <c r="AL415" s="101">
        <f t="shared" si="462"/>
        <v>2334.8060809719518</v>
      </c>
      <c r="AM415" s="101">
        <f t="shared" si="463"/>
        <v>2334.4060809719517</v>
      </c>
      <c r="AN415" s="101"/>
      <c r="AO415" s="1">
        <v>18</v>
      </c>
      <c r="AP415" s="2">
        <v>36</v>
      </c>
      <c r="AQ415" s="74">
        <f t="shared" si="464"/>
        <v>307</v>
      </c>
      <c r="AR415" s="31">
        <f t="shared" si="465"/>
        <v>0</v>
      </c>
      <c r="AS415" s="2">
        <f t="shared" si="466"/>
        <v>0.5</v>
      </c>
      <c r="AT415" s="33">
        <f t="shared" si="467"/>
        <v>0</v>
      </c>
      <c r="AU415" s="31">
        <f t="shared" si="468"/>
        <v>0</v>
      </c>
      <c r="AV415" s="2">
        <f t="shared" si="469"/>
        <v>1.5</v>
      </c>
      <c r="AW415" s="33">
        <f t="shared" si="470"/>
        <v>0</v>
      </c>
      <c r="AX415" s="31">
        <f t="shared" si="471"/>
        <v>1</v>
      </c>
      <c r="AY415" s="33">
        <f t="shared" si="472"/>
        <v>1</v>
      </c>
      <c r="AZ415" s="2"/>
      <c r="BA415" s="101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</row>
    <row r="416" spans="1:71" ht="12" customHeight="1">
      <c r="A416" s="2"/>
      <c r="B416" s="107">
        <v>341</v>
      </c>
      <c r="C416" s="31">
        <v>4</v>
      </c>
      <c r="D416" s="106" t="s">
        <v>20</v>
      </c>
      <c r="E416" s="2" t="s">
        <v>67</v>
      </c>
      <c r="F416" s="2" t="s">
        <v>149</v>
      </c>
      <c r="G416" s="2"/>
      <c r="H416" s="33"/>
      <c r="I416" s="99">
        <f t="shared" si="0"/>
        <v>439.50775222613618</v>
      </c>
      <c r="J416" s="101">
        <f t="shared" si="1"/>
        <v>9.3888888888888893</v>
      </c>
      <c r="K416" s="101">
        <f t="shared" si="2"/>
        <v>685</v>
      </c>
      <c r="L416" s="74">
        <f t="shared" si="3"/>
        <v>249</v>
      </c>
      <c r="M416" s="99">
        <f t="shared" si="191"/>
        <v>7911.1395400704514</v>
      </c>
      <c r="N416" s="108">
        <f t="shared" si="451"/>
        <v>4303.6079060614229</v>
      </c>
      <c r="O416" s="108">
        <f t="shared" si="452"/>
        <v>3607.531634009028</v>
      </c>
      <c r="P416" s="108"/>
      <c r="Q416" s="108"/>
      <c r="R416" s="109"/>
      <c r="S416" s="99">
        <f t="shared" si="399"/>
        <v>5191.6044529785377</v>
      </c>
      <c r="T416" s="108">
        <f t="shared" si="453"/>
        <v>2596.2822264892684</v>
      </c>
      <c r="U416" s="108">
        <f t="shared" si="454"/>
        <v>2595.3222264892688</v>
      </c>
      <c r="V416" s="108"/>
      <c r="W416" s="108"/>
      <c r="X416" s="109"/>
      <c r="Y416" s="99">
        <f t="shared" si="8"/>
        <v>10383.208905957075</v>
      </c>
      <c r="Z416" s="108">
        <f t="shared" ref="Z416:AA416" si="500">T416*$D$58/100</f>
        <v>5192.5644529785368</v>
      </c>
      <c r="AA416" s="108">
        <f t="shared" si="500"/>
        <v>5190.6444529785376</v>
      </c>
      <c r="AB416" s="108"/>
      <c r="AC416" s="108"/>
      <c r="AD416" s="109"/>
      <c r="AE416" s="99">
        <f t="shared" si="456"/>
        <v>18</v>
      </c>
      <c r="AF416" s="101">
        <f t="shared" si="457"/>
        <v>36</v>
      </c>
      <c r="AG416" s="101">
        <f t="shared" si="458"/>
        <v>19.001300000000001</v>
      </c>
      <c r="AH416" s="101">
        <f t="shared" si="459"/>
        <v>169</v>
      </c>
      <c r="AI416" s="101">
        <f t="shared" si="480"/>
        <v>268.61079999999998</v>
      </c>
      <c r="AJ416" s="108">
        <f t="shared" si="460"/>
        <v>2</v>
      </c>
      <c r="AK416" s="101">
        <f t="shared" si="461"/>
        <v>4326.3370441487805</v>
      </c>
      <c r="AL416" s="101">
        <f t="shared" si="462"/>
        <v>2163.5685220743903</v>
      </c>
      <c r="AM416" s="101">
        <f t="shared" si="463"/>
        <v>2162.7685220743906</v>
      </c>
      <c r="AN416" s="101"/>
      <c r="AO416" s="1">
        <v>18</v>
      </c>
      <c r="AP416" s="2">
        <v>36</v>
      </c>
      <c r="AQ416" s="74">
        <f t="shared" si="464"/>
        <v>169</v>
      </c>
      <c r="AR416" s="31">
        <f t="shared" si="465"/>
        <v>0</v>
      </c>
      <c r="AS416" s="2">
        <f t="shared" si="466"/>
        <v>1</v>
      </c>
      <c r="AT416" s="33">
        <f t="shared" si="467"/>
        <v>0</v>
      </c>
      <c r="AU416" s="31">
        <f t="shared" si="468"/>
        <v>0</v>
      </c>
      <c r="AV416" s="2">
        <f t="shared" si="469"/>
        <v>1</v>
      </c>
      <c r="AW416" s="33">
        <f t="shared" si="470"/>
        <v>0</v>
      </c>
      <c r="AX416" s="31">
        <f t="shared" si="471"/>
        <v>1</v>
      </c>
      <c r="AY416" s="33">
        <f t="shared" si="472"/>
        <v>1</v>
      </c>
      <c r="AZ416" s="2"/>
      <c r="BA416" s="101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</row>
    <row r="417" spans="1:71" ht="12" customHeight="1">
      <c r="A417" s="2"/>
      <c r="B417" s="107">
        <v>342</v>
      </c>
      <c r="C417" s="31">
        <v>4</v>
      </c>
      <c r="D417" s="106" t="s">
        <v>20</v>
      </c>
      <c r="E417" s="2" t="s">
        <v>148</v>
      </c>
      <c r="F417" s="2" t="s">
        <v>149</v>
      </c>
      <c r="G417" s="2"/>
      <c r="H417" s="33"/>
      <c r="I417" s="99">
        <f t="shared" si="0"/>
        <v>527.40930267136343</v>
      </c>
      <c r="J417" s="101">
        <f t="shared" si="1"/>
        <v>11.266666666666667</v>
      </c>
      <c r="K417" s="101">
        <f t="shared" si="2"/>
        <v>567</v>
      </c>
      <c r="L417" s="74">
        <f t="shared" si="3"/>
        <v>201</v>
      </c>
      <c r="M417" s="99">
        <f t="shared" si="191"/>
        <v>7911.1395400704514</v>
      </c>
      <c r="N417" s="108">
        <f t="shared" si="451"/>
        <v>4303.6079060614229</v>
      </c>
      <c r="O417" s="108">
        <f t="shared" si="452"/>
        <v>3607.531634009028</v>
      </c>
      <c r="P417" s="108"/>
      <c r="Q417" s="108"/>
      <c r="R417" s="109"/>
      <c r="S417" s="99">
        <f t="shared" si="399"/>
        <v>5191.6044529785377</v>
      </c>
      <c r="T417" s="108">
        <f t="shared" si="453"/>
        <v>2596.2822264892684</v>
      </c>
      <c r="U417" s="108">
        <f t="shared" si="454"/>
        <v>2595.3222264892688</v>
      </c>
      <c r="V417" s="108"/>
      <c r="W417" s="108"/>
      <c r="X417" s="109"/>
      <c r="Y417" s="99">
        <f t="shared" si="8"/>
        <v>10383.208905957075</v>
      </c>
      <c r="Z417" s="108">
        <f t="shared" ref="Z417:AA417" si="501">T417*$D$58/100</f>
        <v>5192.5644529785368</v>
      </c>
      <c r="AA417" s="108">
        <f t="shared" si="501"/>
        <v>5190.6444529785376</v>
      </c>
      <c r="AB417" s="108"/>
      <c r="AC417" s="108"/>
      <c r="AD417" s="109"/>
      <c r="AE417" s="99">
        <f t="shared" si="456"/>
        <v>15</v>
      </c>
      <c r="AF417" s="101">
        <f t="shared" si="457"/>
        <v>36</v>
      </c>
      <c r="AG417" s="101">
        <f t="shared" si="458"/>
        <v>19.001300000000001</v>
      </c>
      <c r="AH417" s="101">
        <f t="shared" si="459"/>
        <v>169</v>
      </c>
      <c r="AI417" s="101">
        <f t="shared" si="480"/>
        <v>268.61079999999998</v>
      </c>
      <c r="AJ417" s="108">
        <f t="shared" si="460"/>
        <v>2</v>
      </c>
      <c r="AK417" s="101">
        <f t="shared" si="461"/>
        <v>4326.3370441487805</v>
      </c>
      <c r="AL417" s="101">
        <f t="shared" si="462"/>
        <v>2163.5685220743903</v>
      </c>
      <c r="AM417" s="101">
        <f t="shared" si="463"/>
        <v>2162.7685220743906</v>
      </c>
      <c r="AN417" s="101"/>
      <c r="AO417" s="1">
        <v>18</v>
      </c>
      <c r="AP417" s="2">
        <v>36</v>
      </c>
      <c r="AQ417" s="74">
        <f t="shared" si="464"/>
        <v>169</v>
      </c>
      <c r="AR417" s="31">
        <f t="shared" si="465"/>
        <v>3</v>
      </c>
      <c r="AS417" s="2">
        <f t="shared" si="466"/>
        <v>1</v>
      </c>
      <c r="AT417" s="33">
        <f t="shared" si="467"/>
        <v>0</v>
      </c>
      <c r="AU417" s="31">
        <f t="shared" si="468"/>
        <v>0</v>
      </c>
      <c r="AV417" s="2">
        <f t="shared" si="469"/>
        <v>1</v>
      </c>
      <c r="AW417" s="33">
        <f t="shared" si="470"/>
        <v>0</v>
      </c>
      <c r="AX417" s="31">
        <f t="shared" si="471"/>
        <v>1</v>
      </c>
      <c r="AY417" s="33">
        <f t="shared" si="472"/>
        <v>1</v>
      </c>
      <c r="AZ417" s="2"/>
      <c r="BA417" s="101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</row>
    <row r="418" spans="1:71" ht="12" customHeight="1">
      <c r="A418" s="2"/>
      <c r="B418" s="107">
        <v>343</v>
      </c>
      <c r="C418" s="31">
        <v>4</v>
      </c>
      <c r="D418" s="106" t="s">
        <v>20</v>
      </c>
      <c r="E418" s="2" t="s">
        <v>79</v>
      </c>
      <c r="F418" s="2" t="s">
        <v>149</v>
      </c>
      <c r="G418" s="2"/>
      <c r="H418" s="33"/>
      <c r="I418" s="99">
        <f t="shared" si="0"/>
        <v>439.50775222613618</v>
      </c>
      <c r="J418" s="101">
        <f t="shared" si="1"/>
        <v>4.6944444444444446</v>
      </c>
      <c r="K418" s="101">
        <f t="shared" si="2"/>
        <v>685</v>
      </c>
      <c r="L418" s="74">
        <f t="shared" si="3"/>
        <v>249</v>
      </c>
      <c r="M418" s="99">
        <f t="shared" si="191"/>
        <v>7911.1395400704514</v>
      </c>
      <c r="N418" s="108">
        <f t="shared" si="451"/>
        <v>4303.6079060614229</v>
      </c>
      <c r="O418" s="108">
        <f t="shared" si="452"/>
        <v>3607.531634009028</v>
      </c>
      <c r="P418" s="108"/>
      <c r="Q418" s="108"/>
      <c r="R418" s="109"/>
      <c r="S418" s="99">
        <f t="shared" si="399"/>
        <v>5191.6044529785377</v>
      </c>
      <c r="T418" s="108">
        <f t="shared" si="453"/>
        <v>2596.2822264892684</v>
      </c>
      <c r="U418" s="108">
        <f t="shared" si="454"/>
        <v>2595.3222264892688</v>
      </c>
      <c r="V418" s="108"/>
      <c r="W418" s="108"/>
      <c r="X418" s="109"/>
      <c r="Y418" s="99">
        <f t="shared" si="8"/>
        <v>10383.208905957075</v>
      </c>
      <c r="Z418" s="108">
        <f t="shared" ref="Z418:AA418" si="502">T418*$D$58/100</f>
        <v>5192.5644529785368</v>
      </c>
      <c r="AA418" s="108">
        <f t="shared" si="502"/>
        <v>5190.6444529785376</v>
      </c>
      <c r="AB418" s="108"/>
      <c r="AC418" s="108"/>
      <c r="AD418" s="109"/>
      <c r="AE418" s="99">
        <f t="shared" si="456"/>
        <v>18</v>
      </c>
      <c r="AF418" s="101">
        <f t="shared" si="457"/>
        <v>36</v>
      </c>
      <c r="AG418" s="101">
        <f t="shared" si="458"/>
        <v>19.001300000000001</v>
      </c>
      <c r="AH418" s="101">
        <f t="shared" si="459"/>
        <v>84.5</v>
      </c>
      <c r="AI418" s="101">
        <f t="shared" si="480"/>
        <v>268.61079999999998</v>
      </c>
      <c r="AJ418" s="108">
        <f t="shared" si="460"/>
        <v>2</v>
      </c>
      <c r="AK418" s="101">
        <f t="shared" si="461"/>
        <v>4326.3370441487805</v>
      </c>
      <c r="AL418" s="101">
        <f t="shared" si="462"/>
        <v>2163.5685220743903</v>
      </c>
      <c r="AM418" s="101">
        <f t="shared" si="463"/>
        <v>2162.7685220743906</v>
      </c>
      <c r="AN418" s="101"/>
      <c r="AO418" s="1">
        <v>18</v>
      </c>
      <c r="AP418" s="2">
        <v>36</v>
      </c>
      <c r="AQ418" s="74">
        <f t="shared" si="464"/>
        <v>169</v>
      </c>
      <c r="AR418" s="31">
        <f t="shared" si="465"/>
        <v>0</v>
      </c>
      <c r="AS418" s="2">
        <f t="shared" si="466"/>
        <v>0.5</v>
      </c>
      <c r="AT418" s="33">
        <f t="shared" si="467"/>
        <v>0</v>
      </c>
      <c r="AU418" s="31">
        <f t="shared" si="468"/>
        <v>0</v>
      </c>
      <c r="AV418" s="2">
        <f t="shared" si="469"/>
        <v>1</v>
      </c>
      <c r="AW418" s="33">
        <f t="shared" si="470"/>
        <v>0</v>
      </c>
      <c r="AX418" s="31">
        <f t="shared" si="471"/>
        <v>1</v>
      </c>
      <c r="AY418" s="33">
        <f t="shared" si="472"/>
        <v>1</v>
      </c>
      <c r="AZ418" s="2"/>
      <c r="BA418" s="101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</row>
    <row r="419" spans="1:71" ht="12" customHeight="1">
      <c r="A419" s="2"/>
      <c r="B419" s="107">
        <v>344</v>
      </c>
      <c r="C419" s="31">
        <v>1</v>
      </c>
      <c r="D419" s="106" t="s">
        <v>20</v>
      </c>
      <c r="E419" s="2" t="s">
        <v>67</v>
      </c>
      <c r="F419" s="2" t="s">
        <v>149</v>
      </c>
      <c r="G419" s="2"/>
      <c r="H419" s="33"/>
      <c r="I419" s="99">
        <f t="shared" si="0"/>
        <v>352.85271074785283</v>
      </c>
      <c r="J419" s="101">
        <f t="shared" si="1"/>
        <v>4.7222222222222223</v>
      </c>
      <c r="K419" s="101">
        <f t="shared" si="2"/>
        <v>776</v>
      </c>
      <c r="L419" s="74">
        <f t="shared" si="3"/>
        <v>291</v>
      </c>
      <c r="M419" s="99">
        <f t="shared" si="191"/>
        <v>6351.3487934613504</v>
      </c>
      <c r="N419" s="108">
        <f t="shared" si="451"/>
        <v>3454.8721979592619</v>
      </c>
      <c r="O419" s="108">
        <f t="shared" si="452"/>
        <v>2896.4765955020885</v>
      </c>
      <c r="P419" s="108"/>
      <c r="Q419" s="108"/>
      <c r="R419" s="109"/>
      <c r="S419" s="99">
        <f t="shared" si="399"/>
        <v>4168.0332466273176</v>
      </c>
      <c r="T419" s="108">
        <f t="shared" si="453"/>
        <v>2084.2566233136586</v>
      </c>
      <c r="U419" s="108">
        <f t="shared" si="454"/>
        <v>2083.7766233136585</v>
      </c>
      <c r="V419" s="108"/>
      <c r="W419" s="108"/>
      <c r="X419" s="109"/>
      <c r="Y419" s="99">
        <f t="shared" si="8"/>
        <v>8336.0664932546351</v>
      </c>
      <c r="Z419" s="108">
        <f t="shared" ref="Z419:AA419" si="503">T419*$D$58/100</f>
        <v>4168.5132466273171</v>
      </c>
      <c r="AA419" s="108">
        <f t="shared" si="503"/>
        <v>4167.5532466273171</v>
      </c>
      <c r="AB419" s="108"/>
      <c r="AC419" s="108"/>
      <c r="AD419" s="109"/>
      <c r="AE419" s="99">
        <f t="shared" si="456"/>
        <v>18</v>
      </c>
      <c r="AF419" s="101">
        <f t="shared" si="457"/>
        <v>36</v>
      </c>
      <c r="AG419" s="101">
        <f t="shared" si="458"/>
        <v>19.001300000000001</v>
      </c>
      <c r="AH419" s="101">
        <f t="shared" si="459"/>
        <v>85</v>
      </c>
      <c r="AI419" s="101">
        <f t="shared" si="480"/>
        <v>268.61079999999998</v>
      </c>
      <c r="AJ419" s="108">
        <f t="shared" si="460"/>
        <v>2</v>
      </c>
      <c r="AK419" s="101">
        <f t="shared" si="461"/>
        <v>3473.3610388560978</v>
      </c>
      <c r="AL419" s="101">
        <f t="shared" si="462"/>
        <v>1736.880519428049</v>
      </c>
      <c r="AM419" s="101">
        <f t="shared" si="463"/>
        <v>1736.4805194280489</v>
      </c>
      <c r="AN419" s="101"/>
      <c r="AO419" s="1">
        <v>18</v>
      </c>
      <c r="AP419" s="2">
        <v>36</v>
      </c>
      <c r="AQ419" s="74">
        <f t="shared" si="464"/>
        <v>85</v>
      </c>
      <c r="AR419" s="31">
        <f t="shared" si="465"/>
        <v>0</v>
      </c>
      <c r="AS419" s="2">
        <f t="shared" si="466"/>
        <v>1</v>
      </c>
      <c r="AT419" s="33">
        <f t="shared" si="467"/>
        <v>0</v>
      </c>
      <c r="AU419" s="31">
        <f t="shared" si="468"/>
        <v>0</v>
      </c>
      <c r="AV419" s="2">
        <f t="shared" si="469"/>
        <v>1</v>
      </c>
      <c r="AW419" s="33">
        <f t="shared" si="470"/>
        <v>0</v>
      </c>
      <c r="AX419" s="31">
        <f t="shared" si="471"/>
        <v>1</v>
      </c>
      <c r="AY419" s="33">
        <f t="shared" si="472"/>
        <v>1</v>
      </c>
      <c r="AZ419" s="2"/>
      <c r="BA419" s="101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</row>
    <row r="420" spans="1:71" ht="12" customHeight="1">
      <c r="A420" s="2"/>
      <c r="B420" s="107">
        <v>345</v>
      </c>
      <c r="C420" s="31">
        <v>10</v>
      </c>
      <c r="D420" s="106" t="s">
        <v>20</v>
      </c>
      <c r="E420" s="2" t="s">
        <v>144</v>
      </c>
      <c r="F420" s="2"/>
      <c r="G420" s="2"/>
      <c r="H420" s="33"/>
      <c r="I420" s="99">
        <f t="shared" si="0"/>
        <v>501.16237358051887</v>
      </c>
      <c r="J420" s="101">
        <f t="shared" si="1"/>
        <v>24.5</v>
      </c>
      <c r="K420" s="101">
        <f t="shared" si="2"/>
        <v>601</v>
      </c>
      <c r="L420" s="74">
        <f t="shared" si="3"/>
        <v>213</v>
      </c>
      <c r="M420" s="99">
        <f t="shared" si="191"/>
        <v>9020.9227244493395</v>
      </c>
      <c r="N420" s="108">
        <f t="shared" si="451"/>
        <v>3219.2253949389001</v>
      </c>
      <c r="O420" s="108">
        <f t="shared" si="452"/>
        <v>5801.6973295104399</v>
      </c>
      <c r="P420" s="108"/>
      <c r="Q420" s="108"/>
      <c r="R420" s="109"/>
      <c r="S420" s="99">
        <f t="shared" si="399"/>
        <v>7313.423381526829</v>
      </c>
      <c r="T420" s="108">
        <f t="shared" si="453"/>
        <v>2438.1007342024391</v>
      </c>
      <c r="U420" s="108">
        <f t="shared" si="454"/>
        <v>4875.3226473243903</v>
      </c>
      <c r="V420" s="108"/>
      <c r="W420" s="108"/>
      <c r="X420" s="109"/>
      <c r="Y420" s="99">
        <f t="shared" si="8"/>
        <v>14626.846763053658</v>
      </c>
      <c r="Z420" s="108">
        <f t="shared" ref="Z420:AA420" si="504">T420*$D$58/100</f>
        <v>4876.2014684048781</v>
      </c>
      <c r="AA420" s="108">
        <f t="shared" si="504"/>
        <v>9750.6452946487807</v>
      </c>
      <c r="AB420" s="108"/>
      <c r="AC420" s="108"/>
      <c r="AD420" s="109"/>
      <c r="AE420" s="99">
        <f t="shared" si="456"/>
        <v>18</v>
      </c>
      <c r="AF420" s="101">
        <f t="shared" si="457"/>
        <v>36</v>
      </c>
      <c r="AG420" s="101">
        <f t="shared" si="458"/>
        <v>19.001300000000001</v>
      </c>
      <c r="AH420" s="101">
        <f t="shared" si="459"/>
        <v>441</v>
      </c>
      <c r="AI420" s="101">
        <f t="shared" si="480"/>
        <v>268.61079999999998</v>
      </c>
      <c r="AJ420" s="108">
        <f t="shared" si="460"/>
        <v>2.8571428571428572</v>
      </c>
      <c r="AK420" s="101">
        <f t="shared" si="461"/>
        <v>4875.7620578646347</v>
      </c>
      <c r="AL420" s="101">
        <f t="shared" si="462"/>
        <v>2438.1007342024391</v>
      </c>
      <c r="AM420" s="101">
        <f t="shared" si="463"/>
        <v>2437.6613236621952</v>
      </c>
      <c r="AN420" s="101"/>
      <c r="AO420" s="1">
        <v>18</v>
      </c>
      <c r="AP420" s="2">
        <v>36</v>
      </c>
      <c r="AQ420" s="74">
        <f t="shared" si="464"/>
        <v>441</v>
      </c>
      <c r="AR420" s="31">
        <f t="shared" si="465"/>
        <v>0</v>
      </c>
      <c r="AS420" s="2">
        <f t="shared" si="466"/>
        <v>1</v>
      </c>
      <c r="AT420" s="33">
        <f t="shared" si="467"/>
        <v>0</v>
      </c>
      <c r="AU420" s="31">
        <f t="shared" si="468"/>
        <v>0</v>
      </c>
      <c r="AV420" s="2">
        <f t="shared" si="469"/>
        <v>1</v>
      </c>
      <c r="AW420" s="33">
        <f t="shared" si="470"/>
        <v>0</v>
      </c>
      <c r="AX420" s="31">
        <f t="shared" si="471"/>
        <v>2</v>
      </c>
      <c r="AY420" s="33">
        <f t="shared" si="472"/>
        <v>1</v>
      </c>
      <c r="AZ420" s="2"/>
      <c r="BA420" s="101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</row>
    <row r="421" spans="1:71" ht="12" customHeight="1">
      <c r="A421" s="2"/>
      <c r="B421" s="107">
        <v>346</v>
      </c>
      <c r="C421" s="31">
        <v>10</v>
      </c>
      <c r="D421" s="106" t="s">
        <v>20</v>
      </c>
      <c r="E421" s="2" t="s">
        <v>138</v>
      </c>
      <c r="F421" s="2"/>
      <c r="G421" s="2"/>
      <c r="H421" s="33"/>
      <c r="I421" s="99">
        <f t="shared" si="0"/>
        <v>638.19241200533907</v>
      </c>
      <c r="J421" s="101">
        <f t="shared" si="1"/>
        <v>24.5</v>
      </c>
      <c r="K421" s="101">
        <f t="shared" si="2"/>
        <v>423</v>
      </c>
      <c r="L421" s="74">
        <f t="shared" si="3"/>
        <v>136</v>
      </c>
      <c r="M421" s="99">
        <f t="shared" si="191"/>
        <v>11487.463416096103</v>
      </c>
      <c r="N421" s="108">
        <f t="shared" si="451"/>
        <v>5685.7660865856633</v>
      </c>
      <c r="O421" s="108">
        <f t="shared" si="452"/>
        <v>5801.6973295104399</v>
      </c>
      <c r="P421" s="108"/>
      <c r="Q421" s="108"/>
      <c r="R421" s="109"/>
      <c r="S421" s="99">
        <f t="shared" si="399"/>
        <v>7313.423381526829</v>
      </c>
      <c r="T421" s="108">
        <f t="shared" si="453"/>
        <v>2438.1007342024391</v>
      </c>
      <c r="U421" s="108">
        <f t="shared" si="454"/>
        <v>4875.3226473243903</v>
      </c>
      <c r="V421" s="108"/>
      <c r="W421" s="108"/>
      <c r="X421" s="109"/>
      <c r="Y421" s="99">
        <f t="shared" si="8"/>
        <v>14626.846763053658</v>
      </c>
      <c r="Z421" s="108">
        <f t="shared" ref="Z421:AA421" si="505">T421*$D$58/100</f>
        <v>4876.2014684048781</v>
      </c>
      <c r="AA421" s="108">
        <f t="shared" si="505"/>
        <v>9750.6452946487807</v>
      </c>
      <c r="AB421" s="108"/>
      <c r="AC421" s="108"/>
      <c r="AD421" s="109"/>
      <c r="AE421" s="99">
        <f t="shared" si="456"/>
        <v>18</v>
      </c>
      <c r="AF421" s="101">
        <f t="shared" si="457"/>
        <v>36</v>
      </c>
      <c r="AG421" s="101">
        <f t="shared" si="458"/>
        <v>79.001300000000001</v>
      </c>
      <c r="AH421" s="101">
        <f t="shared" si="459"/>
        <v>441</v>
      </c>
      <c r="AI421" s="101">
        <f t="shared" si="480"/>
        <v>268.61079999999998</v>
      </c>
      <c r="AJ421" s="108">
        <f t="shared" si="460"/>
        <v>2.8571428571428572</v>
      </c>
      <c r="AK421" s="101">
        <f t="shared" si="461"/>
        <v>4875.7620578646347</v>
      </c>
      <c r="AL421" s="101">
        <f t="shared" si="462"/>
        <v>2438.1007342024391</v>
      </c>
      <c r="AM421" s="101">
        <f t="shared" si="463"/>
        <v>2437.6613236621952</v>
      </c>
      <c r="AN421" s="101"/>
      <c r="AO421" s="1">
        <v>18</v>
      </c>
      <c r="AP421" s="2">
        <v>36</v>
      </c>
      <c r="AQ421" s="74">
        <f t="shared" si="464"/>
        <v>441</v>
      </c>
      <c r="AR421" s="31">
        <f t="shared" si="465"/>
        <v>0</v>
      </c>
      <c r="AS421" s="2">
        <f t="shared" si="466"/>
        <v>1</v>
      </c>
      <c r="AT421" s="33">
        <f t="shared" si="467"/>
        <v>0</v>
      </c>
      <c r="AU421" s="31">
        <f t="shared" si="468"/>
        <v>60</v>
      </c>
      <c r="AV421" s="2">
        <f t="shared" si="469"/>
        <v>1</v>
      </c>
      <c r="AW421" s="33">
        <f t="shared" si="470"/>
        <v>0</v>
      </c>
      <c r="AX421" s="31">
        <f t="shared" si="471"/>
        <v>2</v>
      </c>
      <c r="AY421" s="33">
        <f t="shared" si="472"/>
        <v>1</v>
      </c>
      <c r="AZ421" s="2"/>
      <c r="BA421" s="101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</row>
    <row r="422" spans="1:71" ht="12" customHeight="1">
      <c r="A422" s="2"/>
      <c r="B422" s="107">
        <v>347</v>
      </c>
      <c r="C422" s="31">
        <v>10</v>
      </c>
      <c r="D422" s="106" t="s">
        <v>20</v>
      </c>
      <c r="E422" s="2" t="s">
        <v>140</v>
      </c>
      <c r="F422" s="2"/>
      <c r="G422" s="2"/>
      <c r="H422" s="33"/>
      <c r="I422" s="99">
        <f t="shared" si="0"/>
        <v>590.58530121771059</v>
      </c>
      <c r="J422" s="101">
        <f t="shared" si="1"/>
        <v>24.5</v>
      </c>
      <c r="K422" s="101">
        <f t="shared" si="2"/>
        <v>483</v>
      </c>
      <c r="L422" s="74">
        <f t="shared" si="3"/>
        <v>166</v>
      </c>
      <c r="M422" s="99">
        <f t="shared" si="191"/>
        <v>10630.53542191879</v>
      </c>
      <c r="N422" s="108">
        <f t="shared" si="451"/>
        <v>4828.8380924083503</v>
      </c>
      <c r="O422" s="108">
        <f t="shared" si="452"/>
        <v>5801.6973295104399</v>
      </c>
      <c r="P422" s="108"/>
      <c r="Q422" s="108"/>
      <c r="R422" s="109"/>
      <c r="S422" s="99">
        <f t="shared" si="399"/>
        <v>8532.4737486280501</v>
      </c>
      <c r="T422" s="108">
        <f t="shared" si="453"/>
        <v>3657.1511013036588</v>
      </c>
      <c r="U422" s="108">
        <f t="shared" si="454"/>
        <v>4875.3226473243903</v>
      </c>
      <c r="V422" s="108"/>
      <c r="W422" s="108"/>
      <c r="X422" s="109"/>
      <c r="Y422" s="99">
        <f t="shared" si="8"/>
        <v>17064.9474972561</v>
      </c>
      <c r="Z422" s="108">
        <f t="shared" ref="Z422:AA422" si="506">T422*$D$58/100</f>
        <v>7314.3022026073177</v>
      </c>
      <c r="AA422" s="108">
        <f t="shared" si="506"/>
        <v>9750.6452946487807</v>
      </c>
      <c r="AB422" s="108"/>
      <c r="AC422" s="108"/>
      <c r="AD422" s="109"/>
      <c r="AE422" s="99">
        <f t="shared" si="456"/>
        <v>18</v>
      </c>
      <c r="AF422" s="101">
        <f t="shared" si="457"/>
        <v>36</v>
      </c>
      <c r="AG422" s="101">
        <f t="shared" si="458"/>
        <v>19.001300000000001</v>
      </c>
      <c r="AH422" s="101">
        <f t="shared" si="459"/>
        <v>441</v>
      </c>
      <c r="AI422" s="101">
        <f t="shared" si="480"/>
        <v>268.61079999999998</v>
      </c>
      <c r="AJ422" s="108">
        <f t="shared" si="460"/>
        <v>3.1746031746031744</v>
      </c>
      <c r="AK422" s="101">
        <f t="shared" si="461"/>
        <v>4875.7620578646347</v>
      </c>
      <c r="AL422" s="101">
        <f t="shared" si="462"/>
        <v>2438.1007342024391</v>
      </c>
      <c r="AM422" s="101">
        <f t="shared" si="463"/>
        <v>2437.6613236621952</v>
      </c>
      <c r="AN422" s="101"/>
      <c r="AO422" s="1">
        <v>18</v>
      </c>
      <c r="AP422" s="2">
        <v>36</v>
      </c>
      <c r="AQ422" s="74">
        <f t="shared" si="464"/>
        <v>441</v>
      </c>
      <c r="AR422" s="31">
        <f t="shared" si="465"/>
        <v>0</v>
      </c>
      <c r="AS422" s="2">
        <f t="shared" si="466"/>
        <v>1</v>
      </c>
      <c r="AT422" s="33">
        <f t="shared" si="467"/>
        <v>0</v>
      </c>
      <c r="AU422" s="31">
        <f t="shared" si="468"/>
        <v>0</v>
      </c>
      <c r="AV422" s="2">
        <f t="shared" si="469"/>
        <v>1.5</v>
      </c>
      <c r="AW422" s="33">
        <f t="shared" si="470"/>
        <v>0</v>
      </c>
      <c r="AX422" s="31">
        <f t="shared" si="471"/>
        <v>2</v>
      </c>
      <c r="AY422" s="33">
        <f t="shared" si="472"/>
        <v>1</v>
      </c>
      <c r="AZ422" s="2"/>
      <c r="BA422" s="101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</row>
    <row r="423" spans="1:71" ht="12" customHeight="1">
      <c r="A423" s="2"/>
      <c r="B423" s="107">
        <v>348</v>
      </c>
      <c r="C423" s="31">
        <v>10</v>
      </c>
      <c r="D423" s="106" t="s">
        <v>20</v>
      </c>
      <c r="E423" s="2" t="s">
        <v>150</v>
      </c>
      <c r="F423" s="2"/>
      <c r="G423" s="2"/>
      <c r="H423" s="33"/>
      <c r="I423" s="99">
        <f t="shared" si="0"/>
        <v>601.39484829662263</v>
      </c>
      <c r="J423" s="101">
        <f t="shared" si="1"/>
        <v>29.4</v>
      </c>
      <c r="K423" s="101">
        <f t="shared" si="2"/>
        <v>465</v>
      </c>
      <c r="L423" s="74">
        <f t="shared" si="3"/>
        <v>157</v>
      </c>
      <c r="M423" s="99">
        <f t="shared" si="191"/>
        <v>9020.9227244493395</v>
      </c>
      <c r="N423" s="108">
        <f t="shared" si="451"/>
        <v>3219.2253949389001</v>
      </c>
      <c r="O423" s="108">
        <f t="shared" si="452"/>
        <v>5801.6973295104399</v>
      </c>
      <c r="P423" s="108"/>
      <c r="Q423" s="108"/>
      <c r="R423" s="109"/>
      <c r="S423" s="99">
        <f t="shared" si="399"/>
        <v>7313.423381526829</v>
      </c>
      <c r="T423" s="108">
        <f t="shared" si="453"/>
        <v>2438.1007342024391</v>
      </c>
      <c r="U423" s="108">
        <f t="shared" si="454"/>
        <v>4875.3226473243903</v>
      </c>
      <c r="V423" s="108"/>
      <c r="W423" s="108"/>
      <c r="X423" s="109"/>
      <c r="Y423" s="99">
        <f t="shared" si="8"/>
        <v>14626.846763053658</v>
      </c>
      <c r="Z423" s="108">
        <f t="shared" ref="Z423:AA423" si="507">T423*$D$58/100</f>
        <v>4876.2014684048781</v>
      </c>
      <c r="AA423" s="108">
        <f t="shared" si="507"/>
        <v>9750.6452946487807</v>
      </c>
      <c r="AB423" s="108"/>
      <c r="AC423" s="108"/>
      <c r="AD423" s="109"/>
      <c r="AE423" s="99">
        <f t="shared" si="456"/>
        <v>15</v>
      </c>
      <c r="AF423" s="101">
        <f t="shared" si="457"/>
        <v>36</v>
      </c>
      <c r="AG423" s="101">
        <f t="shared" si="458"/>
        <v>19.001300000000001</v>
      </c>
      <c r="AH423" s="101">
        <f t="shared" si="459"/>
        <v>441</v>
      </c>
      <c r="AI423" s="101">
        <f t="shared" si="480"/>
        <v>268.61079999999998</v>
      </c>
      <c r="AJ423" s="108">
        <f t="shared" si="460"/>
        <v>2.8571428571428572</v>
      </c>
      <c r="AK423" s="101">
        <f t="shared" si="461"/>
        <v>4875.7620578646347</v>
      </c>
      <c r="AL423" s="101">
        <f t="shared" si="462"/>
        <v>2438.1007342024391</v>
      </c>
      <c r="AM423" s="101">
        <f t="shared" si="463"/>
        <v>2437.6613236621952</v>
      </c>
      <c r="AN423" s="101"/>
      <c r="AO423" s="1">
        <v>18</v>
      </c>
      <c r="AP423" s="2">
        <v>36</v>
      </c>
      <c r="AQ423" s="74">
        <f t="shared" si="464"/>
        <v>441</v>
      </c>
      <c r="AR423" s="31">
        <f t="shared" si="465"/>
        <v>3</v>
      </c>
      <c r="AS423" s="2">
        <f t="shared" si="466"/>
        <v>1</v>
      </c>
      <c r="AT423" s="33">
        <f t="shared" si="467"/>
        <v>0</v>
      </c>
      <c r="AU423" s="31">
        <f t="shared" si="468"/>
        <v>0</v>
      </c>
      <c r="AV423" s="2">
        <f t="shared" si="469"/>
        <v>1</v>
      </c>
      <c r="AW423" s="33">
        <f t="shared" si="470"/>
        <v>0</v>
      </c>
      <c r="AX423" s="31">
        <f t="shared" si="471"/>
        <v>2</v>
      </c>
      <c r="AY423" s="33">
        <f t="shared" si="472"/>
        <v>1</v>
      </c>
      <c r="AZ423" s="2"/>
      <c r="BA423" s="101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</row>
    <row r="424" spans="1:71" ht="12" customHeight="1">
      <c r="A424" s="2"/>
      <c r="B424" s="107">
        <v>349</v>
      </c>
      <c r="C424" s="31">
        <v>10</v>
      </c>
      <c r="D424" s="106" t="s">
        <v>20</v>
      </c>
      <c r="E424" s="2" t="s">
        <v>164</v>
      </c>
      <c r="F424" s="2"/>
      <c r="G424" s="2"/>
      <c r="H424" s="33"/>
      <c r="I424" s="99">
        <f t="shared" si="0"/>
        <v>765.83089440640686</v>
      </c>
      <c r="J424" s="101">
        <f t="shared" si="1"/>
        <v>29.4</v>
      </c>
      <c r="K424" s="101">
        <f t="shared" si="2"/>
        <v>290</v>
      </c>
      <c r="L424" s="74">
        <f t="shared" si="3"/>
        <v>77</v>
      </c>
      <c r="M424" s="99">
        <f t="shared" si="191"/>
        <v>11487.463416096103</v>
      </c>
      <c r="N424" s="108">
        <f t="shared" si="451"/>
        <v>5685.7660865856633</v>
      </c>
      <c r="O424" s="108">
        <f t="shared" si="452"/>
        <v>5801.6973295104399</v>
      </c>
      <c r="P424" s="108"/>
      <c r="Q424" s="108"/>
      <c r="R424" s="109"/>
      <c r="S424" s="99">
        <f t="shared" si="399"/>
        <v>7313.423381526829</v>
      </c>
      <c r="T424" s="108">
        <f t="shared" si="453"/>
        <v>2438.1007342024391</v>
      </c>
      <c r="U424" s="108">
        <f t="shared" si="454"/>
        <v>4875.3226473243903</v>
      </c>
      <c r="V424" s="108"/>
      <c r="W424" s="108"/>
      <c r="X424" s="109"/>
      <c r="Y424" s="99">
        <f t="shared" si="8"/>
        <v>14626.846763053658</v>
      </c>
      <c r="Z424" s="108">
        <f t="shared" ref="Z424:AA424" si="508">T424*$D$58/100</f>
        <v>4876.2014684048781</v>
      </c>
      <c r="AA424" s="108">
        <f t="shared" si="508"/>
        <v>9750.6452946487807</v>
      </c>
      <c r="AB424" s="108"/>
      <c r="AC424" s="108"/>
      <c r="AD424" s="109"/>
      <c r="AE424" s="99">
        <f t="shared" si="456"/>
        <v>15</v>
      </c>
      <c r="AF424" s="101">
        <f t="shared" si="457"/>
        <v>36</v>
      </c>
      <c r="AG424" s="101">
        <f t="shared" si="458"/>
        <v>79.001300000000001</v>
      </c>
      <c r="AH424" s="101">
        <f t="shared" si="459"/>
        <v>441</v>
      </c>
      <c r="AI424" s="101">
        <f t="shared" si="480"/>
        <v>268.61079999999998</v>
      </c>
      <c r="AJ424" s="108">
        <f t="shared" si="460"/>
        <v>2.8571428571428572</v>
      </c>
      <c r="AK424" s="101">
        <f t="shared" si="461"/>
        <v>4875.7620578646347</v>
      </c>
      <c r="AL424" s="101">
        <f t="shared" si="462"/>
        <v>2438.1007342024391</v>
      </c>
      <c r="AM424" s="101">
        <f t="shared" si="463"/>
        <v>2437.6613236621952</v>
      </c>
      <c r="AN424" s="101"/>
      <c r="AO424" s="1">
        <v>18</v>
      </c>
      <c r="AP424" s="2">
        <v>36</v>
      </c>
      <c r="AQ424" s="74">
        <f t="shared" si="464"/>
        <v>441</v>
      </c>
      <c r="AR424" s="31">
        <f t="shared" si="465"/>
        <v>3</v>
      </c>
      <c r="AS424" s="2">
        <f t="shared" si="466"/>
        <v>1</v>
      </c>
      <c r="AT424" s="33">
        <f t="shared" si="467"/>
        <v>0</v>
      </c>
      <c r="AU424" s="31">
        <f t="shared" si="468"/>
        <v>60</v>
      </c>
      <c r="AV424" s="2">
        <f t="shared" si="469"/>
        <v>1</v>
      </c>
      <c r="AW424" s="33">
        <f t="shared" si="470"/>
        <v>0</v>
      </c>
      <c r="AX424" s="31">
        <f t="shared" si="471"/>
        <v>2</v>
      </c>
      <c r="AY424" s="33">
        <f t="shared" si="472"/>
        <v>1</v>
      </c>
      <c r="AZ424" s="2"/>
      <c r="BA424" s="101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</row>
    <row r="425" spans="1:71" ht="12" customHeight="1">
      <c r="A425" s="2"/>
      <c r="B425" s="107">
        <v>350</v>
      </c>
      <c r="C425" s="31">
        <v>10</v>
      </c>
      <c r="D425" s="106" t="s">
        <v>20</v>
      </c>
      <c r="E425" s="2" t="s">
        <v>153</v>
      </c>
      <c r="F425" s="2"/>
      <c r="G425" s="2"/>
      <c r="H425" s="33"/>
      <c r="I425" s="99">
        <f t="shared" si="0"/>
        <v>708.70236146125274</v>
      </c>
      <c r="J425" s="101">
        <f t="shared" si="1"/>
        <v>29.4</v>
      </c>
      <c r="K425" s="101">
        <f t="shared" si="2"/>
        <v>345</v>
      </c>
      <c r="L425" s="74">
        <f t="shared" si="3"/>
        <v>105</v>
      </c>
      <c r="M425" s="99">
        <f t="shared" si="191"/>
        <v>10630.53542191879</v>
      </c>
      <c r="N425" s="108">
        <f t="shared" si="451"/>
        <v>4828.8380924083503</v>
      </c>
      <c r="O425" s="108">
        <f t="shared" si="452"/>
        <v>5801.6973295104399</v>
      </c>
      <c r="P425" s="108"/>
      <c r="Q425" s="108"/>
      <c r="R425" s="109"/>
      <c r="S425" s="99">
        <f t="shared" si="399"/>
        <v>8532.4737486280501</v>
      </c>
      <c r="T425" s="108">
        <f t="shared" si="453"/>
        <v>3657.1511013036588</v>
      </c>
      <c r="U425" s="108">
        <f t="shared" si="454"/>
        <v>4875.3226473243903</v>
      </c>
      <c r="V425" s="108"/>
      <c r="W425" s="108"/>
      <c r="X425" s="109"/>
      <c r="Y425" s="99">
        <f t="shared" si="8"/>
        <v>17064.9474972561</v>
      </c>
      <c r="Z425" s="108">
        <f t="shared" ref="Z425:AA425" si="509">T425*$D$58/100</f>
        <v>7314.3022026073177</v>
      </c>
      <c r="AA425" s="108">
        <f t="shared" si="509"/>
        <v>9750.6452946487807</v>
      </c>
      <c r="AB425" s="108"/>
      <c r="AC425" s="108"/>
      <c r="AD425" s="109"/>
      <c r="AE425" s="99">
        <f t="shared" si="456"/>
        <v>15</v>
      </c>
      <c r="AF425" s="101">
        <f t="shared" si="457"/>
        <v>36</v>
      </c>
      <c r="AG425" s="101">
        <f t="shared" si="458"/>
        <v>19.001300000000001</v>
      </c>
      <c r="AH425" s="101">
        <f t="shared" si="459"/>
        <v>441</v>
      </c>
      <c r="AI425" s="101">
        <f t="shared" si="480"/>
        <v>268.61079999999998</v>
      </c>
      <c r="AJ425" s="108">
        <f t="shared" si="460"/>
        <v>3.1746031746031744</v>
      </c>
      <c r="AK425" s="101">
        <f t="shared" si="461"/>
        <v>4875.7620578646347</v>
      </c>
      <c r="AL425" s="101">
        <f t="shared" si="462"/>
        <v>2438.1007342024391</v>
      </c>
      <c r="AM425" s="101">
        <f t="shared" si="463"/>
        <v>2437.6613236621952</v>
      </c>
      <c r="AN425" s="101"/>
      <c r="AO425" s="1">
        <v>18</v>
      </c>
      <c r="AP425" s="2">
        <v>36</v>
      </c>
      <c r="AQ425" s="74">
        <f t="shared" si="464"/>
        <v>441</v>
      </c>
      <c r="AR425" s="31">
        <f t="shared" si="465"/>
        <v>3</v>
      </c>
      <c r="AS425" s="2">
        <f t="shared" si="466"/>
        <v>1</v>
      </c>
      <c r="AT425" s="33">
        <f t="shared" si="467"/>
        <v>0</v>
      </c>
      <c r="AU425" s="31">
        <f t="shared" si="468"/>
        <v>0</v>
      </c>
      <c r="AV425" s="2">
        <f t="shared" si="469"/>
        <v>1.5</v>
      </c>
      <c r="AW425" s="33">
        <f t="shared" si="470"/>
        <v>0</v>
      </c>
      <c r="AX425" s="31">
        <f t="shared" si="471"/>
        <v>2</v>
      </c>
      <c r="AY425" s="33">
        <f t="shared" si="472"/>
        <v>1</v>
      </c>
      <c r="AZ425" s="2"/>
      <c r="BA425" s="101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</row>
    <row r="426" spans="1:71" ht="12" customHeight="1">
      <c r="A426" s="2"/>
      <c r="B426" s="107">
        <v>351</v>
      </c>
      <c r="C426" s="31">
        <v>10</v>
      </c>
      <c r="D426" s="106" t="s">
        <v>20</v>
      </c>
      <c r="E426" s="2" t="s">
        <v>161</v>
      </c>
      <c r="F426" s="2"/>
      <c r="G426" s="2"/>
      <c r="H426" s="33"/>
      <c r="I426" s="99">
        <f t="shared" si="0"/>
        <v>501.16237358051887</v>
      </c>
      <c r="J426" s="101">
        <f t="shared" si="1"/>
        <v>12.25</v>
      </c>
      <c r="K426" s="101">
        <f t="shared" si="2"/>
        <v>601</v>
      </c>
      <c r="L426" s="74">
        <f t="shared" si="3"/>
        <v>213</v>
      </c>
      <c r="M426" s="99">
        <f t="shared" si="191"/>
        <v>9020.9227244493395</v>
      </c>
      <c r="N426" s="108">
        <f t="shared" si="451"/>
        <v>3219.2253949389001</v>
      </c>
      <c r="O426" s="108">
        <f t="shared" si="452"/>
        <v>5801.6973295104399</v>
      </c>
      <c r="P426" s="108"/>
      <c r="Q426" s="108"/>
      <c r="R426" s="109"/>
      <c r="S426" s="99">
        <f t="shared" si="399"/>
        <v>7313.423381526829</v>
      </c>
      <c r="T426" s="108">
        <f t="shared" si="453"/>
        <v>2438.1007342024391</v>
      </c>
      <c r="U426" s="108">
        <f t="shared" si="454"/>
        <v>4875.3226473243903</v>
      </c>
      <c r="V426" s="108"/>
      <c r="W426" s="108"/>
      <c r="X426" s="109"/>
      <c r="Y426" s="99">
        <f t="shared" si="8"/>
        <v>14626.846763053658</v>
      </c>
      <c r="Z426" s="108">
        <f t="shared" ref="Z426:AA426" si="510">T426*$D$58/100</f>
        <v>4876.2014684048781</v>
      </c>
      <c r="AA426" s="108">
        <f t="shared" si="510"/>
        <v>9750.6452946487807</v>
      </c>
      <c r="AB426" s="108"/>
      <c r="AC426" s="108"/>
      <c r="AD426" s="109"/>
      <c r="AE426" s="99">
        <f t="shared" si="456"/>
        <v>18</v>
      </c>
      <c r="AF426" s="101">
        <f t="shared" si="457"/>
        <v>36</v>
      </c>
      <c r="AG426" s="101">
        <f t="shared" si="458"/>
        <v>19.001300000000001</v>
      </c>
      <c r="AH426" s="101">
        <f t="shared" si="459"/>
        <v>220.5</v>
      </c>
      <c r="AI426" s="101">
        <f t="shared" si="480"/>
        <v>268.61079999999998</v>
      </c>
      <c r="AJ426" s="108">
        <f t="shared" si="460"/>
        <v>2.8571428571428572</v>
      </c>
      <c r="AK426" s="101">
        <f t="shared" si="461"/>
        <v>4875.7620578646347</v>
      </c>
      <c r="AL426" s="101">
        <f t="shared" si="462"/>
        <v>2438.1007342024391</v>
      </c>
      <c r="AM426" s="101">
        <f t="shared" si="463"/>
        <v>2437.6613236621952</v>
      </c>
      <c r="AN426" s="101"/>
      <c r="AO426" s="1">
        <v>18</v>
      </c>
      <c r="AP426" s="2">
        <v>36</v>
      </c>
      <c r="AQ426" s="74">
        <f t="shared" si="464"/>
        <v>441</v>
      </c>
      <c r="AR426" s="31">
        <f t="shared" si="465"/>
        <v>0</v>
      </c>
      <c r="AS426" s="2">
        <f t="shared" si="466"/>
        <v>0.5</v>
      </c>
      <c r="AT426" s="33">
        <f t="shared" si="467"/>
        <v>0</v>
      </c>
      <c r="AU426" s="31">
        <f t="shared" si="468"/>
        <v>0</v>
      </c>
      <c r="AV426" s="2">
        <f t="shared" si="469"/>
        <v>1</v>
      </c>
      <c r="AW426" s="33">
        <f t="shared" si="470"/>
        <v>0</v>
      </c>
      <c r="AX426" s="31">
        <f t="shared" si="471"/>
        <v>2</v>
      </c>
      <c r="AY426" s="33">
        <f t="shared" si="472"/>
        <v>1</v>
      </c>
      <c r="AZ426" s="2"/>
      <c r="BA426" s="101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</row>
    <row r="427" spans="1:71" ht="12" customHeight="1">
      <c r="A427" s="2"/>
      <c r="B427" s="107">
        <v>352</v>
      </c>
      <c r="C427" s="31">
        <v>10</v>
      </c>
      <c r="D427" s="106" t="s">
        <v>20</v>
      </c>
      <c r="E427" s="2" t="s">
        <v>169</v>
      </c>
      <c r="F427" s="2"/>
      <c r="G427" s="2"/>
      <c r="H427" s="33"/>
      <c r="I427" s="99">
        <f t="shared" si="0"/>
        <v>638.19241200533907</v>
      </c>
      <c r="J427" s="101">
        <f t="shared" si="1"/>
        <v>12.25</v>
      </c>
      <c r="K427" s="101">
        <f t="shared" si="2"/>
        <v>423</v>
      </c>
      <c r="L427" s="74">
        <f t="shared" si="3"/>
        <v>136</v>
      </c>
      <c r="M427" s="99">
        <f t="shared" si="191"/>
        <v>11487.463416096103</v>
      </c>
      <c r="N427" s="108">
        <f t="shared" si="451"/>
        <v>5685.7660865856633</v>
      </c>
      <c r="O427" s="108">
        <f t="shared" si="452"/>
        <v>5801.6973295104399</v>
      </c>
      <c r="P427" s="108"/>
      <c r="Q427" s="108"/>
      <c r="R427" s="109"/>
      <c r="S427" s="99">
        <f t="shared" si="399"/>
        <v>7313.423381526829</v>
      </c>
      <c r="T427" s="108">
        <f t="shared" si="453"/>
        <v>2438.1007342024391</v>
      </c>
      <c r="U427" s="108">
        <f t="shared" si="454"/>
        <v>4875.3226473243903</v>
      </c>
      <c r="V427" s="108"/>
      <c r="W427" s="108"/>
      <c r="X427" s="109"/>
      <c r="Y427" s="99">
        <f t="shared" si="8"/>
        <v>14626.846763053658</v>
      </c>
      <c r="Z427" s="108">
        <f t="shared" ref="Z427:AA427" si="511">T427*$D$58/100</f>
        <v>4876.2014684048781</v>
      </c>
      <c r="AA427" s="108">
        <f t="shared" si="511"/>
        <v>9750.6452946487807</v>
      </c>
      <c r="AB427" s="108"/>
      <c r="AC427" s="108"/>
      <c r="AD427" s="109"/>
      <c r="AE427" s="99">
        <f t="shared" si="456"/>
        <v>18</v>
      </c>
      <c r="AF427" s="101">
        <f t="shared" si="457"/>
        <v>36</v>
      </c>
      <c r="AG427" s="101">
        <f t="shared" si="458"/>
        <v>79.001300000000001</v>
      </c>
      <c r="AH427" s="101">
        <f t="shared" si="459"/>
        <v>220.5</v>
      </c>
      <c r="AI427" s="101">
        <f t="shared" si="480"/>
        <v>268.61079999999998</v>
      </c>
      <c r="AJ427" s="108">
        <f t="shared" si="460"/>
        <v>2.8571428571428572</v>
      </c>
      <c r="AK427" s="101">
        <f t="shared" si="461"/>
        <v>4875.7620578646347</v>
      </c>
      <c r="AL427" s="101">
        <f t="shared" si="462"/>
        <v>2438.1007342024391</v>
      </c>
      <c r="AM427" s="101">
        <f t="shared" si="463"/>
        <v>2437.6613236621952</v>
      </c>
      <c r="AN427" s="101"/>
      <c r="AO427" s="1">
        <v>18</v>
      </c>
      <c r="AP427" s="2">
        <v>36</v>
      </c>
      <c r="AQ427" s="74">
        <f t="shared" si="464"/>
        <v>441</v>
      </c>
      <c r="AR427" s="31">
        <f t="shared" si="465"/>
        <v>0</v>
      </c>
      <c r="AS427" s="2">
        <f t="shared" si="466"/>
        <v>0.5</v>
      </c>
      <c r="AT427" s="33">
        <f t="shared" si="467"/>
        <v>0</v>
      </c>
      <c r="AU427" s="31">
        <f t="shared" si="468"/>
        <v>60</v>
      </c>
      <c r="AV427" s="2">
        <f t="shared" si="469"/>
        <v>1</v>
      </c>
      <c r="AW427" s="33">
        <f t="shared" si="470"/>
        <v>0</v>
      </c>
      <c r="AX427" s="31">
        <f t="shared" si="471"/>
        <v>2</v>
      </c>
      <c r="AY427" s="33">
        <f t="shared" si="472"/>
        <v>1</v>
      </c>
      <c r="AZ427" s="2"/>
      <c r="BA427" s="101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</row>
    <row r="428" spans="1:71" ht="12" customHeight="1">
      <c r="A428" s="2"/>
      <c r="B428" s="107">
        <v>353</v>
      </c>
      <c r="C428" s="31">
        <v>10</v>
      </c>
      <c r="D428" s="106" t="s">
        <v>20</v>
      </c>
      <c r="E428" s="2" t="s">
        <v>162</v>
      </c>
      <c r="F428" s="2"/>
      <c r="G428" s="2"/>
      <c r="H428" s="33"/>
      <c r="I428" s="99">
        <f t="shared" si="0"/>
        <v>590.58530121771059</v>
      </c>
      <c r="J428" s="101">
        <f t="shared" si="1"/>
        <v>12.25</v>
      </c>
      <c r="K428" s="101">
        <f t="shared" si="2"/>
        <v>483</v>
      </c>
      <c r="L428" s="74">
        <f t="shared" si="3"/>
        <v>166</v>
      </c>
      <c r="M428" s="99">
        <f t="shared" si="191"/>
        <v>10630.53542191879</v>
      </c>
      <c r="N428" s="108">
        <f t="shared" si="451"/>
        <v>4828.8380924083503</v>
      </c>
      <c r="O428" s="108">
        <f t="shared" si="452"/>
        <v>5801.6973295104399</v>
      </c>
      <c r="P428" s="108"/>
      <c r="Q428" s="108"/>
      <c r="R428" s="109"/>
      <c r="S428" s="99">
        <f t="shared" si="399"/>
        <v>8532.4737486280501</v>
      </c>
      <c r="T428" s="108">
        <f t="shared" si="453"/>
        <v>3657.1511013036588</v>
      </c>
      <c r="U428" s="108">
        <f t="shared" si="454"/>
        <v>4875.3226473243903</v>
      </c>
      <c r="V428" s="108"/>
      <c r="W428" s="108"/>
      <c r="X428" s="109"/>
      <c r="Y428" s="99">
        <f t="shared" si="8"/>
        <v>17064.9474972561</v>
      </c>
      <c r="Z428" s="108">
        <f t="shared" ref="Z428:AA428" si="512">T428*$D$58/100</f>
        <v>7314.3022026073177</v>
      </c>
      <c r="AA428" s="108">
        <f t="shared" si="512"/>
        <v>9750.6452946487807</v>
      </c>
      <c r="AB428" s="108"/>
      <c r="AC428" s="108"/>
      <c r="AD428" s="109"/>
      <c r="AE428" s="99">
        <f t="shared" si="456"/>
        <v>18</v>
      </c>
      <c r="AF428" s="101">
        <f t="shared" si="457"/>
        <v>36</v>
      </c>
      <c r="AG428" s="101">
        <f t="shared" si="458"/>
        <v>19.001300000000001</v>
      </c>
      <c r="AH428" s="101">
        <f t="shared" si="459"/>
        <v>220.5</v>
      </c>
      <c r="AI428" s="101">
        <f t="shared" si="480"/>
        <v>268.61079999999998</v>
      </c>
      <c r="AJ428" s="108">
        <f t="shared" si="460"/>
        <v>3.1746031746031744</v>
      </c>
      <c r="AK428" s="101">
        <f t="shared" si="461"/>
        <v>4875.7620578646347</v>
      </c>
      <c r="AL428" s="101">
        <f t="shared" si="462"/>
        <v>2438.1007342024391</v>
      </c>
      <c r="AM428" s="101">
        <f t="shared" si="463"/>
        <v>2437.6613236621952</v>
      </c>
      <c r="AN428" s="101"/>
      <c r="AO428" s="1">
        <v>18</v>
      </c>
      <c r="AP428" s="2">
        <v>36</v>
      </c>
      <c r="AQ428" s="74">
        <f t="shared" si="464"/>
        <v>441</v>
      </c>
      <c r="AR428" s="31">
        <f t="shared" si="465"/>
        <v>0</v>
      </c>
      <c r="AS428" s="2">
        <f t="shared" si="466"/>
        <v>0.5</v>
      </c>
      <c r="AT428" s="33">
        <f t="shared" si="467"/>
        <v>0</v>
      </c>
      <c r="AU428" s="31">
        <f t="shared" si="468"/>
        <v>0</v>
      </c>
      <c r="AV428" s="2">
        <f t="shared" si="469"/>
        <v>1.5</v>
      </c>
      <c r="AW428" s="33">
        <f t="shared" si="470"/>
        <v>0</v>
      </c>
      <c r="AX428" s="31">
        <f t="shared" si="471"/>
        <v>2</v>
      </c>
      <c r="AY428" s="33">
        <f t="shared" si="472"/>
        <v>1</v>
      </c>
      <c r="AZ428" s="2"/>
      <c r="BA428" s="101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</row>
    <row r="429" spans="1:71" ht="12" customHeight="1">
      <c r="A429" s="2"/>
      <c r="B429" s="107">
        <v>354</v>
      </c>
      <c r="C429" s="31">
        <v>10</v>
      </c>
      <c r="D429" s="106" t="s">
        <v>20</v>
      </c>
      <c r="E429" s="2" t="s">
        <v>92</v>
      </c>
      <c r="F429" s="2"/>
      <c r="G429" s="2"/>
      <c r="H429" s="33"/>
      <c r="I429" s="99">
        <f t="shared" si="0"/>
        <v>501.16237358051887</v>
      </c>
      <c r="J429" s="101">
        <f t="shared" si="1"/>
        <v>24.5</v>
      </c>
      <c r="K429" s="101">
        <f t="shared" si="2"/>
        <v>601</v>
      </c>
      <c r="L429" s="74">
        <f t="shared" si="3"/>
        <v>213</v>
      </c>
      <c r="M429" s="99">
        <f t="shared" si="191"/>
        <v>9020.9227244493395</v>
      </c>
      <c r="N429" s="108">
        <f t="shared" si="451"/>
        <v>3219.2253949389001</v>
      </c>
      <c r="O429" s="108">
        <f t="shared" si="452"/>
        <v>5801.6973295104399</v>
      </c>
      <c r="P429" s="108"/>
      <c r="Q429" s="108"/>
      <c r="R429" s="109"/>
      <c r="S429" s="99">
        <f t="shared" si="399"/>
        <v>7313.423381526829</v>
      </c>
      <c r="T429" s="108">
        <f t="shared" si="453"/>
        <v>2438.1007342024391</v>
      </c>
      <c r="U429" s="108">
        <f t="shared" si="454"/>
        <v>4875.3226473243903</v>
      </c>
      <c r="V429" s="108"/>
      <c r="W429" s="108"/>
      <c r="X429" s="109"/>
      <c r="Y429" s="99">
        <f t="shared" si="8"/>
        <v>14626.846763053658</v>
      </c>
      <c r="Z429" s="108">
        <f t="shared" ref="Z429:AA429" si="513">T429*$D$58/100</f>
        <v>4876.2014684048781</v>
      </c>
      <c r="AA429" s="108">
        <f t="shared" si="513"/>
        <v>9750.6452946487807</v>
      </c>
      <c r="AB429" s="108"/>
      <c r="AC429" s="108"/>
      <c r="AD429" s="109"/>
      <c r="AE429" s="99">
        <f t="shared" si="456"/>
        <v>18</v>
      </c>
      <c r="AF429" s="101">
        <f t="shared" si="457"/>
        <v>36</v>
      </c>
      <c r="AG429" s="101">
        <f t="shared" si="458"/>
        <v>19.001300000000001</v>
      </c>
      <c r="AH429" s="101">
        <f t="shared" si="459"/>
        <v>441</v>
      </c>
      <c r="AI429" s="101">
        <f t="shared" si="480"/>
        <v>268.61079999999998</v>
      </c>
      <c r="AJ429" s="108">
        <f t="shared" si="460"/>
        <v>2</v>
      </c>
      <c r="AK429" s="101">
        <f t="shared" si="461"/>
        <v>4875.7620578646347</v>
      </c>
      <c r="AL429" s="101">
        <f t="shared" si="462"/>
        <v>2438.1007342024391</v>
      </c>
      <c r="AM429" s="101">
        <f t="shared" si="463"/>
        <v>2437.6613236621952</v>
      </c>
      <c r="AN429" s="101"/>
      <c r="AO429" s="1">
        <v>18</v>
      </c>
      <c r="AP429" s="2">
        <v>36</v>
      </c>
      <c r="AQ429" s="74">
        <f t="shared" si="464"/>
        <v>441</v>
      </c>
      <c r="AR429" s="31">
        <f t="shared" si="465"/>
        <v>0</v>
      </c>
      <c r="AS429" s="2">
        <f t="shared" si="466"/>
        <v>1</v>
      </c>
      <c r="AT429" s="33">
        <f t="shared" si="467"/>
        <v>0</v>
      </c>
      <c r="AU429" s="31">
        <f t="shared" si="468"/>
        <v>0</v>
      </c>
      <c r="AV429" s="2">
        <f t="shared" si="469"/>
        <v>1</v>
      </c>
      <c r="AW429" s="33">
        <f t="shared" si="470"/>
        <v>0</v>
      </c>
      <c r="AX429" s="31">
        <f t="shared" si="471"/>
        <v>1</v>
      </c>
      <c r="AY429" s="33">
        <f t="shared" si="472"/>
        <v>2</v>
      </c>
      <c r="AZ429" s="2"/>
      <c r="BA429" s="101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</row>
    <row r="430" spans="1:71" ht="12" customHeight="1">
      <c r="A430" s="2"/>
      <c r="B430" s="107">
        <v>355</v>
      </c>
      <c r="C430" s="31">
        <v>10</v>
      </c>
      <c r="D430" s="106" t="s">
        <v>20</v>
      </c>
      <c r="E430" s="2" t="s">
        <v>139</v>
      </c>
      <c r="F430" s="2"/>
      <c r="G430" s="2"/>
      <c r="H430" s="33"/>
      <c r="I430" s="99">
        <f t="shared" si="0"/>
        <v>638.19241200533907</v>
      </c>
      <c r="J430" s="101">
        <f t="shared" si="1"/>
        <v>24.5</v>
      </c>
      <c r="K430" s="101">
        <f t="shared" si="2"/>
        <v>423</v>
      </c>
      <c r="L430" s="74">
        <f t="shared" si="3"/>
        <v>136</v>
      </c>
      <c r="M430" s="99">
        <f t="shared" si="191"/>
        <v>11487.463416096103</v>
      </c>
      <c r="N430" s="108">
        <f t="shared" si="451"/>
        <v>5685.7660865856633</v>
      </c>
      <c r="O430" s="108">
        <f t="shared" si="452"/>
        <v>5801.6973295104399</v>
      </c>
      <c r="P430" s="108"/>
      <c r="Q430" s="108"/>
      <c r="R430" s="109"/>
      <c r="S430" s="99">
        <f t="shared" si="399"/>
        <v>7313.423381526829</v>
      </c>
      <c r="T430" s="108">
        <f t="shared" si="453"/>
        <v>2438.1007342024391</v>
      </c>
      <c r="U430" s="108">
        <f t="shared" si="454"/>
        <v>4875.3226473243903</v>
      </c>
      <c r="V430" s="108"/>
      <c r="W430" s="108"/>
      <c r="X430" s="109"/>
      <c r="Y430" s="99">
        <f t="shared" si="8"/>
        <v>14626.846763053658</v>
      </c>
      <c r="Z430" s="108">
        <f t="shared" ref="Z430:AA430" si="514">T430*$D$58/100</f>
        <v>4876.2014684048781</v>
      </c>
      <c r="AA430" s="108">
        <f t="shared" si="514"/>
        <v>9750.6452946487807</v>
      </c>
      <c r="AB430" s="108"/>
      <c r="AC430" s="108"/>
      <c r="AD430" s="109"/>
      <c r="AE430" s="99">
        <f t="shared" si="456"/>
        <v>18</v>
      </c>
      <c r="AF430" s="101">
        <f t="shared" si="457"/>
        <v>36</v>
      </c>
      <c r="AG430" s="101">
        <f t="shared" si="458"/>
        <v>79.001300000000001</v>
      </c>
      <c r="AH430" s="101">
        <f t="shared" si="459"/>
        <v>441</v>
      </c>
      <c r="AI430" s="101">
        <f t="shared" si="480"/>
        <v>268.61079999999998</v>
      </c>
      <c r="AJ430" s="108">
        <f t="shared" si="460"/>
        <v>2</v>
      </c>
      <c r="AK430" s="101">
        <f t="shared" si="461"/>
        <v>4875.7620578646347</v>
      </c>
      <c r="AL430" s="101">
        <f t="shared" si="462"/>
        <v>2438.1007342024391</v>
      </c>
      <c r="AM430" s="101">
        <f t="shared" si="463"/>
        <v>2437.6613236621952</v>
      </c>
      <c r="AN430" s="101"/>
      <c r="AO430" s="1">
        <v>18</v>
      </c>
      <c r="AP430" s="2">
        <v>36</v>
      </c>
      <c r="AQ430" s="74">
        <f t="shared" si="464"/>
        <v>441</v>
      </c>
      <c r="AR430" s="31">
        <f t="shared" si="465"/>
        <v>0</v>
      </c>
      <c r="AS430" s="2">
        <f t="shared" si="466"/>
        <v>1</v>
      </c>
      <c r="AT430" s="33">
        <f t="shared" si="467"/>
        <v>0</v>
      </c>
      <c r="AU430" s="31">
        <f t="shared" si="468"/>
        <v>60</v>
      </c>
      <c r="AV430" s="2">
        <f t="shared" si="469"/>
        <v>1</v>
      </c>
      <c r="AW430" s="33">
        <f t="shared" si="470"/>
        <v>0</v>
      </c>
      <c r="AX430" s="31">
        <f t="shared" si="471"/>
        <v>1</v>
      </c>
      <c r="AY430" s="33">
        <f t="shared" si="472"/>
        <v>2</v>
      </c>
      <c r="AZ430" s="2"/>
      <c r="BA430" s="101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</row>
    <row r="431" spans="1:71" ht="12" customHeight="1">
      <c r="A431" s="2"/>
      <c r="B431" s="107">
        <v>356</v>
      </c>
      <c r="C431" s="31">
        <v>10</v>
      </c>
      <c r="D431" s="106" t="s">
        <v>20</v>
      </c>
      <c r="E431" s="2" t="s">
        <v>95</v>
      </c>
      <c r="F431" s="2"/>
      <c r="G431" s="2"/>
      <c r="H431" s="33"/>
      <c r="I431" s="99">
        <f t="shared" si="0"/>
        <v>590.58530121771059</v>
      </c>
      <c r="J431" s="101">
        <f t="shared" si="1"/>
        <v>24.5</v>
      </c>
      <c r="K431" s="101">
        <f t="shared" si="2"/>
        <v>483</v>
      </c>
      <c r="L431" s="74">
        <f t="shared" si="3"/>
        <v>166</v>
      </c>
      <c r="M431" s="99">
        <f t="shared" si="191"/>
        <v>10630.53542191879</v>
      </c>
      <c r="N431" s="108">
        <f t="shared" si="451"/>
        <v>4828.8380924083503</v>
      </c>
      <c r="O431" s="108">
        <f t="shared" si="452"/>
        <v>5801.6973295104399</v>
      </c>
      <c r="P431" s="108"/>
      <c r="Q431" s="108"/>
      <c r="R431" s="109"/>
      <c r="S431" s="99">
        <f t="shared" si="399"/>
        <v>8532.4737486280501</v>
      </c>
      <c r="T431" s="108">
        <f t="shared" si="453"/>
        <v>3657.1511013036588</v>
      </c>
      <c r="U431" s="108">
        <f t="shared" si="454"/>
        <v>4875.3226473243903</v>
      </c>
      <c r="V431" s="108"/>
      <c r="W431" s="108"/>
      <c r="X431" s="109"/>
      <c r="Y431" s="99">
        <f t="shared" si="8"/>
        <v>17064.9474972561</v>
      </c>
      <c r="Z431" s="108">
        <f t="shared" ref="Z431:AA431" si="515">T431*$D$58/100</f>
        <v>7314.3022026073177</v>
      </c>
      <c r="AA431" s="108">
        <f t="shared" si="515"/>
        <v>9750.6452946487807</v>
      </c>
      <c r="AB431" s="108"/>
      <c r="AC431" s="108"/>
      <c r="AD431" s="109"/>
      <c r="AE431" s="99">
        <f t="shared" si="456"/>
        <v>18</v>
      </c>
      <c r="AF431" s="101">
        <f t="shared" si="457"/>
        <v>36</v>
      </c>
      <c r="AG431" s="101">
        <f t="shared" si="458"/>
        <v>19.001300000000001</v>
      </c>
      <c r="AH431" s="101">
        <f t="shared" si="459"/>
        <v>441</v>
      </c>
      <c r="AI431" s="101">
        <f t="shared" si="480"/>
        <v>268.61079999999998</v>
      </c>
      <c r="AJ431" s="108">
        <f t="shared" si="460"/>
        <v>2.2222222222222223</v>
      </c>
      <c r="AK431" s="101">
        <f t="shared" si="461"/>
        <v>4875.7620578646347</v>
      </c>
      <c r="AL431" s="101">
        <f t="shared" si="462"/>
        <v>2438.1007342024391</v>
      </c>
      <c r="AM431" s="101">
        <f t="shared" si="463"/>
        <v>2437.6613236621952</v>
      </c>
      <c r="AN431" s="101"/>
      <c r="AO431" s="1">
        <v>18</v>
      </c>
      <c r="AP431" s="2">
        <v>36</v>
      </c>
      <c r="AQ431" s="74">
        <f t="shared" si="464"/>
        <v>441</v>
      </c>
      <c r="AR431" s="31">
        <f t="shared" si="465"/>
        <v>0</v>
      </c>
      <c r="AS431" s="2">
        <f t="shared" si="466"/>
        <v>1</v>
      </c>
      <c r="AT431" s="33">
        <f t="shared" si="467"/>
        <v>0</v>
      </c>
      <c r="AU431" s="31">
        <f t="shared" si="468"/>
        <v>0</v>
      </c>
      <c r="AV431" s="2">
        <f t="shared" si="469"/>
        <v>1.5</v>
      </c>
      <c r="AW431" s="33">
        <f t="shared" si="470"/>
        <v>0</v>
      </c>
      <c r="AX431" s="31">
        <f t="shared" si="471"/>
        <v>1</v>
      </c>
      <c r="AY431" s="33">
        <f t="shared" si="472"/>
        <v>2</v>
      </c>
      <c r="AZ431" s="2"/>
      <c r="BA431" s="101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</row>
    <row r="432" spans="1:71" ht="12" customHeight="1">
      <c r="A432" s="2"/>
      <c r="B432" s="107">
        <v>357</v>
      </c>
      <c r="C432" s="31">
        <v>10</v>
      </c>
      <c r="D432" s="106" t="s">
        <v>20</v>
      </c>
      <c r="E432" s="2" t="s">
        <v>151</v>
      </c>
      <c r="F432" s="2"/>
      <c r="G432" s="2"/>
      <c r="H432" s="33"/>
      <c r="I432" s="99">
        <f t="shared" si="0"/>
        <v>601.39484829662263</v>
      </c>
      <c r="J432" s="101">
        <f t="shared" si="1"/>
        <v>29.4</v>
      </c>
      <c r="K432" s="101">
        <f t="shared" si="2"/>
        <v>465</v>
      </c>
      <c r="L432" s="74">
        <f t="shared" si="3"/>
        <v>157</v>
      </c>
      <c r="M432" s="99">
        <f t="shared" si="191"/>
        <v>9020.9227244493395</v>
      </c>
      <c r="N432" s="108">
        <f t="shared" si="451"/>
        <v>3219.2253949389001</v>
      </c>
      <c r="O432" s="108">
        <f t="shared" si="452"/>
        <v>5801.6973295104399</v>
      </c>
      <c r="P432" s="108"/>
      <c r="Q432" s="108"/>
      <c r="R432" s="109"/>
      <c r="S432" s="99">
        <f t="shared" si="399"/>
        <v>7313.423381526829</v>
      </c>
      <c r="T432" s="108">
        <f t="shared" si="453"/>
        <v>2438.1007342024391</v>
      </c>
      <c r="U432" s="108">
        <f t="shared" si="454"/>
        <v>4875.3226473243903</v>
      </c>
      <c r="V432" s="108"/>
      <c r="W432" s="108"/>
      <c r="X432" s="109"/>
      <c r="Y432" s="99">
        <f t="shared" si="8"/>
        <v>14626.846763053658</v>
      </c>
      <c r="Z432" s="108">
        <f t="shared" ref="Z432:AA432" si="516">T432*$D$58/100</f>
        <v>4876.2014684048781</v>
      </c>
      <c r="AA432" s="108">
        <f t="shared" si="516"/>
        <v>9750.6452946487807</v>
      </c>
      <c r="AB432" s="108"/>
      <c r="AC432" s="108"/>
      <c r="AD432" s="109"/>
      <c r="AE432" s="99">
        <f t="shared" si="456"/>
        <v>15</v>
      </c>
      <c r="AF432" s="101">
        <f t="shared" si="457"/>
        <v>36</v>
      </c>
      <c r="AG432" s="101">
        <f t="shared" si="458"/>
        <v>19.001300000000001</v>
      </c>
      <c r="AH432" s="101">
        <f t="shared" si="459"/>
        <v>441</v>
      </c>
      <c r="AI432" s="101">
        <f t="shared" si="480"/>
        <v>268.61079999999998</v>
      </c>
      <c r="AJ432" s="108">
        <f t="shared" si="460"/>
        <v>2</v>
      </c>
      <c r="AK432" s="101">
        <f t="shared" si="461"/>
        <v>4875.7620578646347</v>
      </c>
      <c r="AL432" s="101">
        <f t="shared" si="462"/>
        <v>2438.1007342024391</v>
      </c>
      <c r="AM432" s="101">
        <f t="shared" si="463"/>
        <v>2437.6613236621952</v>
      </c>
      <c r="AN432" s="101"/>
      <c r="AO432" s="1">
        <v>18</v>
      </c>
      <c r="AP432" s="2">
        <v>36</v>
      </c>
      <c r="AQ432" s="74">
        <f t="shared" si="464"/>
        <v>441</v>
      </c>
      <c r="AR432" s="31">
        <f t="shared" si="465"/>
        <v>3</v>
      </c>
      <c r="AS432" s="2">
        <f t="shared" si="466"/>
        <v>1</v>
      </c>
      <c r="AT432" s="33">
        <f t="shared" si="467"/>
        <v>0</v>
      </c>
      <c r="AU432" s="31">
        <f t="shared" si="468"/>
        <v>0</v>
      </c>
      <c r="AV432" s="2">
        <f t="shared" si="469"/>
        <v>1</v>
      </c>
      <c r="AW432" s="33">
        <f t="shared" si="470"/>
        <v>0</v>
      </c>
      <c r="AX432" s="31">
        <f t="shared" si="471"/>
        <v>1</v>
      </c>
      <c r="AY432" s="33">
        <f t="shared" si="472"/>
        <v>2</v>
      </c>
      <c r="AZ432" s="2"/>
      <c r="BA432" s="101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</row>
    <row r="433" spans="1:71" ht="12" customHeight="1">
      <c r="A433" s="2"/>
      <c r="B433" s="107">
        <v>358</v>
      </c>
      <c r="C433" s="31">
        <v>10</v>
      </c>
      <c r="D433" s="106" t="s">
        <v>20</v>
      </c>
      <c r="E433" s="2" t="s">
        <v>165</v>
      </c>
      <c r="F433" s="2"/>
      <c r="G433" s="2"/>
      <c r="H433" s="33"/>
      <c r="I433" s="99">
        <f t="shared" si="0"/>
        <v>765.83089440640686</v>
      </c>
      <c r="J433" s="101">
        <f t="shared" si="1"/>
        <v>29.4</v>
      </c>
      <c r="K433" s="101">
        <f t="shared" si="2"/>
        <v>290</v>
      </c>
      <c r="L433" s="74">
        <f t="shared" si="3"/>
        <v>77</v>
      </c>
      <c r="M433" s="99">
        <f t="shared" si="191"/>
        <v>11487.463416096103</v>
      </c>
      <c r="N433" s="108">
        <f t="shared" si="451"/>
        <v>5685.7660865856633</v>
      </c>
      <c r="O433" s="108">
        <f t="shared" si="452"/>
        <v>5801.6973295104399</v>
      </c>
      <c r="P433" s="108"/>
      <c r="Q433" s="108"/>
      <c r="R433" s="109"/>
      <c r="S433" s="99">
        <f t="shared" si="399"/>
        <v>7313.423381526829</v>
      </c>
      <c r="T433" s="108">
        <f t="shared" si="453"/>
        <v>2438.1007342024391</v>
      </c>
      <c r="U433" s="108">
        <f t="shared" si="454"/>
        <v>4875.3226473243903</v>
      </c>
      <c r="V433" s="108"/>
      <c r="W433" s="108"/>
      <c r="X433" s="109"/>
      <c r="Y433" s="99">
        <f t="shared" si="8"/>
        <v>14626.846763053658</v>
      </c>
      <c r="Z433" s="108">
        <f t="shared" ref="Z433:AA433" si="517">T433*$D$58/100</f>
        <v>4876.2014684048781</v>
      </c>
      <c r="AA433" s="108">
        <f t="shared" si="517"/>
        <v>9750.6452946487807</v>
      </c>
      <c r="AB433" s="108"/>
      <c r="AC433" s="108"/>
      <c r="AD433" s="109"/>
      <c r="AE433" s="99">
        <f t="shared" si="456"/>
        <v>15</v>
      </c>
      <c r="AF433" s="101">
        <f t="shared" si="457"/>
        <v>36</v>
      </c>
      <c r="AG433" s="101">
        <f t="shared" si="458"/>
        <v>79.001300000000001</v>
      </c>
      <c r="AH433" s="101">
        <f t="shared" si="459"/>
        <v>441</v>
      </c>
      <c r="AI433" s="101">
        <f t="shared" si="480"/>
        <v>268.61079999999998</v>
      </c>
      <c r="AJ433" s="108">
        <f t="shared" si="460"/>
        <v>2</v>
      </c>
      <c r="AK433" s="101">
        <f t="shared" si="461"/>
        <v>4875.7620578646347</v>
      </c>
      <c r="AL433" s="101">
        <f t="shared" si="462"/>
        <v>2438.1007342024391</v>
      </c>
      <c r="AM433" s="101">
        <f t="shared" si="463"/>
        <v>2437.6613236621952</v>
      </c>
      <c r="AN433" s="101"/>
      <c r="AO433" s="1">
        <v>18</v>
      </c>
      <c r="AP433" s="2">
        <v>36</v>
      </c>
      <c r="AQ433" s="74">
        <f t="shared" si="464"/>
        <v>441</v>
      </c>
      <c r="AR433" s="31">
        <f t="shared" si="465"/>
        <v>3</v>
      </c>
      <c r="AS433" s="2">
        <f t="shared" si="466"/>
        <v>1</v>
      </c>
      <c r="AT433" s="33">
        <f t="shared" si="467"/>
        <v>0</v>
      </c>
      <c r="AU433" s="31">
        <f t="shared" si="468"/>
        <v>60</v>
      </c>
      <c r="AV433" s="2">
        <f t="shared" si="469"/>
        <v>1</v>
      </c>
      <c r="AW433" s="33">
        <f t="shared" si="470"/>
        <v>0</v>
      </c>
      <c r="AX433" s="31">
        <f t="shared" si="471"/>
        <v>1</v>
      </c>
      <c r="AY433" s="33">
        <f t="shared" si="472"/>
        <v>2</v>
      </c>
      <c r="AZ433" s="2"/>
      <c r="BA433" s="101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</row>
    <row r="434" spans="1:71" ht="12" customHeight="1">
      <c r="A434" s="2"/>
      <c r="B434" s="107">
        <v>359</v>
      </c>
      <c r="C434" s="31">
        <v>10</v>
      </c>
      <c r="D434" s="106" t="s">
        <v>20</v>
      </c>
      <c r="E434" s="2" t="s">
        <v>154</v>
      </c>
      <c r="F434" s="2"/>
      <c r="G434" s="2"/>
      <c r="H434" s="33"/>
      <c r="I434" s="99">
        <f t="shared" si="0"/>
        <v>708.70236146125274</v>
      </c>
      <c r="J434" s="101">
        <f t="shared" si="1"/>
        <v>29.4</v>
      </c>
      <c r="K434" s="101">
        <f t="shared" si="2"/>
        <v>345</v>
      </c>
      <c r="L434" s="74">
        <f t="shared" si="3"/>
        <v>105</v>
      </c>
      <c r="M434" s="99">
        <f t="shared" si="191"/>
        <v>10630.53542191879</v>
      </c>
      <c r="N434" s="108">
        <f t="shared" si="451"/>
        <v>4828.8380924083503</v>
      </c>
      <c r="O434" s="108">
        <f t="shared" si="452"/>
        <v>5801.6973295104399</v>
      </c>
      <c r="P434" s="108"/>
      <c r="Q434" s="108"/>
      <c r="R434" s="109"/>
      <c r="S434" s="99">
        <f t="shared" si="399"/>
        <v>8532.4737486280501</v>
      </c>
      <c r="T434" s="108">
        <f t="shared" si="453"/>
        <v>3657.1511013036588</v>
      </c>
      <c r="U434" s="108">
        <f t="shared" si="454"/>
        <v>4875.3226473243903</v>
      </c>
      <c r="V434" s="108"/>
      <c r="W434" s="108"/>
      <c r="X434" s="109"/>
      <c r="Y434" s="99">
        <f t="shared" si="8"/>
        <v>17064.9474972561</v>
      </c>
      <c r="Z434" s="108">
        <f t="shared" ref="Z434:AA434" si="518">T434*$D$58/100</f>
        <v>7314.3022026073177</v>
      </c>
      <c r="AA434" s="108">
        <f t="shared" si="518"/>
        <v>9750.6452946487807</v>
      </c>
      <c r="AB434" s="108"/>
      <c r="AC434" s="108"/>
      <c r="AD434" s="109"/>
      <c r="AE434" s="99">
        <f t="shared" si="456"/>
        <v>15</v>
      </c>
      <c r="AF434" s="101">
        <f t="shared" si="457"/>
        <v>36</v>
      </c>
      <c r="AG434" s="101">
        <f t="shared" si="458"/>
        <v>19.001300000000001</v>
      </c>
      <c r="AH434" s="101">
        <f t="shared" si="459"/>
        <v>441</v>
      </c>
      <c r="AI434" s="101">
        <f t="shared" si="480"/>
        <v>268.61079999999998</v>
      </c>
      <c r="AJ434" s="108">
        <f t="shared" si="460"/>
        <v>2.2222222222222223</v>
      </c>
      <c r="AK434" s="101">
        <f t="shared" si="461"/>
        <v>4875.7620578646347</v>
      </c>
      <c r="AL434" s="101">
        <f t="shared" si="462"/>
        <v>2438.1007342024391</v>
      </c>
      <c r="AM434" s="101">
        <f t="shared" si="463"/>
        <v>2437.6613236621952</v>
      </c>
      <c r="AN434" s="101"/>
      <c r="AO434" s="1">
        <v>18</v>
      </c>
      <c r="AP434" s="2">
        <v>36</v>
      </c>
      <c r="AQ434" s="74">
        <f t="shared" si="464"/>
        <v>441</v>
      </c>
      <c r="AR434" s="31">
        <f t="shared" si="465"/>
        <v>3</v>
      </c>
      <c r="AS434" s="2">
        <f t="shared" si="466"/>
        <v>1</v>
      </c>
      <c r="AT434" s="33">
        <f t="shared" si="467"/>
        <v>0</v>
      </c>
      <c r="AU434" s="31">
        <f t="shared" si="468"/>
        <v>0</v>
      </c>
      <c r="AV434" s="2">
        <f t="shared" si="469"/>
        <v>1.5</v>
      </c>
      <c r="AW434" s="33">
        <f t="shared" si="470"/>
        <v>0</v>
      </c>
      <c r="AX434" s="31">
        <f t="shared" si="471"/>
        <v>1</v>
      </c>
      <c r="AY434" s="33">
        <f t="shared" si="472"/>
        <v>2</v>
      </c>
      <c r="AZ434" s="2"/>
      <c r="BA434" s="101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</row>
    <row r="435" spans="1:71" ht="12" customHeight="1">
      <c r="A435" s="2"/>
      <c r="B435" s="107">
        <v>360</v>
      </c>
      <c r="C435" s="31">
        <v>10</v>
      </c>
      <c r="D435" s="106" t="s">
        <v>20</v>
      </c>
      <c r="E435" s="2" t="s">
        <v>99</v>
      </c>
      <c r="F435" s="2"/>
      <c r="G435" s="2"/>
      <c r="H435" s="33"/>
      <c r="I435" s="99">
        <f t="shared" si="0"/>
        <v>501.16237358051887</v>
      </c>
      <c r="J435" s="101">
        <f t="shared" si="1"/>
        <v>12.25</v>
      </c>
      <c r="K435" s="101">
        <f t="shared" si="2"/>
        <v>601</v>
      </c>
      <c r="L435" s="74">
        <f t="shared" si="3"/>
        <v>213</v>
      </c>
      <c r="M435" s="99">
        <f t="shared" si="191"/>
        <v>9020.9227244493395</v>
      </c>
      <c r="N435" s="108">
        <f t="shared" si="451"/>
        <v>3219.2253949389001</v>
      </c>
      <c r="O435" s="108">
        <f t="shared" si="452"/>
        <v>5801.6973295104399</v>
      </c>
      <c r="P435" s="108"/>
      <c r="Q435" s="108"/>
      <c r="R435" s="109"/>
      <c r="S435" s="99">
        <f t="shared" si="399"/>
        <v>7313.423381526829</v>
      </c>
      <c r="T435" s="108">
        <f t="shared" si="453"/>
        <v>2438.1007342024391</v>
      </c>
      <c r="U435" s="108">
        <f t="shared" si="454"/>
        <v>4875.3226473243903</v>
      </c>
      <c r="V435" s="108"/>
      <c r="W435" s="108"/>
      <c r="X435" s="109"/>
      <c r="Y435" s="99">
        <f t="shared" si="8"/>
        <v>14626.846763053658</v>
      </c>
      <c r="Z435" s="108">
        <f t="shared" ref="Z435:AA435" si="519">T435*$D$58/100</f>
        <v>4876.2014684048781</v>
      </c>
      <c r="AA435" s="108">
        <f t="shared" si="519"/>
        <v>9750.6452946487807</v>
      </c>
      <c r="AB435" s="108"/>
      <c r="AC435" s="108"/>
      <c r="AD435" s="109"/>
      <c r="AE435" s="99">
        <f t="shared" si="456"/>
        <v>18</v>
      </c>
      <c r="AF435" s="101">
        <f t="shared" si="457"/>
        <v>36</v>
      </c>
      <c r="AG435" s="101">
        <f t="shared" si="458"/>
        <v>19.001300000000001</v>
      </c>
      <c r="AH435" s="101">
        <f t="shared" si="459"/>
        <v>220.5</v>
      </c>
      <c r="AI435" s="101">
        <f t="shared" si="480"/>
        <v>268.61079999999998</v>
      </c>
      <c r="AJ435" s="108">
        <f t="shared" si="460"/>
        <v>2</v>
      </c>
      <c r="AK435" s="101">
        <f t="shared" si="461"/>
        <v>4875.7620578646347</v>
      </c>
      <c r="AL435" s="101">
        <f t="shared" si="462"/>
        <v>2438.1007342024391</v>
      </c>
      <c r="AM435" s="101">
        <f t="shared" si="463"/>
        <v>2437.6613236621952</v>
      </c>
      <c r="AN435" s="101"/>
      <c r="AO435" s="1">
        <v>18</v>
      </c>
      <c r="AP435" s="2">
        <v>36</v>
      </c>
      <c r="AQ435" s="74">
        <f t="shared" si="464"/>
        <v>441</v>
      </c>
      <c r="AR435" s="31">
        <f t="shared" si="465"/>
        <v>0</v>
      </c>
      <c r="AS435" s="2">
        <f t="shared" si="466"/>
        <v>0.5</v>
      </c>
      <c r="AT435" s="33">
        <f t="shared" si="467"/>
        <v>0</v>
      </c>
      <c r="AU435" s="31">
        <f t="shared" si="468"/>
        <v>0</v>
      </c>
      <c r="AV435" s="2">
        <f t="shared" si="469"/>
        <v>1</v>
      </c>
      <c r="AW435" s="33">
        <f t="shared" si="470"/>
        <v>0</v>
      </c>
      <c r="AX435" s="31">
        <f t="shared" si="471"/>
        <v>1</v>
      </c>
      <c r="AY435" s="33">
        <f t="shared" si="472"/>
        <v>2</v>
      </c>
      <c r="AZ435" s="2"/>
      <c r="BA435" s="101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</row>
    <row r="436" spans="1:71" ht="12" customHeight="1">
      <c r="A436" s="2"/>
      <c r="B436" s="107">
        <v>361</v>
      </c>
      <c r="C436" s="31">
        <v>10</v>
      </c>
      <c r="D436" s="106" t="s">
        <v>20</v>
      </c>
      <c r="E436" s="2" t="s">
        <v>170</v>
      </c>
      <c r="F436" s="2"/>
      <c r="G436" s="2"/>
      <c r="H436" s="33"/>
      <c r="I436" s="99">
        <f t="shared" si="0"/>
        <v>638.19241200533907</v>
      </c>
      <c r="J436" s="101">
        <f t="shared" si="1"/>
        <v>12.25</v>
      </c>
      <c r="K436" s="101">
        <f t="shared" si="2"/>
        <v>423</v>
      </c>
      <c r="L436" s="74">
        <f t="shared" si="3"/>
        <v>136</v>
      </c>
      <c r="M436" s="99">
        <f t="shared" si="191"/>
        <v>11487.463416096103</v>
      </c>
      <c r="N436" s="108">
        <f t="shared" si="451"/>
        <v>5685.7660865856633</v>
      </c>
      <c r="O436" s="108">
        <f t="shared" si="452"/>
        <v>5801.6973295104399</v>
      </c>
      <c r="P436" s="108"/>
      <c r="Q436" s="108"/>
      <c r="R436" s="109"/>
      <c r="S436" s="99">
        <f t="shared" si="399"/>
        <v>7313.423381526829</v>
      </c>
      <c r="T436" s="108">
        <f t="shared" si="453"/>
        <v>2438.1007342024391</v>
      </c>
      <c r="U436" s="108">
        <f t="shared" si="454"/>
        <v>4875.3226473243903</v>
      </c>
      <c r="V436" s="108"/>
      <c r="W436" s="108"/>
      <c r="X436" s="109"/>
      <c r="Y436" s="99">
        <f t="shared" si="8"/>
        <v>14626.846763053658</v>
      </c>
      <c r="Z436" s="108">
        <f t="shared" ref="Z436:AA436" si="520">T436*$D$58/100</f>
        <v>4876.2014684048781</v>
      </c>
      <c r="AA436" s="108">
        <f t="shared" si="520"/>
        <v>9750.6452946487807</v>
      </c>
      <c r="AB436" s="108"/>
      <c r="AC436" s="108"/>
      <c r="AD436" s="109"/>
      <c r="AE436" s="99">
        <f t="shared" si="456"/>
        <v>18</v>
      </c>
      <c r="AF436" s="101">
        <f t="shared" si="457"/>
        <v>36</v>
      </c>
      <c r="AG436" s="101">
        <f t="shared" si="458"/>
        <v>79.001300000000001</v>
      </c>
      <c r="AH436" s="101">
        <f t="shared" si="459"/>
        <v>220.5</v>
      </c>
      <c r="AI436" s="101">
        <f t="shared" si="480"/>
        <v>268.61079999999998</v>
      </c>
      <c r="AJ436" s="108">
        <f t="shared" si="460"/>
        <v>2</v>
      </c>
      <c r="AK436" s="101">
        <f t="shared" si="461"/>
        <v>4875.7620578646347</v>
      </c>
      <c r="AL436" s="101">
        <f t="shared" si="462"/>
        <v>2438.1007342024391</v>
      </c>
      <c r="AM436" s="101">
        <f t="shared" si="463"/>
        <v>2437.6613236621952</v>
      </c>
      <c r="AN436" s="101"/>
      <c r="AO436" s="1">
        <v>18</v>
      </c>
      <c r="AP436" s="2">
        <v>36</v>
      </c>
      <c r="AQ436" s="74">
        <f t="shared" si="464"/>
        <v>441</v>
      </c>
      <c r="AR436" s="31">
        <f t="shared" si="465"/>
        <v>0</v>
      </c>
      <c r="AS436" s="2">
        <f t="shared" si="466"/>
        <v>0.5</v>
      </c>
      <c r="AT436" s="33">
        <f t="shared" si="467"/>
        <v>0</v>
      </c>
      <c r="AU436" s="31">
        <f t="shared" si="468"/>
        <v>60</v>
      </c>
      <c r="AV436" s="2">
        <f t="shared" si="469"/>
        <v>1</v>
      </c>
      <c r="AW436" s="33">
        <f t="shared" si="470"/>
        <v>0</v>
      </c>
      <c r="AX436" s="31">
        <f t="shared" si="471"/>
        <v>1</v>
      </c>
      <c r="AY436" s="33">
        <f t="shared" si="472"/>
        <v>2</v>
      </c>
      <c r="AZ436" s="2"/>
      <c r="BA436" s="101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</row>
    <row r="437" spans="1:71" ht="12" customHeight="1">
      <c r="A437" s="2"/>
      <c r="B437" s="107">
        <v>362</v>
      </c>
      <c r="C437" s="31">
        <v>10</v>
      </c>
      <c r="D437" s="106" t="s">
        <v>20</v>
      </c>
      <c r="E437" s="2" t="s">
        <v>102</v>
      </c>
      <c r="F437" s="2"/>
      <c r="G437" s="2"/>
      <c r="H437" s="33"/>
      <c r="I437" s="99">
        <f t="shared" si="0"/>
        <v>590.58530121771059</v>
      </c>
      <c r="J437" s="101">
        <f t="shared" si="1"/>
        <v>12.25</v>
      </c>
      <c r="K437" s="101">
        <f t="shared" si="2"/>
        <v>483</v>
      </c>
      <c r="L437" s="74">
        <f t="shared" si="3"/>
        <v>166</v>
      </c>
      <c r="M437" s="99">
        <f t="shared" si="191"/>
        <v>10630.53542191879</v>
      </c>
      <c r="N437" s="108">
        <f t="shared" si="451"/>
        <v>4828.8380924083503</v>
      </c>
      <c r="O437" s="108">
        <f t="shared" si="452"/>
        <v>5801.6973295104399</v>
      </c>
      <c r="P437" s="108"/>
      <c r="Q437" s="108"/>
      <c r="R437" s="109"/>
      <c r="S437" s="99">
        <f t="shared" si="399"/>
        <v>8532.4737486280501</v>
      </c>
      <c r="T437" s="108">
        <f t="shared" si="453"/>
        <v>3657.1511013036588</v>
      </c>
      <c r="U437" s="108">
        <f t="shared" si="454"/>
        <v>4875.3226473243903</v>
      </c>
      <c r="V437" s="108"/>
      <c r="W437" s="108"/>
      <c r="X437" s="109"/>
      <c r="Y437" s="99">
        <f t="shared" si="8"/>
        <v>17064.9474972561</v>
      </c>
      <c r="Z437" s="108">
        <f t="shared" ref="Z437:AA437" si="521">T437*$D$58/100</f>
        <v>7314.3022026073177</v>
      </c>
      <c r="AA437" s="108">
        <f t="shared" si="521"/>
        <v>9750.6452946487807</v>
      </c>
      <c r="AB437" s="108"/>
      <c r="AC437" s="108"/>
      <c r="AD437" s="109"/>
      <c r="AE437" s="99">
        <f t="shared" si="456"/>
        <v>18</v>
      </c>
      <c r="AF437" s="101">
        <f t="shared" si="457"/>
        <v>36</v>
      </c>
      <c r="AG437" s="101">
        <f t="shared" si="458"/>
        <v>19.001300000000001</v>
      </c>
      <c r="AH437" s="101">
        <f t="shared" si="459"/>
        <v>220.5</v>
      </c>
      <c r="AI437" s="101">
        <f t="shared" si="480"/>
        <v>268.61079999999998</v>
      </c>
      <c r="AJ437" s="108">
        <f t="shared" si="460"/>
        <v>2.2222222222222223</v>
      </c>
      <c r="AK437" s="101">
        <f t="shared" si="461"/>
        <v>4875.7620578646347</v>
      </c>
      <c r="AL437" s="101">
        <f t="shared" si="462"/>
        <v>2438.1007342024391</v>
      </c>
      <c r="AM437" s="101">
        <f t="shared" si="463"/>
        <v>2437.6613236621952</v>
      </c>
      <c r="AN437" s="101"/>
      <c r="AO437" s="1">
        <v>18</v>
      </c>
      <c r="AP437" s="2">
        <v>36</v>
      </c>
      <c r="AQ437" s="74">
        <f t="shared" si="464"/>
        <v>441</v>
      </c>
      <c r="AR437" s="31">
        <f t="shared" si="465"/>
        <v>0</v>
      </c>
      <c r="AS437" s="2">
        <f t="shared" si="466"/>
        <v>0.5</v>
      </c>
      <c r="AT437" s="33">
        <f t="shared" si="467"/>
        <v>0</v>
      </c>
      <c r="AU437" s="31">
        <f t="shared" si="468"/>
        <v>0</v>
      </c>
      <c r="AV437" s="2">
        <f t="shared" si="469"/>
        <v>1.5</v>
      </c>
      <c r="AW437" s="33">
        <f t="shared" si="470"/>
        <v>0</v>
      </c>
      <c r="AX437" s="31">
        <f t="shared" si="471"/>
        <v>1</v>
      </c>
      <c r="AY437" s="33">
        <f t="shared" si="472"/>
        <v>2</v>
      </c>
      <c r="AZ437" s="2"/>
      <c r="BA437" s="101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</row>
    <row r="438" spans="1:71" ht="12" customHeight="1">
      <c r="A438" s="2"/>
      <c r="B438" s="107">
        <v>363</v>
      </c>
      <c r="C438" s="31">
        <v>7</v>
      </c>
      <c r="D438" s="106" t="s">
        <v>20</v>
      </c>
      <c r="E438" s="2" t="s">
        <v>67</v>
      </c>
      <c r="F438" s="2"/>
      <c r="G438" s="2"/>
      <c r="H438" s="33"/>
      <c r="I438" s="99">
        <f t="shared" si="0"/>
        <v>325.60058513137301</v>
      </c>
      <c r="J438" s="101">
        <f t="shared" si="1"/>
        <v>17.055555555555557</v>
      </c>
      <c r="K438" s="101">
        <f t="shared" si="2"/>
        <v>808</v>
      </c>
      <c r="L438" s="74">
        <f t="shared" si="3"/>
        <v>309</v>
      </c>
      <c r="M438" s="99">
        <f t="shared" si="191"/>
        <v>5860.8105323647142</v>
      </c>
      <c r="N438" s="108">
        <f t="shared" si="451"/>
        <v>3082.8369487290388</v>
      </c>
      <c r="O438" s="108">
        <f t="shared" si="452"/>
        <v>2777.9735836356754</v>
      </c>
      <c r="P438" s="108"/>
      <c r="Q438" s="108"/>
      <c r="R438" s="109"/>
      <c r="S438" s="99">
        <f t="shared" si="399"/>
        <v>4669.212161943904</v>
      </c>
      <c r="T438" s="108">
        <f t="shared" si="453"/>
        <v>2334.8060809719518</v>
      </c>
      <c r="U438" s="108">
        <f t="shared" si="454"/>
        <v>2334.4060809719517</v>
      </c>
      <c r="V438" s="108"/>
      <c r="W438" s="108"/>
      <c r="X438" s="109"/>
      <c r="Y438" s="99">
        <f t="shared" si="8"/>
        <v>9338.424323887808</v>
      </c>
      <c r="Z438" s="108">
        <f t="shared" ref="Z438:AA438" si="522">T438*$D$58/100</f>
        <v>4669.6121619439036</v>
      </c>
      <c r="AA438" s="108">
        <f t="shared" si="522"/>
        <v>4668.8121619439034</v>
      </c>
      <c r="AB438" s="108"/>
      <c r="AC438" s="108"/>
      <c r="AD438" s="109"/>
      <c r="AE438" s="99">
        <f t="shared" si="456"/>
        <v>18</v>
      </c>
      <c r="AF438" s="101">
        <f t="shared" si="457"/>
        <v>36</v>
      </c>
      <c r="AG438" s="101">
        <f t="shared" si="458"/>
        <v>19.001300000000001</v>
      </c>
      <c r="AH438" s="101">
        <f t="shared" si="459"/>
        <v>307</v>
      </c>
      <c r="AI438" s="101">
        <f t="shared" si="480"/>
        <v>268.61079999999998</v>
      </c>
      <c r="AJ438" s="108">
        <f t="shared" si="460"/>
        <v>2</v>
      </c>
      <c r="AK438" s="101">
        <f t="shared" si="461"/>
        <v>4669.212161943904</v>
      </c>
      <c r="AL438" s="101">
        <f t="shared" si="462"/>
        <v>2334.8060809719518</v>
      </c>
      <c r="AM438" s="101">
        <f t="shared" si="463"/>
        <v>2334.4060809719517</v>
      </c>
      <c r="AN438" s="101"/>
      <c r="AO438" s="1">
        <v>18</v>
      </c>
      <c r="AP438" s="2">
        <v>36</v>
      </c>
      <c r="AQ438" s="74">
        <f t="shared" si="464"/>
        <v>307</v>
      </c>
      <c r="AR438" s="31">
        <f t="shared" si="465"/>
        <v>0</v>
      </c>
      <c r="AS438" s="2">
        <f t="shared" si="466"/>
        <v>1</v>
      </c>
      <c r="AT438" s="33">
        <f t="shared" si="467"/>
        <v>0</v>
      </c>
      <c r="AU438" s="31">
        <f t="shared" si="468"/>
        <v>0</v>
      </c>
      <c r="AV438" s="2">
        <f t="shared" si="469"/>
        <v>1</v>
      </c>
      <c r="AW438" s="33">
        <f t="shared" si="470"/>
        <v>0</v>
      </c>
      <c r="AX438" s="31">
        <f t="shared" si="471"/>
        <v>1</v>
      </c>
      <c r="AY438" s="33">
        <f t="shared" si="472"/>
        <v>1</v>
      </c>
      <c r="AZ438" s="2"/>
      <c r="BA438" s="101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</row>
    <row r="439" spans="1:71" ht="12" customHeight="1">
      <c r="A439" s="2"/>
      <c r="B439" s="107">
        <v>364</v>
      </c>
      <c r="C439" s="31">
        <v>7</v>
      </c>
      <c r="D439" s="106" t="s">
        <v>20</v>
      </c>
      <c r="E439" s="2" t="s">
        <v>136</v>
      </c>
      <c r="F439" s="2"/>
      <c r="G439" s="2"/>
      <c r="H439" s="33"/>
      <c r="I439" s="99">
        <f t="shared" si="0"/>
        <v>456.82509218388816</v>
      </c>
      <c r="J439" s="101">
        <f t="shared" si="1"/>
        <v>17.055555555555557</v>
      </c>
      <c r="K439" s="101">
        <f t="shared" si="2"/>
        <v>663</v>
      </c>
      <c r="L439" s="74">
        <f t="shared" si="3"/>
        <v>240</v>
      </c>
      <c r="M439" s="99">
        <f t="shared" si="191"/>
        <v>8222.8516593099866</v>
      </c>
      <c r="N439" s="108">
        <f t="shared" si="451"/>
        <v>5444.8780756743117</v>
      </c>
      <c r="O439" s="108">
        <f t="shared" si="452"/>
        <v>2777.9735836356754</v>
      </c>
      <c r="P439" s="108"/>
      <c r="Q439" s="108"/>
      <c r="R439" s="109"/>
      <c r="S439" s="99">
        <f t="shared" si="399"/>
        <v>4669.212161943904</v>
      </c>
      <c r="T439" s="108">
        <f t="shared" si="453"/>
        <v>2334.8060809719518</v>
      </c>
      <c r="U439" s="108">
        <f t="shared" si="454"/>
        <v>2334.4060809719517</v>
      </c>
      <c r="V439" s="108"/>
      <c r="W439" s="108"/>
      <c r="X439" s="109"/>
      <c r="Y439" s="99">
        <f t="shared" si="8"/>
        <v>9338.424323887808</v>
      </c>
      <c r="Z439" s="108">
        <f t="shared" ref="Z439:AA439" si="523">T439*$D$58/100</f>
        <v>4669.6121619439036</v>
      </c>
      <c r="AA439" s="108">
        <f t="shared" si="523"/>
        <v>4668.8121619439034</v>
      </c>
      <c r="AB439" s="108"/>
      <c r="AC439" s="108"/>
      <c r="AD439" s="109"/>
      <c r="AE439" s="99">
        <f t="shared" si="456"/>
        <v>18</v>
      </c>
      <c r="AF439" s="101">
        <f t="shared" si="457"/>
        <v>36</v>
      </c>
      <c r="AG439" s="101">
        <f t="shared" si="458"/>
        <v>79.001300000000001</v>
      </c>
      <c r="AH439" s="101">
        <f t="shared" si="459"/>
        <v>307</v>
      </c>
      <c r="AI439" s="101">
        <f t="shared" si="480"/>
        <v>268.61079999999998</v>
      </c>
      <c r="AJ439" s="108">
        <f t="shared" si="460"/>
        <v>2</v>
      </c>
      <c r="AK439" s="101">
        <f t="shared" si="461"/>
        <v>4669.212161943904</v>
      </c>
      <c r="AL439" s="101">
        <f t="shared" si="462"/>
        <v>2334.8060809719518</v>
      </c>
      <c r="AM439" s="101">
        <f t="shared" si="463"/>
        <v>2334.4060809719517</v>
      </c>
      <c r="AN439" s="101"/>
      <c r="AO439" s="1">
        <v>18</v>
      </c>
      <c r="AP439" s="2">
        <v>36</v>
      </c>
      <c r="AQ439" s="74">
        <f t="shared" si="464"/>
        <v>307</v>
      </c>
      <c r="AR439" s="31">
        <f t="shared" si="465"/>
        <v>0</v>
      </c>
      <c r="AS439" s="2">
        <f t="shared" si="466"/>
        <v>1</v>
      </c>
      <c r="AT439" s="33">
        <f t="shared" si="467"/>
        <v>0</v>
      </c>
      <c r="AU439" s="31">
        <f t="shared" si="468"/>
        <v>60</v>
      </c>
      <c r="AV439" s="2">
        <f t="shared" si="469"/>
        <v>1</v>
      </c>
      <c r="AW439" s="33">
        <f t="shared" si="470"/>
        <v>0</v>
      </c>
      <c r="AX439" s="31">
        <f t="shared" si="471"/>
        <v>1</v>
      </c>
      <c r="AY439" s="33">
        <f t="shared" si="472"/>
        <v>1</v>
      </c>
      <c r="AZ439" s="2"/>
      <c r="BA439" s="101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</row>
    <row r="440" spans="1:71" ht="12" customHeight="1">
      <c r="A440" s="2"/>
      <c r="B440" s="107">
        <v>365</v>
      </c>
      <c r="C440" s="31">
        <v>7</v>
      </c>
      <c r="D440" s="106" t="s">
        <v>20</v>
      </c>
      <c r="E440" s="2" t="s">
        <v>89</v>
      </c>
      <c r="F440" s="2"/>
      <c r="G440" s="2"/>
      <c r="H440" s="33"/>
      <c r="I440" s="99">
        <f t="shared" si="0"/>
        <v>411.23494481829078</v>
      </c>
      <c r="J440" s="101">
        <f t="shared" si="1"/>
        <v>17.055555555555557</v>
      </c>
      <c r="K440" s="101">
        <f t="shared" si="2"/>
        <v>719</v>
      </c>
      <c r="L440" s="74">
        <f t="shared" si="3"/>
        <v>263</v>
      </c>
      <c r="M440" s="99">
        <f t="shared" si="191"/>
        <v>7402.2290067292342</v>
      </c>
      <c r="N440" s="108">
        <f t="shared" si="451"/>
        <v>4624.2554230935584</v>
      </c>
      <c r="O440" s="108">
        <f t="shared" si="452"/>
        <v>2777.9735836356754</v>
      </c>
      <c r="P440" s="108"/>
      <c r="Q440" s="108"/>
      <c r="R440" s="109"/>
      <c r="S440" s="99">
        <f t="shared" si="399"/>
        <v>5836.615202429879</v>
      </c>
      <c r="T440" s="108">
        <f t="shared" si="453"/>
        <v>3502.2091214579277</v>
      </c>
      <c r="U440" s="108">
        <f t="shared" si="454"/>
        <v>2334.4060809719517</v>
      </c>
      <c r="V440" s="108"/>
      <c r="W440" s="108"/>
      <c r="X440" s="109"/>
      <c r="Y440" s="99">
        <f t="shared" si="8"/>
        <v>11673.23040485976</v>
      </c>
      <c r="Z440" s="108">
        <f t="shared" ref="Z440:AA440" si="524">T440*$D$58/100</f>
        <v>7004.4182429158564</v>
      </c>
      <c r="AA440" s="108">
        <f t="shared" si="524"/>
        <v>4668.8121619439034</v>
      </c>
      <c r="AB440" s="108"/>
      <c r="AC440" s="108"/>
      <c r="AD440" s="109"/>
      <c r="AE440" s="99">
        <f t="shared" si="456"/>
        <v>18</v>
      </c>
      <c r="AF440" s="101">
        <f t="shared" si="457"/>
        <v>36</v>
      </c>
      <c r="AG440" s="101">
        <f t="shared" si="458"/>
        <v>19.001300000000001</v>
      </c>
      <c r="AH440" s="101">
        <f t="shared" si="459"/>
        <v>307</v>
      </c>
      <c r="AI440" s="101">
        <f t="shared" si="480"/>
        <v>268.61079999999998</v>
      </c>
      <c r="AJ440" s="108">
        <f t="shared" si="460"/>
        <v>2.2222222222222223</v>
      </c>
      <c r="AK440" s="101">
        <f t="shared" si="461"/>
        <v>4669.212161943904</v>
      </c>
      <c r="AL440" s="101">
        <f t="shared" si="462"/>
        <v>2334.8060809719518</v>
      </c>
      <c r="AM440" s="101">
        <f t="shared" si="463"/>
        <v>2334.4060809719517</v>
      </c>
      <c r="AN440" s="101"/>
      <c r="AO440" s="1">
        <v>18</v>
      </c>
      <c r="AP440" s="2">
        <v>36</v>
      </c>
      <c r="AQ440" s="74">
        <f t="shared" si="464"/>
        <v>307</v>
      </c>
      <c r="AR440" s="31">
        <f t="shared" si="465"/>
        <v>0</v>
      </c>
      <c r="AS440" s="2">
        <f t="shared" si="466"/>
        <v>1</v>
      </c>
      <c r="AT440" s="33">
        <f t="shared" si="467"/>
        <v>0</v>
      </c>
      <c r="AU440" s="31">
        <f t="shared" si="468"/>
        <v>0</v>
      </c>
      <c r="AV440" s="2">
        <f t="shared" si="469"/>
        <v>1.5</v>
      </c>
      <c r="AW440" s="33">
        <f t="shared" si="470"/>
        <v>0</v>
      </c>
      <c r="AX440" s="31">
        <f t="shared" si="471"/>
        <v>1</v>
      </c>
      <c r="AY440" s="33">
        <f t="shared" si="472"/>
        <v>1</v>
      </c>
      <c r="AZ440" s="2"/>
      <c r="BA440" s="101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</row>
    <row r="441" spans="1:71" ht="12" customHeight="1">
      <c r="A441" s="2"/>
      <c r="B441" s="107">
        <v>366</v>
      </c>
      <c r="C441" s="31">
        <v>7</v>
      </c>
      <c r="D441" s="106" t="s">
        <v>20</v>
      </c>
      <c r="E441" s="2" t="s">
        <v>148</v>
      </c>
      <c r="F441" s="2"/>
      <c r="G441" s="2"/>
      <c r="H441" s="33"/>
      <c r="I441" s="99">
        <f t="shared" si="0"/>
        <v>390.72070215764762</v>
      </c>
      <c r="J441" s="101">
        <f t="shared" si="1"/>
        <v>20.466666666666665</v>
      </c>
      <c r="K441" s="101">
        <f t="shared" si="2"/>
        <v>740</v>
      </c>
      <c r="L441" s="74">
        <f t="shared" si="3"/>
        <v>270</v>
      </c>
      <c r="M441" s="99">
        <f t="shared" si="191"/>
        <v>5860.8105323647142</v>
      </c>
      <c r="N441" s="108">
        <f t="shared" si="451"/>
        <v>3082.8369487290388</v>
      </c>
      <c r="O441" s="108">
        <f t="shared" si="452"/>
        <v>2777.9735836356754</v>
      </c>
      <c r="P441" s="108"/>
      <c r="Q441" s="108"/>
      <c r="R441" s="109"/>
      <c r="S441" s="99">
        <f t="shared" si="399"/>
        <v>4669.212161943904</v>
      </c>
      <c r="T441" s="108">
        <f t="shared" si="453"/>
        <v>2334.8060809719518</v>
      </c>
      <c r="U441" s="108">
        <f t="shared" si="454"/>
        <v>2334.4060809719517</v>
      </c>
      <c r="V441" s="108"/>
      <c r="W441" s="108"/>
      <c r="X441" s="109"/>
      <c r="Y441" s="99">
        <f t="shared" si="8"/>
        <v>9338.424323887808</v>
      </c>
      <c r="Z441" s="108">
        <f t="shared" ref="Z441:AA441" si="525">T441*$D$58/100</f>
        <v>4669.6121619439036</v>
      </c>
      <c r="AA441" s="108">
        <f t="shared" si="525"/>
        <v>4668.8121619439034</v>
      </c>
      <c r="AB441" s="108"/>
      <c r="AC441" s="108"/>
      <c r="AD441" s="109"/>
      <c r="AE441" s="99">
        <f t="shared" si="456"/>
        <v>15</v>
      </c>
      <c r="AF441" s="101">
        <f t="shared" si="457"/>
        <v>36</v>
      </c>
      <c r="AG441" s="101">
        <f t="shared" si="458"/>
        <v>19.001300000000001</v>
      </c>
      <c r="AH441" s="101">
        <f t="shared" si="459"/>
        <v>307</v>
      </c>
      <c r="AI441" s="101">
        <f t="shared" si="480"/>
        <v>268.61079999999998</v>
      </c>
      <c r="AJ441" s="108">
        <f t="shared" si="460"/>
        <v>2</v>
      </c>
      <c r="AK441" s="101">
        <f t="shared" si="461"/>
        <v>4669.212161943904</v>
      </c>
      <c r="AL441" s="101">
        <f t="shared" si="462"/>
        <v>2334.8060809719518</v>
      </c>
      <c r="AM441" s="101">
        <f t="shared" si="463"/>
        <v>2334.4060809719517</v>
      </c>
      <c r="AN441" s="101"/>
      <c r="AO441" s="1">
        <v>18</v>
      </c>
      <c r="AP441" s="2">
        <v>36</v>
      </c>
      <c r="AQ441" s="74">
        <f t="shared" si="464"/>
        <v>307</v>
      </c>
      <c r="AR441" s="31">
        <f t="shared" si="465"/>
        <v>3</v>
      </c>
      <c r="AS441" s="2">
        <f t="shared" si="466"/>
        <v>1</v>
      </c>
      <c r="AT441" s="33">
        <f t="shared" si="467"/>
        <v>0</v>
      </c>
      <c r="AU441" s="31">
        <f t="shared" si="468"/>
        <v>0</v>
      </c>
      <c r="AV441" s="2">
        <f t="shared" si="469"/>
        <v>1</v>
      </c>
      <c r="AW441" s="33">
        <f t="shared" si="470"/>
        <v>0</v>
      </c>
      <c r="AX441" s="31">
        <f t="shared" si="471"/>
        <v>1</v>
      </c>
      <c r="AY441" s="33">
        <f t="shared" si="472"/>
        <v>1</v>
      </c>
      <c r="AZ441" s="2"/>
      <c r="BA441" s="101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</row>
    <row r="442" spans="1:71" ht="12" customHeight="1">
      <c r="A442" s="2"/>
      <c r="B442" s="107">
        <v>367</v>
      </c>
      <c r="C442" s="31">
        <v>7</v>
      </c>
      <c r="D442" s="106" t="s">
        <v>20</v>
      </c>
      <c r="E442" s="2" t="s">
        <v>163</v>
      </c>
      <c r="F442" s="2"/>
      <c r="G442" s="2"/>
      <c r="H442" s="33"/>
      <c r="I442" s="99">
        <f t="shared" si="0"/>
        <v>548.19011062066579</v>
      </c>
      <c r="J442" s="101">
        <f t="shared" si="1"/>
        <v>20.466666666666665</v>
      </c>
      <c r="K442" s="101">
        <f t="shared" si="2"/>
        <v>540</v>
      </c>
      <c r="L442" s="74">
        <f t="shared" si="3"/>
        <v>187</v>
      </c>
      <c r="M442" s="99">
        <f t="shared" si="191"/>
        <v>8222.8516593099866</v>
      </c>
      <c r="N442" s="108">
        <f t="shared" si="451"/>
        <v>5444.8780756743117</v>
      </c>
      <c r="O442" s="108">
        <f t="shared" si="452"/>
        <v>2777.9735836356754</v>
      </c>
      <c r="P442" s="108"/>
      <c r="Q442" s="108"/>
      <c r="R442" s="109"/>
      <c r="S442" s="99">
        <f t="shared" si="399"/>
        <v>4669.212161943904</v>
      </c>
      <c r="T442" s="108">
        <f t="shared" si="453"/>
        <v>2334.8060809719518</v>
      </c>
      <c r="U442" s="108">
        <f t="shared" si="454"/>
        <v>2334.4060809719517</v>
      </c>
      <c r="V442" s="108"/>
      <c r="W442" s="108"/>
      <c r="X442" s="109"/>
      <c r="Y442" s="99">
        <f t="shared" si="8"/>
        <v>9338.424323887808</v>
      </c>
      <c r="Z442" s="108">
        <f t="shared" ref="Z442:AA442" si="526">T442*$D$58/100</f>
        <v>4669.6121619439036</v>
      </c>
      <c r="AA442" s="108">
        <f t="shared" si="526"/>
        <v>4668.8121619439034</v>
      </c>
      <c r="AB442" s="108"/>
      <c r="AC442" s="108"/>
      <c r="AD442" s="109"/>
      <c r="AE442" s="99">
        <f t="shared" si="456"/>
        <v>15</v>
      </c>
      <c r="AF442" s="101">
        <f t="shared" si="457"/>
        <v>36</v>
      </c>
      <c r="AG442" s="101">
        <f t="shared" si="458"/>
        <v>79.001300000000001</v>
      </c>
      <c r="AH442" s="101">
        <f t="shared" si="459"/>
        <v>307</v>
      </c>
      <c r="AI442" s="101">
        <f t="shared" si="480"/>
        <v>268.61079999999998</v>
      </c>
      <c r="AJ442" s="108">
        <f t="shared" si="460"/>
        <v>2</v>
      </c>
      <c r="AK442" s="101">
        <f t="shared" si="461"/>
        <v>4669.212161943904</v>
      </c>
      <c r="AL442" s="101">
        <f t="shared" si="462"/>
        <v>2334.8060809719518</v>
      </c>
      <c r="AM442" s="101">
        <f t="shared" si="463"/>
        <v>2334.4060809719517</v>
      </c>
      <c r="AN442" s="101"/>
      <c r="AO442" s="1">
        <v>18</v>
      </c>
      <c r="AP442" s="2">
        <v>36</v>
      </c>
      <c r="AQ442" s="74">
        <f t="shared" si="464"/>
        <v>307</v>
      </c>
      <c r="AR442" s="31">
        <f t="shared" si="465"/>
        <v>3</v>
      </c>
      <c r="AS442" s="2">
        <f t="shared" si="466"/>
        <v>1</v>
      </c>
      <c r="AT442" s="33">
        <f t="shared" si="467"/>
        <v>0</v>
      </c>
      <c r="AU442" s="31">
        <f t="shared" si="468"/>
        <v>60</v>
      </c>
      <c r="AV442" s="2">
        <f t="shared" si="469"/>
        <v>1</v>
      </c>
      <c r="AW442" s="33">
        <f t="shared" si="470"/>
        <v>0</v>
      </c>
      <c r="AX442" s="31">
        <f t="shared" si="471"/>
        <v>1</v>
      </c>
      <c r="AY442" s="33">
        <f t="shared" si="472"/>
        <v>1</v>
      </c>
      <c r="AZ442" s="2"/>
      <c r="BA442" s="101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</row>
    <row r="443" spans="1:71" ht="12" customHeight="1">
      <c r="A443" s="2"/>
      <c r="B443" s="107">
        <v>368</v>
      </c>
      <c r="C443" s="31">
        <v>7</v>
      </c>
      <c r="D443" s="106" t="s">
        <v>20</v>
      </c>
      <c r="E443" s="2" t="s">
        <v>152</v>
      </c>
      <c r="F443" s="2"/>
      <c r="G443" s="2"/>
      <c r="H443" s="33"/>
      <c r="I443" s="99">
        <f t="shared" si="0"/>
        <v>493.48193378194895</v>
      </c>
      <c r="J443" s="101">
        <f t="shared" si="1"/>
        <v>20.466666666666665</v>
      </c>
      <c r="K443" s="101">
        <f t="shared" si="2"/>
        <v>613</v>
      </c>
      <c r="L443" s="74">
        <f t="shared" si="3"/>
        <v>218</v>
      </c>
      <c r="M443" s="99">
        <f t="shared" si="191"/>
        <v>7402.2290067292342</v>
      </c>
      <c r="N443" s="108">
        <f t="shared" si="451"/>
        <v>4624.2554230935584</v>
      </c>
      <c r="O443" s="108">
        <f t="shared" si="452"/>
        <v>2777.9735836356754</v>
      </c>
      <c r="P443" s="108"/>
      <c r="Q443" s="108"/>
      <c r="R443" s="109"/>
      <c r="S443" s="99">
        <f t="shared" si="399"/>
        <v>5836.615202429879</v>
      </c>
      <c r="T443" s="108">
        <f t="shared" si="453"/>
        <v>3502.2091214579277</v>
      </c>
      <c r="U443" s="108">
        <f t="shared" si="454"/>
        <v>2334.4060809719517</v>
      </c>
      <c r="V443" s="108"/>
      <c r="W443" s="108"/>
      <c r="X443" s="109"/>
      <c r="Y443" s="99">
        <f t="shared" si="8"/>
        <v>11673.23040485976</v>
      </c>
      <c r="Z443" s="108">
        <f t="shared" ref="Z443:AA443" si="527">T443*$D$58/100</f>
        <v>7004.4182429158564</v>
      </c>
      <c r="AA443" s="108">
        <f t="shared" si="527"/>
        <v>4668.8121619439034</v>
      </c>
      <c r="AB443" s="108"/>
      <c r="AC443" s="108"/>
      <c r="AD443" s="109"/>
      <c r="AE443" s="99">
        <f t="shared" si="456"/>
        <v>15</v>
      </c>
      <c r="AF443" s="101">
        <f t="shared" si="457"/>
        <v>36</v>
      </c>
      <c r="AG443" s="101">
        <f t="shared" si="458"/>
        <v>19.001300000000001</v>
      </c>
      <c r="AH443" s="101">
        <f t="shared" si="459"/>
        <v>307</v>
      </c>
      <c r="AI443" s="101">
        <f t="shared" si="480"/>
        <v>268.61079999999998</v>
      </c>
      <c r="AJ443" s="108">
        <f t="shared" si="460"/>
        <v>2.2222222222222223</v>
      </c>
      <c r="AK443" s="101">
        <f t="shared" si="461"/>
        <v>4669.212161943904</v>
      </c>
      <c r="AL443" s="101">
        <f t="shared" si="462"/>
        <v>2334.8060809719518</v>
      </c>
      <c r="AM443" s="101">
        <f t="shared" si="463"/>
        <v>2334.4060809719517</v>
      </c>
      <c r="AN443" s="101"/>
      <c r="AO443" s="1">
        <v>18</v>
      </c>
      <c r="AP443" s="2">
        <v>36</v>
      </c>
      <c r="AQ443" s="74">
        <f t="shared" si="464"/>
        <v>307</v>
      </c>
      <c r="AR443" s="31">
        <f t="shared" si="465"/>
        <v>3</v>
      </c>
      <c r="AS443" s="2">
        <f t="shared" si="466"/>
        <v>1</v>
      </c>
      <c r="AT443" s="33">
        <f t="shared" si="467"/>
        <v>0</v>
      </c>
      <c r="AU443" s="31">
        <f t="shared" si="468"/>
        <v>0</v>
      </c>
      <c r="AV443" s="2">
        <f t="shared" si="469"/>
        <v>1.5</v>
      </c>
      <c r="AW443" s="33">
        <f t="shared" si="470"/>
        <v>0</v>
      </c>
      <c r="AX443" s="31">
        <f t="shared" si="471"/>
        <v>1</v>
      </c>
      <c r="AY443" s="33">
        <f t="shared" si="472"/>
        <v>1</v>
      </c>
      <c r="AZ443" s="2"/>
      <c r="BA443" s="101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</row>
    <row r="444" spans="1:71" ht="12" customHeight="1">
      <c r="A444" s="2"/>
      <c r="B444" s="107">
        <v>369</v>
      </c>
      <c r="C444" s="31">
        <v>7</v>
      </c>
      <c r="D444" s="106" t="s">
        <v>20</v>
      </c>
      <c r="E444" s="2" t="s">
        <v>79</v>
      </c>
      <c r="F444" s="2"/>
      <c r="G444" s="2"/>
      <c r="H444" s="33"/>
      <c r="I444" s="99">
        <f t="shared" si="0"/>
        <v>325.60058513137301</v>
      </c>
      <c r="J444" s="101">
        <f t="shared" si="1"/>
        <v>8.5277777777777786</v>
      </c>
      <c r="K444" s="101">
        <f t="shared" si="2"/>
        <v>808</v>
      </c>
      <c r="L444" s="74">
        <f t="shared" si="3"/>
        <v>309</v>
      </c>
      <c r="M444" s="99">
        <f t="shared" si="191"/>
        <v>5860.8105323647142</v>
      </c>
      <c r="N444" s="108">
        <f t="shared" si="451"/>
        <v>3082.8369487290388</v>
      </c>
      <c r="O444" s="108">
        <f t="shared" si="452"/>
        <v>2777.9735836356754</v>
      </c>
      <c r="P444" s="108"/>
      <c r="Q444" s="108"/>
      <c r="R444" s="109"/>
      <c r="S444" s="99">
        <f t="shared" si="399"/>
        <v>4669.212161943904</v>
      </c>
      <c r="T444" s="108">
        <f t="shared" si="453"/>
        <v>2334.8060809719518</v>
      </c>
      <c r="U444" s="108">
        <f t="shared" si="454"/>
        <v>2334.4060809719517</v>
      </c>
      <c r="V444" s="108"/>
      <c r="W444" s="108"/>
      <c r="X444" s="109"/>
      <c r="Y444" s="99">
        <f t="shared" si="8"/>
        <v>9338.424323887808</v>
      </c>
      <c r="Z444" s="108">
        <f t="shared" ref="Z444:AA444" si="528">T444*$D$58/100</f>
        <v>4669.6121619439036</v>
      </c>
      <c r="AA444" s="108">
        <f t="shared" si="528"/>
        <v>4668.8121619439034</v>
      </c>
      <c r="AB444" s="108"/>
      <c r="AC444" s="108"/>
      <c r="AD444" s="109"/>
      <c r="AE444" s="99">
        <f t="shared" si="456"/>
        <v>18</v>
      </c>
      <c r="AF444" s="101">
        <f t="shared" si="457"/>
        <v>36</v>
      </c>
      <c r="AG444" s="101">
        <f t="shared" si="458"/>
        <v>19.001300000000001</v>
      </c>
      <c r="AH444" s="101">
        <f t="shared" si="459"/>
        <v>153.5</v>
      </c>
      <c r="AI444" s="101">
        <f t="shared" si="480"/>
        <v>268.61079999999998</v>
      </c>
      <c r="AJ444" s="108">
        <f t="shared" si="460"/>
        <v>2</v>
      </c>
      <c r="AK444" s="101">
        <f t="shared" si="461"/>
        <v>4669.212161943904</v>
      </c>
      <c r="AL444" s="101">
        <f t="shared" si="462"/>
        <v>2334.8060809719518</v>
      </c>
      <c r="AM444" s="101">
        <f t="shared" si="463"/>
        <v>2334.4060809719517</v>
      </c>
      <c r="AN444" s="101"/>
      <c r="AO444" s="1">
        <v>18</v>
      </c>
      <c r="AP444" s="2">
        <v>36</v>
      </c>
      <c r="AQ444" s="74">
        <f t="shared" si="464"/>
        <v>307</v>
      </c>
      <c r="AR444" s="31">
        <f t="shared" si="465"/>
        <v>0</v>
      </c>
      <c r="AS444" s="2">
        <f t="shared" si="466"/>
        <v>0.5</v>
      </c>
      <c r="AT444" s="33">
        <f t="shared" si="467"/>
        <v>0</v>
      </c>
      <c r="AU444" s="31">
        <f t="shared" si="468"/>
        <v>0</v>
      </c>
      <c r="AV444" s="2">
        <f t="shared" si="469"/>
        <v>1</v>
      </c>
      <c r="AW444" s="33">
        <f t="shared" si="470"/>
        <v>0</v>
      </c>
      <c r="AX444" s="31">
        <f t="shared" si="471"/>
        <v>1</v>
      </c>
      <c r="AY444" s="33">
        <f t="shared" si="472"/>
        <v>1</v>
      </c>
      <c r="AZ444" s="2"/>
      <c r="BA444" s="101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</row>
    <row r="445" spans="1:71" ht="12" customHeight="1">
      <c r="A445" s="2"/>
      <c r="B445" s="107">
        <v>370</v>
      </c>
      <c r="C445" s="31">
        <v>7</v>
      </c>
      <c r="D445" s="106" t="s">
        <v>20</v>
      </c>
      <c r="E445" s="2" t="s">
        <v>168</v>
      </c>
      <c r="F445" s="2"/>
      <c r="G445" s="2"/>
      <c r="H445" s="33"/>
      <c r="I445" s="99">
        <f t="shared" si="0"/>
        <v>456.82509218388816</v>
      </c>
      <c r="J445" s="101">
        <f t="shared" si="1"/>
        <v>8.5277777777777786</v>
      </c>
      <c r="K445" s="101">
        <f t="shared" si="2"/>
        <v>663</v>
      </c>
      <c r="L445" s="74">
        <f t="shared" si="3"/>
        <v>240</v>
      </c>
      <c r="M445" s="99">
        <f t="shared" si="191"/>
        <v>8222.8516593099866</v>
      </c>
      <c r="N445" s="108">
        <f t="shared" si="451"/>
        <v>5444.8780756743117</v>
      </c>
      <c r="O445" s="108">
        <f t="shared" si="452"/>
        <v>2777.9735836356754</v>
      </c>
      <c r="P445" s="108"/>
      <c r="Q445" s="108"/>
      <c r="R445" s="109"/>
      <c r="S445" s="99">
        <f t="shared" si="399"/>
        <v>4669.212161943904</v>
      </c>
      <c r="T445" s="108">
        <f t="shared" si="453"/>
        <v>2334.8060809719518</v>
      </c>
      <c r="U445" s="108">
        <f t="shared" si="454"/>
        <v>2334.4060809719517</v>
      </c>
      <c r="V445" s="108"/>
      <c r="W445" s="108"/>
      <c r="X445" s="109"/>
      <c r="Y445" s="99">
        <f t="shared" si="8"/>
        <v>9338.424323887808</v>
      </c>
      <c r="Z445" s="108">
        <f t="shared" ref="Z445:AA445" si="529">T445*$D$58/100</f>
        <v>4669.6121619439036</v>
      </c>
      <c r="AA445" s="108">
        <f t="shared" si="529"/>
        <v>4668.8121619439034</v>
      </c>
      <c r="AB445" s="108"/>
      <c r="AC445" s="108"/>
      <c r="AD445" s="109"/>
      <c r="AE445" s="99">
        <f t="shared" si="456"/>
        <v>18</v>
      </c>
      <c r="AF445" s="101">
        <f t="shared" si="457"/>
        <v>36</v>
      </c>
      <c r="AG445" s="101">
        <f t="shared" si="458"/>
        <v>79.001300000000001</v>
      </c>
      <c r="AH445" s="101">
        <f t="shared" si="459"/>
        <v>153.5</v>
      </c>
      <c r="AI445" s="101">
        <f t="shared" si="480"/>
        <v>268.61079999999998</v>
      </c>
      <c r="AJ445" s="108">
        <f t="shared" si="460"/>
        <v>2</v>
      </c>
      <c r="AK445" s="101">
        <f t="shared" si="461"/>
        <v>4669.212161943904</v>
      </c>
      <c r="AL445" s="101">
        <f t="shared" si="462"/>
        <v>2334.8060809719518</v>
      </c>
      <c r="AM445" s="101">
        <f t="shared" si="463"/>
        <v>2334.4060809719517</v>
      </c>
      <c r="AN445" s="101"/>
      <c r="AO445" s="1">
        <v>18</v>
      </c>
      <c r="AP445" s="2">
        <v>36</v>
      </c>
      <c r="AQ445" s="74">
        <f t="shared" si="464"/>
        <v>307</v>
      </c>
      <c r="AR445" s="31">
        <f t="shared" si="465"/>
        <v>0</v>
      </c>
      <c r="AS445" s="2">
        <f t="shared" si="466"/>
        <v>0.5</v>
      </c>
      <c r="AT445" s="33">
        <f t="shared" si="467"/>
        <v>0</v>
      </c>
      <c r="AU445" s="31">
        <f t="shared" si="468"/>
        <v>60</v>
      </c>
      <c r="AV445" s="2">
        <f t="shared" si="469"/>
        <v>1</v>
      </c>
      <c r="AW445" s="33">
        <f t="shared" si="470"/>
        <v>0</v>
      </c>
      <c r="AX445" s="31">
        <f t="shared" si="471"/>
        <v>1</v>
      </c>
      <c r="AY445" s="33">
        <f t="shared" si="472"/>
        <v>1</v>
      </c>
      <c r="AZ445" s="2"/>
      <c r="BA445" s="101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</row>
    <row r="446" spans="1:71" ht="12" customHeight="1">
      <c r="A446" s="2"/>
      <c r="B446" s="107">
        <v>371</v>
      </c>
      <c r="C446" s="31">
        <v>7</v>
      </c>
      <c r="D446" s="106" t="s">
        <v>20</v>
      </c>
      <c r="E446" s="2" t="s">
        <v>101</v>
      </c>
      <c r="F446" s="2"/>
      <c r="G446" s="2"/>
      <c r="H446" s="33"/>
      <c r="I446" s="99">
        <f t="shared" si="0"/>
        <v>411.23494481829078</v>
      </c>
      <c r="J446" s="101">
        <f t="shared" si="1"/>
        <v>8.5277777777777786</v>
      </c>
      <c r="K446" s="101">
        <f t="shared" si="2"/>
        <v>719</v>
      </c>
      <c r="L446" s="74">
        <f t="shared" si="3"/>
        <v>263</v>
      </c>
      <c r="M446" s="99">
        <f t="shared" si="191"/>
        <v>7402.2290067292342</v>
      </c>
      <c r="N446" s="108">
        <f t="shared" si="451"/>
        <v>4624.2554230935584</v>
      </c>
      <c r="O446" s="108">
        <f t="shared" si="452"/>
        <v>2777.9735836356754</v>
      </c>
      <c r="P446" s="108"/>
      <c r="Q446" s="108"/>
      <c r="R446" s="109"/>
      <c r="S446" s="99">
        <f t="shared" si="399"/>
        <v>5836.615202429879</v>
      </c>
      <c r="T446" s="108">
        <f t="shared" si="453"/>
        <v>3502.2091214579277</v>
      </c>
      <c r="U446" s="108">
        <f t="shared" si="454"/>
        <v>2334.4060809719517</v>
      </c>
      <c r="V446" s="108"/>
      <c r="W446" s="108"/>
      <c r="X446" s="109"/>
      <c r="Y446" s="99">
        <f t="shared" si="8"/>
        <v>11673.23040485976</v>
      </c>
      <c r="Z446" s="108">
        <f t="shared" ref="Z446:AA446" si="530">T446*$D$58/100</f>
        <v>7004.4182429158564</v>
      </c>
      <c r="AA446" s="108">
        <f t="shared" si="530"/>
        <v>4668.8121619439034</v>
      </c>
      <c r="AB446" s="108"/>
      <c r="AC446" s="108"/>
      <c r="AD446" s="109"/>
      <c r="AE446" s="99">
        <f t="shared" si="456"/>
        <v>18</v>
      </c>
      <c r="AF446" s="101">
        <f t="shared" si="457"/>
        <v>36</v>
      </c>
      <c r="AG446" s="101">
        <f t="shared" si="458"/>
        <v>19.001300000000001</v>
      </c>
      <c r="AH446" s="101">
        <f t="shared" si="459"/>
        <v>153.5</v>
      </c>
      <c r="AI446" s="101">
        <f t="shared" si="480"/>
        <v>268.61079999999998</v>
      </c>
      <c r="AJ446" s="108">
        <f t="shared" si="460"/>
        <v>2.2222222222222223</v>
      </c>
      <c r="AK446" s="101">
        <f t="shared" si="461"/>
        <v>4669.212161943904</v>
      </c>
      <c r="AL446" s="101">
        <f t="shared" si="462"/>
        <v>2334.8060809719518</v>
      </c>
      <c r="AM446" s="101">
        <f t="shared" si="463"/>
        <v>2334.4060809719517</v>
      </c>
      <c r="AN446" s="101"/>
      <c r="AO446" s="1">
        <v>18</v>
      </c>
      <c r="AP446" s="2">
        <v>36</v>
      </c>
      <c r="AQ446" s="74">
        <f t="shared" si="464"/>
        <v>307</v>
      </c>
      <c r="AR446" s="31">
        <f t="shared" si="465"/>
        <v>0</v>
      </c>
      <c r="AS446" s="2">
        <f t="shared" si="466"/>
        <v>0.5</v>
      </c>
      <c r="AT446" s="33">
        <f t="shared" si="467"/>
        <v>0</v>
      </c>
      <c r="AU446" s="31">
        <f t="shared" si="468"/>
        <v>0</v>
      </c>
      <c r="AV446" s="2">
        <f t="shared" si="469"/>
        <v>1.5</v>
      </c>
      <c r="AW446" s="33">
        <f t="shared" si="470"/>
        <v>0</v>
      </c>
      <c r="AX446" s="31">
        <f t="shared" si="471"/>
        <v>1</v>
      </c>
      <c r="AY446" s="33">
        <f t="shared" si="472"/>
        <v>1</v>
      </c>
      <c r="AZ446" s="2"/>
      <c r="BA446" s="101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</row>
    <row r="447" spans="1:71" ht="12" customHeight="1">
      <c r="A447" s="2"/>
      <c r="B447" s="107">
        <v>372</v>
      </c>
      <c r="C447" s="31">
        <v>4</v>
      </c>
      <c r="D447" s="106" t="s">
        <v>20</v>
      </c>
      <c r="E447" s="2" t="s">
        <v>67</v>
      </c>
      <c r="F447" s="2"/>
      <c r="G447" s="2"/>
      <c r="H447" s="33"/>
      <c r="I447" s="99">
        <f t="shared" si="0"/>
        <v>301.69225223631122</v>
      </c>
      <c r="J447" s="101">
        <f t="shared" si="1"/>
        <v>9.3888888888888893</v>
      </c>
      <c r="K447" s="101">
        <f t="shared" si="2"/>
        <v>837</v>
      </c>
      <c r="L447" s="74">
        <f t="shared" si="3"/>
        <v>325</v>
      </c>
      <c r="M447" s="99">
        <f t="shared" si="191"/>
        <v>5430.4605402536017</v>
      </c>
      <c r="N447" s="108">
        <f t="shared" si="451"/>
        <v>2856.7378829942904</v>
      </c>
      <c r="O447" s="108">
        <f t="shared" si="452"/>
        <v>2573.7226572593117</v>
      </c>
      <c r="P447" s="108"/>
      <c r="Q447" s="108"/>
      <c r="R447" s="109"/>
      <c r="S447" s="99">
        <f t="shared" si="399"/>
        <v>4326.3370441487805</v>
      </c>
      <c r="T447" s="108">
        <f t="shared" si="453"/>
        <v>2163.5685220743903</v>
      </c>
      <c r="U447" s="108">
        <f t="shared" si="454"/>
        <v>2162.7685220743906</v>
      </c>
      <c r="V447" s="108"/>
      <c r="W447" s="108"/>
      <c r="X447" s="109"/>
      <c r="Y447" s="99">
        <f t="shared" si="8"/>
        <v>8652.674088297561</v>
      </c>
      <c r="Z447" s="108">
        <f t="shared" ref="Z447:AA447" si="531">T447*$D$58/100</f>
        <v>4327.1370441487807</v>
      </c>
      <c r="AA447" s="108">
        <f t="shared" si="531"/>
        <v>4325.5370441487812</v>
      </c>
      <c r="AB447" s="108"/>
      <c r="AC447" s="108"/>
      <c r="AD447" s="109"/>
      <c r="AE447" s="99">
        <f t="shared" si="456"/>
        <v>18</v>
      </c>
      <c r="AF447" s="101">
        <f t="shared" si="457"/>
        <v>36</v>
      </c>
      <c r="AG447" s="101">
        <f t="shared" si="458"/>
        <v>19.001300000000001</v>
      </c>
      <c r="AH447" s="101">
        <f t="shared" si="459"/>
        <v>169</v>
      </c>
      <c r="AI447" s="101">
        <f t="shared" si="480"/>
        <v>268.61079999999998</v>
      </c>
      <c r="AJ447" s="108">
        <f t="shared" si="460"/>
        <v>2</v>
      </c>
      <c r="AK447" s="101">
        <f t="shared" si="461"/>
        <v>4326.3370441487805</v>
      </c>
      <c r="AL447" s="101">
        <f t="shared" si="462"/>
        <v>2163.5685220743903</v>
      </c>
      <c r="AM447" s="101">
        <f t="shared" si="463"/>
        <v>2162.7685220743906</v>
      </c>
      <c r="AN447" s="101"/>
      <c r="AO447" s="1">
        <v>18</v>
      </c>
      <c r="AP447" s="2">
        <v>36</v>
      </c>
      <c r="AQ447" s="74">
        <f t="shared" si="464"/>
        <v>169</v>
      </c>
      <c r="AR447" s="31">
        <f t="shared" si="465"/>
        <v>0</v>
      </c>
      <c r="AS447" s="2">
        <f t="shared" si="466"/>
        <v>1</v>
      </c>
      <c r="AT447" s="33">
        <f t="shared" si="467"/>
        <v>0</v>
      </c>
      <c r="AU447" s="31">
        <f t="shared" si="468"/>
        <v>0</v>
      </c>
      <c r="AV447" s="2">
        <f t="shared" si="469"/>
        <v>1</v>
      </c>
      <c r="AW447" s="33">
        <f t="shared" si="470"/>
        <v>0</v>
      </c>
      <c r="AX447" s="31">
        <f t="shared" si="471"/>
        <v>1</v>
      </c>
      <c r="AY447" s="33">
        <f t="shared" si="472"/>
        <v>1</v>
      </c>
      <c r="AZ447" s="2"/>
      <c r="BA447" s="101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</row>
    <row r="448" spans="1:71" ht="12" customHeight="1">
      <c r="A448" s="2"/>
      <c r="B448" s="107">
        <v>373</v>
      </c>
      <c r="C448" s="31">
        <v>4</v>
      </c>
      <c r="D448" s="106" t="s">
        <v>20</v>
      </c>
      <c r="E448" s="2" t="s">
        <v>148</v>
      </c>
      <c r="F448" s="2"/>
      <c r="G448" s="2"/>
      <c r="H448" s="33"/>
      <c r="I448" s="99">
        <f t="shared" si="0"/>
        <v>362.03070268357345</v>
      </c>
      <c r="J448" s="101">
        <f t="shared" si="1"/>
        <v>11.266666666666667</v>
      </c>
      <c r="K448" s="101">
        <f t="shared" si="2"/>
        <v>767</v>
      </c>
      <c r="L448" s="74">
        <f t="shared" si="3"/>
        <v>285</v>
      </c>
      <c r="M448" s="99">
        <f t="shared" si="191"/>
        <v>5430.4605402536017</v>
      </c>
      <c r="N448" s="108">
        <f t="shared" si="451"/>
        <v>2856.7378829942904</v>
      </c>
      <c r="O448" s="108">
        <f t="shared" si="452"/>
        <v>2573.7226572593117</v>
      </c>
      <c r="P448" s="108"/>
      <c r="Q448" s="108"/>
      <c r="R448" s="109"/>
      <c r="S448" s="99">
        <f t="shared" si="399"/>
        <v>4326.3370441487805</v>
      </c>
      <c r="T448" s="108">
        <f t="shared" si="453"/>
        <v>2163.5685220743903</v>
      </c>
      <c r="U448" s="108">
        <f t="shared" si="454"/>
        <v>2162.7685220743906</v>
      </c>
      <c r="V448" s="108"/>
      <c r="W448" s="108"/>
      <c r="X448" s="109"/>
      <c r="Y448" s="99">
        <f t="shared" si="8"/>
        <v>8652.674088297561</v>
      </c>
      <c r="Z448" s="108">
        <f t="shared" ref="Z448:AA448" si="532">T448*$D$58/100</f>
        <v>4327.1370441487807</v>
      </c>
      <c r="AA448" s="108">
        <f t="shared" si="532"/>
        <v>4325.5370441487812</v>
      </c>
      <c r="AB448" s="108"/>
      <c r="AC448" s="108"/>
      <c r="AD448" s="109"/>
      <c r="AE448" s="99">
        <f t="shared" si="456"/>
        <v>15</v>
      </c>
      <c r="AF448" s="101">
        <f t="shared" si="457"/>
        <v>36</v>
      </c>
      <c r="AG448" s="101">
        <f t="shared" si="458"/>
        <v>19.001300000000001</v>
      </c>
      <c r="AH448" s="101">
        <f t="shared" si="459"/>
        <v>169</v>
      </c>
      <c r="AI448" s="101">
        <f t="shared" si="480"/>
        <v>268.61079999999998</v>
      </c>
      <c r="AJ448" s="108">
        <f t="shared" si="460"/>
        <v>2</v>
      </c>
      <c r="AK448" s="101">
        <f t="shared" si="461"/>
        <v>4326.3370441487805</v>
      </c>
      <c r="AL448" s="101">
        <f t="shared" si="462"/>
        <v>2163.5685220743903</v>
      </c>
      <c r="AM448" s="101">
        <f t="shared" si="463"/>
        <v>2162.7685220743906</v>
      </c>
      <c r="AN448" s="101"/>
      <c r="AO448" s="1">
        <v>18</v>
      </c>
      <c r="AP448" s="2">
        <v>36</v>
      </c>
      <c r="AQ448" s="74">
        <f t="shared" si="464"/>
        <v>169</v>
      </c>
      <c r="AR448" s="31">
        <f t="shared" si="465"/>
        <v>3</v>
      </c>
      <c r="AS448" s="2">
        <f t="shared" si="466"/>
        <v>1</v>
      </c>
      <c r="AT448" s="33">
        <f t="shared" si="467"/>
        <v>0</v>
      </c>
      <c r="AU448" s="31">
        <f t="shared" si="468"/>
        <v>0</v>
      </c>
      <c r="AV448" s="2">
        <f t="shared" si="469"/>
        <v>1</v>
      </c>
      <c r="AW448" s="33">
        <f t="shared" si="470"/>
        <v>0</v>
      </c>
      <c r="AX448" s="31">
        <f t="shared" si="471"/>
        <v>1</v>
      </c>
      <c r="AY448" s="33">
        <f t="shared" si="472"/>
        <v>1</v>
      </c>
      <c r="AZ448" s="2"/>
      <c r="BA448" s="101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</row>
    <row r="449" spans="1:71" ht="12" customHeight="1">
      <c r="A449" s="2"/>
      <c r="B449" s="107">
        <v>374</v>
      </c>
      <c r="C449" s="31">
        <v>4</v>
      </c>
      <c r="D449" s="106" t="s">
        <v>20</v>
      </c>
      <c r="E449" s="2" t="s">
        <v>79</v>
      </c>
      <c r="F449" s="2"/>
      <c r="G449" s="2"/>
      <c r="H449" s="33"/>
      <c r="I449" s="99">
        <f t="shared" si="0"/>
        <v>301.69225223631122</v>
      </c>
      <c r="J449" s="101">
        <f t="shared" si="1"/>
        <v>4.6944444444444446</v>
      </c>
      <c r="K449" s="101">
        <f t="shared" si="2"/>
        <v>837</v>
      </c>
      <c r="L449" s="74">
        <f t="shared" si="3"/>
        <v>325</v>
      </c>
      <c r="M449" s="99">
        <f t="shared" si="191"/>
        <v>5430.4605402536017</v>
      </c>
      <c r="N449" s="108">
        <f t="shared" si="451"/>
        <v>2856.7378829942904</v>
      </c>
      <c r="O449" s="108">
        <f t="shared" si="452"/>
        <v>2573.7226572593117</v>
      </c>
      <c r="P449" s="108"/>
      <c r="Q449" s="108"/>
      <c r="R449" s="109"/>
      <c r="S449" s="99">
        <f t="shared" si="399"/>
        <v>4326.3370441487805</v>
      </c>
      <c r="T449" s="108">
        <f t="shared" si="453"/>
        <v>2163.5685220743903</v>
      </c>
      <c r="U449" s="108">
        <f t="shared" si="454"/>
        <v>2162.7685220743906</v>
      </c>
      <c r="V449" s="108"/>
      <c r="W449" s="108"/>
      <c r="X449" s="109"/>
      <c r="Y449" s="99">
        <f t="shared" si="8"/>
        <v>8652.674088297561</v>
      </c>
      <c r="Z449" s="108">
        <f t="shared" ref="Z449:AA449" si="533">T449*$D$58/100</f>
        <v>4327.1370441487807</v>
      </c>
      <c r="AA449" s="108">
        <f t="shared" si="533"/>
        <v>4325.5370441487812</v>
      </c>
      <c r="AB449" s="108"/>
      <c r="AC449" s="108"/>
      <c r="AD449" s="109"/>
      <c r="AE449" s="99">
        <f t="shared" si="456"/>
        <v>18</v>
      </c>
      <c r="AF449" s="101">
        <f t="shared" si="457"/>
        <v>36</v>
      </c>
      <c r="AG449" s="101">
        <f t="shared" si="458"/>
        <v>19.001300000000001</v>
      </c>
      <c r="AH449" s="101">
        <f t="shared" si="459"/>
        <v>84.5</v>
      </c>
      <c r="AI449" s="101">
        <f t="shared" si="480"/>
        <v>268.61079999999998</v>
      </c>
      <c r="AJ449" s="108">
        <f t="shared" si="460"/>
        <v>2</v>
      </c>
      <c r="AK449" s="101">
        <f t="shared" si="461"/>
        <v>4326.3370441487805</v>
      </c>
      <c r="AL449" s="101">
        <f t="shared" si="462"/>
        <v>2163.5685220743903</v>
      </c>
      <c r="AM449" s="101">
        <f t="shared" si="463"/>
        <v>2162.7685220743906</v>
      </c>
      <c r="AN449" s="101"/>
      <c r="AO449" s="1">
        <v>18</v>
      </c>
      <c r="AP449" s="2">
        <v>36</v>
      </c>
      <c r="AQ449" s="74">
        <f t="shared" si="464"/>
        <v>169</v>
      </c>
      <c r="AR449" s="31">
        <f t="shared" si="465"/>
        <v>0</v>
      </c>
      <c r="AS449" s="2">
        <f t="shared" si="466"/>
        <v>0.5</v>
      </c>
      <c r="AT449" s="33">
        <f t="shared" si="467"/>
        <v>0</v>
      </c>
      <c r="AU449" s="31">
        <f t="shared" si="468"/>
        <v>0</v>
      </c>
      <c r="AV449" s="2">
        <f t="shared" si="469"/>
        <v>1</v>
      </c>
      <c r="AW449" s="33">
        <f t="shared" si="470"/>
        <v>0</v>
      </c>
      <c r="AX449" s="31">
        <f t="shared" si="471"/>
        <v>1</v>
      </c>
      <c r="AY449" s="33">
        <f t="shared" si="472"/>
        <v>1</v>
      </c>
      <c r="AZ449" s="2"/>
      <c r="BA449" s="101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</row>
    <row r="450" spans="1:71" ht="12" customHeight="1">
      <c r="A450" s="2"/>
      <c r="B450" s="107">
        <v>375</v>
      </c>
      <c r="C450" s="31">
        <v>1</v>
      </c>
      <c r="D450" s="106" t="s">
        <v>20</v>
      </c>
      <c r="E450" s="2" t="s">
        <v>67</v>
      </c>
      <c r="F450" s="2"/>
      <c r="G450" s="2"/>
      <c r="H450" s="33"/>
      <c r="I450" s="99">
        <f t="shared" si="0"/>
        <v>242.21005164232358</v>
      </c>
      <c r="J450" s="101">
        <f t="shared" si="1"/>
        <v>4.7222222222222223</v>
      </c>
      <c r="K450" s="101">
        <f t="shared" si="2"/>
        <v>865</v>
      </c>
      <c r="L450" s="74">
        <f t="shared" si="3"/>
        <v>342</v>
      </c>
      <c r="M450" s="99">
        <f t="shared" si="191"/>
        <v>4359.7809295618245</v>
      </c>
      <c r="N450" s="108">
        <f t="shared" si="451"/>
        <v>2293.3465371956941</v>
      </c>
      <c r="O450" s="108">
        <f t="shared" si="452"/>
        <v>2066.4343923661309</v>
      </c>
      <c r="P450" s="108"/>
      <c r="Q450" s="108"/>
      <c r="R450" s="109"/>
      <c r="S450" s="99">
        <f t="shared" si="399"/>
        <v>3473.3610388560978</v>
      </c>
      <c r="T450" s="108">
        <f t="shared" si="453"/>
        <v>1736.880519428049</v>
      </c>
      <c r="U450" s="108">
        <f t="shared" si="454"/>
        <v>1736.4805194280489</v>
      </c>
      <c r="V450" s="108"/>
      <c r="W450" s="108"/>
      <c r="X450" s="109"/>
      <c r="Y450" s="99">
        <f t="shared" si="8"/>
        <v>6946.7220777121956</v>
      </c>
      <c r="Z450" s="108">
        <f t="shared" ref="Z450:AA450" si="534">T450*$D$58/100</f>
        <v>3473.7610388560979</v>
      </c>
      <c r="AA450" s="108">
        <f t="shared" si="534"/>
        <v>3472.9610388560977</v>
      </c>
      <c r="AB450" s="108"/>
      <c r="AC450" s="108"/>
      <c r="AD450" s="109"/>
      <c r="AE450" s="99">
        <f t="shared" si="456"/>
        <v>18</v>
      </c>
      <c r="AF450" s="101">
        <f t="shared" si="457"/>
        <v>36</v>
      </c>
      <c r="AG450" s="101">
        <f t="shared" si="458"/>
        <v>19.001300000000001</v>
      </c>
      <c r="AH450" s="101">
        <f t="shared" si="459"/>
        <v>85</v>
      </c>
      <c r="AI450" s="101">
        <f t="shared" si="480"/>
        <v>268.61079999999998</v>
      </c>
      <c r="AJ450" s="108">
        <f t="shared" si="460"/>
        <v>2</v>
      </c>
      <c r="AK450" s="101">
        <f t="shared" si="461"/>
        <v>3473.3610388560978</v>
      </c>
      <c r="AL450" s="101">
        <f t="shared" si="462"/>
        <v>1736.880519428049</v>
      </c>
      <c r="AM450" s="101">
        <f t="shared" si="463"/>
        <v>1736.4805194280489</v>
      </c>
      <c r="AN450" s="101"/>
      <c r="AO450" s="1">
        <v>18</v>
      </c>
      <c r="AP450" s="2">
        <v>36</v>
      </c>
      <c r="AQ450" s="74">
        <f t="shared" si="464"/>
        <v>85</v>
      </c>
      <c r="AR450" s="31">
        <f t="shared" si="465"/>
        <v>0</v>
      </c>
      <c r="AS450" s="2">
        <f t="shared" si="466"/>
        <v>1</v>
      </c>
      <c r="AT450" s="33">
        <f t="shared" si="467"/>
        <v>0</v>
      </c>
      <c r="AU450" s="31">
        <f t="shared" si="468"/>
        <v>0</v>
      </c>
      <c r="AV450" s="2">
        <f t="shared" si="469"/>
        <v>1</v>
      </c>
      <c r="AW450" s="33">
        <f t="shared" si="470"/>
        <v>0</v>
      </c>
      <c r="AX450" s="31">
        <f t="shared" si="471"/>
        <v>1</v>
      </c>
      <c r="AY450" s="33">
        <f t="shared" si="472"/>
        <v>1</v>
      </c>
      <c r="AZ450" s="2"/>
      <c r="BA450" s="101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</row>
    <row r="451" spans="1:71" ht="12" customHeight="1">
      <c r="A451" s="2"/>
      <c r="B451" s="107">
        <v>376</v>
      </c>
      <c r="C451" s="31">
        <v>10</v>
      </c>
      <c r="D451" s="111" t="s">
        <v>8</v>
      </c>
      <c r="E451" s="2" t="s">
        <v>144</v>
      </c>
      <c r="F451" s="2"/>
      <c r="G451" s="2"/>
      <c r="H451" s="33" t="s">
        <v>81</v>
      </c>
      <c r="I451" s="99">
        <f t="shared" si="0"/>
        <v>732.91798675535654</v>
      </c>
      <c r="J451" s="101">
        <f t="shared" si="1"/>
        <v>39.459498714320297</v>
      </c>
      <c r="K451" s="101">
        <f t="shared" si="2"/>
        <v>319</v>
      </c>
      <c r="L451" s="74">
        <f t="shared" ref="L451:L866" si="535">RANK(I451,$I$451:$I$866)</f>
        <v>213</v>
      </c>
      <c r="M451" s="99">
        <f t="shared" si="191"/>
        <v>13547.824908007464</v>
      </c>
      <c r="N451" s="108">
        <f t="shared" ref="N451:N534" si="536">T451*(1+((AG451+IF(F451="백어택",20,0))/100)*(IF(AY451=1,$D$58,$D$58+50)/100-1))</f>
        <v>3813.5824295297634</v>
      </c>
      <c r="O451" s="108">
        <f t="shared" ref="O451:O534" si="537">U451*(1+((AG451+IF(F451="백어택",20,0))/100)*(AI451/100-1))</f>
        <v>4867.1212392388506</v>
      </c>
      <c r="P451" s="108">
        <f t="shared" ref="P451:P534" si="538">V451*(1+((AG451+IF(F451="백어택",20,0))/100)*(AI451/100-1))</f>
        <v>4867.1212392388506</v>
      </c>
      <c r="Q451" s="108"/>
      <c r="R451" s="109"/>
      <c r="S451" s="99">
        <f t="shared" si="399"/>
        <v>11384.602443845122</v>
      </c>
      <c r="T451" s="108">
        <f t="shared" ref="T451:T534" si="539">AL451*IF(H451="근접",AR451,1)*AY451*IF(F451="백어택",1.2,1)</f>
        <v>3204.6561084036589</v>
      </c>
      <c r="U451" s="108">
        <f t="shared" ref="U451:U534" si="540">AM451*IF(H451="근접",AR451,1)*AY451*IF(F451="백어택",1.2,1)</f>
        <v>4089.9731677207315</v>
      </c>
      <c r="V451" s="108">
        <f t="shared" ref="V451:V534" si="541">IF(AX451=1,0,AM451*IF(H451="근접",AR451,1)*AY451)*IF(F451="백어택",1.2,1)</f>
        <v>4089.9731677207315</v>
      </c>
      <c r="W451" s="108"/>
      <c r="X451" s="109"/>
      <c r="Y451" s="99">
        <f t="shared" si="8"/>
        <v>22769.204887690245</v>
      </c>
      <c r="Z451" s="108">
        <f t="shared" ref="Z451:Z534" si="542">T451*IF(AY451=1,$D$58,$D$58+50)/100</f>
        <v>6409.3122168073178</v>
      </c>
      <c r="AA451" s="108">
        <f t="shared" ref="AA451:AA534" si="543">U451*AI451/100</f>
        <v>8179.9463354414629</v>
      </c>
      <c r="AB451" s="108">
        <f t="shared" ref="AB451:AB534" si="544">V451*AI451/100</f>
        <v>8179.9463354414629</v>
      </c>
      <c r="AC451" s="108"/>
      <c r="AD451" s="109"/>
      <c r="AE451" s="99">
        <f>AO451*(1-$D$20/100)*(1-$D$17/100)</f>
        <v>18.484776131615998</v>
      </c>
      <c r="AF451" s="101">
        <f t="shared" ref="AF451" si="545">AP451</f>
        <v>36</v>
      </c>
      <c r="AG451" s="101">
        <f t="shared" si="458"/>
        <v>19.001300000000001</v>
      </c>
      <c r="AH451" s="101">
        <f t="shared" ref="AH451:AH534" si="546">IF(AX451=1,AQ451,AQ451*1.4)</f>
        <v>729.4</v>
      </c>
      <c r="AI451" s="101">
        <f t="shared" ref="AI451:AI534" si="547">IF(AY451=1,$D$58,$D$58+50)*AW451</f>
        <v>200</v>
      </c>
      <c r="AJ451" s="108">
        <f t="shared" ref="AJ451:AJ534" si="548">10/6/AX451</f>
        <v>1.1111111111111112</v>
      </c>
      <c r="AK451" s="101">
        <f t="shared" si="461"/>
        <v>7294.6292761243903</v>
      </c>
      <c r="AL451" s="101">
        <f t="shared" ref="AL451:AL534" si="549">(IF(H451="근접",$D$61*(VLOOKUP(C451,$B$36:$AG$39,9,FALSE)+VLOOKUP(C451,$B$40:$AG$43,9,FALSE)*$D$54),$D$60*(VLOOKUP(C451,$B$36:$AG$39,9,FALSE)+VLOOKUP(C451,$B$40:$AG$43,9,FALSE)*$D$54)))*$D$59/100</f>
        <v>3204.6561084036589</v>
      </c>
      <c r="AM451" s="101">
        <f t="shared" ref="AM451:AM534" si="550">(IF(H451="근접",$D$61*(VLOOKUP(C451,$B$36:$AG$39,10,FALSE)+VLOOKUP(C451,$B$40:$AG$43,10,FALSE)*$D$54),$D$60*(VLOOKUP(C451,$B$36:$AG$39,10,FALSE)+VLOOKUP(C451,$B$40:$AG$43,10,FALSE)*$D$54)))*$D$59/100</f>
        <v>4089.9731677207315</v>
      </c>
      <c r="AN451" s="101"/>
      <c r="AO451" s="1">
        <v>24</v>
      </c>
      <c r="AP451" s="2">
        <v>36</v>
      </c>
      <c r="AQ451" s="74">
        <f t="shared" ref="AQ451:AQ534" si="551">VLOOKUP(C451,$B$45:$AA$48,9,FALSE)</f>
        <v>521</v>
      </c>
      <c r="AR451" s="31">
        <f t="shared" ref="AR451:AR534" si="552">IF(LEFT(E451,1)*1=1,$S$58,$R$58)</f>
        <v>1</v>
      </c>
      <c r="AS451" s="2">
        <f t="shared" ref="AS451:AS534" si="553">IF(LEFT(E451,1)*1=2,$U$58,$T$58)</f>
        <v>0</v>
      </c>
      <c r="AT451" s="33">
        <f t="shared" ref="AT451:AT534" si="554">IF(LEFT(E451,1)*1=3,$W$58,$V$58)</f>
        <v>0</v>
      </c>
      <c r="AU451" s="31">
        <f t="shared" ref="AU451:AU534" si="555">IF(MID(E451,3,1)*1=1,$Y$58,$X$58)</f>
        <v>0</v>
      </c>
      <c r="AV451" s="2">
        <f t="shared" ref="AV451:AV534" si="556">IF(MID(E451,3,1)*1=2,$AA$58,$Z$58)</f>
        <v>0</v>
      </c>
      <c r="AW451" s="33">
        <f t="shared" ref="AW451:AW534" si="557">IF(MID(E451,3,1)*1=3,$AC$58,$AB$58)</f>
        <v>1</v>
      </c>
      <c r="AX451" s="31">
        <f t="shared" ref="AX451:AX534" si="558">IF(MID(E451,5,1)*1=1,$AE$58,$AD$58)</f>
        <v>1.5</v>
      </c>
      <c r="AY451" s="33">
        <f t="shared" ref="AY451:AY534" si="559">IF(MID(E451,5,1)*1=2,$AG$58,$AF$58)</f>
        <v>1</v>
      </c>
      <c r="AZ451" s="2"/>
      <c r="BA451" s="101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</row>
    <row r="452" spans="1:71" ht="12" customHeight="1">
      <c r="A452" s="2"/>
      <c r="B452" s="107">
        <v>377</v>
      </c>
      <c r="C452" s="31">
        <v>10</v>
      </c>
      <c r="D452" s="111" t="s">
        <v>8</v>
      </c>
      <c r="E452" s="2" t="s">
        <v>138</v>
      </c>
      <c r="F452" s="2"/>
      <c r="G452" s="2"/>
      <c r="H452" s="33" t="s">
        <v>81</v>
      </c>
      <c r="I452" s="99">
        <f t="shared" si="0"/>
        <v>886.89067166622658</v>
      </c>
      <c r="J452" s="101">
        <f t="shared" si="1"/>
        <v>39.459498714320297</v>
      </c>
      <c r="K452" s="101">
        <f t="shared" si="2"/>
        <v>216</v>
      </c>
      <c r="L452" s="74">
        <f t="shared" si="535"/>
        <v>157</v>
      </c>
      <c r="M452" s="99">
        <f t="shared" si="191"/>
        <v>16393.975518968746</v>
      </c>
      <c r="N452" s="108">
        <f t="shared" si="536"/>
        <v>4614.746456630678</v>
      </c>
      <c r="O452" s="108">
        <f t="shared" si="537"/>
        <v>5889.6145311690334</v>
      </c>
      <c r="P452" s="108">
        <f t="shared" si="538"/>
        <v>5889.6145311690334</v>
      </c>
      <c r="Q452" s="108"/>
      <c r="R452" s="109"/>
      <c r="S452" s="99">
        <f t="shared" si="399"/>
        <v>11384.602443845122</v>
      </c>
      <c r="T452" s="108">
        <f t="shared" si="539"/>
        <v>3204.6561084036589</v>
      </c>
      <c r="U452" s="108">
        <f t="shared" si="540"/>
        <v>4089.9731677207315</v>
      </c>
      <c r="V452" s="108">
        <f t="shared" si="541"/>
        <v>4089.9731677207315</v>
      </c>
      <c r="W452" s="108"/>
      <c r="X452" s="109"/>
      <c r="Y452" s="99">
        <f t="shared" si="8"/>
        <v>22769.204887690245</v>
      </c>
      <c r="Z452" s="108">
        <f t="shared" si="542"/>
        <v>6409.3122168073178</v>
      </c>
      <c r="AA452" s="108">
        <f t="shared" si="543"/>
        <v>8179.9463354414629</v>
      </c>
      <c r="AB452" s="108">
        <f t="shared" si="544"/>
        <v>8179.9463354414629</v>
      </c>
      <c r="AC452" s="108"/>
      <c r="AD452" s="109"/>
      <c r="AE452" s="99">
        <f t="shared" ref="AE452:AE515" si="560">AO452*(1-$D$20/100)*(1-$D$17/100)</f>
        <v>18.484776131615998</v>
      </c>
      <c r="AF452" s="101">
        <f t="shared" ref="AF452" si="561">AP452</f>
        <v>36</v>
      </c>
      <c r="AG452" s="101">
        <f t="shared" si="458"/>
        <v>44.001300000000001</v>
      </c>
      <c r="AH452" s="101">
        <f t="shared" si="546"/>
        <v>729.4</v>
      </c>
      <c r="AI452" s="101">
        <f t="shared" si="547"/>
        <v>200</v>
      </c>
      <c r="AJ452" s="108">
        <f t="shared" si="548"/>
        <v>1.1111111111111112</v>
      </c>
      <c r="AK452" s="101">
        <f t="shared" si="461"/>
        <v>7294.6292761243903</v>
      </c>
      <c r="AL452" s="101">
        <f t="shared" si="549"/>
        <v>3204.6561084036589</v>
      </c>
      <c r="AM452" s="101">
        <f t="shared" si="550"/>
        <v>4089.9731677207315</v>
      </c>
      <c r="AN452" s="101"/>
      <c r="AO452" s="1">
        <v>24</v>
      </c>
      <c r="AP452" s="2">
        <v>36</v>
      </c>
      <c r="AQ452" s="74">
        <f t="shared" si="551"/>
        <v>521</v>
      </c>
      <c r="AR452" s="31">
        <f t="shared" si="552"/>
        <v>1</v>
      </c>
      <c r="AS452" s="2">
        <f t="shared" si="553"/>
        <v>0</v>
      </c>
      <c r="AT452" s="33">
        <f t="shared" si="554"/>
        <v>0</v>
      </c>
      <c r="AU452" s="31">
        <f t="shared" si="555"/>
        <v>25</v>
      </c>
      <c r="AV452" s="2">
        <f t="shared" si="556"/>
        <v>0</v>
      </c>
      <c r="AW452" s="33">
        <f t="shared" si="557"/>
        <v>1</v>
      </c>
      <c r="AX452" s="31">
        <f t="shared" si="558"/>
        <v>1.5</v>
      </c>
      <c r="AY452" s="33">
        <f t="shared" si="559"/>
        <v>1</v>
      </c>
      <c r="AZ452" s="2"/>
      <c r="BA452" s="101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</row>
    <row r="453" spans="1:71" ht="12" customHeight="1">
      <c r="A453" s="2"/>
      <c r="B453" s="107">
        <v>378</v>
      </c>
      <c r="C453" s="31">
        <v>10</v>
      </c>
      <c r="D453" s="111" t="s">
        <v>8</v>
      </c>
      <c r="E453" s="2" t="s">
        <v>141</v>
      </c>
      <c r="F453" s="2"/>
      <c r="G453" s="2"/>
      <c r="H453" s="33" t="s">
        <v>81</v>
      </c>
      <c r="I453" s="99">
        <f t="shared" si="0"/>
        <v>773.27888392528996</v>
      </c>
      <c r="J453" s="101">
        <f t="shared" si="1"/>
        <v>39.459498714320297</v>
      </c>
      <c r="K453" s="101">
        <f t="shared" si="2"/>
        <v>283</v>
      </c>
      <c r="L453" s="74">
        <f t="shared" si="535"/>
        <v>197</v>
      </c>
      <c r="M453" s="99">
        <f t="shared" si="191"/>
        <v>14293.887056664858</v>
      </c>
      <c r="N453" s="108">
        <f t="shared" si="536"/>
        <v>3813.5824295297634</v>
      </c>
      <c r="O453" s="108">
        <f t="shared" si="537"/>
        <v>5240.1523135675479</v>
      </c>
      <c r="P453" s="108">
        <f t="shared" si="538"/>
        <v>5240.1523135675479</v>
      </c>
      <c r="Q453" s="108"/>
      <c r="R453" s="109"/>
      <c r="S453" s="99">
        <f t="shared" si="399"/>
        <v>11384.602443845122</v>
      </c>
      <c r="T453" s="108">
        <f t="shared" si="539"/>
        <v>3204.6561084036589</v>
      </c>
      <c r="U453" s="108">
        <f t="shared" si="540"/>
        <v>4089.9731677207315</v>
      </c>
      <c r="V453" s="108">
        <f t="shared" si="541"/>
        <v>4089.9731677207315</v>
      </c>
      <c r="W453" s="108"/>
      <c r="X453" s="109"/>
      <c r="Y453" s="99">
        <f t="shared" si="8"/>
        <v>26695.579128702149</v>
      </c>
      <c r="Z453" s="108">
        <f t="shared" si="542"/>
        <v>6409.3122168073178</v>
      </c>
      <c r="AA453" s="108">
        <f t="shared" si="543"/>
        <v>10143.133455947414</v>
      </c>
      <c r="AB453" s="108">
        <f t="shared" si="544"/>
        <v>10143.133455947414</v>
      </c>
      <c r="AC453" s="108"/>
      <c r="AD453" s="109"/>
      <c r="AE453" s="99">
        <f t="shared" si="560"/>
        <v>18.484776131615998</v>
      </c>
      <c r="AF453" s="101">
        <f t="shared" ref="AF453" si="562">AP453</f>
        <v>36</v>
      </c>
      <c r="AG453" s="101">
        <f t="shared" si="458"/>
        <v>19.001300000000001</v>
      </c>
      <c r="AH453" s="101">
        <f t="shared" si="546"/>
        <v>729.4</v>
      </c>
      <c r="AI453" s="101">
        <f t="shared" si="547"/>
        <v>248</v>
      </c>
      <c r="AJ453" s="108">
        <f t="shared" si="548"/>
        <v>1.1111111111111112</v>
      </c>
      <c r="AK453" s="101">
        <f t="shared" si="461"/>
        <v>7294.6292761243903</v>
      </c>
      <c r="AL453" s="101">
        <f t="shared" si="549"/>
        <v>3204.6561084036589</v>
      </c>
      <c r="AM453" s="101">
        <f t="shared" si="550"/>
        <v>4089.9731677207315</v>
      </c>
      <c r="AN453" s="101"/>
      <c r="AO453" s="1">
        <v>24</v>
      </c>
      <c r="AP453" s="2">
        <v>36</v>
      </c>
      <c r="AQ453" s="74">
        <f t="shared" si="551"/>
        <v>521</v>
      </c>
      <c r="AR453" s="31">
        <f t="shared" si="552"/>
        <v>1</v>
      </c>
      <c r="AS453" s="2">
        <f t="shared" si="553"/>
        <v>0</v>
      </c>
      <c r="AT453" s="33">
        <f t="shared" si="554"/>
        <v>0</v>
      </c>
      <c r="AU453" s="31">
        <f t="shared" si="555"/>
        <v>0</v>
      </c>
      <c r="AV453" s="2">
        <f t="shared" si="556"/>
        <v>0</v>
      </c>
      <c r="AW453" s="33">
        <f t="shared" si="557"/>
        <v>1.24</v>
      </c>
      <c r="AX453" s="31">
        <f t="shared" si="558"/>
        <v>1.5</v>
      </c>
      <c r="AY453" s="33">
        <f t="shared" si="559"/>
        <v>1</v>
      </c>
      <c r="AZ453" s="2"/>
      <c r="BA453" s="101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</row>
    <row r="454" spans="1:71" ht="12" customHeight="1">
      <c r="A454" s="2"/>
      <c r="B454" s="107">
        <v>379</v>
      </c>
      <c r="C454" s="31">
        <v>10</v>
      </c>
      <c r="D454" s="111" t="s">
        <v>8</v>
      </c>
      <c r="E454" s="2" t="s">
        <v>150</v>
      </c>
      <c r="F454" s="2"/>
      <c r="G454" s="2"/>
      <c r="H454" s="33" t="s">
        <v>81</v>
      </c>
      <c r="I454" s="99">
        <f t="shared" si="0"/>
        <v>879.50158410642769</v>
      </c>
      <c r="J454" s="101">
        <f t="shared" si="1"/>
        <v>39.459498714320297</v>
      </c>
      <c r="K454" s="101">
        <f t="shared" si="2"/>
        <v>226</v>
      </c>
      <c r="L454" s="74">
        <f t="shared" si="535"/>
        <v>161</v>
      </c>
      <c r="M454" s="99">
        <f t="shared" si="191"/>
        <v>16257.389889608956</v>
      </c>
      <c r="N454" s="108">
        <f t="shared" si="536"/>
        <v>4576.2989154357156</v>
      </c>
      <c r="O454" s="108">
        <f t="shared" si="537"/>
        <v>5840.5454870866206</v>
      </c>
      <c r="P454" s="108">
        <f t="shared" si="538"/>
        <v>5840.5454870866206</v>
      </c>
      <c r="Q454" s="108"/>
      <c r="R454" s="109"/>
      <c r="S454" s="99">
        <f t="shared" si="399"/>
        <v>13661.522932614145</v>
      </c>
      <c r="T454" s="108">
        <f t="shared" si="539"/>
        <v>3845.5873300843905</v>
      </c>
      <c r="U454" s="108">
        <f t="shared" si="540"/>
        <v>4907.9678012648774</v>
      </c>
      <c r="V454" s="108">
        <f t="shared" si="541"/>
        <v>4907.9678012648774</v>
      </c>
      <c r="W454" s="108"/>
      <c r="X454" s="109"/>
      <c r="Y454" s="99">
        <f t="shared" si="8"/>
        <v>27323.04586522829</v>
      </c>
      <c r="Z454" s="108">
        <f t="shared" si="542"/>
        <v>7691.174660168781</v>
      </c>
      <c r="AA454" s="108">
        <f t="shared" si="543"/>
        <v>9815.9356025297548</v>
      </c>
      <c r="AB454" s="108">
        <f t="shared" si="544"/>
        <v>9815.9356025297548</v>
      </c>
      <c r="AC454" s="108"/>
      <c r="AD454" s="109"/>
      <c r="AE454" s="99">
        <f t="shared" si="560"/>
        <v>18.484776131615998</v>
      </c>
      <c r="AF454" s="101">
        <f t="shared" ref="AF454" si="563">AP454</f>
        <v>36</v>
      </c>
      <c r="AG454" s="101">
        <f t="shared" si="458"/>
        <v>19.001300000000001</v>
      </c>
      <c r="AH454" s="101">
        <f t="shared" si="546"/>
        <v>729.4</v>
      </c>
      <c r="AI454" s="101">
        <f t="shared" si="547"/>
        <v>200</v>
      </c>
      <c r="AJ454" s="108">
        <f t="shared" si="548"/>
        <v>1.1111111111111112</v>
      </c>
      <c r="AK454" s="101">
        <f t="shared" si="461"/>
        <v>7294.6292761243903</v>
      </c>
      <c r="AL454" s="101">
        <f t="shared" si="549"/>
        <v>3204.6561084036589</v>
      </c>
      <c r="AM454" s="101">
        <f t="shared" si="550"/>
        <v>4089.9731677207315</v>
      </c>
      <c r="AN454" s="101"/>
      <c r="AO454" s="1">
        <v>24</v>
      </c>
      <c r="AP454" s="2">
        <v>36</v>
      </c>
      <c r="AQ454" s="74">
        <f t="shared" si="551"/>
        <v>521</v>
      </c>
      <c r="AR454" s="31">
        <f t="shared" si="552"/>
        <v>1.2</v>
      </c>
      <c r="AS454" s="2">
        <f t="shared" si="553"/>
        <v>0</v>
      </c>
      <c r="AT454" s="33">
        <f t="shared" si="554"/>
        <v>0</v>
      </c>
      <c r="AU454" s="31">
        <f t="shared" si="555"/>
        <v>0</v>
      </c>
      <c r="AV454" s="2">
        <f t="shared" si="556"/>
        <v>0</v>
      </c>
      <c r="AW454" s="33">
        <f t="shared" si="557"/>
        <v>1</v>
      </c>
      <c r="AX454" s="31">
        <f t="shared" si="558"/>
        <v>1.5</v>
      </c>
      <c r="AY454" s="33">
        <f t="shared" si="559"/>
        <v>1</v>
      </c>
      <c r="AZ454" s="2"/>
      <c r="BA454" s="101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</row>
    <row r="455" spans="1:71" ht="12" customHeight="1">
      <c r="A455" s="2"/>
      <c r="B455" s="107">
        <v>380</v>
      </c>
      <c r="C455" s="31">
        <v>10</v>
      </c>
      <c r="D455" s="111" t="s">
        <v>8</v>
      </c>
      <c r="E455" s="2" t="s">
        <v>164</v>
      </c>
      <c r="F455" s="2"/>
      <c r="G455" s="2"/>
      <c r="H455" s="33" t="s">
        <v>81</v>
      </c>
      <c r="I455" s="99">
        <f t="shared" si="0"/>
        <v>1064.2688059994719</v>
      </c>
      <c r="J455" s="101">
        <f t="shared" si="1"/>
        <v>39.459498714320297</v>
      </c>
      <c r="K455" s="101">
        <f t="shared" si="2"/>
        <v>133</v>
      </c>
      <c r="L455" s="74">
        <f t="shared" si="535"/>
        <v>108</v>
      </c>
      <c r="M455" s="99">
        <f t="shared" si="191"/>
        <v>19672.770622762495</v>
      </c>
      <c r="N455" s="108">
        <f t="shared" si="536"/>
        <v>5537.6957479568136</v>
      </c>
      <c r="O455" s="108">
        <f t="shared" si="537"/>
        <v>7067.5374374028397</v>
      </c>
      <c r="P455" s="108">
        <f t="shared" si="538"/>
        <v>7067.5374374028397</v>
      </c>
      <c r="Q455" s="108"/>
      <c r="R455" s="109"/>
      <c r="S455" s="99">
        <f t="shared" si="399"/>
        <v>13661.522932614145</v>
      </c>
      <c r="T455" s="108">
        <f t="shared" si="539"/>
        <v>3845.5873300843905</v>
      </c>
      <c r="U455" s="108">
        <f t="shared" si="540"/>
        <v>4907.9678012648774</v>
      </c>
      <c r="V455" s="108">
        <f t="shared" si="541"/>
        <v>4907.9678012648774</v>
      </c>
      <c r="W455" s="108"/>
      <c r="X455" s="109"/>
      <c r="Y455" s="99">
        <f t="shared" si="8"/>
        <v>27323.04586522829</v>
      </c>
      <c r="Z455" s="108">
        <f t="shared" si="542"/>
        <v>7691.174660168781</v>
      </c>
      <c r="AA455" s="108">
        <f t="shared" si="543"/>
        <v>9815.9356025297548</v>
      </c>
      <c r="AB455" s="108">
        <f t="shared" si="544"/>
        <v>9815.9356025297548</v>
      </c>
      <c r="AC455" s="108"/>
      <c r="AD455" s="109"/>
      <c r="AE455" s="99">
        <f t="shared" si="560"/>
        <v>18.484776131615998</v>
      </c>
      <c r="AF455" s="101">
        <f t="shared" ref="AF455" si="564">AP455</f>
        <v>36</v>
      </c>
      <c r="AG455" s="101">
        <f t="shared" si="458"/>
        <v>44.001300000000001</v>
      </c>
      <c r="AH455" s="101">
        <f t="shared" si="546"/>
        <v>729.4</v>
      </c>
      <c r="AI455" s="101">
        <f t="shared" si="547"/>
        <v>200</v>
      </c>
      <c r="AJ455" s="108">
        <f t="shared" si="548"/>
        <v>1.1111111111111112</v>
      </c>
      <c r="AK455" s="101">
        <f t="shared" si="461"/>
        <v>7294.6292761243903</v>
      </c>
      <c r="AL455" s="101">
        <f t="shared" si="549"/>
        <v>3204.6561084036589</v>
      </c>
      <c r="AM455" s="101">
        <f t="shared" si="550"/>
        <v>4089.9731677207315</v>
      </c>
      <c r="AN455" s="101"/>
      <c r="AO455" s="1">
        <v>24</v>
      </c>
      <c r="AP455" s="2">
        <v>36</v>
      </c>
      <c r="AQ455" s="74">
        <f t="shared" si="551"/>
        <v>521</v>
      </c>
      <c r="AR455" s="31">
        <f t="shared" si="552"/>
        <v>1.2</v>
      </c>
      <c r="AS455" s="2">
        <f t="shared" si="553"/>
        <v>0</v>
      </c>
      <c r="AT455" s="33">
        <f t="shared" si="554"/>
        <v>0</v>
      </c>
      <c r="AU455" s="31">
        <f t="shared" si="555"/>
        <v>25</v>
      </c>
      <c r="AV455" s="2">
        <f t="shared" si="556"/>
        <v>0</v>
      </c>
      <c r="AW455" s="33">
        <f t="shared" si="557"/>
        <v>1</v>
      </c>
      <c r="AX455" s="31">
        <f t="shared" si="558"/>
        <v>1.5</v>
      </c>
      <c r="AY455" s="33">
        <f t="shared" si="559"/>
        <v>1</v>
      </c>
      <c r="AZ455" s="2"/>
      <c r="BA455" s="101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</row>
    <row r="456" spans="1:71" ht="12" customHeight="1">
      <c r="A456" s="2"/>
      <c r="B456" s="107">
        <v>381</v>
      </c>
      <c r="C456" s="31">
        <v>10</v>
      </c>
      <c r="D456" s="111" t="s">
        <v>8</v>
      </c>
      <c r="E456" s="2" t="s">
        <v>156</v>
      </c>
      <c r="F456" s="2"/>
      <c r="G456" s="2"/>
      <c r="H456" s="33" t="s">
        <v>81</v>
      </c>
      <c r="I456" s="99">
        <f t="shared" si="0"/>
        <v>927.934660710348</v>
      </c>
      <c r="J456" s="101">
        <f t="shared" si="1"/>
        <v>39.459498714320297</v>
      </c>
      <c r="K456" s="101">
        <f t="shared" si="2"/>
        <v>190</v>
      </c>
      <c r="L456" s="74">
        <f t="shared" si="535"/>
        <v>144</v>
      </c>
      <c r="M456" s="99">
        <f t="shared" si="191"/>
        <v>17152.664467997831</v>
      </c>
      <c r="N456" s="108">
        <f t="shared" si="536"/>
        <v>4576.2989154357156</v>
      </c>
      <c r="O456" s="108">
        <f t="shared" si="537"/>
        <v>6288.1827762810572</v>
      </c>
      <c r="P456" s="108">
        <f t="shared" si="538"/>
        <v>6288.1827762810572</v>
      </c>
      <c r="Q456" s="108"/>
      <c r="R456" s="109"/>
      <c r="S456" s="99">
        <f t="shared" si="399"/>
        <v>13661.522932614145</v>
      </c>
      <c r="T456" s="108">
        <f t="shared" si="539"/>
        <v>3845.5873300843905</v>
      </c>
      <c r="U456" s="108">
        <f t="shared" si="540"/>
        <v>4907.9678012648774</v>
      </c>
      <c r="V456" s="108">
        <f t="shared" si="541"/>
        <v>4907.9678012648774</v>
      </c>
      <c r="W456" s="108"/>
      <c r="X456" s="109"/>
      <c r="Y456" s="99">
        <f t="shared" si="8"/>
        <v>32034.694954442573</v>
      </c>
      <c r="Z456" s="108">
        <f t="shared" si="542"/>
        <v>7691.174660168781</v>
      </c>
      <c r="AA456" s="108">
        <f t="shared" si="543"/>
        <v>12171.760147136896</v>
      </c>
      <c r="AB456" s="108">
        <f t="shared" si="544"/>
        <v>12171.760147136896</v>
      </c>
      <c r="AC456" s="108"/>
      <c r="AD456" s="109"/>
      <c r="AE456" s="99">
        <f t="shared" si="560"/>
        <v>18.484776131615998</v>
      </c>
      <c r="AF456" s="101">
        <f t="shared" ref="AF456" si="565">AP456</f>
        <v>36</v>
      </c>
      <c r="AG456" s="101">
        <f t="shared" si="458"/>
        <v>19.001300000000001</v>
      </c>
      <c r="AH456" s="101">
        <f t="shared" si="546"/>
        <v>729.4</v>
      </c>
      <c r="AI456" s="101">
        <f t="shared" si="547"/>
        <v>248</v>
      </c>
      <c r="AJ456" s="108">
        <f t="shared" si="548"/>
        <v>1.1111111111111112</v>
      </c>
      <c r="AK456" s="101">
        <f t="shared" si="461"/>
        <v>7294.6292761243903</v>
      </c>
      <c r="AL456" s="101">
        <f t="shared" si="549"/>
        <v>3204.6561084036589</v>
      </c>
      <c r="AM456" s="101">
        <f t="shared" si="550"/>
        <v>4089.9731677207315</v>
      </c>
      <c r="AN456" s="101"/>
      <c r="AO456" s="1">
        <v>24</v>
      </c>
      <c r="AP456" s="2">
        <v>36</v>
      </c>
      <c r="AQ456" s="74">
        <f t="shared" si="551"/>
        <v>521</v>
      </c>
      <c r="AR456" s="31">
        <f t="shared" si="552"/>
        <v>1.2</v>
      </c>
      <c r="AS456" s="2">
        <f t="shared" si="553"/>
        <v>0</v>
      </c>
      <c r="AT456" s="33">
        <f t="shared" si="554"/>
        <v>0</v>
      </c>
      <c r="AU456" s="31">
        <f t="shared" si="555"/>
        <v>0</v>
      </c>
      <c r="AV456" s="2">
        <f t="shared" si="556"/>
        <v>0</v>
      </c>
      <c r="AW456" s="33">
        <f t="shared" si="557"/>
        <v>1.24</v>
      </c>
      <c r="AX456" s="31">
        <f t="shared" si="558"/>
        <v>1.5</v>
      </c>
      <c r="AY456" s="33">
        <f t="shared" si="559"/>
        <v>1</v>
      </c>
      <c r="AZ456" s="2"/>
      <c r="BA456" s="101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</row>
    <row r="457" spans="1:71" ht="12" customHeight="1">
      <c r="A457" s="2"/>
      <c r="B457" s="107">
        <v>382</v>
      </c>
      <c r="C457" s="31">
        <v>10</v>
      </c>
      <c r="D457" s="111" t="s">
        <v>8</v>
      </c>
      <c r="E457" s="2" t="s">
        <v>92</v>
      </c>
      <c r="F457" s="2"/>
      <c r="G457" s="2"/>
      <c r="H457" s="33" t="s">
        <v>81</v>
      </c>
      <c r="I457" s="99">
        <f t="shared" si="0"/>
        <v>608.52719870757187</v>
      </c>
      <c r="J457" s="101">
        <f t="shared" si="1"/>
        <v>28.185356224514496</v>
      </c>
      <c r="K457" s="101">
        <f t="shared" si="2"/>
        <v>453</v>
      </c>
      <c r="L457" s="74">
        <f t="shared" si="535"/>
        <v>265</v>
      </c>
      <c r="M457" s="99">
        <f t="shared" si="191"/>
        <v>11248.48903810887</v>
      </c>
      <c r="N457" s="108">
        <f t="shared" si="536"/>
        <v>4941.6547081113786</v>
      </c>
      <c r="O457" s="108">
        <f t="shared" si="537"/>
        <v>6306.8343299974922</v>
      </c>
      <c r="P457" s="108">
        <f t="shared" si="538"/>
        <v>0</v>
      </c>
      <c r="Q457" s="108"/>
      <c r="R457" s="109"/>
      <c r="S457" s="99">
        <f t="shared" si="399"/>
        <v>8753.5551313492688</v>
      </c>
      <c r="T457" s="108">
        <f t="shared" si="539"/>
        <v>3845.5873300843905</v>
      </c>
      <c r="U457" s="108">
        <f t="shared" si="540"/>
        <v>4907.9678012648774</v>
      </c>
      <c r="V457" s="108">
        <f t="shared" si="541"/>
        <v>0</v>
      </c>
      <c r="W457" s="108"/>
      <c r="X457" s="109"/>
      <c r="Y457" s="99">
        <f t="shared" si="8"/>
        <v>21883.887828373168</v>
      </c>
      <c r="Z457" s="108">
        <f t="shared" si="542"/>
        <v>9613.9683252109753</v>
      </c>
      <c r="AA457" s="108">
        <f t="shared" si="543"/>
        <v>12269.919503162193</v>
      </c>
      <c r="AB457" s="108">
        <f t="shared" si="544"/>
        <v>0</v>
      </c>
      <c r="AC457" s="108"/>
      <c r="AD457" s="109"/>
      <c r="AE457" s="99">
        <f t="shared" si="560"/>
        <v>18.484776131615998</v>
      </c>
      <c r="AF457" s="101">
        <f t="shared" ref="AF457" si="566">AP457</f>
        <v>36</v>
      </c>
      <c r="AG457" s="101">
        <f t="shared" si="458"/>
        <v>19.001300000000001</v>
      </c>
      <c r="AH457" s="101">
        <f t="shared" si="546"/>
        <v>521</v>
      </c>
      <c r="AI457" s="101">
        <f t="shared" si="547"/>
        <v>250</v>
      </c>
      <c r="AJ457" s="108">
        <f t="shared" si="548"/>
        <v>1.6666666666666667</v>
      </c>
      <c r="AK457" s="101">
        <f t="shared" si="461"/>
        <v>7294.6292761243903</v>
      </c>
      <c r="AL457" s="101">
        <f t="shared" si="549"/>
        <v>3204.6561084036589</v>
      </c>
      <c r="AM457" s="101">
        <f t="shared" si="550"/>
        <v>4089.9731677207315</v>
      </c>
      <c r="AN457" s="101"/>
      <c r="AO457" s="1">
        <v>24</v>
      </c>
      <c r="AP457" s="2">
        <v>36</v>
      </c>
      <c r="AQ457" s="74">
        <f t="shared" si="551"/>
        <v>521</v>
      </c>
      <c r="AR457" s="31">
        <f t="shared" si="552"/>
        <v>1</v>
      </c>
      <c r="AS457" s="2">
        <f t="shared" si="553"/>
        <v>0</v>
      </c>
      <c r="AT457" s="33">
        <f t="shared" si="554"/>
        <v>0</v>
      </c>
      <c r="AU457" s="31">
        <f t="shared" si="555"/>
        <v>0</v>
      </c>
      <c r="AV457" s="2">
        <f t="shared" si="556"/>
        <v>0</v>
      </c>
      <c r="AW457" s="33">
        <f t="shared" si="557"/>
        <v>1</v>
      </c>
      <c r="AX457" s="31">
        <f t="shared" si="558"/>
        <v>1</v>
      </c>
      <c r="AY457" s="33">
        <f t="shared" si="559"/>
        <v>1.2</v>
      </c>
      <c r="AZ457" s="2"/>
      <c r="BA457" s="101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</row>
    <row r="458" spans="1:71" ht="12" customHeight="1">
      <c r="A458" s="2"/>
      <c r="B458" s="107">
        <v>383</v>
      </c>
      <c r="C458" s="31">
        <v>10</v>
      </c>
      <c r="D458" s="111" t="s">
        <v>8</v>
      </c>
      <c r="E458" s="2" t="s">
        <v>139</v>
      </c>
      <c r="F458" s="2"/>
      <c r="G458" s="2"/>
      <c r="H458" s="33" t="s">
        <v>81</v>
      </c>
      <c r="I458" s="99">
        <f t="shared" si="0"/>
        <v>786.11026224500415</v>
      </c>
      <c r="J458" s="101">
        <f t="shared" si="1"/>
        <v>28.185356224514496</v>
      </c>
      <c r="K458" s="101">
        <f t="shared" si="2"/>
        <v>273</v>
      </c>
      <c r="L458" s="74">
        <f t="shared" si="535"/>
        <v>191</v>
      </c>
      <c r="M458" s="99">
        <f t="shared" si="191"/>
        <v>14531.072212364847</v>
      </c>
      <c r="N458" s="108">
        <f t="shared" si="536"/>
        <v>6383.7499568930252</v>
      </c>
      <c r="O458" s="108">
        <f t="shared" si="537"/>
        <v>8147.3222554718213</v>
      </c>
      <c r="P458" s="108">
        <f t="shared" si="538"/>
        <v>0</v>
      </c>
      <c r="Q458" s="108"/>
      <c r="R458" s="109"/>
      <c r="S458" s="99">
        <f t="shared" si="399"/>
        <v>8753.5551313492688</v>
      </c>
      <c r="T458" s="108">
        <f t="shared" si="539"/>
        <v>3845.5873300843905</v>
      </c>
      <c r="U458" s="108">
        <f t="shared" si="540"/>
        <v>4907.9678012648774</v>
      </c>
      <c r="V458" s="108">
        <f t="shared" si="541"/>
        <v>0</v>
      </c>
      <c r="W458" s="108"/>
      <c r="X458" s="109"/>
      <c r="Y458" s="99">
        <f t="shared" si="8"/>
        <v>21883.887828373168</v>
      </c>
      <c r="Z458" s="108">
        <f t="shared" si="542"/>
        <v>9613.9683252109753</v>
      </c>
      <c r="AA458" s="108">
        <f t="shared" si="543"/>
        <v>12269.919503162193</v>
      </c>
      <c r="AB458" s="108">
        <f t="shared" si="544"/>
        <v>0</v>
      </c>
      <c r="AC458" s="108"/>
      <c r="AD458" s="109"/>
      <c r="AE458" s="99">
        <f t="shared" si="560"/>
        <v>18.484776131615998</v>
      </c>
      <c r="AF458" s="101">
        <f t="shared" ref="AF458" si="567">AP458</f>
        <v>36</v>
      </c>
      <c r="AG458" s="101">
        <f t="shared" si="458"/>
        <v>44.001300000000001</v>
      </c>
      <c r="AH458" s="101">
        <f t="shared" si="546"/>
        <v>521</v>
      </c>
      <c r="AI458" s="101">
        <f t="shared" si="547"/>
        <v>250</v>
      </c>
      <c r="AJ458" s="108">
        <f t="shared" si="548"/>
        <v>1.6666666666666667</v>
      </c>
      <c r="AK458" s="101">
        <f t="shared" si="461"/>
        <v>7294.6292761243903</v>
      </c>
      <c r="AL458" s="101">
        <f t="shared" si="549"/>
        <v>3204.6561084036589</v>
      </c>
      <c r="AM458" s="101">
        <f t="shared" si="550"/>
        <v>4089.9731677207315</v>
      </c>
      <c r="AN458" s="101"/>
      <c r="AO458" s="1">
        <v>24</v>
      </c>
      <c r="AP458" s="2">
        <v>36</v>
      </c>
      <c r="AQ458" s="74">
        <f t="shared" si="551"/>
        <v>521</v>
      </c>
      <c r="AR458" s="31">
        <f t="shared" si="552"/>
        <v>1</v>
      </c>
      <c r="AS458" s="2">
        <f t="shared" si="553"/>
        <v>0</v>
      </c>
      <c r="AT458" s="33">
        <f t="shared" si="554"/>
        <v>0</v>
      </c>
      <c r="AU458" s="31">
        <f t="shared" si="555"/>
        <v>25</v>
      </c>
      <c r="AV458" s="2">
        <f t="shared" si="556"/>
        <v>0</v>
      </c>
      <c r="AW458" s="33">
        <f t="shared" si="557"/>
        <v>1</v>
      </c>
      <c r="AX458" s="31">
        <f t="shared" si="558"/>
        <v>1</v>
      </c>
      <c r="AY458" s="33">
        <f t="shared" si="559"/>
        <v>1.2</v>
      </c>
      <c r="AZ458" s="2"/>
      <c r="BA458" s="101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</row>
    <row r="459" spans="1:71" ht="12" customHeight="1">
      <c r="A459" s="2"/>
      <c r="B459" s="107">
        <v>384</v>
      </c>
      <c r="C459" s="31">
        <v>10</v>
      </c>
      <c r="D459" s="111" t="s">
        <v>8</v>
      </c>
      <c r="E459" s="2" t="s">
        <v>98</v>
      </c>
      <c r="F459" s="2"/>
      <c r="G459" s="2"/>
      <c r="H459" s="33" t="s">
        <v>81</v>
      </c>
      <c r="I459" s="99">
        <f t="shared" si="0"/>
        <v>638.79787158502199</v>
      </c>
      <c r="J459" s="101">
        <f t="shared" si="1"/>
        <v>28.185356224514496</v>
      </c>
      <c r="K459" s="101">
        <f t="shared" si="2"/>
        <v>422</v>
      </c>
      <c r="L459" s="74">
        <f t="shared" si="535"/>
        <v>260</v>
      </c>
      <c r="M459" s="99">
        <f t="shared" si="191"/>
        <v>11808.035649601916</v>
      </c>
      <c r="N459" s="108">
        <f t="shared" si="536"/>
        <v>4941.6547081113786</v>
      </c>
      <c r="O459" s="108">
        <f t="shared" si="537"/>
        <v>6866.3809414905381</v>
      </c>
      <c r="P459" s="108">
        <f t="shared" si="538"/>
        <v>0</v>
      </c>
      <c r="Q459" s="108"/>
      <c r="R459" s="109"/>
      <c r="S459" s="99">
        <f t="shared" si="399"/>
        <v>8753.5551313492688</v>
      </c>
      <c r="T459" s="108">
        <f t="shared" si="539"/>
        <v>3845.5873300843905</v>
      </c>
      <c r="U459" s="108">
        <f t="shared" si="540"/>
        <v>4907.9678012648774</v>
      </c>
      <c r="V459" s="108">
        <f t="shared" si="541"/>
        <v>0</v>
      </c>
      <c r="W459" s="108"/>
      <c r="X459" s="109"/>
      <c r="Y459" s="99">
        <f t="shared" si="8"/>
        <v>24828.668509132094</v>
      </c>
      <c r="Z459" s="108">
        <f t="shared" si="542"/>
        <v>9613.9683252109753</v>
      </c>
      <c r="AA459" s="108">
        <f t="shared" si="543"/>
        <v>15214.700183921119</v>
      </c>
      <c r="AB459" s="108">
        <f t="shared" si="544"/>
        <v>0</v>
      </c>
      <c r="AC459" s="108"/>
      <c r="AD459" s="109"/>
      <c r="AE459" s="99">
        <f t="shared" si="560"/>
        <v>18.484776131615998</v>
      </c>
      <c r="AF459" s="101">
        <f t="shared" ref="AF459" si="568">AP459</f>
        <v>36</v>
      </c>
      <c r="AG459" s="101">
        <f t="shared" si="458"/>
        <v>19.001300000000001</v>
      </c>
      <c r="AH459" s="101">
        <f t="shared" si="546"/>
        <v>521</v>
      </c>
      <c r="AI459" s="101">
        <f t="shared" si="547"/>
        <v>310</v>
      </c>
      <c r="AJ459" s="108">
        <f t="shared" si="548"/>
        <v>1.6666666666666667</v>
      </c>
      <c r="AK459" s="101">
        <f t="shared" si="461"/>
        <v>7294.6292761243903</v>
      </c>
      <c r="AL459" s="101">
        <f t="shared" si="549"/>
        <v>3204.6561084036589</v>
      </c>
      <c r="AM459" s="101">
        <f t="shared" si="550"/>
        <v>4089.9731677207315</v>
      </c>
      <c r="AN459" s="101"/>
      <c r="AO459" s="1">
        <v>24</v>
      </c>
      <c r="AP459" s="2">
        <v>36</v>
      </c>
      <c r="AQ459" s="74">
        <f t="shared" si="551"/>
        <v>521</v>
      </c>
      <c r="AR459" s="31">
        <f t="shared" si="552"/>
        <v>1</v>
      </c>
      <c r="AS459" s="2">
        <f t="shared" si="553"/>
        <v>0</v>
      </c>
      <c r="AT459" s="33">
        <f t="shared" si="554"/>
        <v>0</v>
      </c>
      <c r="AU459" s="31">
        <f t="shared" si="555"/>
        <v>0</v>
      </c>
      <c r="AV459" s="2">
        <f t="shared" si="556"/>
        <v>0</v>
      </c>
      <c r="AW459" s="33">
        <f t="shared" si="557"/>
        <v>1.24</v>
      </c>
      <c r="AX459" s="31">
        <f t="shared" si="558"/>
        <v>1</v>
      </c>
      <c r="AY459" s="33">
        <f t="shared" si="559"/>
        <v>1.2</v>
      </c>
      <c r="AZ459" s="2"/>
      <c r="BA459" s="101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</row>
    <row r="460" spans="1:71" ht="12" customHeight="1">
      <c r="A460" s="2"/>
      <c r="B460" s="107">
        <v>385</v>
      </c>
      <c r="C460" s="31">
        <v>10</v>
      </c>
      <c r="D460" s="111" t="s">
        <v>8</v>
      </c>
      <c r="E460" s="2" t="s">
        <v>151</v>
      </c>
      <c r="F460" s="2"/>
      <c r="G460" s="2"/>
      <c r="H460" s="33" t="s">
        <v>81</v>
      </c>
      <c r="I460" s="99">
        <f t="shared" si="0"/>
        <v>730.23263844908627</v>
      </c>
      <c r="J460" s="101">
        <f t="shared" si="1"/>
        <v>28.185356224514496</v>
      </c>
      <c r="K460" s="101">
        <f t="shared" si="2"/>
        <v>321</v>
      </c>
      <c r="L460" s="74">
        <f t="shared" si="535"/>
        <v>214</v>
      </c>
      <c r="M460" s="99">
        <f t="shared" si="191"/>
        <v>13498.186845730645</v>
      </c>
      <c r="N460" s="108">
        <f t="shared" si="536"/>
        <v>5929.9856497336541</v>
      </c>
      <c r="O460" s="108">
        <f t="shared" si="537"/>
        <v>7568.2011959969905</v>
      </c>
      <c r="P460" s="108">
        <f t="shared" si="538"/>
        <v>0</v>
      </c>
      <c r="Q460" s="108"/>
      <c r="R460" s="109"/>
      <c r="S460" s="99">
        <f t="shared" si="399"/>
        <v>10504.26615761912</v>
      </c>
      <c r="T460" s="108">
        <f t="shared" si="539"/>
        <v>4614.7047961012686</v>
      </c>
      <c r="U460" s="108">
        <f t="shared" si="540"/>
        <v>5889.5613615178527</v>
      </c>
      <c r="V460" s="108">
        <f t="shared" si="541"/>
        <v>0</v>
      </c>
      <c r="W460" s="108"/>
      <c r="X460" s="109"/>
      <c r="Y460" s="99">
        <f t="shared" si="8"/>
        <v>26260.665394047806</v>
      </c>
      <c r="Z460" s="108">
        <f t="shared" si="542"/>
        <v>11536.761990253171</v>
      </c>
      <c r="AA460" s="108">
        <f t="shared" si="543"/>
        <v>14723.903403794633</v>
      </c>
      <c r="AB460" s="108">
        <f t="shared" si="544"/>
        <v>0</v>
      </c>
      <c r="AC460" s="108"/>
      <c r="AD460" s="109"/>
      <c r="AE460" s="99">
        <f t="shared" si="560"/>
        <v>18.484776131615998</v>
      </c>
      <c r="AF460" s="101">
        <f t="shared" ref="AF460" si="569">AP460</f>
        <v>36</v>
      </c>
      <c r="AG460" s="101">
        <f t="shared" si="458"/>
        <v>19.001300000000001</v>
      </c>
      <c r="AH460" s="101">
        <f t="shared" si="546"/>
        <v>521</v>
      </c>
      <c r="AI460" s="101">
        <f t="shared" si="547"/>
        <v>250</v>
      </c>
      <c r="AJ460" s="108">
        <f t="shared" si="548"/>
        <v>1.6666666666666667</v>
      </c>
      <c r="AK460" s="101">
        <f t="shared" si="461"/>
        <v>7294.6292761243903</v>
      </c>
      <c r="AL460" s="101">
        <f t="shared" si="549"/>
        <v>3204.6561084036589</v>
      </c>
      <c r="AM460" s="101">
        <f t="shared" si="550"/>
        <v>4089.9731677207315</v>
      </c>
      <c r="AN460" s="101"/>
      <c r="AO460" s="1">
        <v>24</v>
      </c>
      <c r="AP460" s="2">
        <v>36</v>
      </c>
      <c r="AQ460" s="74">
        <f t="shared" si="551"/>
        <v>521</v>
      </c>
      <c r="AR460" s="31">
        <f t="shared" si="552"/>
        <v>1.2</v>
      </c>
      <c r="AS460" s="2">
        <f t="shared" si="553"/>
        <v>0</v>
      </c>
      <c r="AT460" s="33">
        <f t="shared" si="554"/>
        <v>0</v>
      </c>
      <c r="AU460" s="31">
        <f t="shared" si="555"/>
        <v>0</v>
      </c>
      <c r="AV460" s="2">
        <f t="shared" si="556"/>
        <v>0</v>
      </c>
      <c r="AW460" s="33">
        <f t="shared" si="557"/>
        <v>1</v>
      </c>
      <c r="AX460" s="31">
        <f t="shared" si="558"/>
        <v>1</v>
      </c>
      <c r="AY460" s="33">
        <f t="shared" si="559"/>
        <v>1.2</v>
      </c>
      <c r="AZ460" s="2"/>
      <c r="BA460" s="101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</row>
    <row r="461" spans="1:71" ht="12" customHeight="1">
      <c r="A461" s="2"/>
      <c r="B461" s="107">
        <v>386</v>
      </c>
      <c r="C461" s="31">
        <v>10</v>
      </c>
      <c r="D461" s="111" t="s">
        <v>8</v>
      </c>
      <c r="E461" s="2" t="s">
        <v>165</v>
      </c>
      <c r="F461" s="2"/>
      <c r="G461" s="2"/>
      <c r="H461" s="33" t="s">
        <v>81</v>
      </c>
      <c r="I461" s="99">
        <f t="shared" si="0"/>
        <v>943.33231469400505</v>
      </c>
      <c r="J461" s="101">
        <f t="shared" si="1"/>
        <v>28.185356224514496</v>
      </c>
      <c r="K461" s="101">
        <f t="shared" si="2"/>
        <v>186</v>
      </c>
      <c r="L461" s="74">
        <f t="shared" si="535"/>
        <v>141</v>
      </c>
      <c r="M461" s="99">
        <f t="shared" si="191"/>
        <v>17437.286654837815</v>
      </c>
      <c r="N461" s="108">
        <f t="shared" si="536"/>
        <v>7660.4999482716294</v>
      </c>
      <c r="O461" s="108">
        <f t="shared" si="537"/>
        <v>9776.7867065661849</v>
      </c>
      <c r="P461" s="108">
        <f t="shared" si="538"/>
        <v>0</v>
      </c>
      <c r="Q461" s="108"/>
      <c r="R461" s="109"/>
      <c r="S461" s="99">
        <f t="shared" si="399"/>
        <v>10504.26615761912</v>
      </c>
      <c r="T461" s="108">
        <f t="shared" si="539"/>
        <v>4614.7047961012686</v>
      </c>
      <c r="U461" s="108">
        <f t="shared" si="540"/>
        <v>5889.5613615178527</v>
      </c>
      <c r="V461" s="108">
        <f t="shared" si="541"/>
        <v>0</v>
      </c>
      <c r="W461" s="108"/>
      <c r="X461" s="109"/>
      <c r="Y461" s="99">
        <f t="shared" si="8"/>
        <v>26260.665394047806</v>
      </c>
      <c r="Z461" s="108">
        <f t="shared" si="542"/>
        <v>11536.761990253171</v>
      </c>
      <c r="AA461" s="108">
        <f t="shared" si="543"/>
        <v>14723.903403794633</v>
      </c>
      <c r="AB461" s="108">
        <f t="shared" si="544"/>
        <v>0</v>
      </c>
      <c r="AC461" s="108"/>
      <c r="AD461" s="109"/>
      <c r="AE461" s="99">
        <f t="shared" si="560"/>
        <v>18.484776131615998</v>
      </c>
      <c r="AF461" s="101">
        <f t="shared" ref="AF461" si="570">AP461</f>
        <v>36</v>
      </c>
      <c r="AG461" s="101">
        <f t="shared" si="458"/>
        <v>44.001300000000001</v>
      </c>
      <c r="AH461" s="101">
        <f t="shared" si="546"/>
        <v>521</v>
      </c>
      <c r="AI461" s="101">
        <f t="shared" si="547"/>
        <v>250</v>
      </c>
      <c r="AJ461" s="108">
        <f t="shared" si="548"/>
        <v>1.6666666666666667</v>
      </c>
      <c r="AK461" s="101">
        <f t="shared" si="461"/>
        <v>7294.6292761243903</v>
      </c>
      <c r="AL461" s="101">
        <f t="shared" si="549"/>
        <v>3204.6561084036589</v>
      </c>
      <c r="AM461" s="101">
        <f t="shared" si="550"/>
        <v>4089.9731677207315</v>
      </c>
      <c r="AN461" s="101"/>
      <c r="AO461" s="1">
        <v>24</v>
      </c>
      <c r="AP461" s="2">
        <v>36</v>
      </c>
      <c r="AQ461" s="74">
        <f t="shared" si="551"/>
        <v>521</v>
      </c>
      <c r="AR461" s="31">
        <f t="shared" si="552"/>
        <v>1.2</v>
      </c>
      <c r="AS461" s="2">
        <f t="shared" si="553"/>
        <v>0</v>
      </c>
      <c r="AT461" s="33">
        <f t="shared" si="554"/>
        <v>0</v>
      </c>
      <c r="AU461" s="31">
        <f t="shared" si="555"/>
        <v>25</v>
      </c>
      <c r="AV461" s="2">
        <f t="shared" si="556"/>
        <v>0</v>
      </c>
      <c r="AW461" s="33">
        <f t="shared" si="557"/>
        <v>1</v>
      </c>
      <c r="AX461" s="31">
        <f t="shared" si="558"/>
        <v>1</v>
      </c>
      <c r="AY461" s="33">
        <f t="shared" si="559"/>
        <v>1.2</v>
      </c>
      <c r="AZ461" s="2"/>
      <c r="BA461" s="101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</row>
    <row r="462" spans="1:71" ht="12" customHeight="1">
      <c r="A462" s="2"/>
      <c r="B462" s="107">
        <v>387</v>
      </c>
      <c r="C462" s="31">
        <v>10</v>
      </c>
      <c r="D462" s="111" t="s">
        <v>8</v>
      </c>
      <c r="E462" s="2" t="s">
        <v>157</v>
      </c>
      <c r="F462" s="2"/>
      <c r="G462" s="2"/>
      <c r="H462" s="33" t="s">
        <v>81</v>
      </c>
      <c r="I462" s="99">
        <f t="shared" si="0"/>
        <v>766.55744590202642</v>
      </c>
      <c r="J462" s="101">
        <f t="shared" si="1"/>
        <v>28.185356224514496</v>
      </c>
      <c r="K462" s="101">
        <f t="shared" si="2"/>
        <v>288</v>
      </c>
      <c r="L462" s="74">
        <f t="shared" si="535"/>
        <v>199</v>
      </c>
      <c r="M462" s="99">
        <f t="shared" si="191"/>
        <v>14169.642779522299</v>
      </c>
      <c r="N462" s="108">
        <f t="shared" si="536"/>
        <v>5929.9856497336541</v>
      </c>
      <c r="O462" s="108">
        <f t="shared" si="537"/>
        <v>8239.6571297886458</v>
      </c>
      <c r="P462" s="108">
        <f t="shared" si="538"/>
        <v>0</v>
      </c>
      <c r="Q462" s="108"/>
      <c r="R462" s="109"/>
      <c r="S462" s="99">
        <f t="shared" si="399"/>
        <v>10504.26615761912</v>
      </c>
      <c r="T462" s="108">
        <f t="shared" si="539"/>
        <v>4614.7047961012686</v>
      </c>
      <c r="U462" s="108">
        <f t="shared" si="540"/>
        <v>5889.5613615178527</v>
      </c>
      <c r="V462" s="108">
        <f t="shared" si="541"/>
        <v>0</v>
      </c>
      <c r="W462" s="108"/>
      <c r="X462" s="109"/>
      <c r="Y462" s="99">
        <f t="shared" si="8"/>
        <v>29794.402210958513</v>
      </c>
      <c r="Z462" s="108">
        <f t="shared" si="542"/>
        <v>11536.761990253171</v>
      </c>
      <c r="AA462" s="108">
        <f t="shared" si="543"/>
        <v>18257.640220705343</v>
      </c>
      <c r="AB462" s="108">
        <f t="shared" si="544"/>
        <v>0</v>
      </c>
      <c r="AC462" s="108"/>
      <c r="AD462" s="109"/>
      <c r="AE462" s="99">
        <f t="shared" si="560"/>
        <v>18.484776131615998</v>
      </c>
      <c r="AF462" s="101">
        <f t="shared" ref="AF462" si="571">AP462</f>
        <v>36</v>
      </c>
      <c r="AG462" s="101">
        <f t="shared" si="458"/>
        <v>19.001300000000001</v>
      </c>
      <c r="AH462" s="101">
        <f t="shared" si="546"/>
        <v>521</v>
      </c>
      <c r="AI462" s="101">
        <f t="shared" si="547"/>
        <v>310</v>
      </c>
      <c r="AJ462" s="108">
        <f t="shared" si="548"/>
        <v>1.6666666666666667</v>
      </c>
      <c r="AK462" s="101">
        <f t="shared" si="461"/>
        <v>7294.6292761243903</v>
      </c>
      <c r="AL462" s="101">
        <f t="shared" si="549"/>
        <v>3204.6561084036589</v>
      </c>
      <c r="AM462" s="101">
        <f t="shared" si="550"/>
        <v>4089.9731677207315</v>
      </c>
      <c r="AN462" s="101"/>
      <c r="AO462" s="1">
        <v>24</v>
      </c>
      <c r="AP462" s="2">
        <v>36</v>
      </c>
      <c r="AQ462" s="74">
        <f t="shared" si="551"/>
        <v>521</v>
      </c>
      <c r="AR462" s="31">
        <f t="shared" si="552"/>
        <v>1.2</v>
      </c>
      <c r="AS462" s="2">
        <f t="shared" si="553"/>
        <v>0</v>
      </c>
      <c r="AT462" s="33">
        <f t="shared" si="554"/>
        <v>0</v>
      </c>
      <c r="AU462" s="31">
        <f t="shared" si="555"/>
        <v>0</v>
      </c>
      <c r="AV462" s="2">
        <f t="shared" si="556"/>
        <v>0</v>
      </c>
      <c r="AW462" s="33">
        <f t="shared" si="557"/>
        <v>1.24</v>
      </c>
      <c r="AX462" s="31">
        <f t="shared" si="558"/>
        <v>1</v>
      </c>
      <c r="AY462" s="33">
        <f t="shared" si="559"/>
        <v>1.2</v>
      </c>
      <c r="AZ462" s="2"/>
      <c r="BA462" s="101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</row>
    <row r="463" spans="1:71" ht="12" customHeight="1">
      <c r="A463" s="2"/>
      <c r="B463" s="107">
        <v>388</v>
      </c>
      <c r="C463" s="31">
        <v>7</v>
      </c>
      <c r="D463" s="111" t="s">
        <v>8</v>
      </c>
      <c r="E463" s="2" t="s">
        <v>67</v>
      </c>
      <c r="F463" s="2"/>
      <c r="G463" s="2"/>
      <c r="H463" s="33" t="s">
        <v>81</v>
      </c>
      <c r="I463" s="99">
        <f t="shared" si="0"/>
        <v>449.55189039125588</v>
      </c>
      <c r="J463" s="101">
        <f t="shared" si="1"/>
        <v>19.637781784066725</v>
      </c>
      <c r="K463" s="101">
        <f t="shared" si="2"/>
        <v>675</v>
      </c>
      <c r="L463" s="74">
        <f t="shared" si="535"/>
        <v>358</v>
      </c>
      <c r="M463" s="99">
        <f t="shared" si="191"/>
        <v>8309.8660534271385</v>
      </c>
      <c r="N463" s="108">
        <f t="shared" si="536"/>
        <v>3648.8294127818094</v>
      </c>
      <c r="O463" s="108">
        <f t="shared" si="537"/>
        <v>4661.0366406453295</v>
      </c>
      <c r="P463" s="108">
        <f t="shared" si="538"/>
        <v>0</v>
      </c>
      <c r="Q463" s="108"/>
      <c r="R463" s="109"/>
      <c r="S463" s="99">
        <f t="shared" si="399"/>
        <v>6983.0044322432941</v>
      </c>
      <c r="T463" s="108">
        <f t="shared" si="539"/>
        <v>3066.2097076097566</v>
      </c>
      <c r="U463" s="108">
        <f t="shared" si="540"/>
        <v>3916.7947246335375</v>
      </c>
      <c r="V463" s="108">
        <f t="shared" si="541"/>
        <v>0</v>
      </c>
      <c r="W463" s="108"/>
      <c r="X463" s="109"/>
      <c r="Y463" s="99">
        <f t="shared" si="8"/>
        <v>13966.008864486588</v>
      </c>
      <c r="Z463" s="108">
        <f t="shared" si="542"/>
        <v>6132.4194152195132</v>
      </c>
      <c r="AA463" s="108">
        <f t="shared" si="543"/>
        <v>7833.589449267075</v>
      </c>
      <c r="AB463" s="108">
        <f t="shared" si="544"/>
        <v>0</v>
      </c>
      <c r="AC463" s="108"/>
      <c r="AD463" s="109"/>
      <c r="AE463" s="99">
        <f t="shared" si="560"/>
        <v>18.484776131615998</v>
      </c>
      <c r="AF463" s="101">
        <f t="shared" ref="AF463" si="572">AP463</f>
        <v>36</v>
      </c>
      <c r="AG463" s="101">
        <f t="shared" si="458"/>
        <v>19.001300000000001</v>
      </c>
      <c r="AH463" s="101">
        <f t="shared" si="546"/>
        <v>363</v>
      </c>
      <c r="AI463" s="101">
        <f t="shared" si="547"/>
        <v>200</v>
      </c>
      <c r="AJ463" s="108">
        <f t="shared" si="548"/>
        <v>1.6666666666666667</v>
      </c>
      <c r="AK463" s="101">
        <f t="shared" si="461"/>
        <v>6983.0044322432941</v>
      </c>
      <c r="AL463" s="101">
        <f t="shared" si="549"/>
        <v>3066.2097076097566</v>
      </c>
      <c r="AM463" s="101">
        <f t="shared" si="550"/>
        <v>3916.7947246335375</v>
      </c>
      <c r="AN463" s="101"/>
      <c r="AO463" s="1">
        <v>24</v>
      </c>
      <c r="AP463" s="2">
        <v>36</v>
      </c>
      <c r="AQ463" s="74">
        <f t="shared" si="551"/>
        <v>363</v>
      </c>
      <c r="AR463" s="31">
        <f t="shared" si="552"/>
        <v>1</v>
      </c>
      <c r="AS463" s="2">
        <f t="shared" si="553"/>
        <v>0</v>
      </c>
      <c r="AT463" s="33">
        <f t="shared" si="554"/>
        <v>0</v>
      </c>
      <c r="AU463" s="31">
        <f t="shared" si="555"/>
        <v>0</v>
      </c>
      <c r="AV463" s="2">
        <f t="shared" si="556"/>
        <v>0</v>
      </c>
      <c r="AW463" s="33">
        <f t="shared" si="557"/>
        <v>1</v>
      </c>
      <c r="AX463" s="31">
        <f t="shared" si="558"/>
        <v>1</v>
      </c>
      <c r="AY463" s="33">
        <f t="shared" si="559"/>
        <v>1</v>
      </c>
      <c r="AZ463" s="2"/>
      <c r="BA463" s="101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</row>
    <row r="464" spans="1:71" ht="12" customHeight="1">
      <c r="A464" s="2"/>
      <c r="B464" s="107">
        <v>389</v>
      </c>
      <c r="C464" s="31">
        <v>7</v>
      </c>
      <c r="D464" s="111" t="s">
        <v>8</v>
      </c>
      <c r="E464" s="2" t="s">
        <v>136</v>
      </c>
      <c r="F464" s="2"/>
      <c r="G464" s="2"/>
      <c r="H464" s="33" t="s">
        <v>81</v>
      </c>
      <c r="I464" s="99">
        <f t="shared" si="0"/>
        <v>543.99453311685136</v>
      </c>
      <c r="J464" s="101">
        <f t="shared" si="1"/>
        <v>19.637781784066725</v>
      </c>
      <c r="K464" s="101">
        <f t="shared" si="2"/>
        <v>545</v>
      </c>
      <c r="L464" s="74">
        <f t="shared" si="535"/>
        <v>304</v>
      </c>
      <c r="M464" s="99">
        <f t="shared" si="191"/>
        <v>10055.617161487962</v>
      </c>
      <c r="N464" s="108">
        <f t="shared" si="536"/>
        <v>4415.381839684248</v>
      </c>
      <c r="O464" s="108">
        <f t="shared" si="537"/>
        <v>5640.2353218037142</v>
      </c>
      <c r="P464" s="108">
        <f t="shared" si="538"/>
        <v>0</v>
      </c>
      <c r="Q464" s="108"/>
      <c r="R464" s="109"/>
      <c r="S464" s="99">
        <f t="shared" si="399"/>
        <v>6983.0044322432941</v>
      </c>
      <c r="T464" s="108">
        <f t="shared" si="539"/>
        <v>3066.2097076097566</v>
      </c>
      <c r="U464" s="108">
        <f t="shared" si="540"/>
        <v>3916.7947246335375</v>
      </c>
      <c r="V464" s="108">
        <f t="shared" si="541"/>
        <v>0</v>
      </c>
      <c r="W464" s="108"/>
      <c r="X464" s="109"/>
      <c r="Y464" s="99">
        <f t="shared" si="8"/>
        <v>13966.008864486588</v>
      </c>
      <c r="Z464" s="108">
        <f t="shared" si="542"/>
        <v>6132.4194152195132</v>
      </c>
      <c r="AA464" s="108">
        <f t="shared" si="543"/>
        <v>7833.589449267075</v>
      </c>
      <c r="AB464" s="108">
        <f t="shared" si="544"/>
        <v>0</v>
      </c>
      <c r="AC464" s="108"/>
      <c r="AD464" s="109"/>
      <c r="AE464" s="99">
        <f t="shared" si="560"/>
        <v>18.484776131615998</v>
      </c>
      <c r="AF464" s="101">
        <f t="shared" ref="AF464" si="573">AP464</f>
        <v>36</v>
      </c>
      <c r="AG464" s="101">
        <f t="shared" si="458"/>
        <v>44.001300000000001</v>
      </c>
      <c r="AH464" s="101">
        <f t="shared" si="546"/>
        <v>363</v>
      </c>
      <c r="AI464" s="101">
        <f t="shared" si="547"/>
        <v>200</v>
      </c>
      <c r="AJ464" s="108">
        <f t="shared" si="548"/>
        <v>1.6666666666666667</v>
      </c>
      <c r="AK464" s="101">
        <f t="shared" si="461"/>
        <v>6983.0044322432941</v>
      </c>
      <c r="AL464" s="101">
        <f t="shared" si="549"/>
        <v>3066.2097076097566</v>
      </c>
      <c r="AM464" s="101">
        <f t="shared" si="550"/>
        <v>3916.7947246335375</v>
      </c>
      <c r="AN464" s="101"/>
      <c r="AO464" s="1">
        <v>24</v>
      </c>
      <c r="AP464" s="2">
        <v>36</v>
      </c>
      <c r="AQ464" s="74">
        <f t="shared" si="551"/>
        <v>363</v>
      </c>
      <c r="AR464" s="31">
        <f t="shared" si="552"/>
        <v>1</v>
      </c>
      <c r="AS464" s="2">
        <f t="shared" si="553"/>
        <v>0</v>
      </c>
      <c r="AT464" s="33">
        <f t="shared" si="554"/>
        <v>0</v>
      </c>
      <c r="AU464" s="31">
        <f t="shared" si="555"/>
        <v>25</v>
      </c>
      <c r="AV464" s="2">
        <f t="shared" si="556"/>
        <v>0</v>
      </c>
      <c r="AW464" s="33">
        <f t="shared" si="557"/>
        <v>1</v>
      </c>
      <c r="AX464" s="31">
        <f t="shared" si="558"/>
        <v>1</v>
      </c>
      <c r="AY464" s="33">
        <f t="shared" si="559"/>
        <v>1</v>
      </c>
      <c r="AZ464" s="2"/>
      <c r="BA464" s="101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</row>
    <row r="465" spans="1:71" ht="12" customHeight="1">
      <c r="A465" s="2"/>
      <c r="B465" s="107">
        <v>390</v>
      </c>
      <c r="C465" s="31">
        <v>7</v>
      </c>
      <c r="D465" s="111" t="s">
        <v>8</v>
      </c>
      <c r="E465" s="2" t="s">
        <v>91</v>
      </c>
      <c r="F465" s="2"/>
      <c r="G465" s="2"/>
      <c r="H465" s="33" t="s">
        <v>81</v>
      </c>
      <c r="I465" s="99">
        <f t="shared" si="0"/>
        <v>468.87785447878696</v>
      </c>
      <c r="J465" s="101">
        <f t="shared" si="1"/>
        <v>19.637781784066725</v>
      </c>
      <c r="K465" s="101">
        <f t="shared" si="2"/>
        <v>644</v>
      </c>
      <c r="L465" s="74">
        <f t="shared" si="535"/>
        <v>344</v>
      </c>
      <c r="M465" s="99">
        <f t="shared" si="191"/>
        <v>8667.1021731128003</v>
      </c>
      <c r="N465" s="108">
        <f t="shared" si="536"/>
        <v>3648.8294127818094</v>
      </c>
      <c r="O465" s="108">
        <f t="shared" si="537"/>
        <v>5018.2727603309904</v>
      </c>
      <c r="P465" s="108">
        <f t="shared" si="538"/>
        <v>0</v>
      </c>
      <c r="Q465" s="108"/>
      <c r="R465" s="109"/>
      <c r="S465" s="99">
        <f t="shared" si="399"/>
        <v>6983.0044322432941</v>
      </c>
      <c r="T465" s="108">
        <f t="shared" si="539"/>
        <v>3066.2097076097566</v>
      </c>
      <c r="U465" s="108">
        <f t="shared" si="540"/>
        <v>3916.7947246335375</v>
      </c>
      <c r="V465" s="108">
        <f t="shared" si="541"/>
        <v>0</v>
      </c>
      <c r="W465" s="108"/>
      <c r="X465" s="109"/>
      <c r="Y465" s="99">
        <f t="shared" si="8"/>
        <v>15846.070332310686</v>
      </c>
      <c r="Z465" s="108">
        <f t="shared" si="542"/>
        <v>6132.4194152195132</v>
      </c>
      <c r="AA465" s="108">
        <f t="shared" si="543"/>
        <v>9713.6509170911722</v>
      </c>
      <c r="AB465" s="108">
        <f t="shared" si="544"/>
        <v>0</v>
      </c>
      <c r="AC465" s="108"/>
      <c r="AD465" s="109"/>
      <c r="AE465" s="99">
        <f t="shared" si="560"/>
        <v>18.484776131615998</v>
      </c>
      <c r="AF465" s="101">
        <f t="shared" ref="AF465" si="574">AP465</f>
        <v>36</v>
      </c>
      <c r="AG465" s="101">
        <f t="shared" si="458"/>
        <v>19.001300000000001</v>
      </c>
      <c r="AH465" s="101">
        <f t="shared" si="546"/>
        <v>363</v>
      </c>
      <c r="AI465" s="101">
        <f t="shared" si="547"/>
        <v>248</v>
      </c>
      <c r="AJ465" s="108">
        <f t="shared" si="548"/>
        <v>1.6666666666666667</v>
      </c>
      <c r="AK465" s="101">
        <f t="shared" si="461"/>
        <v>6983.0044322432941</v>
      </c>
      <c r="AL465" s="101">
        <f t="shared" si="549"/>
        <v>3066.2097076097566</v>
      </c>
      <c r="AM465" s="101">
        <f t="shared" si="550"/>
        <v>3916.7947246335375</v>
      </c>
      <c r="AN465" s="101"/>
      <c r="AO465" s="1">
        <v>24</v>
      </c>
      <c r="AP465" s="2">
        <v>36</v>
      </c>
      <c r="AQ465" s="74">
        <f t="shared" si="551"/>
        <v>363</v>
      </c>
      <c r="AR465" s="31">
        <f t="shared" si="552"/>
        <v>1</v>
      </c>
      <c r="AS465" s="2">
        <f t="shared" si="553"/>
        <v>0</v>
      </c>
      <c r="AT465" s="33">
        <f t="shared" si="554"/>
        <v>0</v>
      </c>
      <c r="AU465" s="31">
        <f t="shared" si="555"/>
        <v>0</v>
      </c>
      <c r="AV465" s="2">
        <f t="shared" si="556"/>
        <v>0</v>
      </c>
      <c r="AW465" s="33">
        <f t="shared" si="557"/>
        <v>1.24</v>
      </c>
      <c r="AX465" s="31">
        <f t="shared" si="558"/>
        <v>1</v>
      </c>
      <c r="AY465" s="33">
        <f t="shared" si="559"/>
        <v>1</v>
      </c>
      <c r="AZ465" s="2"/>
      <c r="BA465" s="101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</row>
    <row r="466" spans="1:71" ht="12" customHeight="1">
      <c r="A466" s="2"/>
      <c r="B466" s="107">
        <v>391</v>
      </c>
      <c r="C466" s="31">
        <v>7</v>
      </c>
      <c r="D466" s="111" t="s">
        <v>8</v>
      </c>
      <c r="E466" s="2" t="s">
        <v>148</v>
      </c>
      <c r="F466" s="2"/>
      <c r="G466" s="2"/>
      <c r="H466" s="33" t="s">
        <v>81</v>
      </c>
      <c r="I466" s="99">
        <f t="shared" si="0"/>
        <v>539.46226846950708</v>
      </c>
      <c r="J466" s="101">
        <f t="shared" si="1"/>
        <v>19.637781784066725</v>
      </c>
      <c r="K466" s="101">
        <f t="shared" si="2"/>
        <v>553</v>
      </c>
      <c r="L466" s="74">
        <f t="shared" si="535"/>
        <v>305</v>
      </c>
      <c r="M466" s="99">
        <f t="shared" si="191"/>
        <v>9971.8392641125665</v>
      </c>
      <c r="N466" s="108">
        <f t="shared" si="536"/>
        <v>4378.5952953381711</v>
      </c>
      <c r="O466" s="108">
        <f t="shared" si="537"/>
        <v>5593.2439687743954</v>
      </c>
      <c r="P466" s="108">
        <f t="shared" si="538"/>
        <v>0</v>
      </c>
      <c r="Q466" s="108"/>
      <c r="R466" s="109"/>
      <c r="S466" s="99">
        <f t="shared" si="399"/>
        <v>8379.6053186919526</v>
      </c>
      <c r="T466" s="108">
        <f t="shared" si="539"/>
        <v>3679.4516491317077</v>
      </c>
      <c r="U466" s="108">
        <f t="shared" si="540"/>
        <v>4700.1536695602445</v>
      </c>
      <c r="V466" s="108">
        <f t="shared" si="541"/>
        <v>0</v>
      </c>
      <c r="W466" s="108"/>
      <c r="X466" s="109"/>
      <c r="Y466" s="99">
        <f t="shared" si="8"/>
        <v>16759.210637383905</v>
      </c>
      <c r="Z466" s="108">
        <f t="shared" si="542"/>
        <v>7358.9032982634144</v>
      </c>
      <c r="AA466" s="108">
        <f t="shared" si="543"/>
        <v>9400.3073391204889</v>
      </c>
      <c r="AB466" s="108">
        <f t="shared" si="544"/>
        <v>0</v>
      </c>
      <c r="AC466" s="108"/>
      <c r="AD466" s="109"/>
      <c r="AE466" s="99">
        <f t="shared" si="560"/>
        <v>18.484776131615998</v>
      </c>
      <c r="AF466" s="101">
        <f t="shared" ref="AF466" si="575">AP466</f>
        <v>36</v>
      </c>
      <c r="AG466" s="101">
        <f t="shared" si="458"/>
        <v>19.001300000000001</v>
      </c>
      <c r="AH466" s="101">
        <f t="shared" si="546"/>
        <v>363</v>
      </c>
      <c r="AI466" s="101">
        <f t="shared" si="547"/>
        <v>200</v>
      </c>
      <c r="AJ466" s="108">
        <f t="shared" si="548"/>
        <v>1.6666666666666667</v>
      </c>
      <c r="AK466" s="101">
        <f t="shared" si="461"/>
        <v>6983.0044322432941</v>
      </c>
      <c r="AL466" s="101">
        <f t="shared" si="549"/>
        <v>3066.2097076097566</v>
      </c>
      <c r="AM466" s="101">
        <f t="shared" si="550"/>
        <v>3916.7947246335375</v>
      </c>
      <c r="AN466" s="101"/>
      <c r="AO466" s="1">
        <v>24</v>
      </c>
      <c r="AP466" s="2">
        <v>36</v>
      </c>
      <c r="AQ466" s="74">
        <f t="shared" si="551"/>
        <v>363</v>
      </c>
      <c r="AR466" s="31">
        <f t="shared" si="552"/>
        <v>1.2</v>
      </c>
      <c r="AS466" s="2">
        <f t="shared" si="553"/>
        <v>0</v>
      </c>
      <c r="AT466" s="33">
        <f t="shared" si="554"/>
        <v>0</v>
      </c>
      <c r="AU466" s="31">
        <f t="shared" si="555"/>
        <v>0</v>
      </c>
      <c r="AV466" s="2">
        <f t="shared" si="556"/>
        <v>0</v>
      </c>
      <c r="AW466" s="33">
        <f t="shared" si="557"/>
        <v>1</v>
      </c>
      <c r="AX466" s="31">
        <f t="shared" si="558"/>
        <v>1</v>
      </c>
      <c r="AY466" s="33">
        <f t="shared" si="559"/>
        <v>1</v>
      </c>
      <c r="AZ466" s="2"/>
      <c r="BA466" s="101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</row>
    <row r="467" spans="1:71" ht="12" customHeight="1">
      <c r="A467" s="2"/>
      <c r="B467" s="107">
        <v>392</v>
      </c>
      <c r="C467" s="31">
        <v>7</v>
      </c>
      <c r="D467" s="111" t="s">
        <v>8</v>
      </c>
      <c r="E467" s="2" t="s">
        <v>163</v>
      </c>
      <c r="F467" s="2"/>
      <c r="G467" s="2"/>
      <c r="H467" s="33" t="s">
        <v>81</v>
      </c>
      <c r="I467" s="99">
        <f t="shared" si="0"/>
        <v>652.79343974022163</v>
      </c>
      <c r="J467" s="101">
        <f t="shared" si="1"/>
        <v>19.637781784066725</v>
      </c>
      <c r="K467" s="101">
        <f t="shared" si="2"/>
        <v>401</v>
      </c>
      <c r="L467" s="74">
        <f t="shared" si="535"/>
        <v>253</v>
      </c>
      <c r="M467" s="99">
        <f t="shared" si="191"/>
        <v>12066.740593785555</v>
      </c>
      <c r="N467" s="108">
        <f t="shared" si="536"/>
        <v>5298.4582076210972</v>
      </c>
      <c r="O467" s="108">
        <f t="shared" si="537"/>
        <v>6768.2823861644565</v>
      </c>
      <c r="P467" s="108">
        <f t="shared" si="538"/>
        <v>0</v>
      </c>
      <c r="Q467" s="108"/>
      <c r="R467" s="109"/>
      <c r="S467" s="99">
        <f t="shared" si="399"/>
        <v>8379.6053186919526</v>
      </c>
      <c r="T467" s="108">
        <f t="shared" si="539"/>
        <v>3679.4516491317077</v>
      </c>
      <c r="U467" s="108">
        <f t="shared" si="540"/>
        <v>4700.1536695602445</v>
      </c>
      <c r="V467" s="108">
        <f t="shared" si="541"/>
        <v>0</v>
      </c>
      <c r="W467" s="108"/>
      <c r="X467" s="109"/>
      <c r="Y467" s="99">
        <f t="shared" si="8"/>
        <v>16759.210637383905</v>
      </c>
      <c r="Z467" s="108">
        <f t="shared" si="542"/>
        <v>7358.9032982634144</v>
      </c>
      <c r="AA467" s="108">
        <f t="shared" si="543"/>
        <v>9400.3073391204889</v>
      </c>
      <c r="AB467" s="108">
        <f t="shared" si="544"/>
        <v>0</v>
      </c>
      <c r="AC467" s="108"/>
      <c r="AD467" s="109"/>
      <c r="AE467" s="99">
        <f t="shared" si="560"/>
        <v>18.484776131615998</v>
      </c>
      <c r="AF467" s="101">
        <f t="shared" ref="AF467" si="576">AP467</f>
        <v>36</v>
      </c>
      <c r="AG467" s="101">
        <f t="shared" si="458"/>
        <v>44.001300000000001</v>
      </c>
      <c r="AH467" s="101">
        <f t="shared" si="546"/>
        <v>363</v>
      </c>
      <c r="AI467" s="101">
        <f t="shared" si="547"/>
        <v>200</v>
      </c>
      <c r="AJ467" s="108">
        <f t="shared" si="548"/>
        <v>1.6666666666666667</v>
      </c>
      <c r="AK467" s="101">
        <f t="shared" si="461"/>
        <v>6983.0044322432941</v>
      </c>
      <c r="AL467" s="101">
        <f t="shared" si="549"/>
        <v>3066.2097076097566</v>
      </c>
      <c r="AM467" s="101">
        <f t="shared" si="550"/>
        <v>3916.7947246335375</v>
      </c>
      <c r="AN467" s="101"/>
      <c r="AO467" s="1">
        <v>24</v>
      </c>
      <c r="AP467" s="2">
        <v>36</v>
      </c>
      <c r="AQ467" s="74">
        <f t="shared" si="551"/>
        <v>363</v>
      </c>
      <c r="AR467" s="31">
        <f t="shared" si="552"/>
        <v>1.2</v>
      </c>
      <c r="AS467" s="2">
        <f t="shared" si="553"/>
        <v>0</v>
      </c>
      <c r="AT467" s="33">
        <f t="shared" si="554"/>
        <v>0</v>
      </c>
      <c r="AU467" s="31">
        <f t="shared" si="555"/>
        <v>25</v>
      </c>
      <c r="AV467" s="2">
        <f t="shared" si="556"/>
        <v>0</v>
      </c>
      <c r="AW467" s="33">
        <f t="shared" si="557"/>
        <v>1</v>
      </c>
      <c r="AX467" s="31">
        <f t="shared" si="558"/>
        <v>1</v>
      </c>
      <c r="AY467" s="33">
        <f t="shared" si="559"/>
        <v>1</v>
      </c>
      <c r="AZ467" s="2"/>
      <c r="BA467" s="101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</row>
    <row r="468" spans="1:71" ht="12" customHeight="1">
      <c r="A468" s="2"/>
      <c r="B468" s="107">
        <v>393</v>
      </c>
      <c r="C468" s="31">
        <v>7</v>
      </c>
      <c r="D468" s="111" t="s">
        <v>8</v>
      </c>
      <c r="E468" s="2" t="s">
        <v>155</v>
      </c>
      <c r="F468" s="2"/>
      <c r="G468" s="2"/>
      <c r="H468" s="33" t="s">
        <v>81</v>
      </c>
      <c r="I468" s="99">
        <f t="shared" si="0"/>
        <v>562.65342537454421</v>
      </c>
      <c r="J468" s="101">
        <f t="shared" si="1"/>
        <v>19.637781784066725</v>
      </c>
      <c r="K468" s="101">
        <f t="shared" si="2"/>
        <v>516</v>
      </c>
      <c r="L468" s="74">
        <f t="shared" si="535"/>
        <v>291</v>
      </c>
      <c r="M468" s="99">
        <f t="shared" si="191"/>
        <v>10400.522607735358</v>
      </c>
      <c r="N468" s="108">
        <f t="shared" si="536"/>
        <v>4378.5952953381711</v>
      </c>
      <c r="O468" s="108">
        <f t="shared" si="537"/>
        <v>6021.9273123971871</v>
      </c>
      <c r="P468" s="108">
        <f t="shared" si="538"/>
        <v>0</v>
      </c>
      <c r="Q468" s="108"/>
      <c r="R468" s="109"/>
      <c r="S468" s="99">
        <f t="shared" si="399"/>
        <v>8379.6053186919526</v>
      </c>
      <c r="T468" s="108">
        <f t="shared" si="539"/>
        <v>3679.4516491317077</v>
      </c>
      <c r="U468" s="108">
        <f t="shared" si="540"/>
        <v>4700.1536695602445</v>
      </c>
      <c r="V468" s="108">
        <f t="shared" si="541"/>
        <v>0</v>
      </c>
      <c r="W468" s="108"/>
      <c r="X468" s="109"/>
      <c r="Y468" s="99">
        <f t="shared" si="8"/>
        <v>19015.284398772819</v>
      </c>
      <c r="Z468" s="108">
        <f t="shared" si="542"/>
        <v>7358.9032982634144</v>
      </c>
      <c r="AA468" s="108">
        <f t="shared" si="543"/>
        <v>11656.381100509407</v>
      </c>
      <c r="AB468" s="108">
        <f t="shared" si="544"/>
        <v>0</v>
      </c>
      <c r="AC468" s="108"/>
      <c r="AD468" s="109"/>
      <c r="AE468" s="99">
        <f t="shared" si="560"/>
        <v>18.484776131615998</v>
      </c>
      <c r="AF468" s="101">
        <f t="shared" ref="AF468" si="577">AP468</f>
        <v>36</v>
      </c>
      <c r="AG468" s="101">
        <f t="shared" si="458"/>
        <v>19.001300000000001</v>
      </c>
      <c r="AH468" s="101">
        <f t="shared" si="546"/>
        <v>363</v>
      </c>
      <c r="AI468" s="101">
        <f t="shared" si="547"/>
        <v>248</v>
      </c>
      <c r="AJ468" s="108">
        <f t="shared" si="548"/>
        <v>1.6666666666666667</v>
      </c>
      <c r="AK468" s="101">
        <f t="shared" si="461"/>
        <v>6983.0044322432941</v>
      </c>
      <c r="AL468" s="101">
        <f t="shared" si="549"/>
        <v>3066.2097076097566</v>
      </c>
      <c r="AM468" s="101">
        <f t="shared" si="550"/>
        <v>3916.7947246335375</v>
      </c>
      <c r="AN468" s="101"/>
      <c r="AO468" s="1">
        <v>24</v>
      </c>
      <c r="AP468" s="2">
        <v>36</v>
      </c>
      <c r="AQ468" s="74">
        <f t="shared" si="551"/>
        <v>363</v>
      </c>
      <c r="AR468" s="31">
        <f t="shared" si="552"/>
        <v>1.2</v>
      </c>
      <c r="AS468" s="2">
        <f t="shared" si="553"/>
        <v>0</v>
      </c>
      <c r="AT468" s="33">
        <f t="shared" si="554"/>
        <v>0</v>
      </c>
      <c r="AU468" s="31">
        <f t="shared" si="555"/>
        <v>0</v>
      </c>
      <c r="AV468" s="2">
        <f t="shared" si="556"/>
        <v>0</v>
      </c>
      <c r="AW468" s="33">
        <f t="shared" si="557"/>
        <v>1.24</v>
      </c>
      <c r="AX468" s="31">
        <f t="shared" si="558"/>
        <v>1</v>
      </c>
      <c r="AY468" s="33">
        <f t="shared" si="559"/>
        <v>1</v>
      </c>
      <c r="AZ468" s="2"/>
      <c r="BA468" s="101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</row>
    <row r="469" spans="1:71" ht="12" customHeight="1">
      <c r="A469" s="2"/>
      <c r="B469" s="107">
        <v>394</v>
      </c>
      <c r="C469" s="31">
        <v>4</v>
      </c>
      <c r="D469" s="111" t="s">
        <v>8</v>
      </c>
      <c r="E469" s="2" t="s">
        <v>67</v>
      </c>
      <c r="F469" s="2"/>
      <c r="G469" s="2"/>
      <c r="H469" s="33" t="s">
        <v>81</v>
      </c>
      <c r="I469" s="99">
        <f t="shared" si="0"/>
        <v>416.48009340673673</v>
      </c>
      <c r="J469" s="101">
        <f t="shared" si="1"/>
        <v>10.765615909171565</v>
      </c>
      <c r="K469" s="101">
        <f t="shared" si="2"/>
        <v>716</v>
      </c>
      <c r="L469" s="74">
        <f t="shared" si="535"/>
        <v>373</v>
      </c>
      <c r="M469" s="99">
        <f t="shared" si="191"/>
        <v>7698.5412898980485</v>
      </c>
      <c r="N469" s="108">
        <f t="shared" si="536"/>
        <v>3383.8549536456726</v>
      </c>
      <c r="O469" s="108">
        <f t="shared" si="537"/>
        <v>4314.6863362523763</v>
      </c>
      <c r="P469" s="108">
        <f t="shared" si="538"/>
        <v>0</v>
      </c>
      <c r="Q469" s="108"/>
      <c r="R469" s="109"/>
      <c r="S469" s="99">
        <f t="shared" si="399"/>
        <v>6469.291755550611</v>
      </c>
      <c r="T469" s="108">
        <f t="shared" si="539"/>
        <v>2843.544527367073</v>
      </c>
      <c r="U469" s="108">
        <f t="shared" si="540"/>
        <v>3625.747228183538</v>
      </c>
      <c r="V469" s="108">
        <f t="shared" si="541"/>
        <v>0</v>
      </c>
      <c r="W469" s="108"/>
      <c r="X469" s="109"/>
      <c r="Y469" s="99">
        <f t="shared" si="8"/>
        <v>12938.583511101222</v>
      </c>
      <c r="Z469" s="108">
        <f t="shared" si="542"/>
        <v>5687.089054734146</v>
      </c>
      <c r="AA469" s="108">
        <f t="shared" si="543"/>
        <v>7251.4944563670761</v>
      </c>
      <c r="AB469" s="108">
        <f t="shared" si="544"/>
        <v>0</v>
      </c>
      <c r="AC469" s="108"/>
      <c r="AD469" s="109"/>
      <c r="AE469" s="99">
        <f t="shared" si="560"/>
        <v>18.484776131615998</v>
      </c>
      <c r="AF469" s="101">
        <f t="shared" ref="AF469" si="578">AP469</f>
        <v>36</v>
      </c>
      <c r="AG469" s="101">
        <f t="shared" si="458"/>
        <v>19.001300000000001</v>
      </c>
      <c r="AH469" s="101">
        <f t="shared" si="546"/>
        <v>199</v>
      </c>
      <c r="AI469" s="101">
        <f t="shared" si="547"/>
        <v>200</v>
      </c>
      <c r="AJ469" s="108">
        <f t="shared" si="548"/>
        <v>1.6666666666666667</v>
      </c>
      <c r="AK469" s="101">
        <f t="shared" si="461"/>
        <v>6469.291755550611</v>
      </c>
      <c r="AL469" s="101">
        <f t="shared" si="549"/>
        <v>2843.544527367073</v>
      </c>
      <c r="AM469" s="101">
        <f t="shared" si="550"/>
        <v>3625.747228183538</v>
      </c>
      <c r="AN469" s="101"/>
      <c r="AO469" s="1">
        <v>24</v>
      </c>
      <c r="AP469" s="2">
        <v>36</v>
      </c>
      <c r="AQ469" s="74">
        <f t="shared" si="551"/>
        <v>199</v>
      </c>
      <c r="AR469" s="31">
        <f t="shared" si="552"/>
        <v>1</v>
      </c>
      <c r="AS469" s="2">
        <f t="shared" si="553"/>
        <v>0</v>
      </c>
      <c r="AT469" s="33">
        <f t="shared" si="554"/>
        <v>0</v>
      </c>
      <c r="AU469" s="31">
        <f t="shared" si="555"/>
        <v>0</v>
      </c>
      <c r="AV469" s="2">
        <f t="shared" si="556"/>
        <v>0</v>
      </c>
      <c r="AW469" s="33">
        <f t="shared" si="557"/>
        <v>1</v>
      </c>
      <c r="AX469" s="31">
        <f t="shared" si="558"/>
        <v>1</v>
      </c>
      <c r="AY469" s="33">
        <f t="shared" si="559"/>
        <v>1</v>
      </c>
      <c r="AZ469" s="2"/>
      <c r="BA469" s="101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</row>
    <row r="470" spans="1:71" ht="12" customHeight="1">
      <c r="A470" s="2"/>
      <c r="B470" s="107">
        <v>395</v>
      </c>
      <c r="C470" s="31">
        <v>4</v>
      </c>
      <c r="D470" s="111" t="s">
        <v>8</v>
      </c>
      <c r="E470" s="2" t="s">
        <v>148</v>
      </c>
      <c r="F470" s="2"/>
      <c r="G470" s="2"/>
      <c r="H470" s="33" t="s">
        <v>81</v>
      </c>
      <c r="I470" s="99">
        <f t="shared" si="0"/>
        <v>499.77611208808406</v>
      </c>
      <c r="J470" s="101">
        <f t="shared" si="1"/>
        <v>10.765615909171565</v>
      </c>
      <c r="K470" s="101">
        <f t="shared" si="2"/>
        <v>605</v>
      </c>
      <c r="L470" s="74">
        <f t="shared" si="535"/>
        <v>329</v>
      </c>
      <c r="M470" s="99">
        <f t="shared" si="191"/>
        <v>9238.2495478776582</v>
      </c>
      <c r="N470" s="108">
        <f t="shared" si="536"/>
        <v>4060.6259443748072</v>
      </c>
      <c r="O470" s="108">
        <f t="shared" si="537"/>
        <v>5177.6236035028514</v>
      </c>
      <c r="P470" s="108">
        <f t="shared" si="538"/>
        <v>0</v>
      </c>
      <c r="Q470" s="108"/>
      <c r="R470" s="109"/>
      <c r="S470" s="99">
        <f t="shared" si="399"/>
        <v>7763.1501066607325</v>
      </c>
      <c r="T470" s="108">
        <f t="shared" si="539"/>
        <v>3412.2534328404877</v>
      </c>
      <c r="U470" s="108">
        <f t="shared" si="540"/>
        <v>4350.8966738202453</v>
      </c>
      <c r="V470" s="108">
        <f t="shared" si="541"/>
        <v>0</v>
      </c>
      <c r="W470" s="108"/>
      <c r="X470" s="109"/>
      <c r="Y470" s="99">
        <f t="shared" si="8"/>
        <v>15526.300213321465</v>
      </c>
      <c r="Z470" s="108">
        <f t="shared" si="542"/>
        <v>6824.5068656809754</v>
      </c>
      <c r="AA470" s="108">
        <f t="shared" si="543"/>
        <v>8701.7933476404905</v>
      </c>
      <c r="AB470" s="108">
        <f t="shared" si="544"/>
        <v>0</v>
      </c>
      <c r="AC470" s="108"/>
      <c r="AD470" s="109"/>
      <c r="AE470" s="99">
        <f t="shared" si="560"/>
        <v>18.484776131615998</v>
      </c>
      <c r="AF470" s="101">
        <f t="shared" ref="AF470" si="579">AP470</f>
        <v>36</v>
      </c>
      <c r="AG470" s="101">
        <f t="shared" si="458"/>
        <v>19.001300000000001</v>
      </c>
      <c r="AH470" s="101">
        <f t="shared" si="546"/>
        <v>199</v>
      </c>
      <c r="AI470" s="101">
        <f t="shared" si="547"/>
        <v>200</v>
      </c>
      <c r="AJ470" s="108">
        <f t="shared" si="548"/>
        <v>1.6666666666666667</v>
      </c>
      <c r="AK470" s="101">
        <f t="shared" si="461"/>
        <v>6469.291755550611</v>
      </c>
      <c r="AL470" s="101">
        <f t="shared" si="549"/>
        <v>2843.544527367073</v>
      </c>
      <c r="AM470" s="101">
        <f t="shared" si="550"/>
        <v>3625.747228183538</v>
      </c>
      <c r="AN470" s="101"/>
      <c r="AO470" s="1">
        <v>24</v>
      </c>
      <c r="AP470" s="2">
        <v>36</v>
      </c>
      <c r="AQ470" s="74">
        <f t="shared" si="551"/>
        <v>199</v>
      </c>
      <c r="AR470" s="31">
        <f t="shared" si="552"/>
        <v>1.2</v>
      </c>
      <c r="AS470" s="2">
        <f t="shared" si="553"/>
        <v>0</v>
      </c>
      <c r="AT470" s="33">
        <f t="shared" si="554"/>
        <v>0</v>
      </c>
      <c r="AU470" s="31">
        <f t="shared" si="555"/>
        <v>0</v>
      </c>
      <c r="AV470" s="2">
        <f t="shared" si="556"/>
        <v>0</v>
      </c>
      <c r="AW470" s="33">
        <f t="shared" si="557"/>
        <v>1</v>
      </c>
      <c r="AX470" s="31">
        <f t="shared" si="558"/>
        <v>1</v>
      </c>
      <c r="AY470" s="33">
        <f t="shared" si="559"/>
        <v>1</v>
      </c>
      <c r="AZ470" s="2"/>
      <c r="BA470" s="101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</row>
    <row r="471" spans="1:71" ht="12" customHeight="1">
      <c r="A471" s="2"/>
      <c r="B471" s="107">
        <v>396</v>
      </c>
      <c r="C471" s="31">
        <v>1</v>
      </c>
      <c r="D471" s="111" t="s">
        <v>8</v>
      </c>
      <c r="E471" s="2" t="s">
        <v>67</v>
      </c>
      <c r="F471" s="2"/>
      <c r="G471" s="2"/>
      <c r="H471" s="33" t="s">
        <v>81</v>
      </c>
      <c r="I471" s="99">
        <f t="shared" si="0"/>
        <v>334.22663422207194</v>
      </c>
      <c r="J471" s="101">
        <f t="shared" si="1"/>
        <v>5.4639558131976278</v>
      </c>
      <c r="K471" s="101">
        <f t="shared" si="2"/>
        <v>795</v>
      </c>
      <c r="L471" s="74">
        <f t="shared" si="535"/>
        <v>395</v>
      </c>
      <c r="M471" s="99">
        <f t="shared" si="191"/>
        <v>6178.1045108185062</v>
      </c>
      <c r="N471" s="108">
        <f t="shared" si="536"/>
        <v>2713.0071923284022</v>
      </c>
      <c r="O471" s="108">
        <f t="shared" si="537"/>
        <v>3465.0973184901036</v>
      </c>
      <c r="P471" s="108">
        <f t="shared" si="538"/>
        <v>0</v>
      </c>
      <c r="Q471" s="108"/>
      <c r="R471" s="109"/>
      <c r="S471" s="99">
        <f t="shared" si="399"/>
        <v>5191.6277476115856</v>
      </c>
      <c r="T471" s="108">
        <f t="shared" si="539"/>
        <v>2279.8130712256102</v>
      </c>
      <c r="U471" s="108">
        <f t="shared" si="540"/>
        <v>2911.8146763859754</v>
      </c>
      <c r="V471" s="108">
        <f t="shared" si="541"/>
        <v>0</v>
      </c>
      <c r="W471" s="108"/>
      <c r="X471" s="109"/>
      <c r="Y471" s="99">
        <f t="shared" si="8"/>
        <v>10383.255495223171</v>
      </c>
      <c r="Z471" s="108">
        <f t="shared" si="542"/>
        <v>4559.6261424512204</v>
      </c>
      <c r="AA471" s="108">
        <f t="shared" si="543"/>
        <v>5823.6293527719508</v>
      </c>
      <c r="AB471" s="108">
        <f t="shared" si="544"/>
        <v>0</v>
      </c>
      <c r="AC471" s="108"/>
      <c r="AD471" s="109"/>
      <c r="AE471" s="99">
        <f t="shared" si="560"/>
        <v>18.484776131615998</v>
      </c>
      <c r="AF471" s="101">
        <f t="shared" ref="AF471" si="580">AP471</f>
        <v>36</v>
      </c>
      <c r="AG471" s="101">
        <f t="shared" si="458"/>
        <v>19.001300000000001</v>
      </c>
      <c r="AH471" s="101">
        <f t="shared" si="546"/>
        <v>101</v>
      </c>
      <c r="AI471" s="101">
        <f t="shared" si="547"/>
        <v>200</v>
      </c>
      <c r="AJ471" s="108">
        <f t="shared" si="548"/>
        <v>1.6666666666666667</v>
      </c>
      <c r="AK471" s="101">
        <f t="shared" si="461"/>
        <v>5191.6277476115856</v>
      </c>
      <c r="AL471" s="101">
        <f t="shared" si="549"/>
        <v>2279.8130712256102</v>
      </c>
      <c r="AM471" s="101">
        <f t="shared" si="550"/>
        <v>2911.8146763859754</v>
      </c>
      <c r="AN471" s="101"/>
      <c r="AO471" s="1">
        <v>24</v>
      </c>
      <c r="AP471" s="2">
        <v>36</v>
      </c>
      <c r="AQ471" s="74">
        <f t="shared" si="551"/>
        <v>101</v>
      </c>
      <c r="AR471" s="31">
        <f t="shared" si="552"/>
        <v>1</v>
      </c>
      <c r="AS471" s="2">
        <f t="shared" si="553"/>
        <v>0</v>
      </c>
      <c r="AT471" s="33">
        <f t="shared" si="554"/>
        <v>0</v>
      </c>
      <c r="AU471" s="31">
        <f t="shared" si="555"/>
        <v>0</v>
      </c>
      <c r="AV471" s="2">
        <f t="shared" si="556"/>
        <v>0</v>
      </c>
      <c r="AW471" s="33">
        <f t="shared" si="557"/>
        <v>1</v>
      </c>
      <c r="AX471" s="31">
        <f t="shared" si="558"/>
        <v>1</v>
      </c>
      <c r="AY471" s="33">
        <f t="shared" si="559"/>
        <v>1</v>
      </c>
      <c r="AZ471" s="2"/>
      <c r="BA471" s="101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</row>
    <row r="472" spans="1:71" ht="12" customHeight="1">
      <c r="A472" s="2"/>
      <c r="B472" s="107">
        <v>397</v>
      </c>
      <c r="C472" s="31">
        <v>10</v>
      </c>
      <c r="D472" s="111" t="s">
        <v>8</v>
      </c>
      <c r="E472" s="2" t="s">
        <v>144</v>
      </c>
      <c r="F472" s="2"/>
      <c r="G472" s="2"/>
      <c r="H472" s="33" t="s">
        <v>80</v>
      </c>
      <c r="I472" s="99">
        <f t="shared" si="0"/>
        <v>488.61199117023773</v>
      </c>
      <c r="J472" s="101">
        <f t="shared" si="1"/>
        <v>39.459498714320297</v>
      </c>
      <c r="K472" s="101">
        <f t="shared" si="2"/>
        <v>617</v>
      </c>
      <c r="L472" s="74">
        <f t="shared" si="535"/>
        <v>337</v>
      </c>
      <c r="M472" s="99">
        <f t="shared" si="191"/>
        <v>9031.8832720049777</v>
      </c>
      <c r="N472" s="108">
        <f t="shared" si="536"/>
        <v>2542.3882863531753</v>
      </c>
      <c r="O472" s="108">
        <f t="shared" si="537"/>
        <v>3244.7474928259012</v>
      </c>
      <c r="P472" s="108">
        <f t="shared" si="538"/>
        <v>3244.7474928259012</v>
      </c>
      <c r="Q472" s="108"/>
      <c r="R472" s="109"/>
      <c r="S472" s="99">
        <f t="shared" si="399"/>
        <v>7589.734962563416</v>
      </c>
      <c r="T472" s="108">
        <f t="shared" si="539"/>
        <v>2136.437405602439</v>
      </c>
      <c r="U472" s="108">
        <f t="shared" si="540"/>
        <v>2726.6487784804881</v>
      </c>
      <c r="V472" s="108">
        <f t="shared" si="541"/>
        <v>2726.6487784804881</v>
      </c>
      <c r="W472" s="108"/>
      <c r="X472" s="109"/>
      <c r="Y472" s="99">
        <f t="shared" si="8"/>
        <v>15179.469925126832</v>
      </c>
      <c r="Z472" s="108">
        <f t="shared" si="542"/>
        <v>4272.8748112048779</v>
      </c>
      <c r="AA472" s="108">
        <f t="shared" si="543"/>
        <v>5453.2975569609762</v>
      </c>
      <c r="AB472" s="108">
        <f t="shared" si="544"/>
        <v>5453.2975569609762</v>
      </c>
      <c r="AC472" s="108"/>
      <c r="AD472" s="109"/>
      <c r="AE472" s="99">
        <f t="shared" si="560"/>
        <v>18.484776131615998</v>
      </c>
      <c r="AF472" s="101">
        <f t="shared" ref="AF472" si="581">AP472</f>
        <v>36</v>
      </c>
      <c r="AG472" s="101">
        <f t="shared" si="458"/>
        <v>19.001300000000001</v>
      </c>
      <c r="AH472" s="101">
        <f t="shared" si="546"/>
        <v>729.4</v>
      </c>
      <c r="AI472" s="101">
        <f t="shared" si="547"/>
        <v>200</v>
      </c>
      <c r="AJ472" s="108">
        <f t="shared" si="548"/>
        <v>1.1111111111111112</v>
      </c>
      <c r="AK472" s="101">
        <f t="shared" si="461"/>
        <v>4863.0861840829275</v>
      </c>
      <c r="AL472" s="101">
        <f t="shared" si="549"/>
        <v>2136.437405602439</v>
      </c>
      <c r="AM472" s="101">
        <f t="shared" si="550"/>
        <v>2726.6487784804881</v>
      </c>
      <c r="AN472" s="101"/>
      <c r="AO472" s="1">
        <v>24</v>
      </c>
      <c r="AP472" s="2">
        <v>36</v>
      </c>
      <c r="AQ472" s="74">
        <f t="shared" si="551"/>
        <v>521</v>
      </c>
      <c r="AR472" s="31">
        <f t="shared" si="552"/>
        <v>1</v>
      </c>
      <c r="AS472" s="2">
        <f t="shared" si="553"/>
        <v>0</v>
      </c>
      <c r="AT472" s="33">
        <f t="shared" si="554"/>
        <v>0</v>
      </c>
      <c r="AU472" s="31">
        <f t="shared" si="555"/>
        <v>0</v>
      </c>
      <c r="AV472" s="2">
        <f t="shared" si="556"/>
        <v>0</v>
      </c>
      <c r="AW472" s="33">
        <f t="shared" si="557"/>
        <v>1</v>
      </c>
      <c r="AX472" s="31">
        <f t="shared" si="558"/>
        <v>1.5</v>
      </c>
      <c r="AY472" s="33">
        <f t="shared" si="559"/>
        <v>1</v>
      </c>
      <c r="AZ472" s="2"/>
      <c r="BA472" s="101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</row>
    <row r="473" spans="1:71" ht="12" customHeight="1">
      <c r="A473" s="2"/>
      <c r="B473" s="107">
        <v>398</v>
      </c>
      <c r="C473" s="31">
        <v>10</v>
      </c>
      <c r="D473" s="111" t="s">
        <v>8</v>
      </c>
      <c r="E473" s="2" t="s">
        <v>138</v>
      </c>
      <c r="F473" s="2"/>
      <c r="G473" s="2"/>
      <c r="H473" s="33" t="s">
        <v>80</v>
      </c>
      <c r="I473" s="99">
        <f t="shared" si="0"/>
        <v>591.26044777748439</v>
      </c>
      <c r="J473" s="101">
        <f t="shared" si="1"/>
        <v>39.459498714320297</v>
      </c>
      <c r="K473" s="101">
        <f t="shared" si="2"/>
        <v>481</v>
      </c>
      <c r="L473" s="74">
        <f t="shared" si="535"/>
        <v>278</v>
      </c>
      <c r="M473" s="99">
        <f t="shared" si="191"/>
        <v>10929.317012645832</v>
      </c>
      <c r="N473" s="108">
        <f t="shared" si="536"/>
        <v>3076.4976377537851</v>
      </c>
      <c r="O473" s="108">
        <f t="shared" si="537"/>
        <v>3926.4096874460229</v>
      </c>
      <c r="P473" s="108">
        <f t="shared" si="538"/>
        <v>3926.4096874460229</v>
      </c>
      <c r="Q473" s="108"/>
      <c r="R473" s="109"/>
      <c r="S473" s="99">
        <f t="shared" si="399"/>
        <v>7589.734962563416</v>
      </c>
      <c r="T473" s="108">
        <f t="shared" si="539"/>
        <v>2136.437405602439</v>
      </c>
      <c r="U473" s="108">
        <f t="shared" si="540"/>
        <v>2726.6487784804881</v>
      </c>
      <c r="V473" s="108">
        <f t="shared" si="541"/>
        <v>2726.6487784804881</v>
      </c>
      <c r="W473" s="108"/>
      <c r="X473" s="109"/>
      <c r="Y473" s="99">
        <f t="shared" si="8"/>
        <v>15179.469925126832</v>
      </c>
      <c r="Z473" s="108">
        <f t="shared" si="542"/>
        <v>4272.8748112048779</v>
      </c>
      <c r="AA473" s="108">
        <f t="shared" si="543"/>
        <v>5453.2975569609762</v>
      </c>
      <c r="AB473" s="108">
        <f t="shared" si="544"/>
        <v>5453.2975569609762</v>
      </c>
      <c r="AC473" s="108"/>
      <c r="AD473" s="109"/>
      <c r="AE473" s="99">
        <f t="shared" si="560"/>
        <v>18.484776131615998</v>
      </c>
      <c r="AF473" s="101">
        <f t="shared" ref="AF473" si="582">AP473</f>
        <v>36</v>
      </c>
      <c r="AG473" s="101">
        <f t="shared" si="458"/>
        <v>44.001300000000001</v>
      </c>
      <c r="AH473" s="101">
        <f t="shared" si="546"/>
        <v>729.4</v>
      </c>
      <c r="AI473" s="101">
        <f t="shared" si="547"/>
        <v>200</v>
      </c>
      <c r="AJ473" s="108">
        <f t="shared" si="548"/>
        <v>1.1111111111111112</v>
      </c>
      <c r="AK473" s="101">
        <f t="shared" si="461"/>
        <v>4863.0861840829275</v>
      </c>
      <c r="AL473" s="101">
        <f t="shared" si="549"/>
        <v>2136.437405602439</v>
      </c>
      <c r="AM473" s="101">
        <f t="shared" si="550"/>
        <v>2726.6487784804881</v>
      </c>
      <c r="AN473" s="101"/>
      <c r="AO473" s="1">
        <v>24</v>
      </c>
      <c r="AP473" s="2">
        <v>36</v>
      </c>
      <c r="AQ473" s="74">
        <f t="shared" si="551"/>
        <v>521</v>
      </c>
      <c r="AR473" s="31">
        <f t="shared" si="552"/>
        <v>1</v>
      </c>
      <c r="AS473" s="2">
        <f t="shared" si="553"/>
        <v>0</v>
      </c>
      <c r="AT473" s="33">
        <f t="shared" si="554"/>
        <v>0</v>
      </c>
      <c r="AU473" s="31">
        <f t="shared" si="555"/>
        <v>25</v>
      </c>
      <c r="AV473" s="2">
        <f t="shared" si="556"/>
        <v>0</v>
      </c>
      <c r="AW473" s="33">
        <f t="shared" si="557"/>
        <v>1</v>
      </c>
      <c r="AX473" s="31">
        <f t="shared" si="558"/>
        <v>1.5</v>
      </c>
      <c r="AY473" s="33">
        <f t="shared" si="559"/>
        <v>1</v>
      </c>
      <c r="AZ473" s="2"/>
      <c r="BA473" s="101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</row>
    <row r="474" spans="1:71" ht="12" customHeight="1">
      <c r="A474" s="2"/>
      <c r="B474" s="107">
        <v>399</v>
      </c>
      <c r="C474" s="31">
        <v>10</v>
      </c>
      <c r="D474" s="111" t="s">
        <v>8</v>
      </c>
      <c r="E474" s="2" t="s">
        <v>141</v>
      </c>
      <c r="F474" s="2"/>
      <c r="G474" s="2"/>
      <c r="H474" s="33" t="s">
        <v>80</v>
      </c>
      <c r="I474" s="99">
        <f t="shared" si="0"/>
        <v>515.51925595019338</v>
      </c>
      <c r="J474" s="101">
        <f t="shared" si="1"/>
        <v>39.459498714320297</v>
      </c>
      <c r="K474" s="101">
        <f t="shared" si="2"/>
        <v>582</v>
      </c>
      <c r="L474" s="74">
        <f t="shared" si="535"/>
        <v>318</v>
      </c>
      <c r="M474" s="99">
        <f t="shared" si="191"/>
        <v>9529.2580377765735</v>
      </c>
      <c r="N474" s="108">
        <f t="shared" si="536"/>
        <v>2542.3882863531753</v>
      </c>
      <c r="O474" s="108">
        <f t="shared" si="537"/>
        <v>3493.4348757116991</v>
      </c>
      <c r="P474" s="108">
        <f t="shared" si="538"/>
        <v>3493.4348757116991</v>
      </c>
      <c r="Q474" s="108"/>
      <c r="R474" s="109"/>
      <c r="S474" s="99">
        <f t="shared" si="399"/>
        <v>7589.734962563416</v>
      </c>
      <c r="T474" s="108">
        <f t="shared" si="539"/>
        <v>2136.437405602439</v>
      </c>
      <c r="U474" s="108">
        <f t="shared" si="540"/>
        <v>2726.6487784804881</v>
      </c>
      <c r="V474" s="108">
        <f t="shared" si="541"/>
        <v>2726.6487784804881</v>
      </c>
      <c r="W474" s="108"/>
      <c r="X474" s="109"/>
      <c r="Y474" s="99">
        <f t="shared" si="8"/>
        <v>17797.052752468098</v>
      </c>
      <c r="Z474" s="108">
        <f t="shared" si="542"/>
        <v>4272.8748112048779</v>
      </c>
      <c r="AA474" s="108">
        <f t="shared" si="543"/>
        <v>6762.0889706316102</v>
      </c>
      <c r="AB474" s="108">
        <f t="shared" si="544"/>
        <v>6762.0889706316102</v>
      </c>
      <c r="AC474" s="108"/>
      <c r="AD474" s="109"/>
      <c r="AE474" s="99">
        <f t="shared" si="560"/>
        <v>18.484776131615998</v>
      </c>
      <c r="AF474" s="101">
        <f t="shared" ref="AF474" si="583">AP474</f>
        <v>36</v>
      </c>
      <c r="AG474" s="101">
        <f t="shared" si="458"/>
        <v>19.001300000000001</v>
      </c>
      <c r="AH474" s="101">
        <f t="shared" si="546"/>
        <v>729.4</v>
      </c>
      <c r="AI474" s="101">
        <f t="shared" si="547"/>
        <v>248</v>
      </c>
      <c r="AJ474" s="108">
        <f t="shared" si="548"/>
        <v>1.1111111111111112</v>
      </c>
      <c r="AK474" s="101">
        <f t="shared" si="461"/>
        <v>4863.0861840829275</v>
      </c>
      <c r="AL474" s="101">
        <f t="shared" si="549"/>
        <v>2136.437405602439</v>
      </c>
      <c r="AM474" s="101">
        <f t="shared" si="550"/>
        <v>2726.6487784804881</v>
      </c>
      <c r="AN474" s="101"/>
      <c r="AO474" s="1">
        <v>24</v>
      </c>
      <c r="AP474" s="2">
        <v>36</v>
      </c>
      <c r="AQ474" s="74">
        <f t="shared" si="551"/>
        <v>521</v>
      </c>
      <c r="AR474" s="31">
        <f t="shared" si="552"/>
        <v>1</v>
      </c>
      <c r="AS474" s="2">
        <f t="shared" si="553"/>
        <v>0</v>
      </c>
      <c r="AT474" s="33">
        <f t="shared" si="554"/>
        <v>0</v>
      </c>
      <c r="AU474" s="31">
        <f t="shared" si="555"/>
        <v>0</v>
      </c>
      <c r="AV474" s="2">
        <f t="shared" si="556"/>
        <v>0</v>
      </c>
      <c r="AW474" s="33">
        <f t="shared" si="557"/>
        <v>1.24</v>
      </c>
      <c r="AX474" s="31">
        <f t="shared" si="558"/>
        <v>1.5</v>
      </c>
      <c r="AY474" s="33">
        <f t="shared" si="559"/>
        <v>1</v>
      </c>
      <c r="AZ474" s="2"/>
      <c r="BA474" s="101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</row>
    <row r="475" spans="1:71" ht="12" customHeight="1">
      <c r="A475" s="2"/>
      <c r="B475" s="107">
        <v>400</v>
      </c>
      <c r="C475" s="31">
        <v>10</v>
      </c>
      <c r="D475" s="111" t="s">
        <v>8</v>
      </c>
      <c r="E475" s="2" t="s">
        <v>150</v>
      </c>
      <c r="F475" s="2"/>
      <c r="G475" s="2"/>
      <c r="H475" s="33" t="s">
        <v>80</v>
      </c>
      <c r="I475" s="99">
        <f t="shared" si="0"/>
        <v>488.61199117023773</v>
      </c>
      <c r="J475" s="101">
        <f t="shared" si="1"/>
        <v>39.459498714320297</v>
      </c>
      <c r="K475" s="101">
        <f t="shared" si="2"/>
        <v>617</v>
      </c>
      <c r="L475" s="74">
        <f t="shared" si="535"/>
        <v>337</v>
      </c>
      <c r="M475" s="99">
        <f t="shared" si="191"/>
        <v>9031.8832720049777</v>
      </c>
      <c r="N475" s="108">
        <f t="shared" si="536"/>
        <v>2542.3882863531753</v>
      </c>
      <c r="O475" s="108">
        <f t="shared" si="537"/>
        <v>3244.7474928259012</v>
      </c>
      <c r="P475" s="108">
        <f t="shared" si="538"/>
        <v>3244.7474928259012</v>
      </c>
      <c r="Q475" s="108"/>
      <c r="R475" s="109"/>
      <c r="S475" s="99">
        <f t="shared" si="399"/>
        <v>7589.734962563416</v>
      </c>
      <c r="T475" s="108">
        <f t="shared" si="539"/>
        <v>2136.437405602439</v>
      </c>
      <c r="U475" s="108">
        <f t="shared" si="540"/>
        <v>2726.6487784804881</v>
      </c>
      <c r="V475" s="108">
        <f t="shared" si="541"/>
        <v>2726.6487784804881</v>
      </c>
      <c r="W475" s="108"/>
      <c r="X475" s="109"/>
      <c r="Y475" s="99">
        <f t="shared" si="8"/>
        <v>15179.469925126832</v>
      </c>
      <c r="Z475" s="108">
        <f t="shared" si="542"/>
        <v>4272.8748112048779</v>
      </c>
      <c r="AA475" s="108">
        <f t="shared" si="543"/>
        <v>5453.2975569609762</v>
      </c>
      <c r="AB475" s="108">
        <f t="shared" si="544"/>
        <v>5453.2975569609762</v>
      </c>
      <c r="AC475" s="108"/>
      <c r="AD475" s="109"/>
      <c r="AE475" s="99">
        <f t="shared" si="560"/>
        <v>18.484776131615998</v>
      </c>
      <c r="AF475" s="101">
        <f t="shared" ref="AF475" si="584">AP475</f>
        <v>36</v>
      </c>
      <c r="AG475" s="101">
        <f t="shared" si="458"/>
        <v>19.001300000000001</v>
      </c>
      <c r="AH475" s="101">
        <f t="shared" si="546"/>
        <v>729.4</v>
      </c>
      <c r="AI475" s="101">
        <f t="shared" si="547"/>
        <v>200</v>
      </c>
      <c r="AJ475" s="108">
        <f t="shared" si="548"/>
        <v>1.1111111111111112</v>
      </c>
      <c r="AK475" s="101">
        <f t="shared" si="461"/>
        <v>4863.0861840829275</v>
      </c>
      <c r="AL475" s="101">
        <f t="shared" si="549"/>
        <v>2136.437405602439</v>
      </c>
      <c r="AM475" s="101">
        <f t="shared" si="550"/>
        <v>2726.6487784804881</v>
      </c>
      <c r="AN475" s="101"/>
      <c r="AO475" s="1">
        <v>24</v>
      </c>
      <c r="AP475" s="2">
        <v>36</v>
      </c>
      <c r="AQ475" s="74">
        <f t="shared" si="551"/>
        <v>521</v>
      </c>
      <c r="AR475" s="31">
        <f t="shared" si="552"/>
        <v>1.2</v>
      </c>
      <c r="AS475" s="2">
        <f t="shared" si="553"/>
        <v>0</v>
      </c>
      <c r="AT475" s="33">
        <f t="shared" si="554"/>
        <v>0</v>
      </c>
      <c r="AU475" s="31">
        <f t="shared" si="555"/>
        <v>0</v>
      </c>
      <c r="AV475" s="2">
        <f t="shared" si="556"/>
        <v>0</v>
      </c>
      <c r="AW475" s="33">
        <f t="shared" si="557"/>
        <v>1</v>
      </c>
      <c r="AX475" s="31">
        <f t="shared" si="558"/>
        <v>1.5</v>
      </c>
      <c r="AY475" s="33">
        <f t="shared" si="559"/>
        <v>1</v>
      </c>
      <c r="AZ475" s="2"/>
      <c r="BA475" s="101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</row>
    <row r="476" spans="1:71" ht="12" customHeight="1">
      <c r="A476" s="2"/>
      <c r="B476" s="107">
        <v>401</v>
      </c>
      <c r="C476" s="31">
        <v>10</v>
      </c>
      <c r="D476" s="111" t="s">
        <v>8</v>
      </c>
      <c r="E476" s="2" t="s">
        <v>164</v>
      </c>
      <c r="F476" s="2"/>
      <c r="G476" s="2"/>
      <c r="H476" s="33" t="s">
        <v>80</v>
      </c>
      <c r="I476" s="99">
        <f t="shared" si="0"/>
        <v>591.26044777748439</v>
      </c>
      <c r="J476" s="101">
        <f t="shared" si="1"/>
        <v>39.459498714320297</v>
      </c>
      <c r="K476" s="101">
        <f t="shared" si="2"/>
        <v>481</v>
      </c>
      <c r="L476" s="74">
        <f t="shared" si="535"/>
        <v>278</v>
      </c>
      <c r="M476" s="99">
        <f t="shared" si="191"/>
        <v>10929.317012645832</v>
      </c>
      <c r="N476" s="108">
        <f t="shared" si="536"/>
        <v>3076.4976377537851</v>
      </c>
      <c r="O476" s="108">
        <f t="shared" si="537"/>
        <v>3926.4096874460229</v>
      </c>
      <c r="P476" s="108">
        <f t="shared" si="538"/>
        <v>3926.4096874460229</v>
      </c>
      <c r="Q476" s="108"/>
      <c r="R476" s="109"/>
      <c r="S476" s="99">
        <f t="shared" si="399"/>
        <v>7589.734962563416</v>
      </c>
      <c r="T476" s="108">
        <f t="shared" si="539"/>
        <v>2136.437405602439</v>
      </c>
      <c r="U476" s="108">
        <f t="shared" si="540"/>
        <v>2726.6487784804881</v>
      </c>
      <c r="V476" s="108">
        <f t="shared" si="541"/>
        <v>2726.6487784804881</v>
      </c>
      <c r="W476" s="108"/>
      <c r="X476" s="109"/>
      <c r="Y476" s="99">
        <f t="shared" si="8"/>
        <v>15179.469925126832</v>
      </c>
      <c r="Z476" s="108">
        <f t="shared" si="542"/>
        <v>4272.8748112048779</v>
      </c>
      <c r="AA476" s="108">
        <f t="shared" si="543"/>
        <v>5453.2975569609762</v>
      </c>
      <c r="AB476" s="108">
        <f t="shared" si="544"/>
        <v>5453.2975569609762</v>
      </c>
      <c r="AC476" s="108"/>
      <c r="AD476" s="109"/>
      <c r="AE476" s="99">
        <f t="shared" si="560"/>
        <v>18.484776131615998</v>
      </c>
      <c r="AF476" s="101">
        <f t="shared" ref="AF476" si="585">AP476</f>
        <v>36</v>
      </c>
      <c r="AG476" s="101">
        <f t="shared" si="458"/>
        <v>44.001300000000001</v>
      </c>
      <c r="AH476" s="101">
        <f t="shared" si="546"/>
        <v>729.4</v>
      </c>
      <c r="AI476" s="101">
        <f t="shared" si="547"/>
        <v>200</v>
      </c>
      <c r="AJ476" s="108">
        <f t="shared" si="548"/>
        <v>1.1111111111111112</v>
      </c>
      <c r="AK476" s="101">
        <f t="shared" si="461"/>
        <v>4863.0861840829275</v>
      </c>
      <c r="AL476" s="101">
        <f t="shared" si="549"/>
        <v>2136.437405602439</v>
      </c>
      <c r="AM476" s="101">
        <f t="shared" si="550"/>
        <v>2726.6487784804881</v>
      </c>
      <c r="AN476" s="101"/>
      <c r="AO476" s="1">
        <v>24</v>
      </c>
      <c r="AP476" s="2">
        <v>36</v>
      </c>
      <c r="AQ476" s="74">
        <f t="shared" si="551"/>
        <v>521</v>
      </c>
      <c r="AR476" s="31">
        <f t="shared" si="552"/>
        <v>1.2</v>
      </c>
      <c r="AS476" s="2">
        <f t="shared" si="553"/>
        <v>0</v>
      </c>
      <c r="AT476" s="33">
        <f t="shared" si="554"/>
        <v>0</v>
      </c>
      <c r="AU476" s="31">
        <f t="shared" si="555"/>
        <v>25</v>
      </c>
      <c r="AV476" s="2">
        <f t="shared" si="556"/>
        <v>0</v>
      </c>
      <c r="AW476" s="33">
        <f t="shared" si="557"/>
        <v>1</v>
      </c>
      <c r="AX476" s="31">
        <f t="shared" si="558"/>
        <v>1.5</v>
      </c>
      <c r="AY476" s="33">
        <f t="shared" si="559"/>
        <v>1</v>
      </c>
      <c r="AZ476" s="2"/>
      <c r="BA476" s="101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</row>
    <row r="477" spans="1:71" ht="12" customHeight="1">
      <c r="A477" s="2"/>
      <c r="B477" s="107">
        <v>402</v>
      </c>
      <c r="C477" s="31">
        <v>10</v>
      </c>
      <c r="D477" s="111" t="s">
        <v>8</v>
      </c>
      <c r="E477" s="2" t="s">
        <v>156</v>
      </c>
      <c r="F477" s="2"/>
      <c r="G477" s="2"/>
      <c r="H477" s="33" t="s">
        <v>80</v>
      </c>
      <c r="I477" s="99">
        <f t="shared" si="0"/>
        <v>515.51925595019338</v>
      </c>
      <c r="J477" s="101">
        <f t="shared" si="1"/>
        <v>39.459498714320297</v>
      </c>
      <c r="K477" s="101">
        <f t="shared" si="2"/>
        <v>582</v>
      </c>
      <c r="L477" s="74">
        <f t="shared" si="535"/>
        <v>318</v>
      </c>
      <c r="M477" s="99">
        <f t="shared" si="191"/>
        <v>9529.2580377765735</v>
      </c>
      <c r="N477" s="108">
        <f t="shared" si="536"/>
        <v>2542.3882863531753</v>
      </c>
      <c r="O477" s="108">
        <f t="shared" si="537"/>
        <v>3493.4348757116991</v>
      </c>
      <c r="P477" s="108">
        <f t="shared" si="538"/>
        <v>3493.4348757116991</v>
      </c>
      <c r="Q477" s="108"/>
      <c r="R477" s="109"/>
      <c r="S477" s="99">
        <f t="shared" si="399"/>
        <v>7589.734962563416</v>
      </c>
      <c r="T477" s="108">
        <f t="shared" si="539"/>
        <v>2136.437405602439</v>
      </c>
      <c r="U477" s="108">
        <f t="shared" si="540"/>
        <v>2726.6487784804881</v>
      </c>
      <c r="V477" s="108">
        <f t="shared" si="541"/>
        <v>2726.6487784804881</v>
      </c>
      <c r="W477" s="108"/>
      <c r="X477" s="109"/>
      <c r="Y477" s="99">
        <f t="shared" si="8"/>
        <v>17797.052752468098</v>
      </c>
      <c r="Z477" s="108">
        <f t="shared" si="542"/>
        <v>4272.8748112048779</v>
      </c>
      <c r="AA477" s="108">
        <f t="shared" si="543"/>
        <v>6762.0889706316102</v>
      </c>
      <c r="AB477" s="108">
        <f t="shared" si="544"/>
        <v>6762.0889706316102</v>
      </c>
      <c r="AC477" s="108"/>
      <c r="AD477" s="109"/>
      <c r="AE477" s="99">
        <f t="shared" si="560"/>
        <v>18.484776131615998</v>
      </c>
      <c r="AF477" s="101">
        <f t="shared" ref="AF477" si="586">AP477</f>
        <v>36</v>
      </c>
      <c r="AG477" s="101">
        <f t="shared" si="458"/>
        <v>19.001300000000001</v>
      </c>
      <c r="AH477" s="101">
        <f t="shared" si="546"/>
        <v>729.4</v>
      </c>
      <c r="AI477" s="101">
        <f t="shared" si="547"/>
        <v>248</v>
      </c>
      <c r="AJ477" s="108">
        <f t="shared" si="548"/>
        <v>1.1111111111111112</v>
      </c>
      <c r="AK477" s="101">
        <f t="shared" si="461"/>
        <v>4863.0861840829275</v>
      </c>
      <c r="AL477" s="101">
        <f t="shared" si="549"/>
        <v>2136.437405602439</v>
      </c>
      <c r="AM477" s="101">
        <f t="shared" si="550"/>
        <v>2726.6487784804881</v>
      </c>
      <c r="AN477" s="101"/>
      <c r="AO477" s="1">
        <v>24</v>
      </c>
      <c r="AP477" s="2">
        <v>36</v>
      </c>
      <c r="AQ477" s="74">
        <f t="shared" si="551"/>
        <v>521</v>
      </c>
      <c r="AR477" s="31">
        <f t="shared" si="552"/>
        <v>1.2</v>
      </c>
      <c r="AS477" s="2">
        <f t="shared" si="553"/>
        <v>0</v>
      </c>
      <c r="AT477" s="33">
        <f t="shared" si="554"/>
        <v>0</v>
      </c>
      <c r="AU477" s="31">
        <f t="shared" si="555"/>
        <v>0</v>
      </c>
      <c r="AV477" s="2">
        <f t="shared" si="556"/>
        <v>0</v>
      </c>
      <c r="AW477" s="33">
        <f t="shared" si="557"/>
        <v>1.24</v>
      </c>
      <c r="AX477" s="31">
        <f t="shared" si="558"/>
        <v>1.5</v>
      </c>
      <c r="AY477" s="33">
        <f t="shared" si="559"/>
        <v>1</v>
      </c>
      <c r="AZ477" s="2"/>
      <c r="BA477" s="101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</row>
    <row r="478" spans="1:71" ht="12" customHeight="1">
      <c r="A478" s="2"/>
      <c r="B478" s="107">
        <v>403</v>
      </c>
      <c r="C478" s="31">
        <v>10</v>
      </c>
      <c r="D478" s="111" t="s">
        <v>8</v>
      </c>
      <c r="E478" s="2" t="s">
        <v>92</v>
      </c>
      <c r="F478" s="2"/>
      <c r="G478" s="2"/>
      <c r="H478" s="33" t="s">
        <v>80</v>
      </c>
      <c r="I478" s="99">
        <f t="shared" si="0"/>
        <v>405.68479913838132</v>
      </c>
      <c r="J478" s="101">
        <f t="shared" si="1"/>
        <v>28.185356224514496</v>
      </c>
      <c r="K478" s="101">
        <f t="shared" si="2"/>
        <v>723</v>
      </c>
      <c r="L478" s="74">
        <f t="shared" si="535"/>
        <v>375</v>
      </c>
      <c r="M478" s="99">
        <f t="shared" si="191"/>
        <v>7498.9926920725811</v>
      </c>
      <c r="N478" s="108">
        <f t="shared" si="536"/>
        <v>3294.4364720742519</v>
      </c>
      <c r="O478" s="108">
        <f t="shared" si="537"/>
        <v>4204.5562199983287</v>
      </c>
      <c r="P478" s="108">
        <f t="shared" si="538"/>
        <v>0</v>
      </c>
      <c r="Q478" s="108"/>
      <c r="R478" s="109"/>
      <c r="S478" s="99">
        <f t="shared" si="399"/>
        <v>5835.7034208995119</v>
      </c>
      <c r="T478" s="108">
        <f t="shared" si="539"/>
        <v>2563.7248867229268</v>
      </c>
      <c r="U478" s="108">
        <f t="shared" si="540"/>
        <v>3271.9785341765855</v>
      </c>
      <c r="V478" s="108">
        <f t="shared" si="541"/>
        <v>0</v>
      </c>
      <c r="W478" s="108"/>
      <c r="X478" s="109"/>
      <c r="Y478" s="99">
        <f t="shared" si="8"/>
        <v>14589.258552248783</v>
      </c>
      <c r="Z478" s="108">
        <f t="shared" si="542"/>
        <v>6409.3122168073178</v>
      </c>
      <c r="AA478" s="108">
        <f t="shared" si="543"/>
        <v>8179.9463354414647</v>
      </c>
      <c r="AB478" s="108">
        <f t="shared" si="544"/>
        <v>0</v>
      </c>
      <c r="AC478" s="108"/>
      <c r="AD478" s="109"/>
      <c r="AE478" s="99">
        <f t="shared" si="560"/>
        <v>18.484776131615998</v>
      </c>
      <c r="AF478" s="101">
        <f t="shared" ref="AF478" si="587">AP478</f>
        <v>36</v>
      </c>
      <c r="AG478" s="101">
        <f t="shared" si="458"/>
        <v>19.001300000000001</v>
      </c>
      <c r="AH478" s="101">
        <f t="shared" si="546"/>
        <v>521</v>
      </c>
      <c r="AI478" s="101">
        <f t="shared" si="547"/>
        <v>250</v>
      </c>
      <c r="AJ478" s="108">
        <f t="shared" si="548"/>
        <v>1.6666666666666667</v>
      </c>
      <c r="AK478" s="101">
        <f t="shared" si="461"/>
        <v>4863.0861840829275</v>
      </c>
      <c r="AL478" s="101">
        <f t="shared" si="549"/>
        <v>2136.437405602439</v>
      </c>
      <c r="AM478" s="101">
        <f t="shared" si="550"/>
        <v>2726.6487784804881</v>
      </c>
      <c r="AN478" s="101"/>
      <c r="AO478" s="1">
        <v>24</v>
      </c>
      <c r="AP478" s="2">
        <v>36</v>
      </c>
      <c r="AQ478" s="74">
        <f t="shared" si="551"/>
        <v>521</v>
      </c>
      <c r="AR478" s="31">
        <f t="shared" si="552"/>
        <v>1</v>
      </c>
      <c r="AS478" s="2">
        <f t="shared" si="553"/>
        <v>0</v>
      </c>
      <c r="AT478" s="33">
        <f t="shared" si="554"/>
        <v>0</v>
      </c>
      <c r="AU478" s="31">
        <f t="shared" si="555"/>
        <v>0</v>
      </c>
      <c r="AV478" s="2">
        <f t="shared" si="556"/>
        <v>0</v>
      </c>
      <c r="AW478" s="33">
        <f t="shared" si="557"/>
        <v>1</v>
      </c>
      <c r="AX478" s="31">
        <f t="shared" si="558"/>
        <v>1</v>
      </c>
      <c r="AY478" s="33">
        <f t="shared" si="559"/>
        <v>1.2</v>
      </c>
      <c r="AZ478" s="2"/>
      <c r="BA478" s="101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</row>
    <row r="479" spans="1:71" ht="12" customHeight="1">
      <c r="A479" s="2"/>
      <c r="B479" s="107">
        <v>404</v>
      </c>
      <c r="C479" s="31">
        <v>10</v>
      </c>
      <c r="D479" s="111" t="s">
        <v>8</v>
      </c>
      <c r="E479" s="2" t="s">
        <v>139</v>
      </c>
      <c r="F479" s="2"/>
      <c r="G479" s="2"/>
      <c r="H479" s="33" t="s">
        <v>80</v>
      </c>
      <c r="I479" s="99">
        <f t="shared" si="0"/>
        <v>524.07350816333621</v>
      </c>
      <c r="J479" s="101">
        <f t="shared" si="1"/>
        <v>28.185356224514496</v>
      </c>
      <c r="K479" s="101">
        <f t="shared" si="2"/>
        <v>571</v>
      </c>
      <c r="L479" s="74">
        <f t="shared" si="535"/>
        <v>312</v>
      </c>
      <c r="M479" s="99">
        <f t="shared" si="191"/>
        <v>9687.3814749098983</v>
      </c>
      <c r="N479" s="108">
        <f t="shared" si="536"/>
        <v>4255.8333045953495</v>
      </c>
      <c r="O479" s="108">
        <f t="shared" si="537"/>
        <v>5431.5481703145488</v>
      </c>
      <c r="P479" s="108">
        <f t="shared" si="538"/>
        <v>0</v>
      </c>
      <c r="Q479" s="108"/>
      <c r="R479" s="109"/>
      <c r="S479" s="99">
        <f t="shared" si="399"/>
        <v>5835.7034208995119</v>
      </c>
      <c r="T479" s="108">
        <f t="shared" si="539"/>
        <v>2563.7248867229268</v>
      </c>
      <c r="U479" s="108">
        <f t="shared" si="540"/>
        <v>3271.9785341765855</v>
      </c>
      <c r="V479" s="108">
        <f t="shared" si="541"/>
        <v>0</v>
      </c>
      <c r="W479" s="108"/>
      <c r="X479" s="109"/>
      <c r="Y479" s="99">
        <f t="shared" si="8"/>
        <v>14589.258552248783</v>
      </c>
      <c r="Z479" s="108">
        <f t="shared" si="542"/>
        <v>6409.3122168073178</v>
      </c>
      <c r="AA479" s="108">
        <f t="shared" si="543"/>
        <v>8179.9463354414647</v>
      </c>
      <c r="AB479" s="108">
        <f t="shared" si="544"/>
        <v>0</v>
      </c>
      <c r="AC479" s="108"/>
      <c r="AD479" s="109"/>
      <c r="AE479" s="99">
        <f t="shared" si="560"/>
        <v>18.484776131615998</v>
      </c>
      <c r="AF479" s="101">
        <f t="shared" ref="AF479" si="588">AP479</f>
        <v>36</v>
      </c>
      <c r="AG479" s="101">
        <f t="shared" si="458"/>
        <v>44.001300000000001</v>
      </c>
      <c r="AH479" s="101">
        <f t="shared" si="546"/>
        <v>521</v>
      </c>
      <c r="AI479" s="101">
        <f t="shared" si="547"/>
        <v>250</v>
      </c>
      <c r="AJ479" s="108">
        <f t="shared" si="548"/>
        <v>1.6666666666666667</v>
      </c>
      <c r="AK479" s="101">
        <f t="shared" si="461"/>
        <v>4863.0861840829275</v>
      </c>
      <c r="AL479" s="101">
        <f t="shared" si="549"/>
        <v>2136.437405602439</v>
      </c>
      <c r="AM479" s="101">
        <f t="shared" si="550"/>
        <v>2726.6487784804881</v>
      </c>
      <c r="AN479" s="101"/>
      <c r="AO479" s="1">
        <v>24</v>
      </c>
      <c r="AP479" s="2">
        <v>36</v>
      </c>
      <c r="AQ479" s="74">
        <f t="shared" si="551"/>
        <v>521</v>
      </c>
      <c r="AR479" s="31">
        <f t="shared" si="552"/>
        <v>1</v>
      </c>
      <c r="AS479" s="2">
        <f t="shared" si="553"/>
        <v>0</v>
      </c>
      <c r="AT479" s="33">
        <f t="shared" si="554"/>
        <v>0</v>
      </c>
      <c r="AU479" s="31">
        <f t="shared" si="555"/>
        <v>25</v>
      </c>
      <c r="AV479" s="2">
        <f t="shared" si="556"/>
        <v>0</v>
      </c>
      <c r="AW479" s="33">
        <f t="shared" si="557"/>
        <v>1</v>
      </c>
      <c r="AX479" s="31">
        <f t="shared" si="558"/>
        <v>1</v>
      </c>
      <c r="AY479" s="33">
        <f t="shared" si="559"/>
        <v>1.2</v>
      </c>
      <c r="AZ479" s="2"/>
      <c r="BA479" s="101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</row>
    <row r="480" spans="1:71" ht="12" customHeight="1">
      <c r="A480" s="2"/>
      <c r="B480" s="107">
        <v>405</v>
      </c>
      <c r="C480" s="31">
        <v>10</v>
      </c>
      <c r="D480" s="111" t="s">
        <v>8</v>
      </c>
      <c r="E480" s="2" t="s">
        <v>98</v>
      </c>
      <c r="F480" s="2"/>
      <c r="G480" s="2"/>
      <c r="H480" s="33" t="s">
        <v>80</v>
      </c>
      <c r="I480" s="99">
        <f t="shared" si="0"/>
        <v>425.86524772334803</v>
      </c>
      <c r="J480" s="101">
        <f t="shared" si="1"/>
        <v>28.185356224514496</v>
      </c>
      <c r="K480" s="101">
        <f t="shared" si="2"/>
        <v>703</v>
      </c>
      <c r="L480" s="74">
        <f t="shared" si="535"/>
        <v>368</v>
      </c>
      <c r="M480" s="99">
        <f t="shared" si="191"/>
        <v>7872.0237664012784</v>
      </c>
      <c r="N480" s="108">
        <f t="shared" si="536"/>
        <v>3294.4364720742519</v>
      </c>
      <c r="O480" s="108">
        <f t="shared" si="537"/>
        <v>4577.587294327026</v>
      </c>
      <c r="P480" s="108">
        <f t="shared" si="538"/>
        <v>0</v>
      </c>
      <c r="Q480" s="108"/>
      <c r="R480" s="109"/>
      <c r="S480" s="99">
        <f t="shared" si="399"/>
        <v>5835.7034208995119</v>
      </c>
      <c r="T480" s="108">
        <f t="shared" si="539"/>
        <v>2563.7248867229268</v>
      </c>
      <c r="U480" s="108">
        <f t="shared" si="540"/>
        <v>3271.9785341765855</v>
      </c>
      <c r="V480" s="108">
        <f t="shared" si="541"/>
        <v>0</v>
      </c>
      <c r="W480" s="108"/>
      <c r="X480" s="109"/>
      <c r="Y480" s="99">
        <f t="shared" si="8"/>
        <v>16552.445672754733</v>
      </c>
      <c r="Z480" s="108">
        <f t="shared" si="542"/>
        <v>6409.3122168073178</v>
      </c>
      <c r="AA480" s="108">
        <f t="shared" si="543"/>
        <v>10143.133455947414</v>
      </c>
      <c r="AB480" s="108">
        <f t="shared" si="544"/>
        <v>0</v>
      </c>
      <c r="AC480" s="108"/>
      <c r="AD480" s="109"/>
      <c r="AE480" s="99">
        <f t="shared" si="560"/>
        <v>18.484776131615998</v>
      </c>
      <c r="AF480" s="101">
        <f t="shared" ref="AF480" si="589">AP480</f>
        <v>36</v>
      </c>
      <c r="AG480" s="101">
        <f t="shared" si="458"/>
        <v>19.001300000000001</v>
      </c>
      <c r="AH480" s="101">
        <f t="shared" si="546"/>
        <v>521</v>
      </c>
      <c r="AI480" s="101">
        <f t="shared" si="547"/>
        <v>310</v>
      </c>
      <c r="AJ480" s="108">
        <f t="shared" si="548"/>
        <v>1.6666666666666667</v>
      </c>
      <c r="AK480" s="101">
        <f t="shared" si="461"/>
        <v>4863.0861840829275</v>
      </c>
      <c r="AL480" s="101">
        <f t="shared" si="549"/>
        <v>2136.437405602439</v>
      </c>
      <c r="AM480" s="101">
        <f t="shared" si="550"/>
        <v>2726.6487784804881</v>
      </c>
      <c r="AN480" s="101"/>
      <c r="AO480" s="1">
        <v>24</v>
      </c>
      <c r="AP480" s="2">
        <v>36</v>
      </c>
      <c r="AQ480" s="74">
        <f t="shared" si="551"/>
        <v>521</v>
      </c>
      <c r="AR480" s="31">
        <f t="shared" si="552"/>
        <v>1</v>
      </c>
      <c r="AS480" s="2">
        <f t="shared" si="553"/>
        <v>0</v>
      </c>
      <c r="AT480" s="33">
        <f t="shared" si="554"/>
        <v>0</v>
      </c>
      <c r="AU480" s="31">
        <f t="shared" si="555"/>
        <v>0</v>
      </c>
      <c r="AV480" s="2">
        <f t="shared" si="556"/>
        <v>0</v>
      </c>
      <c r="AW480" s="33">
        <f t="shared" si="557"/>
        <v>1.24</v>
      </c>
      <c r="AX480" s="31">
        <f t="shared" si="558"/>
        <v>1</v>
      </c>
      <c r="AY480" s="33">
        <f t="shared" si="559"/>
        <v>1.2</v>
      </c>
      <c r="AZ480" s="2"/>
      <c r="BA480" s="101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</row>
    <row r="481" spans="1:71" ht="12" customHeight="1">
      <c r="A481" s="2"/>
      <c r="B481" s="107">
        <v>406</v>
      </c>
      <c r="C481" s="31">
        <v>10</v>
      </c>
      <c r="D481" s="111" t="s">
        <v>8</v>
      </c>
      <c r="E481" s="2" t="s">
        <v>151</v>
      </c>
      <c r="F481" s="2"/>
      <c r="G481" s="2"/>
      <c r="H481" s="33" t="s">
        <v>80</v>
      </c>
      <c r="I481" s="99">
        <f t="shared" si="0"/>
        <v>405.68479913838132</v>
      </c>
      <c r="J481" s="101">
        <f t="shared" si="1"/>
        <v>28.185356224514496</v>
      </c>
      <c r="K481" s="101">
        <f t="shared" si="2"/>
        <v>723</v>
      </c>
      <c r="L481" s="74">
        <f t="shared" si="535"/>
        <v>375</v>
      </c>
      <c r="M481" s="99">
        <f t="shared" si="191"/>
        <v>7498.9926920725811</v>
      </c>
      <c r="N481" s="108">
        <f t="shared" si="536"/>
        <v>3294.4364720742519</v>
      </c>
      <c r="O481" s="108">
        <f t="shared" si="537"/>
        <v>4204.5562199983287</v>
      </c>
      <c r="P481" s="108">
        <f t="shared" si="538"/>
        <v>0</v>
      </c>
      <c r="Q481" s="108"/>
      <c r="R481" s="109"/>
      <c r="S481" s="99">
        <f t="shared" si="399"/>
        <v>5835.7034208995119</v>
      </c>
      <c r="T481" s="108">
        <f t="shared" si="539"/>
        <v>2563.7248867229268</v>
      </c>
      <c r="U481" s="108">
        <f t="shared" si="540"/>
        <v>3271.9785341765855</v>
      </c>
      <c r="V481" s="108">
        <f t="shared" si="541"/>
        <v>0</v>
      </c>
      <c r="W481" s="108"/>
      <c r="X481" s="109"/>
      <c r="Y481" s="99">
        <f t="shared" si="8"/>
        <v>14589.258552248783</v>
      </c>
      <c r="Z481" s="108">
        <f t="shared" si="542"/>
        <v>6409.3122168073178</v>
      </c>
      <c r="AA481" s="108">
        <f t="shared" si="543"/>
        <v>8179.9463354414647</v>
      </c>
      <c r="AB481" s="108">
        <f t="shared" si="544"/>
        <v>0</v>
      </c>
      <c r="AC481" s="108"/>
      <c r="AD481" s="109"/>
      <c r="AE481" s="99">
        <f t="shared" si="560"/>
        <v>18.484776131615998</v>
      </c>
      <c r="AF481" s="101">
        <f t="shared" ref="AF481" si="590">AP481</f>
        <v>36</v>
      </c>
      <c r="AG481" s="101">
        <f t="shared" si="458"/>
        <v>19.001300000000001</v>
      </c>
      <c r="AH481" s="101">
        <f t="shared" si="546"/>
        <v>521</v>
      </c>
      <c r="AI481" s="101">
        <f t="shared" si="547"/>
        <v>250</v>
      </c>
      <c r="AJ481" s="108">
        <f t="shared" si="548"/>
        <v>1.6666666666666667</v>
      </c>
      <c r="AK481" s="101">
        <f t="shared" si="461"/>
        <v>4863.0861840829275</v>
      </c>
      <c r="AL481" s="101">
        <f t="shared" si="549"/>
        <v>2136.437405602439</v>
      </c>
      <c r="AM481" s="101">
        <f t="shared" si="550"/>
        <v>2726.6487784804881</v>
      </c>
      <c r="AN481" s="101"/>
      <c r="AO481" s="1">
        <v>24</v>
      </c>
      <c r="AP481" s="2">
        <v>36</v>
      </c>
      <c r="AQ481" s="74">
        <f t="shared" si="551"/>
        <v>521</v>
      </c>
      <c r="AR481" s="31">
        <f t="shared" si="552"/>
        <v>1.2</v>
      </c>
      <c r="AS481" s="2">
        <f t="shared" si="553"/>
        <v>0</v>
      </c>
      <c r="AT481" s="33">
        <f t="shared" si="554"/>
        <v>0</v>
      </c>
      <c r="AU481" s="31">
        <f t="shared" si="555"/>
        <v>0</v>
      </c>
      <c r="AV481" s="2">
        <f t="shared" si="556"/>
        <v>0</v>
      </c>
      <c r="AW481" s="33">
        <f t="shared" si="557"/>
        <v>1</v>
      </c>
      <c r="AX481" s="31">
        <f t="shared" si="558"/>
        <v>1</v>
      </c>
      <c r="AY481" s="33">
        <f t="shared" si="559"/>
        <v>1.2</v>
      </c>
      <c r="AZ481" s="2"/>
      <c r="BA481" s="101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</row>
    <row r="482" spans="1:71" ht="12" customHeight="1">
      <c r="A482" s="2"/>
      <c r="B482" s="107">
        <v>407</v>
      </c>
      <c r="C482" s="31">
        <v>10</v>
      </c>
      <c r="D482" s="111" t="s">
        <v>8</v>
      </c>
      <c r="E482" s="2" t="s">
        <v>165</v>
      </c>
      <c r="F482" s="2"/>
      <c r="G482" s="2"/>
      <c r="H482" s="33" t="s">
        <v>80</v>
      </c>
      <c r="I482" s="99">
        <f t="shared" si="0"/>
        <v>524.07350816333621</v>
      </c>
      <c r="J482" s="101">
        <f t="shared" si="1"/>
        <v>28.185356224514496</v>
      </c>
      <c r="K482" s="101">
        <f t="shared" si="2"/>
        <v>571</v>
      </c>
      <c r="L482" s="74">
        <f t="shared" si="535"/>
        <v>312</v>
      </c>
      <c r="M482" s="99">
        <f t="shared" si="191"/>
        <v>9687.3814749098983</v>
      </c>
      <c r="N482" s="108">
        <f t="shared" si="536"/>
        <v>4255.8333045953495</v>
      </c>
      <c r="O482" s="108">
        <f t="shared" si="537"/>
        <v>5431.5481703145488</v>
      </c>
      <c r="P482" s="108">
        <f t="shared" si="538"/>
        <v>0</v>
      </c>
      <c r="Q482" s="108"/>
      <c r="R482" s="109"/>
      <c r="S482" s="99">
        <f t="shared" si="399"/>
        <v>5835.7034208995119</v>
      </c>
      <c r="T482" s="108">
        <f t="shared" si="539"/>
        <v>2563.7248867229268</v>
      </c>
      <c r="U482" s="108">
        <f t="shared" si="540"/>
        <v>3271.9785341765855</v>
      </c>
      <c r="V482" s="108">
        <f t="shared" si="541"/>
        <v>0</v>
      </c>
      <c r="W482" s="108"/>
      <c r="X482" s="109"/>
      <c r="Y482" s="99">
        <f t="shared" si="8"/>
        <v>14589.258552248783</v>
      </c>
      <c r="Z482" s="108">
        <f t="shared" si="542"/>
        <v>6409.3122168073178</v>
      </c>
      <c r="AA482" s="108">
        <f t="shared" si="543"/>
        <v>8179.9463354414647</v>
      </c>
      <c r="AB482" s="108">
        <f t="shared" si="544"/>
        <v>0</v>
      </c>
      <c r="AC482" s="108"/>
      <c r="AD482" s="109"/>
      <c r="AE482" s="99">
        <f t="shared" si="560"/>
        <v>18.484776131615998</v>
      </c>
      <c r="AF482" s="101">
        <f t="shared" ref="AF482" si="591">AP482</f>
        <v>36</v>
      </c>
      <c r="AG482" s="101">
        <f t="shared" si="458"/>
        <v>44.001300000000001</v>
      </c>
      <c r="AH482" s="101">
        <f t="shared" si="546"/>
        <v>521</v>
      </c>
      <c r="AI482" s="101">
        <f t="shared" si="547"/>
        <v>250</v>
      </c>
      <c r="AJ482" s="108">
        <f t="shared" si="548"/>
        <v>1.6666666666666667</v>
      </c>
      <c r="AK482" s="101">
        <f t="shared" si="461"/>
        <v>4863.0861840829275</v>
      </c>
      <c r="AL482" s="101">
        <f t="shared" si="549"/>
        <v>2136.437405602439</v>
      </c>
      <c r="AM482" s="101">
        <f t="shared" si="550"/>
        <v>2726.6487784804881</v>
      </c>
      <c r="AN482" s="101"/>
      <c r="AO482" s="1">
        <v>24</v>
      </c>
      <c r="AP482" s="2">
        <v>36</v>
      </c>
      <c r="AQ482" s="74">
        <f t="shared" si="551"/>
        <v>521</v>
      </c>
      <c r="AR482" s="31">
        <f t="shared" si="552"/>
        <v>1.2</v>
      </c>
      <c r="AS482" s="2">
        <f t="shared" si="553"/>
        <v>0</v>
      </c>
      <c r="AT482" s="33">
        <f t="shared" si="554"/>
        <v>0</v>
      </c>
      <c r="AU482" s="31">
        <f t="shared" si="555"/>
        <v>25</v>
      </c>
      <c r="AV482" s="2">
        <f t="shared" si="556"/>
        <v>0</v>
      </c>
      <c r="AW482" s="33">
        <f t="shared" si="557"/>
        <v>1</v>
      </c>
      <c r="AX482" s="31">
        <f t="shared" si="558"/>
        <v>1</v>
      </c>
      <c r="AY482" s="33">
        <f t="shared" si="559"/>
        <v>1.2</v>
      </c>
      <c r="AZ482" s="2"/>
      <c r="BA482" s="101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</row>
    <row r="483" spans="1:71" ht="12" customHeight="1">
      <c r="A483" s="2"/>
      <c r="B483" s="107">
        <v>408</v>
      </c>
      <c r="C483" s="31">
        <v>10</v>
      </c>
      <c r="D483" s="111" t="s">
        <v>8</v>
      </c>
      <c r="E483" s="2" t="s">
        <v>157</v>
      </c>
      <c r="F483" s="2"/>
      <c r="G483" s="2"/>
      <c r="H483" s="33" t="s">
        <v>80</v>
      </c>
      <c r="I483" s="99">
        <f t="shared" si="0"/>
        <v>425.86524772334803</v>
      </c>
      <c r="J483" s="101">
        <f t="shared" si="1"/>
        <v>28.185356224514496</v>
      </c>
      <c r="K483" s="101">
        <f t="shared" si="2"/>
        <v>703</v>
      </c>
      <c r="L483" s="74">
        <f t="shared" si="535"/>
        <v>368</v>
      </c>
      <c r="M483" s="99">
        <f t="shared" si="191"/>
        <v>7872.0237664012784</v>
      </c>
      <c r="N483" s="108">
        <f t="shared" si="536"/>
        <v>3294.4364720742519</v>
      </c>
      <c r="O483" s="108">
        <f t="shared" si="537"/>
        <v>4577.587294327026</v>
      </c>
      <c r="P483" s="108">
        <f t="shared" si="538"/>
        <v>0</v>
      </c>
      <c r="Q483" s="108"/>
      <c r="R483" s="109"/>
      <c r="S483" s="99">
        <f t="shared" si="399"/>
        <v>5835.7034208995119</v>
      </c>
      <c r="T483" s="108">
        <f t="shared" si="539"/>
        <v>2563.7248867229268</v>
      </c>
      <c r="U483" s="108">
        <f t="shared" si="540"/>
        <v>3271.9785341765855</v>
      </c>
      <c r="V483" s="108">
        <f t="shared" si="541"/>
        <v>0</v>
      </c>
      <c r="W483" s="108"/>
      <c r="X483" s="109"/>
      <c r="Y483" s="99">
        <f t="shared" si="8"/>
        <v>16552.445672754733</v>
      </c>
      <c r="Z483" s="108">
        <f t="shared" si="542"/>
        <v>6409.3122168073178</v>
      </c>
      <c r="AA483" s="108">
        <f t="shared" si="543"/>
        <v>10143.133455947414</v>
      </c>
      <c r="AB483" s="108">
        <f t="shared" si="544"/>
        <v>0</v>
      </c>
      <c r="AC483" s="108"/>
      <c r="AD483" s="109"/>
      <c r="AE483" s="99">
        <f t="shared" si="560"/>
        <v>18.484776131615998</v>
      </c>
      <c r="AF483" s="101">
        <f t="shared" ref="AF483" si="592">AP483</f>
        <v>36</v>
      </c>
      <c r="AG483" s="101">
        <f t="shared" si="458"/>
        <v>19.001300000000001</v>
      </c>
      <c r="AH483" s="101">
        <f t="shared" si="546"/>
        <v>521</v>
      </c>
      <c r="AI483" s="101">
        <f t="shared" si="547"/>
        <v>310</v>
      </c>
      <c r="AJ483" s="108">
        <f t="shared" si="548"/>
        <v>1.6666666666666667</v>
      </c>
      <c r="AK483" s="101">
        <f t="shared" si="461"/>
        <v>4863.0861840829275</v>
      </c>
      <c r="AL483" s="101">
        <f t="shared" si="549"/>
        <v>2136.437405602439</v>
      </c>
      <c r="AM483" s="101">
        <f t="shared" si="550"/>
        <v>2726.6487784804881</v>
      </c>
      <c r="AN483" s="101"/>
      <c r="AO483" s="1">
        <v>24</v>
      </c>
      <c r="AP483" s="2">
        <v>36</v>
      </c>
      <c r="AQ483" s="74">
        <f t="shared" si="551"/>
        <v>521</v>
      </c>
      <c r="AR483" s="31">
        <f t="shared" si="552"/>
        <v>1.2</v>
      </c>
      <c r="AS483" s="2">
        <f t="shared" si="553"/>
        <v>0</v>
      </c>
      <c r="AT483" s="33">
        <f t="shared" si="554"/>
        <v>0</v>
      </c>
      <c r="AU483" s="31">
        <f t="shared" si="555"/>
        <v>0</v>
      </c>
      <c r="AV483" s="2">
        <f t="shared" si="556"/>
        <v>0</v>
      </c>
      <c r="AW483" s="33">
        <f t="shared" si="557"/>
        <v>1.24</v>
      </c>
      <c r="AX483" s="31">
        <f t="shared" si="558"/>
        <v>1</v>
      </c>
      <c r="AY483" s="33">
        <f t="shared" si="559"/>
        <v>1.2</v>
      </c>
      <c r="AZ483" s="2"/>
      <c r="BA483" s="101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</row>
    <row r="484" spans="1:71" ht="12" customHeight="1">
      <c r="A484" s="2"/>
      <c r="B484" s="107">
        <v>409</v>
      </c>
      <c r="C484" s="31">
        <v>7</v>
      </c>
      <c r="D484" s="111" t="s">
        <v>8</v>
      </c>
      <c r="E484" s="2" t="s">
        <v>67</v>
      </c>
      <c r="F484" s="2"/>
      <c r="G484" s="2"/>
      <c r="H484" s="33" t="s">
        <v>80</v>
      </c>
      <c r="I484" s="99">
        <f t="shared" si="0"/>
        <v>299.70126026083727</v>
      </c>
      <c r="J484" s="101">
        <f t="shared" si="1"/>
        <v>19.637781784066725</v>
      </c>
      <c r="K484" s="101">
        <f t="shared" si="2"/>
        <v>839</v>
      </c>
      <c r="L484" s="74">
        <f t="shared" si="535"/>
        <v>410</v>
      </c>
      <c r="M484" s="99">
        <f t="shared" si="191"/>
        <v>5539.9107022847593</v>
      </c>
      <c r="N484" s="108">
        <f t="shared" si="536"/>
        <v>2432.5529418545398</v>
      </c>
      <c r="O484" s="108">
        <f t="shared" si="537"/>
        <v>3107.3577604302195</v>
      </c>
      <c r="P484" s="108">
        <f t="shared" si="538"/>
        <v>0</v>
      </c>
      <c r="Q484" s="108"/>
      <c r="R484" s="109"/>
      <c r="S484" s="99">
        <f t="shared" si="399"/>
        <v>4655.3362881621961</v>
      </c>
      <c r="T484" s="108">
        <f t="shared" si="539"/>
        <v>2044.1398050731711</v>
      </c>
      <c r="U484" s="108">
        <f t="shared" si="540"/>
        <v>2611.1964830890247</v>
      </c>
      <c r="V484" s="108">
        <f t="shared" si="541"/>
        <v>0</v>
      </c>
      <c r="W484" s="108"/>
      <c r="X484" s="109"/>
      <c r="Y484" s="99">
        <f t="shared" si="8"/>
        <v>9310.6725763243921</v>
      </c>
      <c r="Z484" s="108">
        <f t="shared" si="542"/>
        <v>4088.2796101463423</v>
      </c>
      <c r="AA484" s="108">
        <f t="shared" si="543"/>
        <v>5222.3929661780494</v>
      </c>
      <c r="AB484" s="108">
        <f t="shared" si="544"/>
        <v>0</v>
      </c>
      <c r="AC484" s="108"/>
      <c r="AD484" s="109"/>
      <c r="AE484" s="99">
        <f t="shared" si="560"/>
        <v>18.484776131615998</v>
      </c>
      <c r="AF484" s="101">
        <f t="shared" ref="AF484" si="593">AP484</f>
        <v>36</v>
      </c>
      <c r="AG484" s="101">
        <f t="shared" si="458"/>
        <v>19.001300000000001</v>
      </c>
      <c r="AH484" s="101">
        <f t="shared" si="546"/>
        <v>363</v>
      </c>
      <c r="AI484" s="101">
        <f t="shared" si="547"/>
        <v>200</v>
      </c>
      <c r="AJ484" s="108">
        <f t="shared" si="548"/>
        <v>1.6666666666666667</v>
      </c>
      <c r="AK484" s="101">
        <f t="shared" si="461"/>
        <v>4655.3362881621961</v>
      </c>
      <c r="AL484" s="101">
        <f t="shared" si="549"/>
        <v>2044.1398050731711</v>
      </c>
      <c r="AM484" s="101">
        <f t="shared" si="550"/>
        <v>2611.1964830890247</v>
      </c>
      <c r="AN484" s="101"/>
      <c r="AO484" s="1">
        <v>24</v>
      </c>
      <c r="AP484" s="2">
        <v>36</v>
      </c>
      <c r="AQ484" s="74">
        <f t="shared" si="551"/>
        <v>363</v>
      </c>
      <c r="AR484" s="31">
        <f t="shared" si="552"/>
        <v>1</v>
      </c>
      <c r="AS484" s="2">
        <f t="shared" si="553"/>
        <v>0</v>
      </c>
      <c r="AT484" s="33">
        <f t="shared" si="554"/>
        <v>0</v>
      </c>
      <c r="AU484" s="31">
        <f t="shared" si="555"/>
        <v>0</v>
      </c>
      <c r="AV484" s="2">
        <f t="shared" si="556"/>
        <v>0</v>
      </c>
      <c r="AW484" s="33">
        <f t="shared" si="557"/>
        <v>1</v>
      </c>
      <c r="AX484" s="31">
        <f t="shared" si="558"/>
        <v>1</v>
      </c>
      <c r="AY484" s="33">
        <f t="shared" si="559"/>
        <v>1</v>
      </c>
      <c r="AZ484" s="2"/>
      <c r="BA484" s="101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</row>
    <row r="485" spans="1:71" ht="12" customHeight="1">
      <c r="A485" s="2"/>
      <c r="B485" s="107">
        <v>410</v>
      </c>
      <c r="C485" s="31">
        <v>7</v>
      </c>
      <c r="D485" s="111" t="s">
        <v>8</v>
      </c>
      <c r="E485" s="2" t="s">
        <v>136</v>
      </c>
      <c r="F485" s="2"/>
      <c r="G485" s="2"/>
      <c r="H485" s="33" t="s">
        <v>80</v>
      </c>
      <c r="I485" s="99">
        <f t="shared" si="0"/>
        <v>362.66302207790085</v>
      </c>
      <c r="J485" s="101">
        <f t="shared" si="1"/>
        <v>19.637781784066725</v>
      </c>
      <c r="K485" s="101">
        <f t="shared" si="2"/>
        <v>762</v>
      </c>
      <c r="L485" s="74">
        <f t="shared" si="535"/>
        <v>388</v>
      </c>
      <c r="M485" s="99">
        <f t="shared" si="191"/>
        <v>6703.7447743253078</v>
      </c>
      <c r="N485" s="108">
        <f t="shared" si="536"/>
        <v>2943.5878931228322</v>
      </c>
      <c r="O485" s="108">
        <f t="shared" si="537"/>
        <v>3760.1568812024757</v>
      </c>
      <c r="P485" s="108">
        <f t="shared" si="538"/>
        <v>0</v>
      </c>
      <c r="Q485" s="108"/>
      <c r="R485" s="109"/>
      <c r="S485" s="99">
        <f t="shared" si="399"/>
        <v>4655.3362881621961</v>
      </c>
      <c r="T485" s="108">
        <f t="shared" si="539"/>
        <v>2044.1398050731711</v>
      </c>
      <c r="U485" s="108">
        <f t="shared" si="540"/>
        <v>2611.1964830890247</v>
      </c>
      <c r="V485" s="108">
        <f t="shared" si="541"/>
        <v>0</v>
      </c>
      <c r="W485" s="108"/>
      <c r="X485" s="109"/>
      <c r="Y485" s="99">
        <f t="shared" si="8"/>
        <v>9310.6725763243921</v>
      </c>
      <c r="Z485" s="108">
        <f t="shared" si="542"/>
        <v>4088.2796101463423</v>
      </c>
      <c r="AA485" s="108">
        <f t="shared" si="543"/>
        <v>5222.3929661780494</v>
      </c>
      <c r="AB485" s="108">
        <f t="shared" si="544"/>
        <v>0</v>
      </c>
      <c r="AC485" s="108"/>
      <c r="AD485" s="109"/>
      <c r="AE485" s="99">
        <f t="shared" si="560"/>
        <v>18.484776131615998</v>
      </c>
      <c r="AF485" s="101">
        <f t="shared" ref="AF485" si="594">AP485</f>
        <v>36</v>
      </c>
      <c r="AG485" s="101">
        <f t="shared" si="458"/>
        <v>44.001300000000001</v>
      </c>
      <c r="AH485" s="101">
        <f t="shared" si="546"/>
        <v>363</v>
      </c>
      <c r="AI485" s="101">
        <f t="shared" si="547"/>
        <v>200</v>
      </c>
      <c r="AJ485" s="108">
        <f t="shared" si="548"/>
        <v>1.6666666666666667</v>
      </c>
      <c r="AK485" s="101">
        <f t="shared" si="461"/>
        <v>4655.3362881621961</v>
      </c>
      <c r="AL485" s="101">
        <f t="shared" si="549"/>
        <v>2044.1398050731711</v>
      </c>
      <c r="AM485" s="101">
        <f t="shared" si="550"/>
        <v>2611.1964830890247</v>
      </c>
      <c r="AN485" s="101"/>
      <c r="AO485" s="1">
        <v>24</v>
      </c>
      <c r="AP485" s="2">
        <v>36</v>
      </c>
      <c r="AQ485" s="74">
        <f t="shared" si="551"/>
        <v>363</v>
      </c>
      <c r="AR485" s="31">
        <f t="shared" si="552"/>
        <v>1</v>
      </c>
      <c r="AS485" s="2">
        <f t="shared" si="553"/>
        <v>0</v>
      </c>
      <c r="AT485" s="33">
        <f t="shared" si="554"/>
        <v>0</v>
      </c>
      <c r="AU485" s="31">
        <f t="shared" si="555"/>
        <v>25</v>
      </c>
      <c r="AV485" s="2">
        <f t="shared" si="556"/>
        <v>0</v>
      </c>
      <c r="AW485" s="33">
        <f t="shared" si="557"/>
        <v>1</v>
      </c>
      <c r="AX485" s="31">
        <f t="shared" si="558"/>
        <v>1</v>
      </c>
      <c r="AY485" s="33">
        <f t="shared" si="559"/>
        <v>1</v>
      </c>
      <c r="AZ485" s="2"/>
      <c r="BA485" s="101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</row>
    <row r="486" spans="1:71" ht="12" customHeight="1">
      <c r="A486" s="2"/>
      <c r="B486" s="107">
        <v>411</v>
      </c>
      <c r="C486" s="31">
        <v>7</v>
      </c>
      <c r="D486" s="111" t="s">
        <v>8</v>
      </c>
      <c r="E486" s="2" t="s">
        <v>91</v>
      </c>
      <c r="F486" s="2"/>
      <c r="G486" s="2"/>
      <c r="H486" s="33" t="s">
        <v>80</v>
      </c>
      <c r="I486" s="99">
        <f t="shared" si="0"/>
        <v>312.58523631919121</v>
      </c>
      <c r="J486" s="101">
        <f t="shared" si="1"/>
        <v>19.637781784066725</v>
      </c>
      <c r="K486" s="101">
        <f t="shared" si="2"/>
        <v>821</v>
      </c>
      <c r="L486" s="74">
        <f t="shared" si="535"/>
        <v>401</v>
      </c>
      <c r="M486" s="99">
        <f t="shared" si="191"/>
        <v>5778.0681154085323</v>
      </c>
      <c r="N486" s="108">
        <f t="shared" si="536"/>
        <v>2432.5529418545398</v>
      </c>
      <c r="O486" s="108">
        <f t="shared" si="537"/>
        <v>3345.515173553993</v>
      </c>
      <c r="P486" s="108">
        <f t="shared" si="538"/>
        <v>0</v>
      </c>
      <c r="Q486" s="108"/>
      <c r="R486" s="109"/>
      <c r="S486" s="99">
        <f t="shared" si="399"/>
        <v>4655.3362881621961</v>
      </c>
      <c r="T486" s="108">
        <f t="shared" si="539"/>
        <v>2044.1398050731711</v>
      </c>
      <c r="U486" s="108">
        <f t="shared" si="540"/>
        <v>2611.1964830890247</v>
      </c>
      <c r="V486" s="108">
        <f t="shared" si="541"/>
        <v>0</v>
      </c>
      <c r="W486" s="108"/>
      <c r="X486" s="109"/>
      <c r="Y486" s="99">
        <f t="shared" si="8"/>
        <v>10564.046888207124</v>
      </c>
      <c r="Z486" s="108">
        <f t="shared" si="542"/>
        <v>4088.2796101463423</v>
      </c>
      <c r="AA486" s="108">
        <f t="shared" si="543"/>
        <v>6475.7672780607818</v>
      </c>
      <c r="AB486" s="108">
        <f t="shared" si="544"/>
        <v>0</v>
      </c>
      <c r="AC486" s="108"/>
      <c r="AD486" s="109"/>
      <c r="AE486" s="99">
        <f t="shared" si="560"/>
        <v>18.484776131615998</v>
      </c>
      <c r="AF486" s="101">
        <f t="shared" ref="AF486" si="595">AP486</f>
        <v>36</v>
      </c>
      <c r="AG486" s="101">
        <f t="shared" si="458"/>
        <v>19.001300000000001</v>
      </c>
      <c r="AH486" s="101">
        <f t="shared" si="546"/>
        <v>363</v>
      </c>
      <c r="AI486" s="101">
        <f t="shared" si="547"/>
        <v>248</v>
      </c>
      <c r="AJ486" s="108">
        <f t="shared" si="548"/>
        <v>1.6666666666666667</v>
      </c>
      <c r="AK486" s="101">
        <f t="shared" si="461"/>
        <v>4655.3362881621961</v>
      </c>
      <c r="AL486" s="101">
        <f t="shared" si="549"/>
        <v>2044.1398050731711</v>
      </c>
      <c r="AM486" s="101">
        <f t="shared" si="550"/>
        <v>2611.1964830890247</v>
      </c>
      <c r="AN486" s="101"/>
      <c r="AO486" s="1">
        <v>24</v>
      </c>
      <c r="AP486" s="2">
        <v>36</v>
      </c>
      <c r="AQ486" s="74">
        <f t="shared" si="551"/>
        <v>363</v>
      </c>
      <c r="AR486" s="31">
        <f t="shared" si="552"/>
        <v>1</v>
      </c>
      <c r="AS486" s="2">
        <f t="shared" si="553"/>
        <v>0</v>
      </c>
      <c r="AT486" s="33">
        <f t="shared" si="554"/>
        <v>0</v>
      </c>
      <c r="AU486" s="31">
        <f t="shared" si="555"/>
        <v>0</v>
      </c>
      <c r="AV486" s="2">
        <f t="shared" si="556"/>
        <v>0</v>
      </c>
      <c r="AW486" s="33">
        <f t="shared" si="557"/>
        <v>1.24</v>
      </c>
      <c r="AX486" s="31">
        <f t="shared" si="558"/>
        <v>1</v>
      </c>
      <c r="AY486" s="33">
        <f t="shared" si="559"/>
        <v>1</v>
      </c>
      <c r="AZ486" s="2"/>
      <c r="BA486" s="101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</row>
    <row r="487" spans="1:71" ht="12" customHeight="1">
      <c r="A487" s="2"/>
      <c r="B487" s="107">
        <v>412</v>
      </c>
      <c r="C487" s="31">
        <v>7</v>
      </c>
      <c r="D487" s="111" t="s">
        <v>8</v>
      </c>
      <c r="E487" s="2" t="s">
        <v>148</v>
      </c>
      <c r="F487" s="2"/>
      <c r="G487" s="2"/>
      <c r="H487" s="33" t="s">
        <v>80</v>
      </c>
      <c r="I487" s="99">
        <f t="shared" si="0"/>
        <v>299.70126026083727</v>
      </c>
      <c r="J487" s="101">
        <f t="shared" si="1"/>
        <v>19.637781784066725</v>
      </c>
      <c r="K487" s="101">
        <f t="shared" si="2"/>
        <v>839</v>
      </c>
      <c r="L487" s="74">
        <f t="shared" si="535"/>
        <v>410</v>
      </c>
      <c r="M487" s="99">
        <f t="shared" si="191"/>
        <v>5539.9107022847593</v>
      </c>
      <c r="N487" s="108">
        <f t="shared" si="536"/>
        <v>2432.5529418545398</v>
      </c>
      <c r="O487" s="108">
        <f t="shared" si="537"/>
        <v>3107.3577604302195</v>
      </c>
      <c r="P487" s="108">
        <f t="shared" si="538"/>
        <v>0</v>
      </c>
      <c r="Q487" s="108"/>
      <c r="R487" s="109"/>
      <c r="S487" s="99">
        <f t="shared" si="399"/>
        <v>4655.3362881621961</v>
      </c>
      <c r="T487" s="108">
        <f t="shared" si="539"/>
        <v>2044.1398050731711</v>
      </c>
      <c r="U487" s="108">
        <f t="shared" si="540"/>
        <v>2611.1964830890247</v>
      </c>
      <c r="V487" s="108">
        <f t="shared" si="541"/>
        <v>0</v>
      </c>
      <c r="W487" s="108"/>
      <c r="X487" s="109"/>
      <c r="Y487" s="99">
        <f t="shared" si="8"/>
        <v>9310.6725763243921</v>
      </c>
      <c r="Z487" s="108">
        <f t="shared" si="542"/>
        <v>4088.2796101463423</v>
      </c>
      <c r="AA487" s="108">
        <f t="shared" si="543"/>
        <v>5222.3929661780494</v>
      </c>
      <c r="AB487" s="108">
        <f t="shared" si="544"/>
        <v>0</v>
      </c>
      <c r="AC487" s="108"/>
      <c r="AD487" s="109"/>
      <c r="AE487" s="99">
        <f t="shared" si="560"/>
        <v>18.484776131615998</v>
      </c>
      <c r="AF487" s="101">
        <f t="shared" ref="AF487" si="596">AP487</f>
        <v>36</v>
      </c>
      <c r="AG487" s="101">
        <f t="shared" si="458"/>
        <v>19.001300000000001</v>
      </c>
      <c r="AH487" s="101">
        <f t="shared" si="546"/>
        <v>363</v>
      </c>
      <c r="AI487" s="101">
        <f t="shared" si="547"/>
        <v>200</v>
      </c>
      <c r="AJ487" s="108">
        <f t="shared" si="548"/>
        <v>1.6666666666666667</v>
      </c>
      <c r="AK487" s="101">
        <f t="shared" si="461"/>
        <v>4655.3362881621961</v>
      </c>
      <c r="AL487" s="101">
        <f t="shared" si="549"/>
        <v>2044.1398050731711</v>
      </c>
      <c r="AM487" s="101">
        <f t="shared" si="550"/>
        <v>2611.1964830890247</v>
      </c>
      <c r="AN487" s="101"/>
      <c r="AO487" s="1">
        <v>24</v>
      </c>
      <c r="AP487" s="2">
        <v>36</v>
      </c>
      <c r="AQ487" s="74">
        <f t="shared" si="551"/>
        <v>363</v>
      </c>
      <c r="AR487" s="31">
        <f t="shared" si="552"/>
        <v>1.2</v>
      </c>
      <c r="AS487" s="2">
        <f t="shared" si="553"/>
        <v>0</v>
      </c>
      <c r="AT487" s="33">
        <f t="shared" si="554"/>
        <v>0</v>
      </c>
      <c r="AU487" s="31">
        <f t="shared" si="555"/>
        <v>0</v>
      </c>
      <c r="AV487" s="2">
        <f t="shared" si="556"/>
        <v>0</v>
      </c>
      <c r="AW487" s="33">
        <f t="shared" si="557"/>
        <v>1</v>
      </c>
      <c r="AX487" s="31">
        <f t="shared" si="558"/>
        <v>1</v>
      </c>
      <c r="AY487" s="33">
        <f t="shared" si="559"/>
        <v>1</v>
      </c>
      <c r="AZ487" s="2"/>
      <c r="BA487" s="101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</row>
    <row r="488" spans="1:71" ht="12" customHeight="1">
      <c r="A488" s="2"/>
      <c r="B488" s="107">
        <v>413</v>
      </c>
      <c r="C488" s="31">
        <v>7</v>
      </c>
      <c r="D488" s="111" t="s">
        <v>8</v>
      </c>
      <c r="E488" s="2" t="s">
        <v>163</v>
      </c>
      <c r="F488" s="2"/>
      <c r="G488" s="2"/>
      <c r="H488" s="33" t="s">
        <v>80</v>
      </c>
      <c r="I488" s="99">
        <f t="shared" si="0"/>
        <v>362.66302207790085</v>
      </c>
      <c r="J488" s="101">
        <f t="shared" si="1"/>
        <v>19.637781784066725</v>
      </c>
      <c r="K488" s="101">
        <f t="shared" si="2"/>
        <v>762</v>
      </c>
      <c r="L488" s="74">
        <f t="shared" si="535"/>
        <v>388</v>
      </c>
      <c r="M488" s="99">
        <f t="shared" si="191"/>
        <v>6703.7447743253078</v>
      </c>
      <c r="N488" s="108">
        <f t="shared" si="536"/>
        <v>2943.5878931228322</v>
      </c>
      <c r="O488" s="108">
        <f t="shared" si="537"/>
        <v>3760.1568812024757</v>
      </c>
      <c r="P488" s="108">
        <f t="shared" si="538"/>
        <v>0</v>
      </c>
      <c r="Q488" s="108"/>
      <c r="R488" s="109"/>
      <c r="S488" s="99">
        <f t="shared" si="399"/>
        <v>4655.3362881621961</v>
      </c>
      <c r="T488" s="108">
        <f t="shared" si="539"/>
        <v>2044.1398050731711</v>
      </c>
      <c r="U488" s="108">
        <f t="shared" si="540"/>
        <v>2611.1964830890247</v>
      </c>
      <c r="V488" s="108">
        <f t="shared" si="541"/>
        <v>0</v>
      </c>
      <c r="W488" s="108"/>
      <c r="X488" s="109"/>
      <c r="Y488" s="99">
        <f t="shared" si="8"/>
        <v>9310.6725763243921</v>
      </c>
      <c r="Z488" s="108">
        <f t="shared" si="542"/>
        <v>4088.2796101463423</v>
      </c>
      <c r="AA488" s="108">
        <f t="shared" si="543"/>
        <v>5222.3929661780494</v>
      </c>
      <c r="AB488" s="108">
        <f t="shared" si="544"/>
        <v>0</v>
      </c>
      <c r="AC488" s="108"/>
      <c r="AD488" s="109"/>
      <c r="AE488" s="99">
        <f t="shared" si="560"/>
        <v>18.484776131615998</v>
      </c>
      <c r="AF488" s="101">
        <f t="shared" ref="AF488" si="597">AP488</f>
        <v>36</v>
      </c>
      <c r="AG488" s="101">
        <f t="shared" si="458"/>
        <v>44.001300000000001</v>
      </c>
      <c r="AH488" s="101">
        <f t="shared" si="546"/>
        <v>363</v>
      </c>
      <c r="AI488" s="101">
        <f t="shared" si="547"/>
        <v>200</v>
      </c>
      <c r="AJ488" s="108">
        <f t="shared" si="548"/>
        <v>1.6666666666666667</v>
      </c>
      <c r="AK488" s="101">
        <f t="shared" si="461"/>
        <v>4655.3362881621961</v>
      </c>
      <c r="AL488" s="101">
        <f t="shared" si="549"/>
        <v>2044.1398050731711</v>
      </c>
      <c r="AM488" s="101">
        <f t="shared" si="550"/>
        <v>2611.1964830890247</v>
      </c>
      <c r="AN488" s="101"/>
      <c r="AO488" s="1">
        <v>24</v>
      </c>
      <c r="AP488" s="2">
        <v>36</v>
      </c>
      <c r="AQ488" s="74">
        <f t="shared" si="551"/>
        <v>363</v>
      </c>
      <c r="AR488" s="31">
        <f t="shared" si="552"/>
        <v>1.2</v>
      </c>
      <c r="AS488" s="2">
        <f t="shared" si="553"/>
        <v>0</v>
      </c>
      <c r="AT488" s="33">
        <f t="shared" si="554"/>
        <v>0</v>
      </c>
      <c r="AU488" s="31">
        <f t="shared" si="555"/>
        <v>25</v>
      </c>
      <c r="AV488" s="2">
        <f t="shared" si="556"/>
        <v>0</v>
      </c>
      <c r="AW488" s="33">
        <f t="shared" si="557"/>
        <v>1</v>
      </c>
      <c r="AX488" s="31">
        <f t="shared" si="558"/>
        <v>1</v>
      </c>
      <c r="AY488" s="33">
        <f t="shared" si="559"/>
        <v>1</v>
      </c>
      <c r="AZ488" s="2"/>
      <c r="BA488" s="101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</row>
    <row r="489" spans="1:71" ht="12" customHeight="1">
      <c r="A489" s="2"/>
      <c r="B489" s="107">
        <v>414</v>
      </c>
      <c r="C489" s="31">
        <v>7</v>
      </c>
      <c r="D489" s="111" t="s">
        <v>8</v>
      </c>
      <c r="E489" s="2" t="s">
        <v>155</v>
      </c>
      <c r="F489" s="2"/>
      <c r="G489" s="2"/>
      <c r="H489" s="33" t="s">
        <v>80</v>
      </c>
      <c r="I489" s="99">
        <f t="shared" si="0"/>
        <v>312.58523631919121</v>
      </c>
      <c r="J489" s="101">
        <f t="shared" si="1"/>
        <v>19.637781784066725</v>
      </c>
      <c r="K489" s="101">
        <f t="shared" si="2"/>
        <v>821</v>
      </c>
      <c r="L489" s="74">
        <f t="shared" si="535"/>
        <v>401</v>
      </c>
      <c r="M489" s="99">
        <f t="shared" si="191"/>
        <v>5778.0681154085323</v>
      </c>
      <c r="N489" s="108">
        <f t="shared" si="536"/>
        <v>2432.5529418545398</v>
      </c>
      <c r="O489" s="108">
        <f t="shared" si="537"/>
        <v>3345.515173553993</v>
      </c>
      <c r="P489" s="108">
        <f t="shared" si="538"/>
        <v>0</v>
      </c>
      <c r="Q489" s="108"/>
      <c r="R489" s="109"/>
      <c r="S489" s="99">
        <f t="shared" si="399"/>
        <v>4655.3362881621961</v>
      </c>
      <c r="T489" s="108">
        <f t="shared" si="539"/>
        <v>2044.1398050731711</v>
      </c>
      <c r="U489" s="108">
        <f t="shared" si="540"/>
        <v>2611.1964830890247</v>
      </c>
      <c r="V489" s="108">
        <f t="shared" si="541"/>
        <v>0</v>
      </c>
      <c r="W489" s="108"/>
      <c r="X489" s="109"/>
      <c r="Y489" s="99">
        <f t="shared" si="8"/>
        <v>10564.046888207124</v>
      </c>
      <c r="Z489" s="108">
        <f t="shared" si="542"/>
        <v>4088.2796101463423</v>
      </c>
      <c r="AA489" s="108">
        <f t="shared" si="543"/>
        <v>6475.7672780607818</v>
      </c>
      <c r="AB489" s="108">
        <f t="shared" si="544"/>
        <v>0</v>
      </c>
      <c r="AC489" s="108"/>
      <c r="AD489" s="109"/>
      <c r="AE489" s="99">
        <f t="shared" si="560"/>
        <v>18.484776131615998</v>
      </c>
      <c r="AF489" s="101">
        <f t="shared" ref="AF489" si="598">AP489</f>
        <v>36</v>
      </c>
      <c r="AG489" s="101">
        <f t="shared" si="458"/>
        <v>19.001300000000001</v>
      </c>
      <c r="AH489" s="101">
        <f t="shared" si="546"/>
        <v>363</v>
      </c>
      <c r="AI489" s="101">
        <f t="shared" si="547"/>
        <v>248</v>
      </c>
      <c r="AJ489" s="108">
        <f t="shared" si="548"/>
        <v>1.6666666666666667</v>
      </c>
      <c r="AK489" s="101">
        <f t="shared" si="461"/>
        <v>4655.3362881621961</v>
      </c>
      <c r="AL489" s="101">
        <f t="shared" si="549"/>
        <v>2044.1398050731711</v>
      </c>
      <c r="AM489" s="101">
        <f t="shared" si="550"/>
        <v>2611.1964830890247</v>
      </c>
      <c r="AN489" s="101"/>
      <c r="AO489" s="1">
        <v>24</v>
      </c>
      <c r="AP489" s="2">
        <v>36</v>
      </c>
      <c r="AQ489" s="74">
        <f t="shared" si="551"/>
        <v>363</v>
      </c>
      <c r="AR489" s="31">
        <f t="shared" si="552"/>
        <v>1.2</v>
      </c>
      <c r="AS489" s="2">
        <f t="shared" si="553"/>
        <v>0</v>
      </c>
      <c r="AT489" s="33">
        <f t="shared" si="554"/>
        <v>0</v>
      </c>
      <c r="AU489" s="31">
        <f t="shared" si="555"/>
        <v>0</v>
      </c>
      <c r="AV489" s="2">
        <f t="shared" si="556"/>
        <v>0</v>
      </c>
      <c r="AW489" s="33">
        <f t="shared" si="557"/>
        <v>1.24</v>
      </c>
      <c r="AX489" s="31">
        <f t="shared" si="558"/>
        <v>1</v>
      </c>
      <c r="AY489" s="33">
        <f t="shared" si="559"/>
        <v>1</v>
      </c>
      <c r="AZ489" s="2"/>
      <c r="BA489" s="101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</row>
    <row r="490" spans="1:71" ht="12" customHeight="1">
      <c r="A490" s="2"/>
      <c r="B490" s="107">
        <v>415</v>
      </c>
      <c r="C490" s="31">
        <v>4</v>
      </c>
      <c r="D490" s="111" t="s">
        <v>8</v>
      </c>
      <c r="E490" s="2" t="s">
        <v>67</v>
      </c>
      <c r="F490" s="2"/>
      <c r="G490" s="2"/>
      <c r="H490" s="33" t="s">
        <v>80</v>
      </c>
      <c r="I490" s="99">
        <f t="shared" si="0"/>
        <v>277.65339560449115</v>
      </c>
      <c r="J490" s="101">
        <f t="shared" si="1"/>
        <v>10.765615909171565</v>
      </c>
      <c r="K490" s="101">
        <f t="shared" si="2"/>
        <v>853</v>
      </c>
      <c r="L490" s="74">
        <f t="shared" si="535"/>
        <v>412</v>
      </c>
      <c r="M490" s="99">
        <f t="shared" si="191"/>
        <v>5132.3608599320323</v>
      </c>
      <c r="N490" s="108">
        <f t="shared" si="536"/>
        <v>2255.9033024304485</v>
      </c>
      <c r="O490" s="108">
        <f t="shared" si="537"/>
        <v>2876.4575575015833</v>
      </c>
      <c r="P490" s="108">
        <f t="shared" si="538"/>
        <v>0</v>
      </c>
      <c r="Q490" s="108"/>
      <c r="R490" s="109"/>
      <c r="S490" s="99">
        <f t="shared" si="399"/>
        <v>4312.8611703670731</v>
      </c>
      <c r="T490" s="108">
        <f t="shared" si="539"/>
        <v>1895.6963515780487</v>
      </c>
      <c r="U490" s="108">
        <f t="shared" si="540"/>
        <v>2417.1648187890246</v>
      </c>
      <c r="V490" s="108">
        <f t="shared" si="541"/>
        <v>0</v>
      </c>
      <c r="W490" s="108"/>
      <c r="X490" s="109"/>
      <c r="Y490" s="99">
        <f t="shared" si="8"/>
        <v>8625.7223407341462</v>
      </c>
      <c r="Z490" s="108">
        <f t="shared" si="542"/>
        <v>3791.3927031560975</v>
      </c>
      <c r="AA490" s="108">
        <f t="shared" si="543"/>
        <v>4834.3296375780492</v>
      </c>
      <c r="AB490" s="108">
        <f t="shared" si="544"/>
        <v>0</v>
      </c>
      <c r="AC490" s="108"/>
      <c r="AD490" s="109"/>
      <c r="AE490" s="99">
        <f t="shared" si="560"/>
        <v>18.484776131615998</v>
      </c>
      <c r="AF490" s="101">
        <f t="shared" ref="AF490" si="599">AP490</f>
        <v>36</v>
      </c>
      <c r="AG490" s="101">
        <f t="shared" si="458"/>
        <v>19.001300000000001</v>
      </c>
      <c r="AH490" s="101">
        <f t="shared" si="546"/>
        <v>199</v>
      </c>
      <c r="AI490" s="101">
        <f t="shared" si="547"/>
        <v>200</v>
      </c>
      <c r="AJ490" s="108">
        <f t="shared" si="548"/>
        <v>1.6666666666666667</v>
      </c>
      <c r="AK490" s="101">
        <f t="shared" si="461"/>
        <v>4312.8611703670731</v>
      </c>
      <c r="AL490" s="101">
        <f t="shared" si="549"/>
        <v>1895.6963515780487</v>
      </c>
      <c r="AM490" s="101">
        <f t="shared" si="550"/>
        <v>2417.1648187890246</v>
      </c>
      <c r="AN490" s="101"/>
      <c r="AO490" s="1">
        <v>24</v>
      </c>
      <c r="AP490" s="2">
        <v>36</v>
      </c>
      <c r="AQ490" s="74">
        <f t="shared" si="551"/>
        <v>199</v>
      </c>
      <c r="AR490" s="31">
        <f t="shared" si="552"/>
        <v>1</v>
      </c>
      <c r="AS490" s="2">
        <f t="shared" si="553"/>
        <v>0</v>
      </c>
      <c r="AT490" s="33">
        <f t="shared" si="554"/>
        <v>0</v>
      </c>
      <c r="AU490" s="31">
        <f t="shared" si="555"/>
        <v>0</v>
      </c>
      <c r="AV490" s="2">
        <f t="shared" si="556"/>
        <v>0</v>
      </c>
      <c r="AW490" s="33">
        <f t="shared" si="557"/>
        <v>1</v>
      </c>
      <c r="AX490" s="31">
        <f t="shared" si="558"/>
        <v>1</v>
      </c>
      <c r="AY490" s="33">
        <f t="shared" si="559"/>
        <v>1</v>
      </c>
      <c r="AZ490" s="2"/>
      <c r="BA490" s="101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</row>
    <row r="491" spans="1:71" ht="12" customHeight="1">
      <c r="A491" s="2"/>
      <c r="B491" s="107">
        <v>416</v>
      </c>
      <c r="C491" s="31">
        <v>4</v>
      </c>
      <c r="D491" s="111" t="s">
        <v>8</v>
      </c>
      <c r="E491" s="2" t="s">
        <v>148</v>
      </c>
      <c r="F491" s="2"/>
      <c r="G491" s="2"/>
      <c r="H491" s="33" t="s">
        <v>80</v>
      </c>
      <c r="I491" s="99">
        <f t="shared" si="0"/>
        <v>277.65339560449115</v>
      </c>
      <c r="J491" s="101">
        <f t="shared" si="1"/>
        <v>10.765615909171565</v>
      </c>
      <c r="K491" s="101">
        <f t="shared" si="2"/>
        <v>853</v>
      </c>
      <c r="L491" s="74">
        <f t="shared" si="535"/>
        <v>412</v>
      </c>
      <c r="M491" s="99">
        <f t="shared" si="191"/>
        <v>5132.3608599320323</v>
      </c>
      <c r="N491" s="108">
        <f t="shared" si="536"/>
        <v>2255.9033024304485</v>
      </c>
      <c r="O491" s="108">
        <f t="shared" si="537"/>
        <v>2876.4575575015833</v>
      </c>
      <c r="P491" s="108">
        <f t="shared" si="538"/>
        <v>0</v>
      </c>
      <c r="Q491" s="108"/>
      <c r="R491" s="109"/>
      <c r="S491" s="99">
        <f t="shared" si="399"/>
        <v>4312.8611703670731</v>
      </c>
      <c r="T491" s="108">
        <f t="shared" si="539"/>
        <v>1895.6963515780487</v>
      </c>
      <c r="U491" s="108">
        <f t="shared" si="540"/>
        <v>2417.1648187890246</v>
      </c>
      <c r="V491" s="108">
        <f t="shared" si="541"/>
        <v>0</v>
      </c>
      <c r="W491" s="108"/>
      <c r="X491" s="109"/>
      <c r="Y491" s="99">
        <f t="shared" si="8"/>
        <v>8625.7223407341462</v>
      </c>
      <c r="Z491" s="108">
        <f t="shared" si="542"/>
        <v>3791.3927031560975</v>
      </c>
      <c r="AA491" s="108">
        <f t="shared" si="543"/>
        <v>4834.3296375780492</v>
      </c>
      <c r="AB491" s="108">
        <f t="shared" si="544"/>
        <v>0</v>
      </c>
      <c r="AC491" s="108"/>
      <c r="AD491" s="109"/>
      <c r="AE491" s="99">
        <f t="shared" si="560"/>
        <v>18.484776131615998</v>
      </c>
      <c r="AF491" s="101">
        <f t="shared" ref="AF491" si="600">AP491</f>
        <v>36</v>
      </c>
      <c r="AG491" s="101">
        <f t="shared" si="458"/>
        <v>19.001300000000001</v>
      </c>
      <c r="AH491" s="101">
        <f t="shared" si="546"/>
        <v>199</v>
      </c>
      <c r="AI491" s="101">
        <f t="shared" si="547"/>
        <v>200</v>
      </c>
      <c r="AJ491" s="108">
        <f t="shared" si="548"/>
        <v>1.6666666666666667</v>
      </c>
      <c r="AK491" s="101">
        <f t="shared" si="461"/>
        <v>4312.8611703670731</v>
      </c>
      <c r="AL491" s="101">
        <f t="shared" si="549"/>
        <v>1895.6963515780487</v>
      </c>
      <c r="AM491" s="101">
        <f t="shared" si="550"/>
        <v>2417.1648187890246</v>
      </c>
      <c r="AN491" s="101"/>
      <c r="AO491" s="1">
        <v>24</v>
      </c>
      <c r="AP491" s="2">
        <v>36</v>
      </c>
      <c r="AQ491" s="74">
        <f t="shared" si="551"/>
        <v>199</v>
      </c>
      <c r="AR491" s="31">
        <f t="shared" si="552"/>
        <v>1.2</v>
      </c>
      <c r="AS491" s="2">
        <f t="shared" si="553"/>
        <v>0</v>
      </c>
      <c r="AT491" s="33">
        <f t="shared" si="554"/>
        <v>0</v>
      </c>
      <c r="AU491" s="31">
        <f t="shared" si="555"/>
        <v>0</v>
      </c>
      <c r="AV491" s="2">
        <f t="shared" si="556"/>
        <v>0</v>
      </c>
      <c r="AW491" s="33">
        <f t="shared" si="557"/>
        <v>1</v>
      </c>
      <c r="AX491" s="31">
        <f t="shared" si="558"/>
        <v>1</v>
      </c>
      <c r="AY491" s="33">
        <f t="shared" si="559"/>
        <v>1</v>
      </c>
      <c r="AZ491" s="2"/>
      <c r="BA491" s="101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</row>
    <row r="492" spans="1:71" ht="12" customHeight="1">
      <c r="A492" s="2"/>
      <c r="B492" s="107">
        <v>417</v>
      </c>
      <c r="C492" s="31">
        <v>1</v>
      </c>
      <c r="D492" s="111" t="s">
        <v>8</v>
      </c>
      <c r="E492" s="2" t="s">
        <v>67</v>
      </c>
      <c r="F492" s="2"/>
      <c r="G492" s="2"/>
      <c r="H492" s="33" t="s">
        <v>80</v>
      </c>
      <c r="I492" s="99">
        <f t="shared" si="0"/>
        <v>222.81775614804798</v>
      </c>
      <c r="J492" s="101">
        <f t="shared" si="1"/>
        <v>5.4639558131976278</v>
      </c>
      <c r="K492" s="101">
        <f t="shared" si="2"/>
        <v>879</v>
      </c>
      <c r="L492" s="74">
        <f t="shared" si="535"/>
        <v>416</v>
      </c>
      <c r="M492" s="99">
        <f t="shared" si="191"/>
        <v>4118.7363405456708</v>
      </c>
      <c r="N492" s="108">
        <f t="shared" si="536"/>
        <v>1808.6714615522678</v>
      </c>
      <c r="O492" s="108">
        <f t="shared" si="537"/>
        <v>2310.0648789934025</v>
      </c>
      <c r="P492" s="108">
        <f t="shared" si="538"/>
        <v>0</v>
      </c>
      <c r="Q492" s="108"/>
      <c r="R492" s="109"/>
      <c r="S492" s="99">
        <f t="shared" si="399"/>
        <v>3461.0851650743907</v>
      </c>
      <c r="T492" s="108">
        <f t="shared" si="539"/>
        <v>1519.8753808170734</v>
      </c>
      <c r="U492" s="108">
        <f t="shared" si="540"/>
        <v>1941.2097842573171</v>
      </c>
      <c r="V492" s="108">
        <f t="shared" si="541"/>
        <v>0</v>
      </c>
      <c r="W492" s="108"/>
      <c r="X492" s="109"/>
      <c r="Y492" s="99">
        <f t="shared" si="8"/>
        <v>6922.1703301487814</v>
      </c>
      <c r="Z492" s="108">
        <f t="shared" si="542"/>
        <v>3039.7507616341468</v>
      </c>
      <c r="AA492" s="108">
        <f t="shared" si="543"/>
        <v>3882.4195685146342</v>
      </c>
      <c r="AB492" s="108">
        <f t="shared" si="544"/>
        <v>0</v>
      </c>
      <c r="AC492" s="108"/>
      <c r="AD492" s="109"/>
      <c r="AE492" s="99">
        <f t="shared" si="560"/>
        <v>18.484776131615998</v>
      </c>
      <c r="AF492" s="101">
        <f t="shared" ref="AF492" si="601">AP492</f>
        <v>36</v>
      </c>
      <c r="AG492" s="101">
        <f t="shared" si="458"/>
        <v>19.001300000000001</v>
      </c>
      <c r="AH492" s="101">
        <f t="shared" si="546"/>
        <v>101</v>
      </c>
      <c r="AI492" s="101">
        <f t="shared" si="547"/>
        <v>200</v>
      </c>
      <c r="AJ492" s="108">
        <f t="shared" si="548"/>
        <v>1.6666666666666667</v>
      </c>
      <c r="AK492" s="101">
        <f t="shared" si="461"/>
        <v>3461.0851650743907</v>
      </c>
      <c r="AL492" s="101">
        <f t="shared" si="549"/>
        <v>1519.8753808170734</v>
      </c>
      <c r="AM492" s="101">
        <f t="shared" si="550"/>
        <v>1941.2097842573171</v>
      </c>
      <c r="AN492" s="101"/>
      <c r="AO492" s="1">
        <v>24</v>
      </c>
      <c r="AP492" s="2">
        <v>36</v>
      </c>
      <c r="AQ492" s="74">
        <f t="shared" si="551"/>
        <v>101</v>
      </c>
      <c r="AR492" s="31">
        <f t="shared" si="552"/>
        <v>1</v>
      </c>
      <c r="AS492" s="2">
        <f t="shared" si="553"/>
        <v>0</v>
      </c>
      <c r="AT492" s="33">
        <f t="shared" si="554"/>
        <v>0</v>
      </c>
      <c r="AU492" s="31">
        <f t="shared" si="555"/>
        <v>0</v>
      </c>
      <c r="AV492" s="2">
        <f t="shared" si="556"/>
        <v>0</v>
      </c>
      <c r="AW492" s="33">
        <f t="shared" si="557"/>
        <v>1</v>
      </c>
      <c r="AX492" s="31">
        <f t="shared" si="558"/>
        <v>1</v>
      </c>
      <c r="AY492" s="33">
        <f t="shared" si="559"/>
        <v>1</v>
      </c>
      <c r="AZ492" s="2"/>
      <c r="BA492" s="101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</row>
    <row r="493" spans="1:71" ht="12" customHeight="1">
      <c r="A493" s="2"/>
      <c r="B493" s="107">
        <v>418</v>
      </c>
      <c r="C493" s="31">
        <v>10</v>
      </c>
      <c r="D493" s="111" t="s">
        <v>8</v>
      </c>
      <c r="E493" s="2" t="s">
        <v>144</v>
      </c>
      <c r="F493" s="2" t="s">
        <v>149</v>
      </c>
      <c r="G493" s="2"/>
      <c r="H493" s="33" t="s">
        <v>81</v>
      </c>
      <c r="I493" s="99">
        <f t="shared" si="0"/>
        <v>1027.3153616208631</v>
      </c>
      <c r="J493" s="101">
        <f t="shared" si="1"/>
        <v>39.459498714320297</v>
      </c>
      <c r="K493" s="101">
        <f t="shared" si="2"/>
        <v>150</v>
      </c>
      <c r="L493" s="74">
        <f t="shared" si="535"/>
        <v>119</v>
      </c>
      <c r="M493" s="99">
        <f t="shared" si="191"/>
        <v>18989.694476131786</v>
      </c>
      <c r="N493" s="108">
        <f t="shared" si="536"/>
        <v>5345.4163814525937</v>
      </c>
      <c r="O493" s="108">
        <f t="shared" si="537"/>
        <v>6822.1390473395959</v>
      </c>
      <c r="P493" s="108">
        <f t="shared" si="538"/>
        <v>6822.1390473395959</v>
      </c>
      <c r="Q493" s="108"/>
      <c r="R493" s="109"/>
      <c r="S493" s="99">
        <f t="shared" si="399"/>
        <v>13661.522932614145</v>
      </c>
      <c r="T493" s="108">
        <f t="shared" si="539"/>
        <v>3845.5873300843905</v>
      </c>
      <c r="U493" s="108">
        <f t="shared" si="540"/>
        <v>4907.9678012648774</v>
      </c>
      <c r="V493" s="108">
        <f t="shared" si="541"/>
        <v>4907.9678012648774</v>
      </c>
      <c r="W493" s="108"/>
      <c r="X493" s="109"/>
      <c r="Y493" s="99">
        <f t="shared" si="8"/>
        <v>27323.04586522829</v>
      </c>
      <c r="Z493" s="108">
        <f t="shared" si="542"/>
        <v>7691.174660168781</v>
      </c>
      <c r="AA493" s="108">
        <f t="shared" si="543"/>
        <v>9815.9356025297548</v>
      </c>
      <c r="AB493" s="108">
        <f t="shared" si="544"/>
        <v>9815.9356025297548</v>
      </c>
      <c r="AC493" s="108"/>
      <c r="AD493" s="109"/>
      <c r="AE493" s="99">
        <f t="shared" si="560"/>
        <v>18.484776131615998</v>
      </c>
      <c r="AF493" s="101">
        <f t="shared" ref="AF493" si="602">AP493</f>
        <v>36</v>
      </c>
      <c r="AG493" s="101">
        <f t="shared" si="458"/>
        <v>19.001300000000001</v>
      </c>
      <c r="AH493" s="101">
        <f t="shared" si="546"/>
        <v>729.4</v>
      </c>
      <c r="AI493" s="101">
        <f t="shared" si="547"/>
        <v>200</v>
      </c>
      <c r="AJ493" s="108">
        <f t="shared" si="548"/>
        <v>1.1111111111111112</v>
      </c>
      <c r="AK493" s="101">
        <f t="shared" si="461"/>
        <v>7294.6292761243903</v>
      </c>
      <c r="AL493" s="101">
        <f t="shared" si="549"/>
        <v>3204.6561084036589</v>
      </c>
      <c r="AM493" s="101">
        <f t="shared" si="550"/>
        <v>4089.9731677207315</v>
      </c>
      <c r="AN493" s="101"/>
      <c r="AO493" s="1">
        <v>24</v>
      </c>
      <c r="AP493" s="2">
        <v>36</v>
      </c>
      <c r="AQ493" s="74">
        <f t="shared" si="551"/>
        <v>521</v>
      </c>
      <c r="AR493" s="31">
        <f t="shared" si="552"/>
        <v>1</v>
      </c>
      <c r="AS493" s="2">
        <f t="shared" si="553"/>
        <v>0</v>
      </c>
      <c r="AT493" s="33">
        <f t="shared" si="554"/>
        <v>0</v>
      </c>
      <c r="AU493" s="31">
        <f t="shared" si="555"/>
        <v>0</v>
      </c>
      <c r="AV493" s="2">
        <f t="shared" si="556"/>
        <v>0</v>
      </c>
      <c r="AW493" s="33">
        <f t="shared" si="557"/>
        <v>1</v>
      </c>
      <c r="AX493" s="31">
        <f t="shared" si="558"/>
        <v>1.5</v>
      </c>
      <c r="AY493" s="33">
        <f t="shared" si="559"/>
        <v>1</v>
      </c>
      <c r="AZ493" s="2"/>
      <c r="BA493" s="101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</row>
    <row r="494" spans="1:71" ht="12" customHeight="1">
      <c r="A494" s="2"/>
      <c r="B494" s="107">
        <v>419</v>
      </c>
      <c r="C494" s="31">
        <v>10</v>
      </c>
      <c r="D494" s="111" t="s">
        <v>8</v>
      </c>
      <c r="E494" s="2" t="s">
        <v>138</v>
      </c>
      <c r="F494" s="2" t="s">
        <v>149</v>
      </c>
      <c r="G494" s="2"/>
      <c r="H494" s="33" t="s">
        <v>81</v>
      </c>
      <c r="I494" s="99">
        <f t="shared" si="0"/>
        <v>1212.0825835139069</v>
      </c>
      <c r="J494" s="101">
        <f t="shared" si="1"/>
        <v>39.459498714320297</v>
      </c>
      <c r="K494" s="101">
        <f t="shared" si="2"/>
        <v>96</v>
      </c>
      <c r="L494" s="74">
        <f t="shared" si="535"/>
        <v>84</v>
      </c>
      <c r="M494" s="99">
        <f t="shared" si="191"/>
        <v>22405.075209285322</v>
      </c>
      <c r="N494" s="108">
        <f t="shared" si="536"/>
        <v>6306.8132139736917</v>
      </c>
      <c r="O494" s="108">
        <f t="shared" si="537"/>
        <v>8049.1309976558159</v>
      </c>
      <c r="P494" s="108">
        <f t="shared" si="538"/>
        <v>8049.1309976558159</v>
      </c>
      <c r="Q494" s="108"/>
      <c r="R494" s="109"/>
      <c r="S494" s="99">
        <f t="shared" si="399"/>
        <v>13661.522932614145</v>
      </c>
      <c r="T494" s="108">
        <f t="shared" si="539"/>
        <v>3845.5873300843905</v>
      </c>
      <c r="U494" s="108">
        <f t="shared" si="540"/>
        <v>4907.9678012648774</v>
      </c>
      <c r="V494" s="108">
        <f t="shared" si="541"/>
        <v>4907.9678012648774</v>
      </c>
      <c r="W494" s="108"/>
      <c r="X494" s="109"/>
      <c r="Y494" s="99">
        <f t="shared" si="8"/>
        <v>27323.04586522829</v>
      </c>
      <c r="Z494" s="108">
        <f t="shared" si="542"/>
        <v>7691.174660168781</v>
      </c>
      <c r="AA494" s="108">
        <f t="shared" si="543"/>
        <v>9815.9356025297548</v>
      </c>
      <c r="AB494" s="108">
        <f t="shared" si="544"/>
        <v>9815.9356025297548</v>
      </c>
      <c r="AC494" s="108"/>
      <c r="AD494" s="109"/>
      <c r="AE494" s="99">
        <f t="shared" si="560"/>
        <v>18.484776131615998</v>
      </c>
      <c r="AF494" s="101">
        <f t="shared" ref="AF494" si="603">AP494</f>
        <v>36</v>
      </c>
      <c r="AG494" s="101">
        <f t="shared" si="458"/>
        <v>44.001300000000001</v>
      </c>
      <c r="AH494" s="101">
        <f t="shared" si="546"/>
        <v>729.4</v>
      </c>
      <c r="AI494" s="101">
        <f t="shared" si="547"/>
        <v>200</v>
      </c>
      <c r="AJ494" s="108">
        <f t="shared" si="548"/>
        <v>1.1111111111111112</v>
      </c>
      <c r="AK494" s="101">
        <f t="shared" si="461"/>
        <v>7294.6292761243903</v>
      </c>
      <c r="AL494" s="101">
        <f t="shared" si="549"/>
        <v>3204.6561084036589</v>
      </c>
      <c r="AM494" s="101">
        <f t="shared" si="550"/>
        <v>4089.9731677207315</v>
      </c>
      <c r="AN494" s="101"/>
      <c r="AO494" s="1">
        <v>24</v>
      </c>
      <c r="AP494" s="2">
        <v>36</v>
      </c>
      <c r="AQ494" s="74">
        <f t="shared" si="551"/>
        <v>521</v>
      </c>
      <c r="AR494" s="31">
        <f t="shared" si="552"/>
        <v>1</v>
      </c>
      <c r="AS494" s="2">
        <f t="shared" si="553"/>
        <v>0</v>
      </c>
      <c r="AT494" s="33">
        <f t="shared" si="554"/>
        <v>0</v>
      </c>
      <c r="AU494" s="31">
        <f t="shared" si="555"/>
        <v>25</v>
      </c>
      <c r="AV494" s="2">
        <f t="shared" si="556"/>
        <v>0</v>
      </c>
      <c r="AW494" s="33">
        <f t="shared" si="557"/>
        <v>1</v>
      </c>
      <c r="AX494" s="31">
        <f t="shared" si="558"/>
        <v>1.5</v>
      </c>
      <c r="AY494" s="33">
        <f t="shared" si="559"/>
        <v>1</v>
      </c>
      <c r="AZ494" s="2"/>
      <c r="BA494" s="101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</row>
    <row r="495" spans="1:71" ht="12" customHeight="1">
      <c r="A495" s="2"/>
      <c r="B495" s="107">
        <v>420</v>
      </c>
      <c r="C495" s="31">
        <v>10</v>
      </c>
      <c r="D495" s="111" t="s">
        <v>8</v>
      </c>
      <c r="E495" s="2" t="s">
        <v>141</v>
      </c>
      <c r="F495" s="2" t="s">
        <v>149</v>
      </c>
      <c r="G495" s="2"/>
      <c r="H495" s="33" t="s">
        <v>81</v>
      </c>
      <c r="I495" s="99">
        <f t="shared" si="0"/>
        <v>1126.7271361074756</v>
      </c>
      <c r="J495" s="101">
        <f t="shared" si="1"/>
        <v>39.459498714320297</v>
      </c>
      <c r="K495" s="101">
        <f t="shared" si="2"/>
        <v>112</v>
      </c>
      <c r="L495" s="74">
        <f t="shared" si="535"/>
        <v>94</v>
      </c>
      <c r="M495" s="99">
        <f t="shared" si="191"/>
        <v>20827.298872363517</v>
      </c>
      <c r="N495" s="108">
        <f t="shared" si="536"/>
        <v>5345.4163814525937</v>
      </c>
      <c r="O495" s="108">
        <f t="shared" si="537"/>
        <v>7740.9412454554613</v>
      </c>
      <c r="P495" s="108">
        <f t="shared" si="538"/>
        <v>7740.9412454554613</v>
      </c>
      <c r="Q495" s="108"/>
      <c r="R495" s="109"/>
      <c r="S495" s="99">
        <f t="shared" si="399"/>
        <v>13661.522932614145</v>
      </c>
      <c r="T495" s="108">
        <f t="shared" si="539"/>
        <v>3845.5873300843905</v>
      </c>
      <c r="U495" s="108">
        <f t="shared" si="540"/>
        <v>4907.9678012648774</v>
      </c>
      <c r="V495" s="108">
        <f t="shared" si="541"/>
        <v>4907.9678012648774</v>
      </c>
      <c r="W495" s="108"/>
      <c r="X495" s="109"/>
      <c r="Y495" s="99">
        <f t="shared" si="8"/>
        <v>32034.694954442573</v>
      </c>
      <c r="Z495" s="108">
        <f t="shared" si="542"/>
        <v>7691.174660168781</v>
      </c>
      <c r="AA495" s="108">
        <f t="shared" si="543"/>
        <v>12171.760147136896</v>
      </c>
      <c r="AB495" s="108">
        <f t="shared" si="544"/>
        <v>12171.760147136896</v>
      </c>
      <c r="AC495" s="108"/>
      <c r="AD495" s="109"/>
      <c r="AE495" s="99">
        <f t="shared" si="560"/>
        <v>18.484776131615998</v>
      </c>
      <c r="AF495" s="101">
        <f t="shared" ref="AF495" si="604">AP495</f>
        <v>36</v>
      </c>
      <c r="AG495" s="101">
        <f t="shared" si="458"/>
        <v>19.001300000000001</v>
      </c>
      <c r="AH495" s="101">
        <f t="shared" si="546"/>
        <v>729.4</v>
      </c>
      <c r="AI495" s="101">
        <f t="shared" si="547"/>
        <v>248</v>
      </c>
      <c r="AJ495" s="108">
        <f t="shared" si="548"/>
        <v>1.1111111111111112</v>
      </c>
      <c r="AK495" s="101">
        <f t="shared" si="461"/>
        <v>7294.6292761243903</v>
      </c>
      <c r="AL495" s="101">
        <f t="shared" si="549"/>
        <v>3204.6561084036589</v>
      </c>
      <c r="AM495" s="101">
        <f t="shared" si="550"/>
        <v>4089.9731677207315</v>
      </c>
      <c r="AN495" s="101"/>
      <c r="AO495" s="1">
        <v>24</v>
      </c>
      <c r="AP495" s="2">
        <v>36</v>
      </c>
      <c r="AQ495" s="74">
        <f t="shared" si="551"/>
        <v>521</v>
      </c>
      <c r="AR495" s="31">
        <f t="shared" si="552"/>
        <v>1</v>
      </c>
      <c r="AS495" s="2">
        <f t="shared" si="553"/>
        <v>0</v>
      </c>
      <c r="AT495" s="33">
        <f t="shared" si="554"/>
        <v>0</v>
      </c>
      <c r="AU495" s="31">
        <f t="shared" si="555"/>
        <v>0</v>
      </c>
      <c r="AV495" s="2">
        <f t="shared" si="556"/>
        <v>0</v>
      </c>
      <c r="AW495" s="33">
        <f t="shared" si="557"/>
        <v>1.24</v>
      </c>
      <c r="AX495" s="31">
        <f t="shared" si="558"/>
        <v>1.5</v>
      </c>
      <c r="AY495" s="33">
        <f t="shared" si="559"/>
        <v>1</v>
      </c>
      <c r="AZ495" s="2"/>
      <c r="BA495" s="101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</row>
    <row r="496" spans="1:71" ht="12" customHeight="1">
      <c r="A496" s="2"/>
      <c r="B496" s="107">
        <v>421</v>
      </c>
      <c r="C496" s="31">
        <v>10</v>
      </c>
      <c r="D496" s="111" t="s">
        <v>8</v>
      </c>
      <c r="E496" s="2" t="s">
        <v>150</v>
      </c>
      <c r="F496" s="2" t="s">
        <v>149</v>
      </c>
      <c r="G496" s="2"/>
      <c r="H496" s="33" t="s">
        <v>81</v>
      </c>
      <c r="I496" s="99">
        <f t="shared" si="0"/>
        <v>1232.7784339450354</v>
      </c>
      <c r="J496" s="101">
        <f t="shared" si="1"/>
        <v>39.459498714320297</v>
      </c>
      <c r="K496" s="101">
        <f t="shared" si="2"/>
        <v>90</v>
      </c>
      <c r="L496" s="74">
        <f t="shared" si="535"/>
        <v>79</v>
      </c>
      <c r="M496" s="99">
        <f t="shared" si="191"/>
        <v>22787.633371358141</v>
      </c>
      <c r="N496" s="108">
        <f t="shared" si="536"/>
        <v>6414.499657743112</v>
      </c>
      <c r="O496" s="108">
        <f t="shared" si="537"/>
        <v>8186.5668568075143</v>
      </c>
      <c r="P496" s="108">
        <f t="shared" si="538"/>
        <v>8186.5668568075143</v>
      </c>
      <c r="Q496" s="108"/>
      <c r="R496" s="109"/>
      <c r="S496" s="99">
        <f t="shared" si="399"/>
        <v>16393.827519136972</v>
      </c>
      <c r="T496" s="108">
        <f t="shared" si="539"/>
        <v>4614.7047961012686</v>
      </c>
      <c r="U496" s="108">
        <f t="shared" si="540"/>
        <v>5889.5613615178527</v>
      </c>
      <c r="V496" s="108">
        <f t="shared" si="541"/>
        <v>5889.5613615178527</v>
      </c>
      <c r="W496" s="108"/>
      <c r="X496" s="109"/>
      <c r="Y496" s="99">
        <f t="shared" si="8"/>
        <v>32787.655038273944</v>
      </c>
      <c r="Z496" s="108">
        <f t="shared" si="542"/>
        <v>9229.4095922025372</v>
      </c>
      <c r="AA496" s="108">
        <f t="shared" si="543"/>
        <v>11779.122723035705</v>
      </c>
      <c r="AB496" s="108">
        <f t="shared" si="544"/>
        <v>11779.122723035705</v>
      </c>
      <c r="AC496" s="108"/>
      <c r="AD496" s="109"/>
      <c r="AE496" s="99">
        <f t="shared" si="560"/>
        <v>18.484776131615998</v>
      </c>
      <c r="AF496" s="101">
        <f t="shared" ref="AF496" si="605">AP496</f>
        <v>36</v>
      </c>
      <c r="AG496" s="101">
        <f t="shared" si="458"/>
        <v>19.001300000000001</v>
      </c>
      <c r="AH496" s="101">
        <f t="shared" si="546"/>
        <v>729.4</v>
      </c>
      <c r="AI496" s="101">
        <f t="shared" si="547"/>
        <v>200</v>
      </c>
      <c r="AJ496" s="108">
        <f t="shared" si="548"/>
        <v>1.1111111111111112</v>
      </c>
      <c r="AK496" s="101">
        <f t="shared" si="461"/>
        <v>7294.6292761243903</v>
      </c>
      <c r="AL496" s="101">
        <f t="shared" si="549"/>
        <v>3204.6561084036589</v>
      </c>
      <c r="AM496" s="101">
        <f t="shared" si="550"/>
        <v>4089.9731677207315</v>
      </c>
      <c r="AN496" s="101"/>
      <c r="AO496" s="1">
        <v>24</v>
      </c>
      <c r="AP496" s="2">
        <v>36</v>
      </c>
      <c r="AQ496" s="74">
        <f t="shared" si="551"/>
        <v>521</v>
      </c>
      <c r="AR496" s="31">
        <f t="shared" si="552"/>
        <v>1.2</v>
      </c>
      <c r="AS496" s="2">
        <f t="shared" si="553"/>
        <v>0</v>
      </c>
      <c r="AT496" s="33">
        <f t="shared" si="554"/>
        <v>0</v>
      </c>
      <c r="AU496" s="31">
        <f t="shared" si="555"/>
        <v>0</v>
      </c>
      <c r="AV496" s="2">
        <f t="shared" si="556"/>
        <v>0</v>
      </c>
      <c r="AW496" s="33">
        <f t="shared" si="557"/>
        <v>1</v>
      </c>
      <c r="AX496" s="31">
        <f t="shared" si="558"/>
        <v>1.5</v>
      </c>
      <c r="AY496" s="33">
        <f t="shared" si="559"/>
        <v>1</v>
      </c>
      <c r="AZ496" s="2"/>
      <c r="BA496" s="101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</row>
    <row r="497" spans="1:71" ht="12" customHeight="1">
      <c r="A497" s="2"/>
      <c r="B497" s="107">
        <v>422</v>
      </c>
      <c r="C497" s="31">
        <v>10</v>
      </c>
      <c r="D497" s="111" t="s">
        <v>8</v>
      </c>
      <c r="E497" s="2" t="s">
        <v>164</v>
      </c>
      <c r="F497" s="2" t="s">
        <v>149</v>
      </c>
      <c r="G497" s="2"/>
      <c r="H497" s="33" t="s">
        <v>81</v>
      </c>
      <c r="I497" s="99">
        <f t="shared" si="0"/>
        <v>1454.4991002166887</v>
      </c>
      <c r="J497" s="101">
        <f t="shared" si="1"/>
        <v>39.459498714320297</v>
      </c>
      <c r="K497" s="101">
        <f t="shared" si="2"/>
        <v>49</v>
      </c>
      <c r="L497" s="74">
        <f t="shared" si="535"/>
        <v>46</v>
      </c>
      <c r="M497" s="99">
        <f t="shared" si="191"/>
        <v>26886.090251142392</v>
      </c>
      <c r="N497" s="108">
        <f t="shared" si="536"/>
        <v>7568.175856768431</v>
      </c>
      <c r="O497" s="108">
        <f t="shared" si="537"/>
        <v>9658.9571971869791</v>
      </c>
      <c r="P497" s="108">
        <f t="shared" si="538"/>
        <v>9658.9571971869791</v>
      </c>
      <c r="Q497" s="108"/>
      <c r="R497" s="109"/>
      <c r="S497" s="99">
        <f t="shared" si="399"/>
        <v>16393.827519136972</v>
      </c>
      <c r="T497" s="108">
        <f t="shared" si="539"/>
        <v>4614.7047961012686</v>
      </c>
      <c r="U497" s="108">
        <f t="shared" si="540"/>
        <v>5889.5613615178527</v>
      </c>
      <c r="V497" s="108">
        <f t="shared" si="541"/>
        <v>5889.5613615178527</v>
      </c>
      <c r="W497" s="108"/>
      <c r="X497" s="109"/>
      <c r="Y497" s="99">
        <f t="shared" si="8"/>
        <v>32787.655038273944</v>
      </c>
      <c r="Z497" s="108">
        <f t="shared" si="542"/>
        <v>9229.4095922025372</v>
      </c>
      <c r="AA497" s="108">
        <f t="shared" si="543"/>
        <v>11779.122723035705</v>
      </c>
      <c r="AB497" s="108">
        <f t="shared" si="544"/>
        <v>11779.122723035705</v>
      </c>
      <c r="AC497" s="108"/>
      <c r="AD497" s="109"/>
      <c r="AE497" s="99">
        <f t="shared" si="560"/>
        <v>18.484776131615998</v>
      </c>
      <c r="AF497" s="101">
        <f t="shared" ref="AF497" si="606">AP497</f>
        <v>36</v>
      </c>
      <c r="AG497" s="101">
        <f t="shared" si="458"/>
        <v>44.001300000000001</v>
      </c>
      <c r="AH497" s="101">
        <f t="shared" si="546"/>
        <v>729.4</v>
      </c>
      <c r="AI497" s="101">
        <f t="shared" si="547"/>
        <v>200</v>
      </c>
      <c r="AJ497" s="108">
        <f t="shared" si="548"/>
        <v>1.1111111111111112</v>
      </c>
      <c r="AK497" s="101">
        <f t="shared" si="461"/>
        <v>7294.6292761243903</v>
      </c>
      <c r="AL497" s="101">
        <f t="shared" si="549"/>
        <v>3204.6561084036589</v>
      </c>
      <c r="AM497" s="101">
        <f t="shared" si="550"/>
        <v>4089.9731677207315</v>
      </c>
      <c r="AN497" s="101"/>
      <c r="AO497" s="1">
        <v>24</v>
      </c>
      <c r="AP497" s="2">
        <v>36</v>
      </c>
      <c r="AQ497" s="74">
        <f t="shared" si="551"/>
        <v>521</v>
      </c>
      <c r="AR497" s="31">
        <f t="shared" si="552"/>
        <v>1.2</v>
      </c>
      <c r="AS497" s="2">
        <f t="shared" si="553"/>
        <v>0</v>
      </c>
      <c r="AT497" s="33">
        <f t="shared" si="554"/>
        <v>0</v>
      </c>
      <c r="AU497" s="31">
        <f t="shared" si="555"/>
        <v>25</v>
      </c>
      <c r="AV497" s="2">
        <f t="shared" si="556"/>
        <v>0</v>
      </c>
      <c r="AW497" s="33">
        <f t="shared" si="557"/>
        <v>1</v>
      </c>
      <c r="AX497" s="31">
        <f t="shared" si="558"/>
        <v>1.5</v>
      </c>
      <c r="AY497" s="33">
        <f t="shared" si="559"/>
        <v>1</v>
      </c>
      <c r="AZ497" s="2"/>
      <c r="BA497" s="101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</row>
    <row r="498" spans="1:71" ht="12" customHeight="1">
      <c r="A498" s="2"/>
      <c r="B498" s="107">
        <v>423</v>
      </c>
      <c r="C498" s="31">
        <v>10</v>
      </c>
      <c r="D498" s="111" t="s">
        <v>8</v>
      </c>
      <c r="E498" s="2" t="s">
        <v>156</v>
      </c>
      <c r="F498" s="2" t="s">
        <v>149</v>
      </c>
      <c r="G498" s="2"/>
      <c r="H498" s="33" t="s">
        <v>81</v>
      </c>
      <c r="I498" s="99">
        <f t="shared" si="0"/>
        <v>1352.0725633289705</v>
      </c>
      <c r="J498" s="101">
        <f t="shared" si="1"/>
        <v>39.459498714320297</v>
      </c>
      <c r="K498" s="101">
        <f t="shared" si="2"/>
        <v>65</v>
      </c>
      <c r="L498" s="74">
        <f t="shared" si="535"/>
        <v>61</v>
      </c>
      <c r="M498" s="99">
        <f t="shared" si="191"/>
        <v>24992.758646836217</v>
      </c>
      <c r="N498" s="108">
        <f t="shared" si="536"/>
        <v>6414.499657743112</v>
      </c>
      <c r="O498" s="108">
        <f t="shared" si="537"/>
        <v>9289.1294945465525</v>
      </c>
      <c r="P498" s="108">
        <f t="shared" si="538"/>
        <v>9289.1294945465525</v>
      </c>
      <c r="Q498" s="108"/>
      <c r="R498" s="109"/>
      <c r="S498" s="99">
        <f t="shared" si="399"/>
        <v>16393.827519136972</v>
      </c>
      <c r="T498" s="108">
        <f t="shared" si="539"/>
        <v>4614.7047961012686</v>
      </c>
      <c r="U498" s="108">
        <f t="shared" si="540"/>
        <v>5889.5613615178527</v>
      </c>
      <c r="V498" s="108">
        <f t="shared" si="541"/>
        <v>5889.5613615178527</v>
      </c>
      <c r="W498" s="108"/>
      <c r="X498" s="109"/>
      <c r="Y498" s="99">
        <f t="shared" si="8"/>
        <v>38441.633945331087</v>
      </c>
      <c r="Z498" s="108">
        <f t="shared" si="542"/>
        <v>9229.4095922025372</v>
      </c>
      <c r="AA498" s="108">
        <f t="shared" si="543"/>
        <v>14606.112176564275</v>
      </c>
      <c r="AB498" s="108">
        <f t="shared" si="544"/>
        <v>14606.112176564275</v>
      </c>
      <c r="AC498" s="108"/>
      <c r="AD498" s="109"/>
      <c r="AE498" s="99">
        <f t="shared" si="560"/>
        <v>18.484776131615998</v>
      </c>
      <c r="AF498" s="101">
        <f t="shared" ref="AF498" si="607">AP498</f>
        <v>36</v>
      </c>
      <c r="AG498" s="101">
        <f t="shared" si="458"/>
        <v>19.001300000000001</v>
      </c>
      <c r="AH498" s="101">
        <f t="shared" si="546"/>
        <v>729.4</v>
      </c>
      <c r="AI498" s="101">
        <f t="shared" si="547"/>
        <v>248</v>
      </c>
      <c r="AJ498" s="108">
        <f t="shared" si="548"/>
        <v>1.1111111111111112</v>
      </c>
      <c r="AK498" s="101">
        <f t="shared" si="461"/>
        <v>7294.6292761243903</v>
      </c>
      <c r="AL498" s="101">
        <f t="shared" si="549"/>
        <v>3204.6561084036589</v>
      </c>
      <c r="AM498" s="101">
        <f t="shared" si="550"/>
        <v>4089.9731677207315</v>
      </c>
      <c r="AN498" s="101"/>
      <c r="AO498" s="1">
        <v>24</v>
      </c>
      <c r="AP498" s="2">
        <v>36</v>
      </c>
      <c r="AQ498" s="74">
        <f t="shared" si="551"/>
        <v>521</v>
      </c>
      <c r="AR498" s="31">
        <f t="shared" si="552"/>
        <v>1.2</v>
      </c>
      <c r="AS498" s="2">
        <f t="shared" si="553"/>
        <v>0</v>
      </c>
      <c r="AT498" s="33">
        <f t="shared" si="554"/>
        <v>0</v>
      </c>
      <c r="AU498" s="31">
        <f t="shared" si="555"/>
        <v>0</v>
      </c>
      <c r="AV498" s="2">
        <f t="shared" si="556"/>
        <v>0</v>
      </c>
      <c r="AW498" s="33">
        <f t="shared" si="557"/>
        <v>1.24</v>
      </c>
      <c r="AX498" s="31">
        <f t="shared" si="558"/>
        <v>1.5</v>
      </c>
      <c r="AY498" s="33">
        <f t="shared" si="559"/>
        <v>1</v>
      </c>
      <c r="AZ498" s="2"/>
      <c r="BA498" s="101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</row>
    <row r="499" spans="1:71" ht="12" customHeight="1">
      <c r="A499" s="2"/>
      <c r="B499" s="107">
        <v>424</v>
      </c>
      <c r="C499" s="31">
        <v>10</v>
      </c>
      <c r="D499" s="111" t="s">
        <v>8</v>
      </c>
      <c r="E499" s="2" t="s">
        <v>92</v>
      </c>
      <c r="F499" s="2" t="s">
        <v>149</v>
      </c>
      <c r="G499" s="2"/>
      <c r="H499" s="33" t="s">
        <v>81</v>
      </c>
      <c r="I499" s="99">
        <f t="shared" si="0"/>
        <v>900.71237944502116</v>
      </c>
      <c r="J499" s="101">
        <f t="shared" si="1"/>
        <v>28.185356224514496</v>
      </c>
      <c r="K499" s="101">
        <f t="shared" si="2"/>
        <v>205</v>
      </c>
      <c r="L499" s="74">
        <f t="shared" si="535"/>
        <v>152</v>
      </c>
      <c r="M499" s="99">
        <f t="shared" si="191"/>
        <v>16649.46669301638</v>
      </c>
      <c r="N499" s="108">
        <f t="shared" si="536"/>
        <v>7314.3970885640347</v>
      </c>
      <c r="O499" s="108">
        <f t="shared" si="537"/>
        <v>9335.0696044523465</v>
      </c>
      <c r="P499" s="108">
        <f t="shared" si="538"/>
        <v>0</v>
      </c>
      <c r="Q499" s="108"/>
      <c r="R499" s="109"/>
      <c r="S499" s="99">
        <f t="shared" si="399"/>
        <v>10504.26615761912</v>
      </c>
      <c r="T499" s="108">
        <f t="shared" si="539"/>
        <v>4614.7047961012686</v>
      </c>
      <c r="U499" s="108">
        <f t="shared" si="540"/>
        <v>5889.5613615178527</v>
      </c>
      <c r="V499" s="108">
        <f t="shared" si="541"/>
        <v>0</v>
      </c>
      <c r="W499" s="108"/>
      <c r="X499" s="109"/>
      <c r="Y499" s="99">
        <f t="shared" si="8"/>
        <v>26260.665394047806</v>
      </c>
      <c r="Z499" s="108">
        <f t="shared" si="542"/>
        <v>11536.761990253171</v>
      </c>
      <c r="AA499" s="108">
        <f t="shared" si="543"/>
        <v>14723.903403794633</v>
      </c>
      <c r="AB499" s="108">
        <f t="shared" si="544"/>
        <v>0</v>
      </c>
      <c r="AC499" s="108"/>
      <c r="AD499" s="109"/>
      <c r="AE499" s="99">
        <f t="shared" si="560"/>
        <v>18.484776131615998</v>
      </c>
      <c r="AF499" s="101">
        <f t="shared" ref="AF499" si="608">AP499</f>
        <v>36</v>
      </c>
      <c r="AG499" s="101">
        <f t="shared" si="458"/>
        <v>19.001300000000001</v>
      </c>
      <c r="AH499" s="101">
        <f t="shared" si="546"/>
        <v>521</v>
      </c>
      <c r="AI499" s="101">
        <f t="shared" si="547"/>
        <v>250</v>
      </c>
      <c r="AJ499" s="108">
        <f t="shared" si="548"/>
        <v>1.6666666666666667</v>
      </c>
      <c r="AK499" s="101">
        <f t="shared" si="461"/>
        <v>7294.6292761243903</v>
      </c>
      <c r="AL499" s="101">
        <f t="shared" si="549"/>
        <v>3204.6561084036589</v>
      </c>
      <c r="AM499" s="101">
        <f t="shared" si="550"/>
        <v>4089.9731677207315</v>
      </c>
      <c r="AN499" s="101"/>
      <c r="AO499" s="1">
        <v>24</v>
      </c>
      <c r="AP499" s="2">
        <v>36</v>
      </c>
      <c r="AQ499" s="74">
        <f t="shared" si="551"/>
        <v>521</v>
      </c>
      <c r="AR499" s="31">
        <f t="shared" si="552"/>
        <v>1</v>
      </c>
      <c r="AS499" s="2">
        <f t="shared" si="553"/>
        <v>0</v>
      </c>
      <c r="AT499" s="33">
        <f t="shared" si="554"/>
        <v>0</v>
      </c>
      <c r="AU499" s="31">
        <f t="shared" si="555"/>
        <v>0</v>
      </c>
      <c r="AV499" s="2">
        <f t="shared" si="556"/>
        <v>0</v>
      </c>
      <c r="AW499" s="33">
        <f t="shared" si="557"/>
        <v>1</v>
      </c>
      <c r="AX499" s="31">
        <f t="shared" si="558"/>
        <v>1</v>
      </c>
      <c r="AY499" s="33">
        <f t="shared" si="559"/>
        <v>1.2</v>
      </c>
      <c r="AZ499" s="2"/>
      <c r="BA499" s="101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</row>
    <row r="500" spans="1:71" ht="12" customHeight="1">
      <c r="A500" s="2"/>
      <c r="B500" s="107">
        <v>425</v>
      </c>
      <c r="C500" s="31">
        <v>10</v>
      </c>
      <c r="D500" s="111" t="s">
        <v>8</v>
      </c>
      <c r="E500" s="2" t="s">
        <v>139</v>
      </c>
      <c r="F500" s="2" t="s">
        <v>149</v>
      </c>
      <c r="G500" s="2"/>
      <c r="H500" s="33" t="s">
        <v>81</v>
      </c>
      <c r="I500" s="99">
        <f t="shared" si="0"/>
        <v>1113.8120556899401</v>
      </c>
      <c r="J500" s="101">
        <f t="shared" si="1"/>
        <v>28.185356224514496</v>
      </c>
      <c r="K500" s="101">
        <f t="shared" si="2"/>
        <v>116</v>
      </c>
      <c r="L500" s="74">
        <f t="shared" si="535"/>
        <v>98</v>
      </c>
      <c r="M500" s="99">
        <f t="shared" si="191"/>
        <v>20588.566502123555</v>
      </c>
      <c r="N500" s="108">
        <f t="shared" si="536"/>
        <v>9044.9113871020108</v>
      </c>
      <c r="O500" s="108">
        <f t="shared" si="537"/>
        <v>11543.655115021542</v>
      </c>
      <c r="P500" s="108">
        <f t="shared" si="538"/>
        <v>0</v>
      </c>
      <c r="Q500" s="108"/>
      <c r="R500" s="109"/>
      <c r="S500" s="99">
        <f t="shared" si="399"/>
        <v>10504.26615761912</v>
      </c>
      <c r="T500" s="108">
        <f t="shared" si="539"/>
        <v>4614.7047961012686</v>
      </c>
      <c r="U500" s="108">
        <f t="shared" si="540"/>
        <v>5889.5613615178527</v>
      </c>
      <c r="V500" s="108">
        <f t="shared" si="541"/>
        <v>0</v>
      </c>
      <c r="W500" s="108"/>
      <c r="X500" s="109"/>
      <c r="Y500" s="99">
        <f t="shared" si="8"/>
        <v>26260.665394047806</v>
      </c>
      <c r="Z500" s="108">
        <f t="shared" si="542"/>
        <v>11536.761990253171</v>
      </c>
      <c r="AA500" s="108">
        <f t="shared" si="543"/>
        <v>14723.903403794633</v>
      </c>
      <c r="AB500" s="108">
        <f t="shared" si="544"/>
        <v>0</v>
      </c>
      <c r="AC500" s="108"/>
      <c r="AD500" s="109"/>
      <c r="AE500" s="99">
        <f t="shared" si="560"/>
        <v>18.484776131615998</v>
      </c>
      <c r="AF500" s="101">
        <f t="shared" ref="AF500" si="609">AP500</f>
        <v>36</v>
      </c>
      <c r="AG500" s="101">
        <f t="shared" si="458"/>
        <v>44.001300000000001</v>
      </c>
      <c r="AH500" s="101">
        <f t="shared" si="546"/>
        <v>521</v>
      </c>
      <c r="AI500" s="101">
        <f t="shared" si="547"/>
        <v>250</v>
      </c>
      <c r="AJ500" s="108">
        <f t="shared" si="548"/>
        <v>1.6666666666666667</v>
      </c>
      <c r="AK500" s="101">
        <f t="shared" si="461"/>
        <v>7294.6292761243903</v>
      </c>
      <c r="AL500" s="101">
        <f t="shared" si="549"/>
        <v>3204.6561084036589</v>
      </c>
      <c r="AM500" s="101">
        <f t="shared" si="550"/>
        <v>4089.9731677207315</v>
      </c>
      <c r="AN500" s="101"/>
      <c r="AO500" s="1">
        <v>24</v>
      </c>
      <c r="AP500" s="2">
        <v>36</v>
      </c>
      <c r="AQ500" s="74">
        <f t="shared" si="551"/>
        <v>521</v>
      </c>
      <c r="AR500" s="31">
        <f t="shared" si="552"/>
        <v>1</v>
      </c>
      <c r="AS500" s="2">
        <f t="shared" si="553"/>
        <v>0</v>
      </c>
      <c r="AT500" s="33">
        <f t="shared" si="554"/>
        <v>0</v>
      </c>
      <c r="AU500" s="31">
        <f t="shared" si="555"/>
        <v>25</v>
      </c>
      <c r="AV500" s="2">
        <f t="shared" si="556"/>
        <v>0</v>
      </c>
      <c r="AW500" s="33">
        <f t="shared" si="557"/>
        <v>1</v>
      </c>
      <c r="AX500" s="31">
        <f t="shared" si="558"/>
        <v>1</v>
      </c>
      <c r="AY500" s="33">
        <f t="shared" si="559"/>
        <v>1.2</v>
      </c>
      <c r="AZ500" s="2"/>
      <c r="BA500" s="101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</row>
    <row r="501" spans="1:71" ht="12" customHeight="1">
      <c r="A501" s="2"/>
      <c r="B501" s="107">
        <v>426</v>
      </c>
      <c r="C501" s="31">
        <v>10</v>
      </c>
      <c r="D501" s="111" t="s">
        <v>8</v>
      </c>
      <c r="E501" s="2" t="s">
        <v>98</v>
      </c>
      <c r="F501" s="2" t="s">
        <v>149</v>
      </c>
      <c r="G501" s="2"/>
      <c r="H501" s="33" t="s">
        <v>81</v>
      </c>
      <c r="I501" s="99">
        <f t="shared" si="0"/>
        <v>975.27121030998069</v>
      </c>
      <c r="J501" s="101">
        <f t="shared" si="1"/>
        <v>28.185356224514496</v>
      </c>
      <c r="K501" s="101">
        <f t="shared" si="2"/>
        <v>173</v>
      </c>
      <c r="L501" s="74">
        <f t="shared" si="535"/>
        <v>133</v>
      </c>
      <c r="M501" s="99">
        <f t="shared" si="191"/>
        <v>18027.669990190177</v>
      </c>
      <c r="N501" s="108">
        <f t="shared" si="536"/>
        <v>7314.3970885640347</v>
      </c>
      <c r="O501" s="108">
        <f t="shared" si="537"/>
        <v>10713.272901626144</v>
      </c>
      <c r="P501" s="108">
        <f t="shared" si="538"/>
        <v>0</v>
      </c>
      <c r="Q501" s="108"/>
      <c r="R501" s="109"/>
      <c r="S501" s="99">
        <f t="shared" si="399"/>
        <v>10504.26615761912</v>
      </c>
      <c r="T501" s="108">
        <f t="shared" si="539"/>
        <v>4614.7047961012686</v>
      </c>
      <c r="U501" s="108">
        <f t="shared" si="540"/>
        <v>5889.5613615178527</v>
      </c>
      <c r="V501" s="108">
        <f t="shared" si="541"/>
        <v>0</v>
      </c>
      <c r="W501" s="108"/>
      <c r="X501" s="109"/>
      <c r="Y501" s="99">
        <f t="shared" si="8"/>
        <v>29794.402210958513</v>
      </c>
      <c r="Z501" s="108">
        <f t="shared" si="542"/>
        <v>11536.761990253171</v>
      </c>
      <c r="AA501" s="108">
        <f t="shared" si="543"/>
        <v>18257.640220705343</v>
      </c>
      <c r="AB501" s="108">
        <f t="shared" si="544"/>
        <v>0</v>
      </c>
      <c r="AC501" s="108"/>
      <c r="AD501" s="109"/>
      <c r="AE501" s="99">
        <f t="shared" si="560"/>
        <v>18.484776131615998</v>
      </c>
      <c r="AF501" s="101">
        <f t="shared" ref="AF501" si="610">AP501</f>
        <v>36</v>
      </c>
      <c r="AG501" s="101">
        <f t="shared" si="458"/>
        <v>19.001300000000001</v>
      </c>
      <c r="AH501" s="101">
        <f t="shared" si="546"/>
        <v>521</v>
      </c>
      <c r="AI501" s="101">
        <f t="shared" si="547"/>
        <v>310</v>
      </c>
      <c r="AJ501" s="108">
        <f t="shared" si="548"/>
        <v>1.6666666666666667</v>
      </c>
      <c r="AK501" s="101">
        <f t="shared" si="461"/>
        <v>7294.6292761243903</v>
      </c>
      <c r="AL501" s="101">
        <f t="shared" si="549"/>
        <v>3204.6561084036589</v>
      </c>
      <c r="AM501" s="101">
        <f t="shared" si="550"/>
        <v>4089.9731677207315</v>
      </c>
      <c r="AN501" s="101"/>
      <c r="AO501" s="1">
        <v>24</v>
      </c>
      <c r="AP501" s="2">
        <v>36</v>
      </c>
      <c r="AQ501" s="74">
        <f t="shared" si="551"/>
        <v>521</v>
      </c>
      <c r="AR501" s="31">
        <f t="shared" si="552"/>
        <v>1</v>
      </c>
      <c r="AS501" s="2">
        <f t="shared" si="553"/>
        <v>0</v>
      </c>
      <c r="AT501" s="33">
        <f t="shared" si="554"/>
        <v>0</v>
      </c>
      <c r="AU501" s="31">
        <f t="shared" si="555"/>
        <v>0</v>
      </c>
      <c r="AV501" s="2">
        <f t="shared" si="556"/>
        <v>0</v>
      </c>
      <c r="AW501" s="33">
        <f t="shared" si="557"/>
        <v>1.24</v>
      </c>
      <c r="AX501" s="31">
        <f t="shared" si="558"/>
        <v>1</v>
      </c>
      <c r="AY501" s="33">
        <f t="shared" si="559"/>
        <v>1.2</v>
      </c>
      <c r="AZ501" s="2"/>
      <c r="BA501" s="101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</row>
    <row r="502" spans="1:71" ht="12" customHeight="1">
      <c r="A502" s="2"/>
      <c r="B502" s="107">
        <v>427</v>
      </c>
      <c r="C502" s="31">
        <v>10</v>
      </c>
      <c r="D502" s="111" t="s">
        <v>8</v>
      </c>
      <c r="E502" s="2" t="s">
        <v>151</v>
      </c>
      <c r="F502" s="2" t="s">
        <v>149</v>
      </c>
      <c r="G502" s="2"/>
      <c r="H502" s="33" t="s">
        <v>81</v>
      </c>
      <c r="I502" s="99">
        <f t="shared" si="0"/>
        <v>1080.8548553340254</v>
      </c>
      <c r="J502" s="101">
        <f t="shared" si="1"/>
        <v>28.185356224514496</v>
      </c>
      <c r="K502" s="101">
        <f t="shared" si="2"/>
        <v>128</v>
      </c>
      <c r="L502" s="74">
        <f t="shared" si="535"/>
        <v>106</v>
      </c>
      <c r="M502" s="99">
        <f t="shared" si="191"/>
        <v>19979.360031619657</v>
      </c>
      <c r="N502" s="108">
        <f t="shared" si="536"/>
        <v>8777.2765062768412</v>
      </c>
      <c r="O502" s="108">
        <f t="shared" si="537"/>
        <v>11202.083525342816</v>
      </c>
      <c r="P502" s="108">
        <f t="shared" si="538"/>
        <v>0</v>
      </c>
      <c r="Q502" s="108"/>
      <c r="R502" s="109"/>
      <c r="S502" s="99">
        <f t="shared" si="399"/>
        <v>12605.119389142947</v>
      </c>
      <c r="T502" s="108">
        <f t="shared" si="539"/>
        <v>5537.6457553215223</v>
      </c>
      <c r="U502" s="108">
        <f t="shared" si="540"/>
        <v>7067.4736338214234</v>
      </c>
      <c r="V502" s="108">
        <f t="shared" si="541"/>
        <v>0</v>
      </c>
      <c r="W502" s="108"/>
      <c r="X502" s="109"/>
      <c r="Y502" s="99">
        <f t="shared" si="8"/>
        <v>31512.798472857365</v>
      </c>
      <c r="Z502" s="108">
        <f t="shared" si="542"/>
        <v>13844.114388303806</v>
      </c>
      <c r="AA502" s="108">
        <f t="shared" si="543"/>
        <v>17668.684084553559</v>
      </c>
      <c r="AB502" s="108">
        <f t="shared" si="544"/>
        <v>0</v>
      </c>
      <c r="AC502" s="108"/>
      <c r="AD502" s="109"/>
      <c r="AE502" s="99">
        <f t="shared" si="560"/>
        <v>18.484776131615998</v>
      </c>
      <c r="AF502" s="101">
        <f t="shared" ref="AF502" si="611">AP502</f>
        <v>36</v>
      </c>
      <c r="AG502" s="101">
        <f t="shared" si="458"/>
        <v>19.001300000000001</v>
      </c>
      <c r="AH502" s="101">
        <f t="shared" si="546"/>
        <v>521</v>
      </c>
      <c r="AI502" s="101">
        <f t="shared" si="547"/>
        <v>250</v>
      </c>
      <c r="AJ502" s="108">
        <f t="shared" si="548"/>
        <v>1.6666666666666667</v>
      </c>
      <c r="AK502" s="101">
        <f t="shared" si="461"/>
        <v>7294.6292761243903</v>
      </c>
      <c r="AL502" s="101">
        <f t="shared" si="549"/>
        <v>3204.6561084036589</v>
      </c>
      <c r="AM502" s="101">
        <f t="shared" si="550"/>
        <v>4089.9731677207315</v>
      </c>
      <c r="AN502" s="101"/>
      <c r="AO502" s="1">
        <v>24</v>
      </c>
      <c r="AP502" s="2">
        <v>36</v>
      </c>
      <c r="AQ502" s="74">
        <f t="shared" si="551"/>
        <v>521</v>
      </c>
      <c r="AR502" s="31">
        <f t="shared" si="552"/>
        <v>1.2</v>
      </c>
      <c r="AS502" s="2">
        <f t="shared" si="553"/>
        <v>0</v>
      </c>
      <c r="AT502" s="33">
        <f t="shared" si="554"/>
        <v>0</v>
      </c>
      <c r="AU502" s="31">
        <f t="shared" si="555"/>
        <v>0</v>
      </c>
      <c r="AV502" s="2">
        <f t="shared" si="556"/>
        <v>0</v>
      </c>
      <c r="AW502" s="33">
        <f t="shared" si="557"/>
        <v>1</v>
      </c>
      <c r="AX502" s="31">
        <f t="shared" si="558"/>
        <v>1</v>
      </c>
      <c r="AY502" s="33">
        <f t="shared" si="559"/>
        <v>1.2</v>
      </c>
      <c r="AZ502" s="2"/>
      <c r="BA502" s="101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</row>
    <row r="503" spans="1:71" ht="12" customHeight="1">
      <c r="A503" s="2"/>
      <c r="B503" s="107">
        <v>428</v>
      </c>
      <c r="C503" s="31">
        <v>10</v>
      </c>
      <c r="D503" s="111" t="s">
        <v>8</v>
      </c>
      <c r="E503" s="2" t="s">
        <v>165</v>
      </c>
      <c r="F503" s="2" t="s">
        <v>149</v>
      </c>
      <c r="G503" s="2"/>
      <c r="H503" s="33" t="s">
        <v>81</v>
      </c>
      <c r="I503" s="99">
        <f t="shared" si="0"/>
        <v>1336.5744668279281</v>
      </c>
      <c r="J503" s="101">
        <f t="shared" si="1"/>
        <v>28.185356224514496</v>
      </c>
      <c r="K503" s="101">
        <f t="shared" si="2"/>
        <v>68</v>
      </c>
      <c r="L503" s="74">
        <f t="shared" si="535"/>
        <v>64</v>
      </c>
      <c r="M503" s="99">
        <f t="shared" si="191"/>
        <v>24706.279802548263</v>
      </c>
      <c r="N503" s="108">
        <f t="shared" si="536"/>
        <v>10853.893664522413</v>
      </c>
      <c r="O503" s="108">
        <f t="shared" si="537"/>
        <v>13852.38613802585</v>
      </c>
      <c r="P503" s="108">
        <f t="shared" si="538"/>
        <v>0</v>
      </c>
      <c r="Q503" s="108"/>
      <c r="R503" s="109"/>
      <c r="S503" s="99">
        <f t="shared" si="399"/>
        <v>12605.119389142947</v>
      </c>
      <c r="T503" s="108">
        <f t="shared" si="539"/>
        <v>5537.6457553215223</v>
      </c>
      <c r="U503" s="108">
        <f t="shared" si="540"/>
        <v>7067.4736338214234</v>
      </c>
      <c r="V503" s="108">
        <f t="shared" si="541"/>
        <v>0</v>
      </c>
      <c r="W503" s="108"/>
      <c r="X503" s="109"/>
      <c r="Y503" s="99">
        <f t="shared" si="8"/>
        <v>31512.798472857365</v>
      </c>
      <c r="Z503" s="108">
        <f t="shared" si="542"/>
        <v>13844.114388303806</v>
      </c>
      <c r="AA503" s="108">
        <f t="shared" si="543"/>
        <v>17668.684084553559</v>
      </c>
      <c r="AB503" s="108">
        <f t="shared" si="544"/>
        <v>0</v>
      </c>
      <c r="AC503" s="108"/>
      <c r="AD503" s="109"/>
      <c r="AE503" s="99">
        <f t="shared" si="560"/>
        <v>18.484776131615998</v>
      </c>
      <c r="AF503" s="101">
        <f t="shared" ref="AF503" si="612">AP503</f>
        <v>36</v>
      </c>
      <c r="AG503" s="101">
        <f t="shared" si="458"/>
        <v>44.001300000000001</v>
      </c>
      <c r="AH503" s="101">
        <f t="shared" si="546"/>
        <v>521</v>
      </c>
      <c r="AI503" s="101">
        <f t="shared" si="547"/>
        <v>250</v>
      </c>
      <c r="AJ503" s="108">
        <f t="shared" si="548"/>
        <v>1.6666666666666667</v>
      </c>
      <c r="AK503" s="101">
        <f t="shared" si="461"/>
        <v>7294.6292761243903</v>
      </c>
      <c r="AL503" s="101">
        <f t="shared" si="549"/>
        <v>3204.6561084036589</v>
      </c>
      <c r="AM503" s="101">
        <f t="shared" si="550"/>
        <v>4089.9731677207315</v>
      </c>
      <c r="AN503" s="101"/>
      <c r="AO503" s="1">
        <v>24</v>
      </c>
      <c r="AP503" s="2">
        <v>36</v>
      </c>
      <c r="AQ503" s="74">
        <f t="shared" si="551"/>
        <v>521</v>
      </c>
      <c r="AR503" s="31">
        <f t="shared" si="552"/>
        <v>1.2</v>
      </c>
      <c r="AS503" s="2">
        <f t="shared" si="553"/>
        <v>0</v>
      </c>
      <c r="AT503" s="33">
        <f t="shared" si="554"/>
        <v>0</v>
      </c>
      <c r="AU503" s="31">
        <f t="shared" si="555"/>
        <v>25</v>
      </c>
      <c r="AV503" s="2">
        <f t="shared" si="556"/>
        <v>0</v>
      </c>
      <c r="AW503" s="33">
        <f t="shared" si="557"/>
        <v>1</v>
      </c>
      <c r="AX503" s="31">
        <f t="shared" si="558"/>
        <v>1</v>
      </c>
      <c r="AY503" s="33">
        <f t="shared" si="559"/>
        <v>1.2</v>
      </c>
      <c r="AZ503" s="2"/>
      <c r="BA503" s="101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</row>
    <row r="504" spans="1:71" ht="12" customHeight="1">
      <c r="A504" s="2"/>
      <c r="B504" s="107">
        <v>429</v>
      </c>
      <c r="C504" s="31">
        <v>10</v>
      </c>
      <c r="D504" s="111" t="s">
        <v>8</v>
      </c>
      <c r="E504" s="2" t="s">
        <v>157</v>
      </c>
      <c r="F504" s="2" t="s">
        <v>149</v>
      </c>
      <c r="G504" s="2"/>
      <c r="H504" s="33" t="s">
        <v>81</v>
      </c>
      <c r="I504" s="99">
        <f t="shared" si="0"/>
        <v>1170.325452371977</v>
      </c>
      <c r="J504" s="101">
        <f t="shared" si="1"/>
        <v>28.185356224514496</v>
      </c>
      <c r="K504" s="101">
        <f t="shared" si="2"/>
        <v>102</v>
      </c>
      <c r="L504" s="74">
        <f t="shared" si="535"/>
        <v>87</v>
      </c>
      <c r="M504" s="99">
        <f t="shared" si="191"/>
        <v>21633.203988228215</v>
      </c>
      <c r="N504" s="108">
        <f t="shared" si="536"/>
        <v>8777.2765062768412</v>
      </c>
      <c r="O504" s="108">
        <f t="shared" si="537"/>
        <v>12855.927481951374</v>
      </c>
      <c r="P504" s="108">
        <f t="shared" si="538"/>
        <v>0</v>
      </c>
      <c r="Q504" s="108"/>
      <c r="R504" s="109"/>
      <c r="S504" s="99">
        <f t="shared" si="399"/>
        <v>12605.119389142947</v>
      </c>
      <c r="T504" s="108">
        <f t="shared" si="539"/>
        <v>5537.6457553215223</v>
      </c>
      <c r="U504" s="108">
        <f t="shared" si="540"/>
        <v>7067.4736338214234</v>
      </c>
      <c r="V504" s="108">
        <f t="shared" si="541"/>
        <v>0</v>
      </c>
      <c r="W504" s="108"/>
      <c r="X504" s="109"/>
      <c r="Y504" s="99">
        <f t="shared" si="8"/>
        <v>35753.282653150221</v>
      </c>
      <c r="Z504" s="108">
        <f t="shared" si="542"/>
        <v>13844.114388303806</v>
      </c>
      <c r="AA504" s="108">
        <f t="shared" si="543"/>
        <v>21909.168264846412</v>
      </c>
      <c r="AB504" s="108">
        <f t="shared" si="544"/>
        <v>0</v>
      </c>
      <c r="AC504" s="108"/>
      <c r="AD504" s="109"/>
      <c r="AE504" s="99">
        <f t="shared" si="560"/>
        <v>18.484776131615998</v>
      </c>
      <c r="AF504" s="101">
        <f t="shared" ref="AF504" si="613">AP504</f>
        <v>36</v>
      </c>
      <c r="AG504" s="101">
        <f t="shared" si="458"/>
        <v>19.001300000000001</v>
      </c>
      <c r="AH504" s="101">
        <f t="shared" si="546"/>
        <v>521</v>
      </c>
      <c r="AI504" s="101">
        <f t="shared" si="547"/>
        <v>310</v>
      </c>
      <c r="AJ504" s="108">
        <f t="shared" si="548"/>
        <v>1.6666666666666667</v>
      </c>
      <c r="AK504" s="101">
        <f t="shared" si="461"/>
        <v>7294.6292761243903</v>
      </c>
      <c r="AL504" s="101">
        <f t="shared" si="549"/>
        <v>3204.6561084036589</v>
      </c>
      <c r="AM504" s="101">
        <f t="shared" si="550"/>
        <v>4089.9731677207315</v>
      </c>
      <c r="AN504" s="101"/>
      <c r="AO504" s="1">
        <v>24</v>
      </c>
      <c r="AP504" s="2">
        <v>36</v>
      </c>
      <c r="AQ504" s="74">
        <f t="shared" si="551"/>
        <v>521</v>
      </c>
      <c r="AR504" s="31">
        <f t="shared" si="552"/>
        <v>1.2</v>
      </c>
      <c r="AS504" s="2">
        <f t="shared" si="553"/>
        <v>0</v>
      </c>
      <c r="AT504" s="33">
        <f t="shared" si="554"/>
        <v>0</v>
      </c>
      <c r="AU504" s="31">
        <f t="shared" si="555"/>
        <v>0</v>
      </c>
      <c r="AV504" s="2">
        <f t="shared" si="556"/>
        <v>0</v>
      </c>
      <c r="AW504" s="33">
        <f t="shared" si="557"/>
        <v>1.24</v>
      </c>
      <c r="AX504" s="31">
        <f t="shared" si="558"/>
        <v>1</v>
      </c>
      <c r="AY504" s="33">
        <f t="shared" si="559"/>
        <v>1.2</v>
      </c>
      <c r="AZ504" s="2"/>
      <c r="BA504" s="101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</row>
    <row r="505" spans="1:71" ht="12" customHeight="1">
      <c r="A505" s="2"/>
      <c r="B505" s="107">
        <v>430</v>
      </c>
      <c r="C505" s="31">
        <v>7</v>
      </c>
      <c r="D505" s="111" t="s">
        <v>8</v>
      </c>
      <c r="E505" s="2" t="s">
        <v>67</v>
      </c>
      <c r="F505" s="2" t="s">
        <v>149</v>
      </c>
      <c r="G505" s="2"/>
      <c r="H505" s="33" t="s">
        <v>81</v>
      </c>
      <c r="I505" s="99">
        <f t="shared" si="0"/>
        <v>630.12720548607865</v>
      </c>
      <c r="J505" s="101">
        <f t="shared" si="1"/>
        <v>19.637781784066725</v>
      </c>
      <c r="K505" s="101">
        <f t="shared" si="2"/>
        <v>431</v>
      </c>
      <c r="L505" s="74">
        <f t="shared" si="535"/>
        <v>261</v>
      </c>
      <c r="M505" s="99">
        <f t="shared" si="191"/>
        <v>11647.760327850956</v>
      </c>
      <c r="N505" s="108">
        <f t="shared" si="536"/>
        <v>5114.4856251645124</v>
      </c>
      <c r="O505" s="108">
        <f t="shared" si="537"/>
        <v>6533.2747026864436</v>
      </c>
      <c r="P505" s="108">
        <f t="shared" si="538"/>
        <v>0</v>
      </c>
      <c r="Q505" s="108"/>
      <c r="R505" s="109"/>
      <c r="S505" s="99">
        <f t="shared" si="399"/>
        <v>8379.6053186919526</v>
      </c>
      <c r="T505" s="108">
        <f t="shared" si="539"/>
        <v>3679.4516491317077</v>
      </c>
      <c r="U505" s="108">
        <f t="shared" si="540"/>
        <v>4700.1536695602445</v>
      </c>
      <c r="V505" s="108">
        <f t="shared" si="541"/>
        <v>0</v>
      </c>
      <c r="W505" s="108"/>
      <c r="X505" s="109"/>
      <c r="Y505" s="99">
        <f t="shared" si="8"/>
        <v>16759.210637383905</v>
      </c>
      <c r="Z505" s="108">
        <f t="shared" si="542"/>
        <v>7358.9032982634144</v>
      </c>
      <c r="AA505" s="108">
        <f t="shared" si="543"/>
        <v>9400.3073391204889</v>
      </c>
      <c r="AB505" s="108">
        <f t="shared" si="544"/>
        <v>0</v>
      </c>
      <c r="AC505" s="108"/>
      <c r="AD505" s="109"/>
      <c r="AE505" s="99">
        <f t="shared" si="560"/>
        <v>18.484776131615998</v>
      </c>
      <c r="AF505" s="101">
        <f t="shared" ref="AF505" si="614">AP505</f>
        <v>36</v>
      </c>
      <c r="AG505" s="101">
        <f t="shared" si="458"/>
        <v>19.001300000000001</v>
      </c>
      <c r="AH505" s="101">
        <f t="shared" si="546"/>
        <v>363</v>
      </c>
      <c r="AI505" s="101">
        <f t="shared" si="547"/>
        <v>200</v>
      </c>
      <c r="AJ505" s="108">
        <f t="shared" si="548"/>
        <v>1.6666666666666667</v>
      </c>
      <c r="AK505" s="101">
        <f t="shared" si="461"/>
        <v>6983.0044322432941</v>
      </c>
      <c r="AL505" s="101">
        <f t="shared" si="549"/>
        <v>3066.2097076097566</v>
      </c>
      <c r="AM505" s="101">
        <f t="shared" si="550"/>
        <v>3916.7947246335375</v>
      </c>
      <c r="AN505" s="101"/>
      <c r="AO505" s="1">
        <v>24</v>
      </c>
      <c r="AP505" s="2">
        <v>36</v>
      </c>
      <c r="AQ505" s="74">
        <f t="shared" si="551"/>
        <v>363</v>
      </c>
      <c r="AR505" s="31">
        <f t="shared" si="552"/>
        <v>1</v>
      </c>
      <c r="AS505" s="2">
        <f t="shared" si="553"/>
        <v>0</v>
      </c>
      <c r="AT505" s="33">
        <f t="shared" si="554"/>
        <v>0</v>
      </c>
      <c r="AU505" s="31">
        <f t="shared" si="555"/>
        <v>0</v>
      </c>
      <c r="AV505" s="2">
        <f t="shared" si="556"/>
        <v>0</v>
      </c>
      <c r="AW505" s="33">
        <f t="shared" si="557"/>
        <v>1</v>
      </c>
      <c r="AX505" s="31">
        <f t="shared" si="558"/>
        <v>1</v>
      </c>
      <c r="AY505" s="33">
        <f t="shared" si="559"/>
        <v>1</v>
      </c>
      <c r="AZ505" s="2"/>
      <c r="BA505" s="101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</row>
    <row r="506" spans="1:71" ht="12" customHeight="1">
      <c r="A506" s="2"/>
      <c r="B506" s="107">
        <v>431</v>
      </c>
      <c r="C506" s="31">
        <v>7</v>
      </c>
      <c r="D506" s="111" t="s">
        <v>8</v>
      </c>
      <c r="E506" s="2" t="s">
        <v>136</v>
      </c>
      <c r="F506" s="2" t="s">
        <v>149</v>
      </c>
      <c r="G506" s="2"/>
      <c r="H506" s="33" t="s">
        <v>81</v>
      </c>
      <c r="I506" s="99">
        <f t="shared" si="0"/>
        <v>743.4583767567932</v>
      </c>
      <c r="J506" s="101">
        <f t="shared" si="1"/>
        <v>19.637781784066725</v>
      </c>
      <c r="K506" s="101">
        <f t="shared" si="2"/>
        <v>309</v>
      </c>
      <c r="L506" s="74">
        <f t="shared" si="535"/>
        <v>209</v>
      </c>
      <c r="M506" s="99">
        <f t="shared" si="191"/>
        <v>13742.661657523946</v>
      </c>
      <c r="N506" s="108">
        <f t="shared" si="536"/>
        <v>6034.3485374474403</v>
      </c>
      <c r="O506" s="108">
        <f t="shared" si="537"/>
        <v>7708.3131200765056</v>
      </c>
      <c r="P506" s="108">
        <f t="shared" si="538"/>
        <v>0</v>
      </c>
      <c r="Q506" s="108"/>
      <c r="R506" s="109"/>
      <c r="S506" s="99">
        <f t="shared" si="399"/>
        <v>8379.6053186919526</v>
      </c>
      <c r="T506" s="108">
        <f t="shared" si="539"/>
        <v>3679.4516491317077</v>
      </c>
      <c r="U506" s="108">
        <f t="shared" si="540"/>
        <v>4700.1536695602445</v>
      </c>
      <c r="V506" s="108">
        <f t="shared" si="541"/>
        <v>0</v>
      </c>
      <c r="W506" s="108"/>
      <c r="X506" s="109"/>
      <c r="Y506" s="99">
        <f t="shared" si="8"/>
        <v>16759.210637383905</v>
      </c>
      <c r="Z506" s="108">
        <f t="shared" si="542"/>
        <v>7358.9032982634144</v>
      </c>
      <c r="AA506" s="108">
        <f t="shared" si="543"/>
        <v>9400.3073391204889</v>
      </c>
      <c r="AB506" s="108">
        <f t="shared" si="544"/>
        <v>0</v>
      </c>
      <c r="AC506" s="108"/>
      <c r="AD506" s="109"/>
      <c r="AE506" s="99">
        <f t="shared" si="560"/>
        <v>18.484776131615998</v>
      </c>
      <c r="AF506" s="101">
        <f t="shared" ref="AF506" si="615">AP506</f>
        <v>36</v>
      </c>
      <c r="AG506" s="101">
        <f t="shared" si="458"/>
        <v>44.001300000000001</v>
      </c>
      <c r="AH506" s="101">
        <f t="shared" si="546"/>
        <v>363</v>
      </c>
      <c r="AI506" s="101">
        <f t="shared" si="547"/>
        <v>200</v>
      </c>
      <c r="AJ506" s="108">
        <f t="shared" si="548"/>
        <v>1.6666666666666667</v>
      </c>
      <c r="AK506" s="101">
        <f t="shared" si="461"/>
        <v>6983.0044322432941</v>
      </c>
      <c r="AL506" s="101">
        <f t="shared" si="549"/>
        <v>3066.2097076097566</v>
      </c>
      <c r="AM506" s="101">
        <f t="shared" si="550"/>
        <v>3916.7947246335375</v>
      </c>
      <c r="AN506" s="101"/>
      <c r="AO506" s="1">
        <v>24</v>
      </c>
      <c r="AP506" s="2">
        <v>36</v>
      </c>
      <c r="AQ506" s="74">
        <f t="shared" si="551"/>
        <v>363</v>
      </c>
      <c r="AR506" s="31">
        <f t="shared" si="552"/>
        <v>1</v>
      </c>
      <c r="AS506" s="2">
        <f t="shared" si="553"/>
        <v>0</v>
      </c>
      <c r="AT506" s="33">
        <f t="shared" si="554"/>
        <v>0</v>
      </c>
      <c r="AU506" s="31">
        <f t="shared" si="555"/>
        <v>25</v>
      </c>
      <c r="AV506" s="2">
        <f t="shared" si="556"/>
        <v>0</v>
      </c>
      <c r="AW506" s="33">
        <f t="shared" si="557"/>
        <v>1</v>
      </c>
      <c r="AX506" s="31">
        <f t="shared" si="558"/>
        <v>1</v>
      </c>
      <c r="AY506" s="33">
        <f t="shared" si="559"/>
        <v>1</v>
      </c>
      <c r="AZ506" s="2"/>
      <c r="BA506" s="101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</row>
    <row r="507" spans="1:71" ht="12" customHeight="1">
      <c r="A507" s="2"/>
      <c r="B507" s="107">
        <v>432</v>
      </c>
      <c r="C507" s="31">
        <v>7</v>
      </c>
      <c r="D507" s="111" t="s">
        <v>8</v>
      </c>
      <c r="E507" s="2" t="s">
        <v>91</v>
      </c>
      <c r="F507" s="2" t="s">
        <v>149</v>
      </c>
      <c r="G507" s="2"/>
      <c r="H507" s="33" t="s">
        <v>81</v>
      </c>
      <c r="I507" s="99">
        <f t="shared" si="0"/>
        <v>677.72843633872697</v>
      </c>
      <c r="J507" s="101">
        <f t="shared" si="1"/>
        <v>19.637781784066725</v>
      </c>
      <c r="K507" s="101">
        <f t="shared" si="2"/>
        <v>376</v>
      </c>
      <c r="L507" s="74">
        <f t="shared" si="535"/>
        <v>240</v>
      </c>
      <c r="M507" s="99">
        <f t="shared" si="191"/>
        <v>12527.658423751533</v>
      </c>
      <c r="N507" s="108">
        <f t="shared" si="536"/>
        <v>5114.4856251645124</v>
      </c>
      <c r="O507" s="108">
        <f t="shared" si="537"/>
        <v>7413.1727985870202</v>
      </c>
      <c r="P507" s="108">
        <f t="shared" si="538"/>
        <v>0</v>
      </c>
      <c r="Q507" s="108"/>
      <c r="R507" s="109"/>
      <c r="S507" s="99">
        <f t="shared" si="399"/>
        <v>8379.6053186919526</v>
      </c>
      <c r="T507" s="108">
        <f t="shared" si="539"/>
        <v>3679.4516491317077</v>
      </c>
      <c r="U507" s="108">
        <f t="shared" si="540"/>
        <v>4700.1536695602445</v>
      </c>
      <c r="V507" s="108">
        <f t="shared" si="541"/>
        <v>0</v>
      </c>
      <c r="W507" s="108"/>
      <c r="X507" s="109"/>
      <c r="Y507" s="99">
        <f t="shared" si="8"/>
        <v>19015.284398772819</v>
      </c>
      <c r="Z507" s="108">
        <f t="shared" si="542"/>
        <v>7358.9032982634144</v>
      </c>
      <c r="AA507" s="108">
        <f t="shared" si="543"/>
        <v>11656.381100509407</v>
      </c>
      <c r="AB507" s="108">
        <f t="shared" si="544"/>
        <v>0</v>
      </c>
      <c r="AC507" s="108"/>
      <c r="AD507" s="109"/>
      <c r="AE507" s="99">
        <f t="shared" si="560"/>
        <v>18.484776131615998</v>
      </c>
      <c r="AF507" s="101">
        <f t="shared" ref="AF507" si="616">AP507</f>
        <v>36</v>
      </c>
      <c r="AG507" s="101">
        <f t="shared" si="458"/>
        <v>19.001300000000001</v>
      </c>
      <c r="AH507" s="101">
        <f t="shared" si="546"/>
        <v>363</v>
      </c>
      <c r="AI507" s="101">
        <f t="shared" si="547"/>
        <v>248</v>
      </c>
      <c r="AJ507" s="108">
        <f t="shared" si="548"/>
        <v>1.6666666666666667</v>
      </c>
      <c r="AK507" s="101">
        <f t="shared" si="461"/>
        <v>6983.0044322432941</v>
      </c>
      <c r="AL507" s="101">
        <f t="shared" si="549"/>
        <v>3066.2097076097566</v>
      </c>
      <c r="AM507" s="101">
        <f t="shared" si="550"/>
        <v>3916.7947246335375</v>
      </c>
      <c r="AN507" s="101"/>
      <c r="AO507" s="1">
        <v>24</v>
      </c>
      <c r="AP507" s="2">
        <v>36</v>
      </c>
      <c r="AQ507" s="74">
        <f t="shared" si="551"/>
        <v>363</v>
      </c>
      <c r="AR507" s="31">
        <f t="shared" si="552"/>
        <v>1</v>
      </c>
      <c r="AS507" s="2">
        <f t="shared" si="553"/>
        <v>0</v>
      </c>
      <c r="AT507" s="33">
        <f t="shared" si="554"/>
        <v>0</v>
      </c>
      <c r="AU507" s="31">
        <f t="shared" si="555"/>
        <v>0</v>
      </c>
      <c r="AV507" s="2">
        <f t="shared" si="556"/>
        <v>0</v>
      </c>
      <c r="AW507" s="33">
        <f t="shared" si="557"/>
        <v>1.24</v>
      </c>
      <c r="AX507" s="31">
        <f t="shared" si="558"/>
        <v>1</v>
      </c>
      <c r="AY507" s="33">
        <f t="shared" si="559"/>
        <v>1</v>
      </c>
      <c r="AZ507" s="2"/>
      <c r="BA507" s="101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</row>
    <row r="508" spans="1:71" ht="12" customHeight="1">
      <c r="A508" s="2"/>
      <c r="B508" s="107">
        <v>433</v>
      </c>
      <c r="C508" s="31">
        <v>7</v>
      </c>
      <c r="D508" s="111" t="s">
        <v>8</v>
      </c>
      <c r="E508" s="2" t="s">
        <v>148</v>
      </c>
      <c r="F508" s="2" t="s">
        <v>149</v>
      </c>
      <c r="G508" s="2"/>
      <c r="H508" s="33" t="s">
        <v>81</v>
      </c>
      <c r="I508" s="99">
        <f t="shared" si="0"/>
        <v>756.15264658329431</v>
      </c>
      <c r="J508" s="101">
        <f t="shared" si="1"/>
        <v>19.637781784066725</v>
      </c>
      <c r="K508" s="101">
        <f t="shared" si="2"/>
        <v>299</v>
      </c>
      <c r="L508" s="74">
        <f t="shared" si="535"/>
        <v>204</v>
      </c>
      <c r="M508" s="99">
        <f t="shared" si="191"/>
        <v>13977.312393421147</v>
      </c>
      <c r="N508" s="108">
        <f t="shared" si="536"/>
        <v>6137.3827501974147</v>
      </c>
      <c r="O508" s="108">
        <f t="shared" si="537"/>
        <v>7839.9296432237325</v>
      </c>
      <c r="P508" s="108">
        <f t="shared" si="538"/>
        <v>0</v>
      </c>
      <c r="Q508" s="108"/>
      <c r="R508" s="109"/>
      <c r="S508" s="99">
        <f t="shared" si="399"/>
        <v>10055.526382430344</v>
      </c>
      <c r="T508" s="108">
        <f t="shared" si="539"/>
        <v>4415.3419789580494</v>
      </c>
      <c r="U508" s="108">
        <f t="shared" si="540"/>
        <v>5640.1844034722935</v>
      </c>
      <c r="V508" s="108">
        <f t="shared" si="541"/>
        <v>0</v>
      </c>
      <c r="W508" s="108"/>
      <c r="X508" s="109"/>
      <c r="Y508" s="99">
        <f t="shared" si="8"/>
        <v>20111.052764860688</v>
      </c>
      <c r="Z508" s="108">
        <f t="shared" si="542"/>
        <v>8830.6839579160987</v>
      </c>
      <c r="AA508" s="108">
        <f t="shared" si="543"/>
        <v>11280.368806944587</v>
      </c>
      <c r="AB508" s="108">
        <f t="shared" si="544"/>
        <v>0</v>
      </c>
      <c r="AC508" s="108"/>
      <c r="AD508" s="109"/>
      <c r="AE508" s="99">
        <f t="shared" si="560"/>
        <v>18.484776131615998</v>
      </c>
      <c r="AF508" s="101">
        <f t="shared" ref="AF508" si="617">AP508</f>
        <v>36</v>
      </c>
      <c r="AG508" s="101">
        <f t="shared" si="458"/>
        <v>19.001300000000001</v>
      </c>
      <c r="AH508" s="101">
        <f t="shared" si="546"/>
        <v>363</v>
      </c>
      <c r="AI508" s="101">
        <f t="shared" si="547"/>
        <v>200</v>
      </c>
      <c r="AJ508" s="108">
        <f t="shared" si="548"/>
        <v>1.6666666666666667</v>
      </c>
      <c r="AK508" s="101">
        <f t="shared" si="461"/>
        <v>6983.0044322432941</v>
      </c>
      <c r="AL508" s="101">
        <f t="shared" si="549"/>
        <v>3066.2097076097566</v>
      </c>
      <c r="AM508" s="101">
        <f t="shared" si="550"/>
        <v>3916.7947246335375</v>
      </c>
      <c r="AN508" s="101"/>
      <c r="AO508" s="1">
        <v>24</v>
      </c>
      <c r="AP508" s="2">
        <v>36</v>
      </c>
      <c r="AQ508" s="74">
        <f t="shared" si="551"/>
        <v>363</v>
      </c>
      <c r="AR508" s="31">
        <f t="shared" si="552"/>
        <v>1.2</v>
      </c>
      <c r="AS508" s="2">
        <f t="shared" si="553"/>
        <v>0</v>
      </c>
      <c r="AT508" s="33">
        <f t="shared" si="554"/>
        <v>0</v>
      </c>
      <c r="AU508" s="31">
        <f t="shared" si="555"/>
        <v>0</v>
      </c>
      <c r="AV508" s="2">
        <f t="shared" si="556"/>
        <v>0</v>
      </c>
      <c r="AW508" s="33">
        <f t="shared" si="557"/>
        <v>1</v>
      </c>
      <c r="AX508" s="31">
        <f t="shared" si="558"/>
        <v>1</v>
      </c>
      <c r="AY508" s="33">
        <f t="shared" si="559"/>
        <v>1</v>
      </c>
      <c r="AZ508" s="2"/>
      <c r="BA508" s="101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</row>
    <row r="509" spans="1:71" ht="12" customHeight="1">
      <c r="A509" s="2"/>
      <c r="B509" s="107">
        <v>434</v>
      </c>
      <c r="C509" s="31">
        <v>7</v>
      </c>
      <c r="D509" s="111" t="s">
        <v>8</v>
      </c>
      <c r="E509" s="2" t="s">
        <v>163</v>
      </c>
      <c r="F509" s="2" t="s">
        <v>149</v>
      </c>
      <c r="G509" s="2"/>
      <c r="H509" s="33" t="s">
        <v>81</v>
      </c>
      <c r="I509" s="99">
        <f t="shared" si="0"/>
        <v>892.15005210815195</v>
      </c>
      <c r="J509" s="101">
        <f t="shared" si="1"/>
        <v>19.637781784066725</v>
      </c>
      <c r="K509" s="101">
        <f t="shared" si="2"/>
        <v>212</v>
      </c>
      <c r="L509" s="74">
        <f t="shared" si="535"/>
        <v>156</v>
      </c>
      <c r="M509" s="99">
        <f t="shared" si="191"/>
        <v>16491.193989028736</v>
      </c>
      <c r="N509" s="108">
        <f t="shared" si="536"/>
        <v>7241.2182449369284</v>
      </c>
      <c r="O509" s="108">
        <f t="shared" si="537"/>
        <v>9249.9757440918074</v>
      </c>
      <c r="P509" s="108">
        <f t="shared" si="538"/>
        <v>0</v>
      </c>
      <c r="Q509" s="108"/>
      <c r="R509" s="109"/>
      <c r="S509" s="99">
        <f t="shared" si="399"/>
        <v>10055.526382430344</v>
      </c>
      <c r="T509" s="108">
        <f t="shared" si="539"/>
        <v>4415.3419789580494</v>
      </c>
      <c r="U509" s="108">
        <f t="shared" si="540"/>
        <v>5640.1844034722935</v>
      </c>
      <c r="V509" s="108">
        <f t="shared" si="541"/>
        <v>0</v>
      </c>
      <c r="W509" s="108"/>
      <c r="X509" s="109"/>
      <c r="Y509" s="99">
        <f t="shared" si="8"/>
        <v>20111.052764860688</v>
      </c>
      <c r="Z509" s="108">
        <f t="shared" si="542"/>
        <v>8830.6839579160987</v>
      </c>
      <c r="AA509" s="108">
        <f t="shared" si="543"/>
        <v>11280.368806944587</v>
      </c>
      <c r="AB509" s="108">
        <f t="shared" si="544"/>
        <v>0</v>
      </c>
      <c r="AC509" s="108"/>
      <c r="AD509" s="109"/>
      <c r="AE509" s="99">
        <f t="shared" si="560"/>
        <v>18.484776131615998</v>
      </c>
      <c r="AF509" s="101">
        <f t="shared" ref="AF509" si="618">AP509</f>
        <v>36</v>
      </c>
      <c r="AG509" s="101">
        <f t="shared" si="458"/>
        <v>44.001300000000001</v>
      </c>
      <c r="AH509" s="101">
        <f t="shared" si="546"/>
        <v>363</v>
      </c>
      <c r="AI509" s="101">
        <f t="shared" si="547"/>
        <v>200</v>
      </c>
      <c r="AJ509" s="108">
        <f t="shared" si="548"/>
        <v>1.6666666666666667</v>
      </c>
      <c r="AK509" s="101">
        <f t="shared" si="461"/>
        <v>6983.0044322432941</v>
      </c>
      <c r="AL509" s="101">
        <f t="shared" si="549"/>
        <v>3066.2097076097566</v>
      </c>
      <c r="AM509" s="101">
        <f t="shared" si="550"/>
        <v>3916.7947246335375</v>
      </c>
      <c r="AN509" s="101"/>
      <c r="AO509" s="1">
        <v>24</v>
      </c>
      <c r="AP509" s="2">
        <v>36</v>
      </c>
      <c r="AQ509" s="74">
        <f t="shared" si="551"/>
        <v>363</v>
      </c>
      <c r="AR509" s="31">
        <f t="shared" si="552"/>
        <v>1.2</v>
      </c>
      <c r="AS509" s="2">
        <f t="shared" si="553"/>
        <v>0</v>
      </c>
      <c r="AT509" s="33">
        <f t="shared" si="554"/>
        <v>0</v>
      </c>
      <c r="AU509" s="31">
        <f t="shared" si="555"/>
        <v>25</v>
      </c>
      <c r="AV509" s="2">
        <f t="shared" si="556"/>
        <v>0</v>
      </c>
      <c r="AW509" s="33">
        <f t="shared" si="557"/>
        <v>1</v>
      </c>
      <c r="AX509" s="31">
        <f t="shared" si="558"/>
        <v>1</v>
      </c>
      <c r="AY509" s="33">
        <f t="shared" si="559"/>
        <v>1</v>
      </c>
      <c r="AZ509" s="2"/>
      <c r="BA509" s="101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</row>
    <row r="510" spans="1:71" ht="12" customHeight="1">
      <c r="A510" s="2"/>
      <c r="B510" s="107">
        <v>435</v>
      </c>
      <c r="C510" s="31">
        <v>7</v>
      </c>
      <c r="D510" s="111" t="s">
        <v>8</v>
      </c>
      <c r="E510" s="2" t="s">
        <v>155</v>
      </c>
      <c r="F510" s="2" t="s">
        <v>149</v>
      </c>
      <c r="G510" s="2"/>
      <c r="H510" s="33" t="s">
        <v>81</v>
      </c>
      <c r="I510" s="99">
        <f t="shared" si="0"/>
        <v>813.27412360647236</v>
      </c>
      <c r="J510" s="101">
        <f t="shared" si="1"/>
        <v>19.637781784066725</v>
      </c>
      <c r="K510" s="101">
        <f t="shared" si="2"/>
        <v>263</v>
      </c>
      <c r="L510" s="74">
        <f t="shared" si="535"/>
        <v>185</v>
      </c>
      <c r="M510" s="99">
        <f t="shared" si="191"/>
        <v>15033.19010850184</v>
      </c>
      <c r="N510" s="108">
        <f t="shared" si="536"/>
        <v>6137.3827501974147</v>
      </c>
      <c r="O510" s="108">
        <f t="shared" si="537"/>
        <v>8895.8073583044243</v>
      </c>
      <c r="P510" s="108">
        <f t="shared" si="538"/>
        <v>0</v>
      </c>
      <c r="Q510" s="108"/>
      <c r="R510" s="109"/>
      <c r="S510" s="99">
        <f t="shared" si="399"/>
        <v>10055.526382430344</v>
      </c>
      <c r="T510" s="108">
        <f t="shared" si="539"/>
        <v>4415.3419789580494</v>
      </c>
      <c r="U510" s="108">
        <f t="shared" si="540"/>
        <v>5640.1844034722935</v>
      </c>
      <c r="V510" s="108">
        <f t="shared" si="541"/>
        <v>0</v>
      </c>
      <c r="W510" s="108"/>
      <c r="X510" s="109"/>
      <c r="Y510" s="99">
        <f t="shared" si="8"/>
        <v>22818.341278527387</v>
      </c>
      <c r="Z510" s="108">
        <f t="shared" si="542"/>
        <v>8830.6839579160987</v>
      </c>
      <c r="AA510" s="108">
        <f t="shared" si="543"/>
        <v>13987.657320611288</v>
      </c>
      <c r="AB510" s="108">
        <f t="shared" si="544"/>
        <v>0</v>
      </c>
      <c r="AC510" s="108"/>
      <c r="AD510" s="109"/>
      <c r="AE510" s="99">
        <f t="shared" si="560"/>
        <v>18.484776131615998</v>
      </c>
      <c r="AF510" s="101">
        <f t="shared" ref="AF510" si="619">AP510</f>
        <v>36</v>
      </c>
      <c r="AG510" s="101">
        <f t="shared" si="458"/>
        <v>19.001300000000001</v>
      </c>
      <c r="AH510" s="101">
        <f t="shared" si="546"/>
        <v>363</v>
      </c>
      <c r="AI510" s="101">
        <f t="shared" si="547"/>
        <v>248</v>
      </c>
      <c r="AJ510" s="108">
        <f t="shared" si="548"/>
        <v>1.6666666666666667</v>
      </c>
      <c r="AK510" s="101">
        <f t="shared" si="461"/>
        <v>6983.0044322432941</v>
      </c>
      <c r="AL510" s="101">
        <f t="shared" si="549"/>
        <v>3066.2097076097566</v>
      </c>
      <c r="AM510" s="101">
        <f t="shared" si="550"/>
        <v>3916.7947246335375</v>
      </c>
      <c r="AN510" s="101"/>
      <c r="AO510" s="1">
        <v>24</v>
      </c>
      <c r="AP510" s="2">
        <v>36</v>
      </c>
      <c r="AQ510" s="74">
        <f t="shared" si="551"/>
        <v>363</v>
      </c>
      <c r="AR510" s="31">
        <f t="shared" si="552"/>
        <v>1.2</v>
      </c>
      <c r="AS510" s="2">
        <f t="shared" si="553"/>
        <v>0</v>
      </c>
      <c r="AT510" s="33">
        <f t="shared" si="554"/>
        <v>0</v>
      </c>
      <c r="AU510" s="31">
        <f t="shared" si="555"/>
        <v>0</v>
      </c>
      <c r="AV510" s="2">
        <f t="shared" si="556"/>
        <v>0</v>
      </c>
      <c r="AW510" s="33">
        <f t="shared" si="557"/>
        <v>1.24</v>
      </c>
      <c r="AX510" s="31">
        <f t="shared" si="558"/>
        <v>1</v>
      </c>
      <c r="AY510" s="33">
        <f t="shared" si="559"/>
        <v>1</v>
      </c>
      <c r="AZ510" s="2"/>
      <c r="BA510" s="101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</row>
    <row r="511" spans="1:71" ht="12" customHeight="1">
      <c r="A511" s="2"/>
      <c r="B511" s="107">
        <v>436</v>
      </c>
      <c r="C511" s="31">
        <v>4</v>
      </c>
      <c r="D511" s="111" t="s">
        <v>8</v>
      </c>
      <c r="E511" s="2" t="s">
        <v>67</v>
      </c>
      <c r="F511" s="2" t="s">
        <v>149</v>
      </c>
      <c r="G511" s="2"/>
      <c r="H511" s="33" t="s">
        <v>81</v>
      </c>
      <c r="I511" s="99">
        <f t="shared" si="0"/>
        <v>583.77117971979635</v>
      </c>
      <c r="J511" s="101">
        <f t="shared" si="1"/>
        <v>10.765615909171565</v>
      </c>
      <c r="K511" s="101">
        <f t="shared" si="2"/>
        <v>488</v>
      </c>
      <c r="L511" s="74">
        <f t="shared" si="535"/>
        <v>280</v>
      </c>
      <c r="M511" s="99">
        <f t="shared" si="191"/>
        <v>10790.879569209805</v>
      </c>
      <c r="N511" s="108">
        <f t="shared" si="536"/>
        <v>4743.0766309429046</v>
      </c>
      <c r="O511" s="108">
        <f t="shared" si="537"/>
        <v>6047.8029382669001</v>
      </c>
      <c r="P511" s="108">
        <f t="shared" si="538"/>
        <v>0</v>
      </c>
      <c r="Q511" s="108"/>
      <c r="R511" s="109"/>
      <c r="S511" s="99">
        <f t="shared" si="399"/>
        <v>7763.1501066607325</v>
      </c>
      <c r="T511" s="108">
        <f t="shared" si="539"/>
        <v>3412.2534328404877</v>
      </c>
      <c r="U511" s="108">
        <f t="shared" si="540"/>
        <v>4350.8966738202453</v>
      </c>
      <c r="V511" s="108">
        <f t="shared" si="541"/>
        <v>0</v>
      </c>
      <c r="W511" s="108"/>
      <c r="X511" s="109"/>
      <c r="Y511" s="99">
        <f t="shared" si="8"/>
        <v>15526.300213321465</v>
      </c>
      <c r="Z511" s="108">
        <f t="shared" si="542"/>
        <v>6824.5068656809754</v>
      </c>
      <c r="AA511" s="108">
        <f t="shared" si="543"/>
        <v>8701.7933476404905</v>
      </c>
      <c r="AB511" s="108">
        <f t="shared" si="544"/>
        <v>0</v>
      </c>
      <c r="AC511" s="108"/>
      <c r="AD511" s="109"/>
      <c r="AE511" s="99">
        <f t="shared" si="560"/>
        <v>18.484776131615998</v>
      </c>
      <c r="AF511" s="101">
        <f t="shared" ref="AF511" si="620">AP511</f>
        <v>36</v>
      </c>
      <c r="AG511" s="101">
        <f t="shared" si="458"/>
        <v>19.001300000000001</v>
      </c>
      <c r="AH511" s="101">
        <f t="shared" si="546"/>
        <v>199</v>
      </c>
      <c r="AI511" s="101">
        <f t="shared" si="547"/>
        <v>200</v>
      </c>
      <c r="AJ511" s="108">
        <f t="shared" si="548"/>
        <v>1.6666666666666667</v>
      </c>
      <c r="AK511" s="101">
        <f t="shared" si="461"/>
        <v>6469.291755550611</v>
      </c>
      <c r="AL511" s="101">
        <f t="shared" si="549"/>
        <v>2843.544527367073</v>
      </c>
      <c r="AM511" s="101">
        <f t="shared" si="550"/>
        <v>3625.747228183538</v>
      </c>
      <c r="AN511" s="101"/>
      <c r="AO511" s="1">
        <v>24</v>
      </c>
      <c r="AP511" s="2">
        <v>36</v>
      </c>
      <c r="AQ511" s="74">
        <f t="shared" si="551"/>
        <v>199</v>
      </c>
      <c r="AR511" s="31">
        <f t="shared" si="552"/>
        <v>1</v>
      </c>
      <c r="AS511" s="2">
        <f t="shared" si="553"/>
        <v>0</v>
      </c>
      <c r="AT511" s="33">
        <f t="shared" si="554"/>
        <v>0</v>
      </c>
      <c r="AU511" s="31">
        <f t="shared" si="555"/>
        <v>0</v>
      </c>
      <c r="AV511" s="2">
        <f t="shared" si="556"/>
        <v>0</v>
      </c>
      <c r="AW511" s="33">
        <f t="shared" si="557"/>
        <v>1</v>
      </c>
      <c r="AX511" s="31">
        <f t="shared" si="558"/>
        <v>1</v>
      </c>
      <c r="AY511" s="33">
        <f t="shared" si="559"/>
        <v>1</v>
      </c>
      <c r="AZ511" s="2"/>
      <c r="BA511" s="101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</row>
    <row r="512" spans="1:71" ht="12" customHeight="1">
      <c r="A512" s="2"/>
      <c r="B512" s="107">
        <v>437</v>
      </c>
      <c r="C512" s="31">
        <v>4</v>
      </c>
      <c r="D512" s="111" t="s">
        <v>8</v>
      </c>
      <c r="E512" s="2" t="s">
        <v>148</v>
      </c>
      <c r="F512" s="2" t="s">
        <v>149</v>
      </c>
      <c r="G512" s="2"/>
      <c r="H512" s="33" t="s">
        <v>81</v>
      </c>
      <c r="I512" s="99">
        <f t="shared" si="0"/>
        <v>700.52541566375555</v>
      </c>
      <c r="J512" s="101">
        <f t="shared" si="1"/>
        <v>10.765615909171565</v>
      </c>
      <c r="K512" s="101">
        <f t="shared" si="2"/>
        <v>356</v>
      </c>
      <c r="L512" s="74">
        <f t="shared" si="535"/>
        <v>229</v>
      </c>
      <c r="M512" s="99">
        <f t="shared" si="191"/>
        <v>12949.055483051765</v>
      </c>
      <c r="N512" s="108">
        <f t="shared" si="536"/>
        <v>5691.6919571314857</v>
      </c>
      <c r="O512" s="108">
        <f t="shared" si="537"/>
        <v>7257.3635259202802</v>
      </c>
      <c r="P512" s="108">
        <f t="shared" si="538"/>
        <v>0</v>
      </c>
      <c r="Q512" s="108"/>
      <c r="R512" s="109"/>
      <c r="S512" s="99">
        <f t="shared" si="399"/>
        <v>9315.780127992879</v>
      </c>
      <c r="T512" s="108">
        <f t="shared" si="539"/>
        <v>4094.704119408585</v>
      </c>
      <c r="U512" s="108">
        <f t="shared" si="540"/>
        <v>5221.076008584294</v>
      </c>
      <c r="V512" s="108">
        <f t="shared" si="541"/>
        <v>0</v>
      </c>
      <c r="W512" s="108"/>
      <c r="X512" s="109"/>
      <c r="Y512" s="99">
        <f t="shared" si="8"/>
        <v>18631.560255985758</v>
      </c>
      <c r="Z512" s="108">
        <f t="shared" si="542"/>
        <v>8189.4082388171701</v>
      </c>
      <c r="AA512" s="108">
        <f t="shared" si="543"/>
        <v>10442.152017168588</v>
      </c>
      <c r="AB512" s="108">
        <f t="shared" si="544"/>
        <v>0</v>
      </c>
      <c r="AC512" s="108"/>
      <c r="AD512" s="109"/>
      <c r="AE512" s="99">
        <f t="shared" si="560"/>
        <v>18.484776131615998</v>
      </c>
      <c r="AF512" s="101">
        <f t="shared" ref="AF512" si="621">AP512</f>
        <v>36</v>
      </c>
      <c r="AG512" s="101">
        <f t="shared" si="458"/>
        <v>19.001300000000001</v>
      </c>
      <c r="AH512" s="101">
        <f t="shared" si="546"/>
        <v>199</v>
      </c>
      <c r="AI512" s="101">
        <f t="shared" si="547"/>
        <v>200</v>
      </c>
      <c r="AJ512" s="108">
        <f t="shared" si="548"/>
        <v>1.6666666666666667</v>
      </c>
      <c r="AK512" s="101">
        <f t="shared" si="461"/>
        <v>6469.291755550611</v>
      </c>
      <c r="AL512" s="101">
        <f t="shared" si="549"/>
        <v>2843.544527367073</v>
      </c>
      <c r="AM512" s="101">
        <f t="shared" si="550"/>
        <v>3625.747228183538</v>
      </c>
      <c r="AN512" s="101"/>
      <c r="AO512" s="1">
        <v>24</v>
      </c>
      <c r="AP512" s="2">
        <v>36</v>
      </c>
      <c r="AQ512" s="74">
        <f t="shared" si="551"/>
        <v>199</v>
      </c>
      <c r="AR512" s="31">
        <f t="shared" si="552"/>
        <v>1.2</v>
      </c>
      <c r="AS512" s="2">
        <f t="shared" si="553"/>
        <v>0</v>
      </c>
      <c r="AT512" s="33">
        <f t="shared" si="554"/>
        <v>0</v>
      </c>
      <c r="AU512" s="31">
        <f t="shared" si="555"/>
        <v>0</v>
      </c>
      <c r="AV512" s="2">
        <f t="shared" si="556"/>
        <v>0</v>
      </c>
      <c r="AW512" s="33">
        <f t="shared" si="557"/>
        <v>1</v>
      </c>
      <c r="AX512" s="31">
        <f t="shared" si="558"/>
        <v>1</v>
      </c>
      <c r="AY512" s="33">
        <f t="shared" si="559"/>
        <v>1</v>
      </c>
      <c r="AZ512" s="2"/>
      <c r="BA512" s="101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</row>
    <row r="513" spans="1:71" ht="12" customHeight="1">
      <c r="A513" s="2"/>
      <c r="B513" s="107">
        <v>438</v>
      </c>
      <c r="C513" s="31">
        <v>1</v>
      </c>
      <c r="D513" s="111" t="s">
        <v>8</v>
      </c>
      <c r="E513" s="2" t="s">
        <v>67</v>
      </c>
      <c r="F513" s="2" t="s">
        <v>149</v>
      </c>
      <c r="G513" s="2"/>
      <c r="H513" s="33" t="s">
        <v>81</v>
      </c>
      <c r="I513" s="99">
        <f t="shared" si="0"/>
        <v>468.47827697504965</v>
      </c>
      <c r="J513" s="101">
        <f t="shared" si="1"/>
        <v>5.4639558131976278</v>
      </c>
      <c r="K513" s="101">
        <f t="shared" si="2"/>
        <v>645</v>
      </c>
      <c r="L513" s="74">
        <f t="shared" si="535"/>
        <v>345</v>
      </c>
      <c r="M513" s="99">
        <f t="shared" si="191"/>
        <v>8659.7160724089863</v>
      </c>
      <c r="N513" s="108">
        <f t="shared" si="536"/>
        <v>3802.7637678882288</v>
      </c>
      <c r="O513" s="108">
        <f t="shared" si="537"/>
        <v>4856.9523045207579</v>
      </c>
      <c r="P513" s="108">
        <f t="shared" si="538"/>
        <v>0</v>
      </c>
      <c r="Q513" s="108"/>
      <c r="R513" s="109"/>
      <c r="S513" s="99">
        <f t="shared" si="399"/>
        <v>6229.9532971339031</v>
      </c>
      <c r="T513" s="108">
        <f t="shared" si="539"/>
        <v>2735.7756854707322</v>
      </c>
      <c r="U513" s="108">
        <f t="shared" si="540"/>
        <v>3494.1776116631704</v>
      </c>
      <c r="V513" s="108">
        <f t="shared" si="541"/>
        <v>0</v>
      </c>
      <c r="W513" s="108"/>
      <c r="X513" s="109"/>
      <c r="Y513" s="99">
        <f t="shared" si="8"/>
        <v>12459.906594267806</v>
      </c>
      <c r="Z513" s="108">
        <f t="shared" si="542"/>
        <v>5471.5513709414645</v>
      </c>
      <c r="AA513" s="108">
        <f t="shared" si="543"/>
        <v>6988.3552233263408</v>
      </c>
      <c r="AB513" s="108">
        <f t="shared" si="544"/>
        <v>0</v>
      </c>
      <c r="AC513" s="108"/>
      <c r="AD513" s="109"/>
      <c r="AE513" s="99">
        <f t="shared" si="560"/>
        <v>18.484776131615998</v>
      </c>
      <c r="AF513" s="101">
        <f t="shared" ref="AF513" si="622">AP513</f>
        <v>36</v>
      </c>
      <c r="AG513" s="101">
        <f t="shared" si="458"/>
        <v>19.001300000000001</v>
      </c>
      <c r="AH513" s="101">
        <f t="shared" si="546"/>
        <v>101</v>
      </c>
      <c r="AI513" s="101">
        <f t="shared" si="547"/>
        <v>200</v>
      </c>
      <c r="AJ513" s="108">
        <f t="shared" si="548"/>
        <v>1.6666666666666667</v>
      </c>
      <c r="AK513" s="101">
        <f t="shared" si="461"/>
        <v>5191.6277476115856</v>
      </c>
      <c r="AL513" s="101">
        <f t="shared" si="549"/>
        <v>2279.8130712256102</v>
      </c>
      <c r="AM513" s="101">
        <f t="shared" si="550"/>
        <v>2911.8146763859754</v>
      </c>
      <c r="AN513" s="101"/>
      <c r="AO513" s="1">
        <v>24</v>
      </c>
      <c r="AP513" s="2">
        <v>36</v>
      </c>
      <c r="AQ513" s="74">
        <f t="shared" si="551"/>
        <v>101</v>
      </c>
      <c r="AR513" s="31">
        <f t="shared" si="552"/>
        <v>1</v>
      </c>
      <c r="AS513" s="2">
        <f t="shared" si="553"/>
        <v>0</v>
      </c>
      <c r="AT513" s="33">
        <f t="shared" si="554"/>
        <v>0</v>
      </c>
      <c r="AU513" s="31">
        <f t="shared" si="555"/>
        <v>0</v>
      </c>
      <c r="AV513" s="2">
        <f t="shared" si="556"/>
        <v>0</v>
      </c>
      <c r="AW513" s="33">
        <f t="shared" si="557"/>
        <v>1</v>
      </c>
      <c r="AX513" s="31">
        <f t="shared" si="558"/>
        <v>1</v>
      </c>
      <c r="AY513" s="33">
        <f t="shared" si="559"/>
        <v>1</v>
      </c>
      <c r="AZ513" s="2"/>
      <c r="BA513" s="101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</row>
    <row r="514" spans="1:71" ht="12" customHeight="1">
      <c r="A514" s="2"/>
      <c r="B514" s="107">
        <v>439</v>
      </c>
      <c r="C514" s="31">
        <v>10</v>
      </c>
      <c r="D514" s="111" t="s">
        <v>8</v>
      </c>
      <c r="E514" s="2" t="s">
        <v>144</v>
      </c>
      <c r="F514" s="2" t="s">
        <v>149</v>
      </c>
      <c r="G514" s="2"/>
      <c r="H514" s="33" t="s">
        <v>80</v>
      </c>
      <c r="I514" s="99">
        <f t="shared" si="0"/>
        <v>684.87690774724206</v>
      </c>
      <c r="J514" s="101">
        <f t="shared" si="1"/>
        <v>39.459498714320297</v>
      </c>
      <c r="K514" s="101">
        <f t="shared" si="2"/>
        <v>370</v>
      </c>
      <c r="L514" s="74">
        <f t="shared" si="535"/>
        <v>236</v>
      </c>
      <c r="M514" s="99">
        <f t="shared" si="191"/>
        <v>12659.796317421191</v>
      </c>
      <c r="N514" s="108">
        <f t="shared" si="536"/>
        <v>3563.6109209683955</v>
      </c>
      <c r="O514" s="108">
        <f t="shared" si="537"/>
        <v>4548.0926982263982</v>
      </c>
      <c r="P514" s="108">
        <f t="shared" si="538"/>
        <v>4548.0926982263982</v>
      </c>
      <c r="Q514" s="108"/>
      <c r="R514" s="109"/>
      <c r="S514" s="99">
        <f t="shared" si="399"/>
        <v>9107.6819550760974</v>
      </c>
      <c r="T514" s="108">
        <f t="shared" si="539"/>
        <v>2563.7248867229268</v>
      </c>
      <c r="U514" s="108">
        <f t="shared" si="540"/>
        <v>3271.9785341765855</v>
      </c>
      <c r="V514" s="108">
        <f t="shared" si="541"/>
        <v>3271.9785341765855</v>
      </c>
      <c r="W514" s="108"/>
      <c r="X514" s="109"/>
      <c r="Y514" s="99">
        <f t="shared" si="8"/>
        <v>18215.363910152195</v>
      </c>
      <c r="Z514" s="108">
        <f t="shared" si="542"/>
        <v>5127.4497734458537</v>
      </c>
      <c r="AA514" s="108">
        <f t="shared" si="543"/>
        <v>6543.9570683531711</v>
      </c>
      <c r="AB514" s="108">
        <f t="shared" si="544"/>
        <v>6543.9570683531711</v>
      </c>
      <c r="AC514" s="108"/>
      <c r="AD514" s="109"/>
      <c r="AE514" s="99">
        <f t="shared" si="560"/>
        <v>18.484776131615998</v>
      </c>
      <c r="AF514" s="101">
        <f t="shared" ref="AF514" si="623">AP514</f>
        <v>36</v>
      </c>
      <c r="AG514" s="101">
        <f t="shared" si="458"/>
        <v>19.001300000000001</v>
      </c>
      <c r="AH514" s="101">
        <f t="shared" si="546"/>
        <v>729.4</v>
      </c>
      <c r="AI514" s="101">
        <f t="shared" si="547"/>
        <v>200</v>
      </c>
      <c r="AJ514" s="108">
        <f t="shared" si="548"/>
        <v>1.1111111111111112</v>
      </c>
      <c r="AK514" s="101">
        <f t="shared" si="461"/>
        <v>4863.0861840829275</v>
      </c>
      <c r="AL514" s="101">
        <f t="shared" si="549"/>
        <v>2136.437405602439</v>
      </c>
      <c r="AM514" s="101">
        <f t="shared" si="550"/>
        <v>2726.6487784804881</v>
      </c>
      <c r="AN514" s="101"/>
      <c r="AO514" s="1">
        <v>24</v>
      </c>
      <c r="AP514" s="2">
        <v>36</v>
      </c>
      <c r="AQ514" s="74">
        <f t="shared" si="551"/>
        <v>521</v>
      </c>
      <c r="AR514" s="31">
        <f t="shared" si="552"/>
        <v>1</v>
      </c>
      <c r="AS514" s="2">
        <f t="shared" si="553"/>
        <v>0</v>
      </c>
      <c r="AT514" s="33">
        <f t="shared" si="554"/>
        <v>0</v>
      </c>
      <c r="AU514" s="31">
        <f t="shared" si="555"/>
        <v>0</v>
      </c>
      <c r="AV514" s="2">
        <f t="shared" si="556"/>
        <v>0</v>
      </c>
      <c r="AW514" s="33">
        <f t="shared" si="557"/>
        <v>1</v>
      </c>
      <c r="AX514" s="31">
        <f t="shared" si="558"/>
        <v>1.5</v>
      </c>
      <c r="AY514" s="33">
        <f t="shared" si="559"/>
        <v>1</v>
      </c>
      <c r="AZ514" s="2"/>
      <c r="BA514" s="101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</row>
    <row r="515" spans="1:71" ht="12" customHeight="1">
      <c r="A515" s="2"/>
      <c r="B515" s="107">
        <v>440</v>
      </c>
      <c r="C515" s="31">
        <v>10</v>
      </c>
      <c r="D515" s="111" t="s">
        <v>8</v>
      </c>
      <c r="E515" s="2" t="s">
        <v>138</v>
      </c>
      <c r="F515" s="2" t="s">
        <v>149</v>
      </c>
      <c r="G515" s="2"/>
      <c r="H515" s="33" t="s">
        <v>80</v>
      </c>
      <c r="I515" s="99">
        <f t="shared" si="0"/>
        <v>808.05505567593821</v>
      </c>
      <c r="J515" s="101">
        <f t="shared" si="1"/>
        <v>39.459498714320297</v>
      </c>
      <c r="K515" s="101">
        <f t="shared" si="2"/>
        <v>265</v>
      </c>
      <c r="L515" s="74">
        <f t="shared" si="535"/>
        <v>187</v>
      </c>
      <c r="M515" s="99">
        <f t="shared" si="191"/>
        <v>14936.716806190219</v>
      </c>
      <c r="N515" s="108">
        <f t="shared" si="536"/>
        <v>4204.5421426491275</v>
      </c>
      <c r="O515" s="108">
        <f t="shared" si="537"/>
        <v>5366.0873317705455</v>
      </c>
      <c r="P515" s="108">
        <f t="shared" si="538"/>
        <v>5366.0873317705455</v>
      </c>
      <c r="Q515" s="108"/>
      <c r="R515" s="109"/>
      <c r="S515" s="99">
        <f t="shared" si="399"/>
        <v>9107.6819550760974</v>
      </c>
      <c r="T515" s="108">
        <f t="shared" si="539"/>
        <v>2563.7248867229268</v>
      </c>
      <c r="U515" s="108">
        <f t="shared" si="540"/>
        <v>3271.9785341765855</v>
      </c>
      <c r="V515" s="108">
        <f t="shared" si="541"/>
        <v>3271.9785341765855</v>
      </c>
      <c r="W515" s="108"/>
      <c r="X515" s="109"/>
      <c r="Y515" s="99">
        <f t="shared" si="8"/>
        <v>18215.363910152195</v>
      </c>
      <c r="Z515" s="108">
        <f t="shared" si="542"/>
        <v>5127.4497734458537</v>
      </c>
      <c r="AA515" s="108">
        <f t="shared" si="543"/>
        <v>6543.9570683531711</v>
      </c>
      <c r="AB515" s="108">
        <f t="shared" si="544"/>
        <v>6543.9570683531711</v>
      </c>
      <c r="AC515" s="108"/>
      <c r="AD515" s="109"/>
      <c r="AE515" s="99">
        <f t="shared" si="560"/>
        <v>18.484776131615998</v>
      </c>
      <c r="AF515" s="101">
        <f t="shared" ref="AF515" si="624">AP515</f>
        <v>36</v>
      </c>
      <c r="AG515" s="101">
        <f t="shared" si="458"/>
        <v>44.001300000000001</v>
      </c>
      <c r="AH515" s="101">
        <f t="shared" si="546"/>
        <v>729.4</v>
      </c>
      <c r="AI515" s="101">
        <f t="shared" si="547"/>
        <v>200</v>
      </c>
      <c r="AJ515" s="108">
        <f t="shared" si="548"/>
        <v>1.1111111111111112</v>
      </c>
      <c r="AK515" s="101">
        <f t="shared" si="461"/>
        <v>4863.0861840829275</v>
      </c>
      <c r="AL515" s="101">
        <f t="shared" si="549"/>
        <v>2136.437405602439</v>
      </c>
      <c r="AM515" s="101">
        <f t="shared" si="550"/>
        <v>2726.6487784804881</v>
      </c>
      <c r="AN515" s="101"/>
      <c r="AO515" s="1">
        <v>24</v>
      </c>
      <c r="AP515" s="2">
        <v>36</v>
      </c>
      <c r="AQ515" s="74">
        <f t="shared" si="551"/>
        <v>521</v>
      </c>
      <c r="AR515" s="31">
        <f t="shared" si="552"/>
        <v>1</v>
      </c>
      <c r="AS515" s="2">
        <f t="shared" si="553"/>
        <v>0</v>
      </c>
      <c r="AT515" s="33">
        <f t="shared" si="554"/>
        <v>0</v>
      </c>
      <c r="AU515" s="31">
        <f t="shared" si="555"/>
        <v>25</v>
      </c>
      <c r="AV515" s="2">
        <f t="shared" si="556"/>
        <v>0</v>
      </c>
      <c r="AW515" s="33">
        <f t="shared" si="557"/>
        <v>1</v>
      </c>
      <c r="AX515" s="31">
        <f t="shared" si="558"/>
        <v>1.5</v>
      </c>
      <c r="AY515" s="33">
        <f t="shared" si="559"/>
        <v>1</v>
      </c>
      <c r="AZ515" s="2"/>
      <c r="BA515" s="101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</row>
    <row r="516" spans="1:71" ht="12" customHeight="1">
      <c r="A516" s="2"/>
      <c r="B516" s="107">
        <v>441</v>
      </c>
      <c r="C516" s="31">
        <v>10</v>
      </c>
      <c r="D516" s="111" t="s">
        <v>8</v>
      </c>
      <c r="E516" s="2" t="s">
        <v>141</v>
      </c>
      <c r="F516" s="2" t="s">
        <v>149</v>
      </c>
      <c r="G516" s="2"/>
      <c r="H516" s="33" t="s">
        <v>80</v>
      </c>
      <c r="I516" s="99">
        <f t="shared" si="0"/>
        <v>751.15142407165058</v>
      </c>
      <c r="J516" s="101">
        <f t="shared" si="1"/>
        <v>39.459498714320297</v>
      </c>
      <c r="K516" s="101">
        <f t="shared" si="2"/>
        <v>303</v>
      </c>
      <c r="L516" s="74">
        <f t="shared" si="535"/>
        <v>207</v>
      </c>
      <c r="M516" s="99">
        <f t="shared" si="191"/>
        <v>13884.865914909013</v>
      </c>
      <c r="N516" s="108">
        <f t="shared" si="536"/>
        <v>3563.6109209683955</v>
      </c>
      <c r="O516" s="108">
        <f t="shared" si="537"/>
        <v>5160.6274969703081</v>
      </c>
      <c r="P516" s="108">
        <f t="shared" si="538"/>
        <v>5160.6274969703081</v>
      </c>
      <c r="Q516" s="108"/>
      <c r="R516" s="109"/>
      <c r="S516" s="99">
        <f t="shared" si="399"/>
        <v>9107.6819550760974</v>
      </c>
      <c r="T516" s="108">
        <f t="shared" si="539"/>
        <v>2563.7248867229268</v>
      </c>
      <c r="U516" s="108">
        <f t="shared" si="540"/>
        <v>3271.9785341765855</v>
      </c>
      <c r="V516" s="108">
        <f t="shared" si="541"/>
        <v>3271.9785341765855</v>
      </c>
      <c r="W516" s="108"/>
      <c r="X516" s="109"/>
      <c r="Y516" s="99">
        <f t="shared" si="8"/>
        <v>21356.463302961718</v>
      </c>
      <c r="Z516" s="108">
        <f t="shared" si="542"/>
        <v>5127.4497734458537</v>
      </c>
      <c r="AA516" s="108">
        <f t="shared" si="543"/>
        <v>8114.5067647579326</v>
      </c>
      <c r="AB516" s="108">
        <f t="shared" si="544"/>
        <v>8114.5067647579326</v>
      </c>
      <c r="AC516" s="108"/>
      <c r="AD516" s="109"/>
      <c r="AE516" s="99">
        <f t="shared" ref="AE516:AE534" si="625">AO516*(1-$D$20/100)*(1-$D$17/100)</f>
        <v>18.484776131615998</v>
      </c>
      <c r="AF516" s="101">
        <f t="shared" ref="AF516" si="626">AP516</f>
        <v>36</v>
      </c>
      <c r="AG516" s="101">
        <f t="shared" si="458"/>
        <v>19.001300000000001</v>
      </c>
      <c r="AH516" s="101">
        <f t="shared" si="546"/>
        <v>729.4</v>
      </c>
      <c r="AI516" s="101">
        <f t="shared" si="547"/>
        <v>248</v>
      </c>
      <c r="AJ516" s="108">
        <f t="shared" si="548"/>
        <v>1.1111111111111112</v>
      </c>
      <c r="AK516" s="101">
        <f t="shared" si="461"/>
        <v>4863.0861840829275</v>
      </c>
      <c r="AL516" s="101">
        <f t="shared" si="549"/>
        <v>2136.437405602439</v>
      </c>
      <c r="AM516" s="101">
        <f t="shared" si="550"/>
        <v>2726.6487784804881</v>
      </c>
      <c r="AN516" s="101"/>
      <c r="AO516" s="1">
        <v>24</v>
      </c>
      <c r="AP516" s="2">
        <v>36</v>
      </c>
      <c r="AQ516" s="74">
        <f t="shared" si="551"/>
        <v>521</v>
      </c>
      <c r="AR516" s="31">
        <f t="shared" si="552"/>
        <v>1</v>
      </c>
      <c r="AS516" s="2">
        <f t="shared" si="553"/>
        <v>0</v>
      </c>
      <c r="AT516" s="33">
        <f t="shared" si="554"/>
        <v>0</v>
      </c>
      <c r="AU516" s="31">
        <f t="shared" si="555"/>
        <v>0</v>
      </c>
      <c r="AV516" s="2">
        <f t="shared" si="556"/>
        <v>0</v>
      </c>
      <c r="AW516" s="33">
        <f t="shared" si="557"/>
        <v>1.24</v>
      </c>
      <c r="AX516" s="31">
        <f t="shared" si="558"/>
        <v>1.5</v>
      </c>
      <c r="AY516" s="33">
        <f t="shared" si="559"/>
        <v>1</v>
      </c>
      <c r="AZ516" s="2"/>
      <c r="BA516" s="101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</row>
    <row r="517" spans="1:71" ht="12" customHeight="1">
      <c r="A517" s="2"/>
      <c r="B517" s="107">
        <v>442</v>
      </c>
      <c r="C517" s="31">
        <v>10</v>
      </c>
      <c r="D517" s="111" t="s">
        <v>8</v>
      </c>
      <c r="E517" s="2" t="s">
        <v>150</v>
      </c>
      <c r="F517" s="2" t="s">
        <v>149</v>
      </c>
      <c r="G517" s="2"/>
      <c r="H517" s="33" t="s">
        <v>80</v>
      </c>
      <c r="I517" s="99">
        <f t="shared" si="0"/>
        <v>684.87690774724206</v>
      </c>
      <c r="J517" s="101">
        <f t="shared" si="1"/>
        <v>39.459498714320297</v>
      </c>
      <c r="K517" s="101">
        <f t="shared" si="2"/>
        <v>370</v>
      </c>
      <c r="L517" s="74">
        <f t="shared" si="535"/>
        <v>236</v>
      </c>
      <c r="M517" s="99">
        <f t="shared" si="191"/>
        <v>12659.796317421191</v>
      </c>
      <c r="N517" s="108">
        <f t="shared" si="536"/>
        <v>3563.6109209683955</v>
      </c>
      <c r="O517" s="108">
        <f t="shared" si="537"/>
        <v>4548.0926982263982</v>
      </c>
      <c r="P517" s="108">
        <f t="shared" si="538"/>
        <v>4548.0926982263982</v>
      </c>
      <c r="Q517" s="108"/>
      <c r="R517" s="109"/>
      <c r="S517" s="99">
        <f t="shared" si="399"/>
        <v>9107.6819550760974</v>
      </c>
      <c r="T517" s="108">
        <f t="shared" si="539"/>
        <v>2563.7248867229268</v>
      </c>
      <c r="U517" s="108">
        <f t="shared" si="540"/>
        <v>3271.9785341765855</v>
      </c>
      <c r="V517" s="108">
        <f t="shared" si="541"/>
        <v>3271.9785341765855</v>
      </c>
      <c r="W517" s="108"/>
      <c r="X517" s="109"/>
      <c r="Y517" s="99">
        <f t="shared" si="8"/>
        <v>18215.363910152195</v>
      </c>
      <c r="Z517" s="108">
        <f t="shared" si="542"/>
        <v>5127.4497734458537</v>
      </c>
      <c r="AA517" s="108">
        <f t="shared" si="543"/>
        <v>6543.9570683531711</v>
      </c>
      <c r="AB517" s="108">
        <f t="shared" si="544"/>
        <v>6543.9570683531711</v>
      </c>
      <c r="AC517" s="108"/>
      <c r="AD517" s="109"/>
      <c r="AE517" s="99">
        <f t="shared" si="625"/>
        <v>18.484776131615998</v>
      </c>
      <c r="AF517" s="101">
        <f t="shared" ref="AF517" si="627">AP517</f>
        <v>36</v>
      </c>
      <c r="AG517" s="101">
        <f t="shared" si="458"/>
        <v>19.001300000000001</v>
      </c>
      <c r="AH517" s="101">
        <f t="shared" si="546"/>
        <v>729.4</v>
      </c>
      <c r="AI517" s="101">
        <f t="shared" si="547"/>
        <v>200</v>
      </c>
      <c r="AJ517" s="108">
        <f t="shared" si="548"/>
        <v>1.1111111111111112</v>
      </c>
      <c r="AK517" s="101">
        <f t="shared" si="461"/>
        <v>4863.0861840829275</v>
      </c>
      <c r="AL517" s="101">
        <f t="shared" si="549"/>
        <v>2136.437405602439</v>
      </c>
      <c r="AM517" s="101">
        <f t="shared" si="550"/>
        <v>2726.6487784804881</v>
      </c>
      <c r="AN517" s="101"/>
      <c r="AO517" s="1">
        <v>24</v>
      </c>
      <c r="AP517" s="2">
        <v>36</v>
      </c>
      <c r="AQ517" s="74">
        <f t="shared" si="551"/>
        <v>521</v>
      </c>
      <c r="AR517" s="31">
        <f t="shared" si="552"/>
        <v>1.2</v>
      </c>
      <c r="AS517" s="2">
        <f t="shared" si="553"/>
        <v>0</v>
      </c>
      <c r="AT517" s="33">
        <f t="shared" si="554"/>
        <v>0</v>
      </c>
      <c r="AU517" s="31">
        <f t="shared" si="555"/>
        <v>0</v>
      </c>
      <c r="AV517" s="2">
        <f t="shared" si="556"/>
        <v>0</v>
      </c>
      <c r="AW517" s="33">
        <f t="shared" si="557"/>
        <v>1</v>
      </c>
      <c r="AX517" s="31">
        <f t="shared" si="558"/>
        <v>1.5</v>
      </c>
      <c r="AY517" s="33">
        <f t="shared" si="559"/>
        <v>1</v>
      </c>
      <c r="AZ517" s="2"/>
      <c r="BA517" s="101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</row>
    <row r="518" spans="1:71" ht="12" customHeight="1">
      <c r="A518" s="2"/>
      <c r="B518" s="107">
        <v>443</v>
      </c>
      <c r="C518" s="31">
        <v>10</v>
      </c>
      <c r="D518" s="111" t="s">
        <v>8</v>
      </c>
      <c r="E518" s="2" t="s">
        <v>164</v>
      </c>
      <c r="F518" s="2" t="s">
        <v>149</v>
      </c>
      <c r="G518" s="2"/>
      <c r="H518" s="33" t="s">
        <v>80</v>
      </c>
      <c r="I518" s="99">
        <f t="shared" si="0"/>
        <v>808.05505567593821</v>
      </c>
      <c r="J518" s="101">
        <f t="shared" si="1"/>
        <v>39.459498714320297</v>
      </c>
      <c r="K518" s="101">
        <f t="shared" si="2"/>
        <v>265</v>
      </c>
      <c r="L518" s="74">
        <f t="shared" si="535"/>
        <v>187</v>
      </c>
      <c r="M518" s="99">
        <f t="shared" si="191"/>
        <v>14936.716806190219</v>
      </c>
      <c r="N518" s="108">
        <f t="shared" si="536"/>
        <v>4204.5421426491275</v>
      </c>
      <c r="O518" s="108">
        <f t="shared" si="537"/>
        <v>5366.0873317705455</v>
      </c>
      <c r="P518" s="108">
        <f t="shared" si="538"/>
        <v>5366.0873317705455</v>
      </c>
      <c r="Q518" s="108"/>
      <c r="R518" s="109"/>
      <c r="S518" s="99">
        <f t="shared" si="399"/>
        <v>9107.6819550760974</v>
      </c>
      <c r="T518" s="108">
        <f t="shared" si="539"/>
        <v>2563.7248867229268</v>
      </c>
      <c r="U518" s="108">
        <f t="shared" si="540"/>
        <v>3271.9785341765855</v>
      </c>
      <c r="V518" s="108">
        <f t="shared" si="541"/>
        <v>3271.9785341765855</v>
      </c>
      <c r="W518" s="108"/>
      <c r="X518" s="109"/>
      <c r="Y518" s="99">
        <f t="shared" si="8"/>
        <v>18215.363910152195</v>
      </c>
      <c r="Z518" s="108">
        <f t="shared" si="542"/>
        <v>5127.4497734458537</v>
      </c>
      <c r="AA518" s="108">
        <f t="shared" si="543"/>
        <v>6543.9570683531711</v>
      </c>
      <c r="AB518" s="108">
        <f t="shared" si="544"/>
        <v>6543.9570683531711</v>
      </c>
      <c r="AC518" s="108"/>
      <c r="AD518" s="109"/>
      <c r="AE518" s="99">
        <f t="shared" si="625"/>
        <v>18.484776131615998</v>
      </c>
      <c r="AF518" s="101">
        <f t="shared" ref="AF518" si="628">AP518</f>
        <v>36</v>
      </c>
      <c r="AG518" s="101">
        <f t="shared" si="458"/>
        <v>44.001300000000001</v>
      </c>
      <c r="AH518" s="101">
        <f t="shared" si="546"/>
        <v>729.4</v>
      </c>
      <c r="AI518" s="101">
        <f t="shared" si="547"/>
        <v>200</v>
      </c>
      <c r="AJ518" s="108">
        <f t="shared" si="548"/>
        <v>1.1111111111111112</v>
      </c>
      <c r="AK518" s="101">
        <f t="shared" si="461"/>
        <v>4863.0861840829275</v>
      </c>
      <c r="AL518" s="101">
        <f t="shared" si="549"/>
        <v>2136.437405602439</v>
      </c>
      <c r="AM518" s="101">
        <f t="shared" si="550"/>
        <v>2726.6487784804881</v>
      </c>
      <c r="AN518" s="101"/>
      <c r="AO518" s="1">
        <v>24</v>
      </c>
      <c r="AP518" s="2">
        <v>36</v>
      </c>
      <c r="AQ518" s="74">
        <f t="shared" si="551"/>
        <v>521</v>
      </c>
      <c r="AR518" s="31">
        <f t="shared" si="552"/>
        <v>1.2</v>
      </c>
      <c r="AS518" s="2">
        <f t="shared" si="553"/>
        <v>0</v>
      </c>
      <c r="AT518" s="33">
        <f t="shared" si="554"/>
        <v>0</v>
      </c>
      <c r="AU518" s="31">
        <f t="shared" si="555"/>
        <v>25</v>
      </c>
      <c r="AV518" s="2">
        <f t="shared" si="556"/>
        <v>0</v>
      </c>
      <c r="AW518" s="33">
        <f t="shared" si="557"/>
        <v>1</v>
      </c>
      <c r="AX518" s="31">
        <f t="shared" si="558"/>
        <v>1.5</v>
      </c>
      <c r="AY518" s="33">
        <f t="shared" si="559"/>
        <v>1</v>
      </c>
      <c r="AZ518" s="2"/>
      <c r="BA518" s="101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1" ht="12" customHeight="1">
      <c r="A519" s="2"/>
      <c r="B519" s="107">
        <v>444</v>
      </c>
      <c r="C519" s="31">
        <v>10</v>
      </c>
      <c r="D519" s="111" t="s">
        <v>8</v>
      </c>
      <c r="E519" s="2" t="s">
        <v>156</v>
      </c>
      <c r="F519" s="2" t="s">
        <v>149</v>
      </c>
      <c r="G519" s="2"/>
      <c r="H519" s="33" t="s">
        <v>80</v>
      </c>
      <c r="I519" s="99">
        <f t="shared" si="0"/>
        <v>751.15142407165058</v>
      </c>
      <c r="J519" s="101">
        <f t="shared" si="1"/>
        <v>39.459498714320297</v>
      </c>
      <c r="K519" s="101">
        <f t="shared" si="2"/>
        <v>303</v>
      </c>
      <c r="L519" s="74">
        <f t="shared" si="535"/>
        <v>207</v>
      </c>
      <c r="M519" s="99">
        <f t="shared" si="191"/>
        <v>13884.865914909013</v>
      </c>
      <c r="N519" s="108">
        <f t="shared" si="536"/>
        <v>3563.6109209683955</v>
      </c>
      <c r="O519" s="108">
        <f t="shared" si="537"/>
        <v>5160.6274969703081</v>
      </c>
      <c r="P519" s="108">
        <f t="shared" si="538"/>
        <v>5160.6274969703081</v>
      </c>
      <c r="Q519" s="108"/>
      <c r="R519" s="109"/>
      <c r="S519" s="99">
        <f t="shared" si="399"/>
        <v>9107.6819550760974</v>
      </c>
      <c r="T519" s="108">
        <f t="shared" si="539"/>
        <v>2563.7248867229268</v>
      </c>
      <c r="U519" s="108">
        <f t="shared" si="540"/>
        <v>3271.9785341765855</v>
      </c>
      <c r="V519" s="108">
        <f t="shared" si="541"/>
        <v>3271.9785341765855</v>
      </c>
      <c r="W519" s="108"/>
      <c r="X519" s="109"/>
      <c r="Y519" s="99">
        <f t="shared" si="8"/>
        <v>21356.463302961718</v>
      </c>
      <c r="Z519" s="108">
        <f t="shared" si="542"/>
        <v>5127.4497734458537</v>
      </c>
      <c r="AA519" s="108">
        <f t="shared" si="543"/>
        <v>8114.5067647579326</v>
      </c>
      <c r="AB519" s="108">
        <f t="shared" si="544"/>
        <v>8114.5067647579326</v>
      </c>
      <c r="AC519" s="108"/>
      <c r="AD519" s="109"/>
      <c r="AE519" s="99">
        <f t="shared" si="625"/>
        <v>18.484776131615998</v>
      </c>
      <c r="AF519" s="101">
        <f t="shared" ref="AF519" si="629">AP519</f>
        <v>36</v>
      </c>
      <c r="AG519" s="101">
        <f t="shared" si="458"/>
        <v>19.001300000000001</v>
      </c>
      <c r="AH519" s="101">
        <f t="shared" si="546"/>
        <v>729.4</v>
      </c>
      <c r="AI519" s="101">
        <f t="shared" si="547"/>
        <v>248</v>
      </c>
      <c r="AJ519" s="108">
        <f t="shared" si="548"/>
        <v>1.1111111111111112</v>
      </c>
      <c r="AK519" s="101">
        <f t="shared" si="461"/>
        <v>4863.0861840829275</v>
      </c>
      <c r="AL519" s="101">
        <f t="shared" si="549"/>
        <v>2136.437405602439</v>
      </c>
      <c r="AM519" s="101">
        <f t="shared" si="550"/>
        <v>2726.6487784804881</v>
      </c>
      <c r="AN519" s="101"/>
      <c r="AO519" s="1">
        <v>24</v>
      </c>
      <c r="AP519" s="2">
        <v>36</v>
      </c>
      <c r="AQ519" s="74">
        <f t="shared" si="551"/>
        <v>521</v>
      </c>
      <c r="AR519" s="31">
        <f t="shared" si="552"/>
        <v>1.2</v>
      </c>
      <c r="AS519" s="2">
        <f t="shared" si="553"/>
        <v>0</v>
      </c>
      <c r="AT519" s="33">
        <f t="shared" si="554"/>
        <v>0</v>
      </c>
      <c r="AU519" s="31">
        <f t="shared" si="555"/>
        <v>0</v>
      </c>
      <c r="AV519" s="2">
        <f t="shared" si="556"/>
        <v>0</v>
      </c>
      <c r="AW519" s="33">
        <f t="shared" si="557"/>
        <v>1.24</v>
      </c>
      <c r="AX519" s="31">
        <f t="shared" si="558"/>
        <v>1.5</v>
      </c>
      <c r="AY519" s="33">
        <f t="shared" si="559"/>
        <v>1</v>
      </c>
      <c r="AZ519" s="2"/>
      <c r="BA519" s="101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1" ht="12" customHeight="1">
      <c r="A520" s="2"/>
      <c r="B520" s="107">
        <v>445</v>
      </c>
      <c r="C520" s="31">
        <v>10</v>
      </c>
      <c r="D520" s="111" t="s">
        <v>8</v>
      </c>
      <c r="E520" s="2" t="s">
        <v>92</v>
      </c>
      <c r="F520" s="2" t="s">
        <v>149</v>
      </c>
      <c r="G520" s="2"/>
      <c r="H520" s="33" t="s">
        <v>80</v>
      </c>
      <c r="I520" s="99">
        <f t="shared" si="0"/>
        <v>600.47491963001426</v>
      </c>
      <c r="J520" s="101">
        <f t="shared" si="1"/>
        <v>28.185356224514496</v>
      </c>
      <c r="K520" s="101">
        <f t="shared" si="2"/>
        <v>467</v>
      </c>
      <c r="L520" s="74">
        <f t="shared" si="535"/>
        <v>273</v>
      </c>
      <c r="M520" s="99">
        <f t="shared" si="191"/>
        <v>11099.644462010921</v>
      </c>
      <c r="N520" s="108">
        <f t="shared" si="536"/>
        <v>4876.2647257093558</v>
      </c>
      <c r="O520" s="108">
        <f t="shared" si="537"/>
        <v>6223.3797363015656</v>
      </c>
      <c r="P520" s="108">
        <f t="shared" si="538"/>
        <v>0</v>
      </c>
      <c r="Q520" s="108"/>
      <c r="R520" s="109"/>
      <c r="S520" s="99">
        <f t="shared" si="399"/>
        <v>7002.8441050794145</v>
      </c>
      <c r="T520" s="108">
        <f t="shared" si="539"/>
        <v>3076.4698640675119</v>
      </c>
      <c r="U520" s="108">
        <f t="shared" si="540"/>
        <v>3926.3742410119025</v>
      </c>
      <c r="V520" s="108">
        <f t="shared" si="541"/>
        <v>0</v>
      </c>
      <c r="W520" s="108"/>
      <c r="X520" s="109"/>
      <c r="Y520" s="99">
        <f t="shared" si="8"/>
        <v>17507.110262698538</v>
      </c>
      <c r="Z520" s="108">
        <f t="shared" si="542"/>
        <v>7691.1746601687801</v>
      </c>
      <c r="AA520" s="108">
        <f t="shared" si="543"/>
        <v>9815.9356025297566</v>
      </c>
      <c r="AB520" s="108">
        <f t="shared" si="544"/>
        <v>0</v>
      </c>
      <c r="AC520" s="108"/>
      <c r="AD520" s="109"/>
      <c r="AE520" s="99">
        <f t="shared" si="625"/>
        <v>18.484776131615998</v>
      </c>
      <c r="AF520" s="101">
        <f t="shared" ref="AF520" si="630">AP520</f>
        <v>36</v>
      </c>
      <c r="AG520" s="101">
        <f t="shared" si="458"/>
        <v>19.001300000000001</v>
      </c>
      <c r="AH520" s="101">
        <f t="shared" si="546"/>
        <v>521</v>
      </c>
      <c r="AI520" s="101">
        <f t="shared" si="547"/>
        <v>250</v>
      </c>
      <c r="AJ520" s="108">
        <f t="shared" si="548"/>
        <v>1.6666666666666667</v>
      </c>
      <c r="AK520" s="101">
        <f t="shared" si="461"/>
        <v>4863.0861840829275</v>
      </c>
      <c r="AL520" s="101">
        <f t="shared" si="549"/>
        <v>2136.437405602439</v>
      </c>
      <c r="AM520" s="101">
        <f t="shared" si="550"/>
        <v>2726.6487784804881</v>
      </c>
      <c r="AN520" s="101"/>
      <c r="AO520" s="1">
        <v>24</v>
      </c>
      <c r="AP520" s="2">
        <v>36</v>
      </c>
      <c r="AQ520" s="74">
        <f t="shared" si="551"/>
        <v>521</v>
      </c>
      <c r="AR520" s="31">
        <f t="shared" si="552"/>
        <v>1</v>
      </c>
      <c r="AS520" s="2">
        <f t="shared" si="553"/>
        <v>0</v>
      </c>
      <c r="AT520" s="33">
        <f t="shared" si="554"/>
        <v>0</v>
      </c>
      <c r="AU520" s="31">
        <f t="shared" si="555"/>
        <v>0</v>
      </c>
      <c r="AV520" s="2">
        <f t="shared" si="556"/>
        <v>0</v>
      </c>
      <c r="AW520" s="33">
        <f t="shared" si="557"/>
        <v>1</v>
      </c>
      <c r="AX520" s="31">
        <f t="shared" si="558"/>
        <v>1</v>
      </c>
      <c r="AY520" s="33">
        <f t="shared" si="559"/>
        <v>1.2</v>
      </c>
      <c r="AZ520" s="2"/>
      <c r="BA520" s="101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1" ht="12" customHeight="1">
      <c r="A521" s="2"/>
      <c r="B521" s="107">
        <v>446</v>
      </c>
      <c r="C521" s="31">
        <v>10</v>
      </c>
      <c r="D521" s="111" t="s">
        <v>8</v>
      </c>
      <c r="E521" s="2" t="s">
        <v>139</v>
      </c>
      <c r="F521" s="2" t="s">
        <v>149</v>
      </c>
      <c r="G521" s="2"/>
      <c r="H521" s="33" t="s">
        <v>80</v>
      </c>
      <c r="I521" s="99">
        <f t="shared" si="0"/>
        <v>742.54137045995992</v>
      </c>
      <c r="J521" s="101">
        <f t="shared" si="1"/>
        <v>28.185356224514496</v>
      </c>
      <c r="K521" s="101">
        <f t="shared" si="2"/>
        <v>312</v>
      </c>
      <c r="L521" s="74">
        <f t="shared" si="535"/>
        <v>210</v>
      </c>
      <c r="M521" s="99">
        <f t="shared" si="191"/>
        <v>13725.711001415701</v>
      </c>
      <c r="N521" s="108">
        <f t="shared" si="536"/>
        <v>6029.940924734673</v>
      </c>
      <c r="O521" s="108">
        <f t="shared" si="537"/>
        <v>7695.7700766810285</v>
      </c>
      <c r="P521" s="108">
        <f t="shared" si="538"/>
        <v>0</v>
      </c>
      <c r="Q521" s="108"/>
      <c r="R521" s="109"/>
      <c r="S521" s="99">
        <f t="shared" si="399"/>
        <v>7002.8441050794145</v>
      </c>
      <c r="T521" s="108">
        <f t="shared" si="539"/>
        <v>3076.4698640675119</v>
      </c>
      <c r="U521" s="108">
        <f t="shared" si="540"/>
        <v>3926.3742410119025</v>
      </c>
      <c r="V521" s="108">
        <f t="shared" si="541"/>
        <v>0</v>
      </c>
      <c r="W521" s="108"/>
      <c r="X521" s="109"/>
      <c r="Y521" s="99">
        <f t="shared" si="8"/>
        <v>17507.110262698538</v>
      </c>
      <c r="Z521" s="108">
        <f t="shared" si="542"/>
        <v>7691.1746601687801</v>
      </c>
      <c r="AA521" s="108">
        <f t="shared" si="543"/>
        <v>9815.9356025297566</v>
      </c>
      <c r="AB521" s="108">
        <f t="shared" si="544"/>
        <v>0</v>
      </c>
      <c r="AC521" s="108"/>
      <c r="AD521" s="109"/>
      <c r="AE521" s="99">
        <f t="shared" si="625"/>
        <v>18.484776131615998</v>
      </c>
      <c r="AF521" s="101">
        <f t="shared" ref="AF521" si="631">AP521</f>
        <v>36</v>
      </c>
      <c r="AG521" s="101">
        <f t="shared" si="458"/>
        <v>44.001300000000001</v>
      </c>
      <c r="AH521" s="101">
        <f t="shared" si="546"/>
        <v>521</v>
      </c>
      <c r="AI521" s="101">
        <f t="shared" si="547"/>
        <v>250</v>
      </c>
      <c r="AJ521" s="108">
        <f t="shared" si="548"/>
        <v>1.6666666666666667</v>
      </c>
      <c r="AK521" s="101">
        <f t="shared" si="461"/>
        <v>4863.0861840829275</v>
      </c>
      <c r="AL521" s="101">
        <f t="shared" si="549"/>
        <v>2136.437405602439</v>
      </c>
      <c r="AM521" s="101">
        <f t="shared" si="550"/>
        <v>2726.6487784804881</v>
      </c>
      <c r="AN521" s="101"/>
      <c r="AO521" s="1">
        <v>24</v>
      </c>
      <c r="AP521" s="2">
        <v>36</v>
      </c>
      <c r="AQ521" s="74">
        <f t="shared" si="551"/>
        <v>521</v>
      </c>
      <c r="AR521" s="31">
        <f t="shared" si="552"/>
        <v>1</v>
      </c>
      <c r="AS521" s="2">
        <f t="shared" si="553"/>
        <v>0</v>
      </c>
      <c r="AT521" s="33">
        <f t="shared" si="554"/>
        <v>0</v>
      </c>
      <c r="AU521" s="31">
        <f t="shared" si="555"/>
        <v>25</v>
      </c>
      <c r="AV521" s="2">
        <f t="shared" si="556"/>
        <v>0</v>
      </c>
      <c r="AW521" s="33">
        <f t="shared" si="557"/>
        <v>1</v>
      </c>
      <c r="AX521" s="31">
        <f t="shared" si="558"/>
        <v>1</v>
      </c>
      <c r="AY521" s="33">
        <f t="shared" si="559"/>
        <v>1.2</v>
      </c>
      <c r="AZ521" s="2"/>
      <c r="BA521" s="101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1" ht="12" customHeight="1">
      <c r="A522" s="2"/>
      <c r="B522" s="107">
        <v>447</v>
      </c>
      <c r="C522" s="31">
        <v>10</v>
      </c>
      <c r="D522" s="111" t="s">
        <v>8</v>
      </c>
      <c r="E522" s="2" t="s">
        <v>98</v>
      </c>
      <c r="F522" s="2" t="s">
        <v>149</v>
      </c>
      <c r="G522" s="2"/>
      <c r="H522" s="33" t="s">
        <v>80</v>
      </c>
      <c r="I522" s="99">
        <f t="shared" si="0"/>
        <v>650.18080687332053</v>
      </c>
      <c r="J522" s="101">
        <f t="shared" si="1"/>
        <v>28.185356224514496</v>
      </c>
      <c r="K522" s="101">
        <f t="shared" si="2"/>
        <v>407</v>
      </c>
      <c r="L522" s="74">
        <f t="shared" si="535"/>
        <v>254</v>
      </c>
      <c r="M522" s="99">
        <f t="shared" si="191"/>
        <v>12018.446660126787</v>
      </c>
      <c r="N522" s="108">
        <f t="shared" si="536"/>
        <v>4876.2647257093558</v>
      </c>
      <c r="O522" s="108">
        <f t="shared" si="537"/>
        <v>7142.181934417431</v>
      </c>
      <c r="P522" s="108">
        <f t="shared" si="538"/>
        <v>0</v>
      </c>
      <c r="Q522" s="108"/>
      <c r="R522" s="109"/>
      <c r="S522" s="99">
        <f t="shared" si="399"/>
        <v>7002.8441050794145</v>
      </c>
      <c r="T522" s="108">
        <f t="shared" si="539"/>
        <v>3076.4698640675119</v>
      </c>
      <c r="U522" s="108">
        <f t="shared" si="540"/>
        <v>3926.3742410119025</v>
      </c>
      <c r="V522" s="108">
        <f t="shared" si="541"/>
        <v>0</v>
      </c>
      <c r="W522" s="108"/>
      <c r="X522" s="109"/>
      <c r="Y522" s="99">
        <f t="shared" si="8"/>
        <v>19862.934807305675</v>
      </c>
      <c r="Z522" s="108">
        <f t="shared" si="542"/>
        <v>7691.1746601687801</v>
      </c>
      <c r="AA522" s="108">
        <f t="shared" si="543"/>
        <v>12171.760147136896</v>
      </c>
      <c r="AB522" s="108">
        <f t="shared" si="544"/>
        <v>0</v>
      </c>
      <c r="AC522" s="108"/>
      <c r="AD522" s="109"/>
      <c r="AE522" s="99">
        <f t="shared" si="625"/>
        <v>18.484776131615998</v>
      </c>
      <c r="AF522" s="101">
        <f t="shared" ref="AF522" si="632">AP522</f>
        <v>36</v>
      </c>
      <c r="AG522" s="101">
        <f t="shared" si="458"/>
        <v>19.001300000000001</v>
      </c>
      <c r="AH522" s="101">
        <f t="shared" si="546"/>
        <v>521</v>
      </c>
      <c r="AI522" s="101">
        <f t="shared" si="547"/>
        <v>310</v>
      </c>
      <c r="AJ522" s="108">
        <f t="shared" si="548"/>
        <v>1.6666666666666667</v>
      </c>
      <c r="AK522" s="101">
        <f t="shared" si="461"/>
        <v>4863.0861840829275</v>
      </c>
      <c r="AL522" s="101">
        <f t="shared" si="549"/>
        <v>2136.437405602439</v>
      </c>
      <c r="AM522" s="101">
        <f t="shared" si="550"/>
        <v>2726.6487784804881</v>
      </c>
      <c r="AN522" s="101"/>
      <c r="AO522" s="1">
        <v>24</v>
      </c>
      <c r="AP522" s="2">
        <v>36</v>
      </c>
      <c r="AQ522" s="74">
        <f t="shared" si="551"/>
        <v>521</v>
      </c>
      <c r="AR522" s="31">
        <f t="shared" si="552"/>
        <v>1</v>
      </c>
      <c r="AS522" s="2">
        <f t="shared" si="553"/>
        <v>0</v>
      </c>
      <c r="AT522" s="33">
        <f t="shared" si="554"/>
        <v>0</v>
      </c>
      <c r="AU522" s="31">
        <f t="shared" si="555"/>
        <v>0</v>
      </c>
      <c r="AV522" s="2">
        <f t="shared" si="556"/>
        <v>0</v>
      </c>
      <c r="AW522" s="33">
        <f t="shared" si="557"/>
        <v>1.24</v>
      </c>
      <c r="AX522" s="31">
        <f t="shared" si="558"/>
        <v>1</v>
      </c>
      <c r="AY522" s="33">
        <f t="shared" si="559"/>
        <v>1.2</v>
      </c>
      <c r="AZ522" s="2"/>
      <c r="BA522" s="101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1" ht="12" customHeight="1">
      <c r="A523" s="2"/>
      <c r="B523" s="107">
        <v>448</v>
      </c>
      <c r="C523" s="31">
        <v>10</v>
      </c>
      <c r="D523" s="111" t="s">
        <v>8</v>
      </c>
      <c r="E523" s="2" t="s">
        <v>151</v>
      </c>
      <c r="F523" s="2" t="s">
        <v>149</v>
      </c>
      <c r="G523" s="2"/>
      <c r="H523" s="33" t="s">
        <v>80</v>
      </c>
      <c r="I523" s="99">
        <f t="shared" si="0"/>
        <v>600.47491963001426</v>
      </c>
      <c r="J523" s="101">
        <f t="shared" si="1"/>
        <v>28.185356224514496</v>
      </c>
      <c r="K523" s="101">
        <f t="shared" si="2"/>
        <v>467</v>
      </c>
      <c r="L523" s="74">
        <f t="shared" si="535"/>
        <v>273</v>
      </c>
      <c r="M523" s="99">
        <f t="shared" si="191"/>
        <v>11099.644462010921</v>
      </c>
      <c r="N523" s="108">
        <f t="shared" si="536"/>
        <v>4876.2647257093558</v>
      </c>
      <c r="O523" s="108">
        <f t="shared" si="537"/>
        <v>6223.3797363015656</v>
      </c>
      <c r="P523" s="108">
        <f t="shared" si="538"/>
        <v>0</v>
      </c>
      <c r="Q523" s="108"/>
      <c r="R523" s="109"/>
      <c r="S523" s="99">
        <f t="shared" si="399"/>
        <v>7002.8441050794145</v>
      </c>
      <c r="T523" s="108">
        <f t="shared" si="539"/>
        <v>3076.4698640675119</v>
      </c>
      <c r="U523" s="108">
        <f t="shared" si="540"/>
        <v>3926.3742410119025</v>
      </c>
      <c r="V523" s="108">
        <f t="shared" si="541"/>
        <v>0</v>
      </c>
      <c r="W523" s="108"/>
      <c r="X523" s="109"/>
      <c r="Y523" s="99">
        <f t="shared" si="8"/>
        <v>17507.110262698538</v>
      </c>
      <c r="Z523" s="108">
        <f t="shared" si="542"/>
        <v>7691.1746601687801</v>
      </c>
      <c r="AA523" s="108">
        <f t="shared" si="543"/>
        <v>9815.9356025297566</v>
      </c>
      <c r="AB523" s="108">
        <f t="shared" si="544"/>
        <v>0</v>
      </c>
      <c r="AC523" s="108"/>
      <c r="AD523" s="109"/>
      <c r="AE523" s="99">
        <f t="shared" si="625"/>
        <v>18.484776131615998</v>
      </c>
      <c r="AF523" s="101">
        <f t="shared" ref="AF523" si="633">AP523</f>
        <v>36</v>
      </c>
      <c r="AG523" s="101">
        <f t="shared" si="458"/>
        <v>19.001300000000001</v>
      </c>
      <c r="AH523" s="101">
        <f t="shared" si="546"/>
        <v>521</v>
      </c>
      <c r="AI523" s="101">
        <f t="shared" si="547"/>
        <v>250</v>
      </c>
      <c r="AJ523" s="108">
        <f t="shared" si="548"/>
        <v>1.6666666666666667</v>
      </c>
      <c r="AK523" s="101">
        <f t="shared" si="461"/>
        <v>4863.0861840829275</v>
      </c>
      <c r="AL523" s="101">
        <f t="shared" si="549"/>
        <v>2136.437405602439</v>
      </c>
      <c r="AM523" s="101">
        <f t="shared" si="550"/>
        <v>2726.6487784804881</v>
      </c>
      <c r="AN523" s="101"/>
      <c r="AO523" s="1">
        <v>24</v>
      </c>
      <c r="AP523" s="2">
        <v>36</v>
      </c>
      <c r="AQ523" s="74">
        <f t="shared" si="551"/>
        <v>521</v>
      </c>
      <c r="AR523" s="31">
        <f t="shared" si="552"/>
        <v>1.2</v>
      </c>
      <c r="AS523" s="2">
        <f t="shared" si="553"/>
        <v>0</v>
      </c>
      <c r="AT523" s="33">
        <f t="shared" si="554"/>
        <v>0</v>
      </c>
      <c r="AU523" s="31">
        <f t="shared" si="555"/>
        <v>0</v>
      </c>
      <c r="AV523" s="2">
        <f t="shared" si="556"/>
        <v>0</v>
      </c>
      <c r="AW523" s="33">
        <f t="shared" si="557"/>
        <v>1</v>
      </c>
      <c r="AX523" s="31">
        <f t="shared" si="558"/>
        <v>1</v>
      </c>
      <c r="AY523" s="33">
        <f t="shared" si="559"/>
        <v>1.2</v>
      </c>
      <c r="AZ523" s="2"/>
      <c r="BA523" s="101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1" ht="12" customHeight="1">
      <c r="A524" s="2"/>
      <c r="B524" s="107">
        <v>449</v>
      </c>
      <c r="C524" s="31">
        <v>10</v>
      </c>
      <c r="D524" s="111" t="s">
        <v>8</v>
      </c>
      <c r="E524" s="2" t="s">
        <v>165</v>
      </c>
      <c r="F524" s="2" t="s">
        <v>149</v>
      </c>
      <c r="G524" s="2"/>
      <c r="H524" s="33" t="s">
        <v>80</v>
      </c>
      <c r="I524" s="99">
        <f t="shared" si="0"/>
        <v>742.54137045995992</v>
      </c>
      <c r="J524" s="101">
        <f t="shared" si="1"/>
        <v>28.185356224514496</v>
      </c>
      <c r="K524" s="101">
        <f t="shared" si="2"/>
        <v>312</v>
      </c>
      <c r="L524" s="74">
        <f t="shared" si="535"/>
        <v>210</v>
      </c>
      <c r="M524" s="99">
        <f t="shared" si="191"/>
        <v>13725.711001415701</v>
      </c>
      <c r="N524" s="108">
        <f t="shared" si="536"/>
        <v>6029.940924734673</v>
      </c>
      <c r="O524" s="108">
        <f t="shared" si="537"/>
        <v>7695.7700766810285</v>
      </c>
      <c r="P524" s="108">
        <f t="shared" si="538"/>
        <v>0</v>
      </c>
      <c r="Q524" s="108"/>
      <c r="R524" s="109"/>
      <c r="S524" s="99">
        <f t="shared" si="399"/>
        <v>7002.8441050794145</v>
      </c>
      <c r="T524" s="108">
        <f t="shared" si="539"/>
        <v>3076.4698640675119</v>
      </c>
      <c r="U524" s="108">
        <f t="shared" si="540"/>
        <v>3926.3742410119025</v>
      </c>
      <c r="V524" s="108">
        <f t="shared" si="541"/>
        <v>0</v>
      </c>
      <c r="W524" s="108"/>
      <c r="X524" s="109"/>
      <c r="Y524" s="99">
        <f t="shared" si="8"/>
        <v>17507.110262698538</v>
      </c>
      <c r="Z524" s="108">
        <f t="shared" si="542"/>
        <v>7691.1746601687801</v>
      </c>
      <c r="AA524" s="108">
        <f t="shared" si="543"/>
        <v>9815.9356025297566</v>
      </c>
      <c r="AB524" s="108">
        <f t="shared" si="544"/>
        <v>0</v>
      </c>
      <c r="AC524" s="108"/>
      <c r="AD524" s="109"/>
      <c r="AE524" s="99">
        <f t="shared" si="625"/>
        <v>18.484776131615998</v>
      </c>
      <c r="AF524" s="101">
        <f t="shared" ref="AF524" si="634">AP524</f>
        <v>36</v>
      </c>
      <c r="AG524" s="101">
        <f t="shared" si="458"/>
        <v>44.001300000000001</v>
      </c>
      <c r="AH524" s="101">
        <f t="shared" si="546"/>
        <v>521</v>
      </c>
      <c r="AI524" s="101">
        <f t="shared" si="547"/>
        <v>250</v>
      </c>
      <c r="AJ524" s="108">
        <f t="shared" si="548"/>
        <v>1.6666666666666667</v>
      </c>
      <c r="AK524" s="101">
        <f t="shared" si="461"/>
        <v>4863.0861840829275</v>
      </c>
      <c r="AL524" s="101">
        <f t="shared" si="549"/>
        <v>2136.437405602439</v>
      </c>
      <c r="AM524" s="101">
        <f t="shared" si="550"/>
        <v>2726.6487784804881</v>
      </c>
      <c r="AN524" s="101"/>
      <c r="AO524" s="1">
        <v>24</v>
      </c>
      <c r="AP524" s="2">
        <v>36</v>
      </c>
      <c r="AQ524" s="74">
        <f t="shared" si="551"/>
        <v>521</v>
      </c>
      <c r="AR524" s="31">
        <f t="shared" si="552"/>
        <v>1.2</v>
      </c>
      <c r="AS524" s="2">
        <f t="shared" si="553"/>
        <v>0</v>
      </c>
      <c r="AT524" s="33">
        <f t="shared" si="554"/>
        <v>0</v>
      </c>
      <c r="AU524" s="31">
        <f t="shared" si="555"/>
        <v>25</v>
      </c>
      <c r="AV524" s="2">
        <f t="shared" si="556"/>
        <v>0</v>
      </c>
      <c r="AW524" s="33">
        <f t="shared" si="557"/>
        <v>1</v>
      </c>
      <c r="AX524" s="31">
        <f t="shared" si="558"/>
        <v>1</v>
      </c>
      <c r="AY524" s="33">
        <f t="shared" si="559"/>
        <v>1.2</v>
      </c>
      <c r="AZ524" s="2"/>
      <c r="BA524" s="101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1" ht="12" customHeight="1">
      <c r="A525" s="2"/>
      <c r="B525" s="107">
        <v>450</v>
      </c>
      <c r="C525" s="31">
        <v>10</v>
      </c>
      <c r="D525" s="111" t="s">
        <v>8</v>
      </c>
      <c r="E525" s="2" t="s">
        <v>157</v>
      </c>
      <c r="F525" s="2" t="s">
        <v>149</v>
      </c>
      <c r="G525" s="2"/>
      <c r="H525" s="33" t="s">
        <v>80</v>
      </c>
      <c r="I525" s="99">
        <f t="shared" si="0"/>
        <v>650.18080687332053</v>
      </c>
      <c r="J525" s="101">
        <f t="shared" si="1"/>
        <v>28.185356224514496</v>
      </c>
      <c r="K525" s="101">
        <f t="shared" si="2"/>
        <v>407</v>
      </c>
      <c r="L525" s="74">
        <f t="shared" si="535"/>
        <v>254</v>
      </c>
      <c r="M525" s="99">
        <f t="shared" si="191"/>
        <v>12018.446660126787</v>
      </c>
      <c r="N525" s="108">
        <f t="shared" si="536"/>
        <v>4876.2647257093558</v>
      </c>
      <c r="O525" s="108">
        <f t="shared" si="537"/>
        <v>7142.181934417431</v>
      </c>
      <c r="P525" s="108">
        <f t="shared" si="538"/>
        <v>0</v>
      </c>
      <c r="Q525" s="108"/>
      <c r="R525" s="109"/>
      <c r="S525" s="99">
        <f t="shared" si="399"/>
        <v>7002.8441050794145</v>
      </c>
      <c r="T525" s="108">
        <f t="shared" si="539"/>
        <v>3076.4698640675119</v>
      </c>
      <c r="U525" s="108">
        <f t="shared" si="540"/>
        <v>3926.3742410119025</v>
      </c>
      <c r="V525" s="108">
        <f t="shared" si="541"/>
        <v>0</v>
      </c>
      <c r="W525" s="108"/>
      <c r="X525" s="109"/>
      <c r="Y525" s="99">
        <f t="shared" si="8"/>
        <v>19862.934807305675</v>
      </c>
      <c r="Z525" s="108">
        <f t="shared" si="542"/>
        <v>7691.1746601687801</v>
      </c>
      <c r="AA525" s="108">
        <f t="shared" si="543"/>
        <v>12171.760147136896</v>
      </c>
      <c r="AB525" s="108">
        <f t="shared" si="544"/>
        <v>0</v>
      </c>
      <c r="AC525" s="108"/>
      <c r="AD525" s="109"/>
      <c r="AE525" s="99">
        <f t="shared" si="625"/>
        <v>18.484776131615998</v>
      </c>
      <c r="AF525" s="101">
        <f t="shared" ref="AF525" si="635">AP525</f>
        <v>36</v>
      </c>
      <c r="AG525" s="101">
        <f t="shared" si="458"/>
        <v>19.001300000000001</v>
      </c>
      <c r="AH525" s="101">
        <f t="shared" si="546"/>
        <v>521</v>
      </c>
      <c r="AI525" s="101">
        <f t="shared" si="547"/>
        <v>310</v>
      </c>
      <c r="AJ525" s="108">
        <f t="shared" si="548"/>
        <v>1.6666666666666667</v>
      </c>
      <c r="AK525" s="101">
        <f t="shared" si="461"/>
        <v>4863.0861840829275</v>
      </c>
      <c r="AL525" s="101">
        <f t="shared" si="549"/>
        <v>2136.437405602439</v>
      </c>
      <c r="AM525" s="101">
        <f t="shared" si="550"/>
        <v>2726.6487784804881</v>
      </c>
      <c r="AN525" s="101"/>
      <c r="AO525" s="1">
        <v>24</v>
      </c>
      <c r="AP525" s="2">
        <v>36</v>
      </c>
      <c r="AQ525" s="74">
        <f t="shared" si="551"/>
        <v>521</v>
      </c>
      <c r="AR525" s="31">
        <f t="shared" si="552"/>
        <v>1.2</v>
      </c>
      <c r="AS525" s="2">
        <f t="shared" si="553"/>
        <v>0</v>
      </c>
      <c r="AT525" s="33">
        <f t="shared" si="554"/>
        <v>0</v>
      </c>
      <c r="AU525" s="31">
        <f t="shared" si="555"/>
        <v>0</v>
      </c>
      <c r="AV525" s="2">
        <f t="shared" si="556"/>
        <v>0</v>
      </c>
      <c r="AW525" s="33">
        <f t="shared" si="557"/>
        <v>1.24</v>
      </c>
      <c r="AX525" s="31">
        <f t="shared" si="558"/>
        <v>1</v>
      </c>
      <c r="AY525" s="33">
        <f t="shared" si="559"/>
        <v>1.2</v>
      </c>
      <c r="AZ525" s="2"/>
      <c r="BA525" s="101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1" ht="12" customHeight="1">
      <c r="A526" s="2"/>
      <c r="B526" s="107">
        <v>451</v>
      </c>
      <c r="C526" s="31">
        <v>7</v>
      </c>
      <c r="D526" s="111" t="s">
        <v>8</v>
      </c>
      <c r="E526" s="2" t="s">
        <v>67</v>
      </c>
      <c r="F526" s="2" t="s">
        <v>149</v>
      </c>
      <c r="G526" s="2"/>
      <c r="H526" s="33" t="s">
        <v>80</v>
      </c>
      <c r="I526" s="99">
        <f t="shared" si="0"/>
        <v>420.08480365738581</v>
      </c>
      <c r="J526" s="101">
        <f t="shared" si="1"/>
        <v>19.637781784066725</v>
      </c>
      <c r="K526" s="101">
        <f t="shared" si="2"/>
        <v>711</v>
      </c>
      <c r="L526" s="74">
        <f t="shared" si="535"/>
        <v>371</v>
      </c>
      <c r="M526" s="99">
        <f t="shared" si="191"/>
        <v>7765.1735519006379</v>
      </c>
      <c r="N526" s="108">
        <f t="shared" si="536"/>
        <v>3409.6570834430081</v>
      </c>
      <c r="O526" s="108">
        <f t="shared" si="537"/>
        <v>4355.5164684576293</v>
      </c>
      <c r="P526" s="108">
        <f t="shared" si="538"/>
        <v>0</v>
      </c>
      <c r="Q526" s="108"/>
      <c r="R526" s="109"/>
      <c r="S526" s="99">
        <f t="shared" si="399"/>
        <v>5586.4035457946347</v>
      </c>
      <c r="T526" s="108">
        <f t="shared" si="539"/>
        <v>2452.9677660878051</v>
      </c>
      <c r="U526" s="108">
        <f t="shared" si="540"/>
        <v>3133.4357797068296</v>
      </c>
      <c r="V526" s="108">
        <f t="shared" si="541"/>
        <v>0</v>
      </c>
      <c r="W526" s="108"/>
      <c r="X526" s="109"/>
      <c r="Y526" s="99">
        <f t="shared" si="8"/>
        <v>11172.807091589271</v>
      </c>
      <c r="Z526" s="108">
        <f t="shared" si="542"/>
        <v>4905.9355321756102</v>
      </c>
      <c r="AA526" s="108">
        <f t="shared" si="543"/>
        <v>6266.8715594136602</v>
      </c>
      <c r="AB526" s="108">
        <f t="shared" si="544"/>
        <v>0</v>
      </c>
      <c r="AC526" s="108"/>
      <c r="AD526" s="109"/>
      <c r="AE526" s="99">
        <f t="shared" si="625"/>
        <v>18.484776131615998</v>
      </c>
      <c r="AF526" s="101">
        <f t="shared" ref="AF526" si="636">AP526</f>
        <v>36</v>
      </c>
      <c r="AG526" s="101">
        <f t="shared" si="458"/>
        <v>19.001300000000001</v>
      </c>
      <c r="AH526" s="101">
        <f t="shared" si="546"/>
        <v>363</v>
      </c>
      <c r="AI526" s="101">
        <f t="shared" si="547"/>
        <v>200</v>
      </c>
      <c r="AJ526" s="108">
        <f t="shared" si="548"/>
        <v>1.6666666666666667</v>
      </c>
      <c r="AK526" s="101">
        <f t="shared" si="461"/>
        <v>4655.3362881621961</v>
      </c>
      <c r="AL526" s="101">
        <f t="shared" si="549"/>
        <v>2044.1398050731711</v>
      </c>
      <c r="AM526" s="101">
        <f t="shared" si="550"/>
        <v>2611.1964830890247</v>
      </c>
      <c r="AN526" s="101"/>
      <c r="AO526" s="1">
        <v>24</v>
      </c>
      <c r="AP526" s="2">
        <v>36</v>
      </c>
      <c r="AQ526" s="74">
        <f t="shared" si="551"/>
        <v>363</v>
      </c>
      <c r="AR526" s="31">
        <f t="shared" si="552"/>
        <v>1</v>
      </c>
      <c r="AS526" s="2">
        <f t="shared" si="553"/>
        <v>0</v>
      </c>
      <c r="AT526" s="33">
        <f t="shared" si="554"/>
        <v>0</v>
      </c>
      <c r="AU526" s="31">
        <f t="shared" si="555"/>
        <v>0</v>
      </c>
      <c r="AV526" s="2">
        <f t="shared" si="556"/>
        <v>0</v>
      </c>
      <c r="AW526" s="33">
        <f t="shared" si="557"/>
        <v>1</v>
      </c>
      <c r="AX526" s="31">
        <f t="shared" si="558"/>
        <v>1</v>
      </c>
      <c r="AY526" s="33">
        <f t="shared" si="559"/>
        <v>1</v>
      </c>
      <c r="AZ526" s="2"/>
      <c r="BA526" s="101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1" ht="12" customHeight="1">
      <c r="A527" s="2"/>
      <c r="B527" s="107">
        <v>452</v>
      </c>
      <c r="C527" s="31">
        <v>7</v>
      </c>
      <c r="D527" s="111" t="s">
        <v>8</v>
      </c>
      <c r="E527" s="2" t="s">
        <v>136</v>
      </c>
      <c r="F527" s="2" t="s">
        <v>149</v>
      </c>
      <c r="G527" s="2"/>
      <c r="H527" s="33" t="s">
        <v>80</v>
      </c>
      <c r="I527" s="99">
        <f t="shared" si="0"/>
        <v>495.63891783786215</v>
      </c>
      <c r="J527" s="101">
        <f t="shared" si="1"/>
        <v>19.637781784066725</v>
      </c>
      <c r="K527" s="101">
        <f t="shared" si="2"/>
        <v>609</v>
      </c>
      <c r="L527" s="74">
        <f t="shared" si="535"/>
        <v>333</v>
      </c>
      <c r="M527" s="99">
        <f t="shared" si="191"/>
        <v>9161.7744383492973</v>
      </c>
      <c r="N527" s="108">
        <f t="shared" si="536"/>
        <v>4022.8990249649601</v>
      </c>
      <c r="O527" s="108">
        <f t="shared" si="537"/>
        <v>5138.8754133843377</v>
      </c>
      <c r="P527" s="108">
        <f t="shared" si="538"/>
        <v>0</v>
      </c>
      <c r="Q527" s="108"/>
      <c r="R527" s="109"/>
      <c r="S527" s="99">
        <f t="shared" si="399"/>
        <v>5586.4035457946347</v>
      </c>
      <c r="T527" s="108">
        <f t="shared" si="539"/>
        <v>2452.9677660878051</v>
      </c>
      <c r="U527" s="108">
        <f t="shared" si="540"/>
        <v>3133.4357797068296</v>
      </c>
      <c r="V527" s="108">
        <f t="shared" si="541"/>
        <v>0</v>
      </c>
      <c r="W527" s="108"/>
      <c r="X527" s="109"/>
      <c r="Y527" s="99">
        <f t="shared" si="8"/>
        <v>11172.807091589271</v>
      </c>
      <c r="Z527" s="108">
        <f t="shared" si="542"/>
        <v>4905.9355321756102</v>
      </c>
      <c r="AA527" s="108">
        <f t="shared" si="543"/>
        <v>6266.8715594136602</v>
      </c>
      <c r="AB527" s="108">
        <f t="shared" si="544"/>
        <v>0</v>
      </c>
      <c r="AC527" s="108"/>
      <c r="AD527" s="109"/>
      <c r="AE527" s="99">
        <f t="shared" si="625"/>
        <v>18.484776131615998</v>
      </c>
      <c r="AF527" s="101">
        <f t="shared" ref="AF527" si="637">AP527</f>
        <v>36</v>
      </c>
      <c r="AG527" s="101">
        <f t="shared" si="458"/>
        <v>44.001300000000001</v>
      </c>
      <c r="AH527" s="101">
        <f t="shared" si="546"/>
        <v>363</v>
      </c>
      <c r="AI527" s="101">
        <f t="shared" si="547"/>
        <v>200</v>
      </c>
      <c r="AJ527" s="108">
        <f t="shared" si="548"/>
        <v>1.6666666666666667</v>
      </c>
      <c r="AK527" s="101">
        <f t="shared" si="461"/>
        <v>4655.3362881621961</v>
      </c>
      <c r="AL527" s="101">
        <f t="shared" si="549"/>
        <v>2044.1398050731711</v>
      </c>
      <c r="AM527" s="101">
        <f t="shared" si="550"/>
        <v>2611.1964830890247</v>
      </c>
      <c r="AN527" s="101"/>
      <c r="AO527" s="1">
        <v>24</v>
      </c>
      <c r="AP527" s="2">
        <v>36</v>
      </c>
      <c r="AQ527" s="74">
        <f t="shared" si="551"/>
        <v>363</v>
      </c>
      <c r="AR527" s="31">
        <f t="shared" si="552"/>
        <v>1</v>
      </c>
      <c r="AS527" s="2">
        <f t="shared" si="553"/>
        <v>0</v>
      </c>
      <c r="AT527" s="33">
        <f t="shared" si="554"/>
        <v>0</v>
      </c>
      <c r="AU527" s="31">
        <f t="shared" si="555"/>
        <v>25</v>
      </c>
      <c r="AV527" s="2">
        <f t="shared" si="556"/>
        <v>0</v>
      </c>
      <c r="AW527" s="33">
        <f t="shared" si="557"/>
        <v>1</v>
      </c>
      <c r="AX527" s="31">
        <f t="shared" si="558"/>
        <v>1</v>
      </c>
      <c r="AY527" s="33">
        <f t="shared" si="559"/>
        <v>1</v>
      </c>
      <c r="AZ527" s="2"/>
      <c r="BA527" s="101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1" ht="12" customHeight="1">
      <c r="A528" s="2"/>
      <c r="B528" s="107">
        <v>453</v>
      </c>
      <c r="C528" s="31">
        <v>7</v>
      </c>
      <c r="D528" s="111" t="s">
        <v>8</v>
      </c>
      <c r="E528" s="2" t="s">
        <v>91</v>
      </c>
      <c r="F528" s="2" t="s">
        <v>149</v>
      </c>
      <c r="G528" s="2"/>
      <c r="H528" s="33" t="s">
        <v>80</v>
      </c>
      <c r="I528" s="99">
        <f t="shared" si="0"/>
        <v>451.81895755915122</v>
      </c>
      <c r="J528" s="101">
        <f t="shared" si="1"/>
        <v>19.637781784066725</v>
      </c>
      <c r="K528" s="101">
        <f t="shared" si="2"/>
        <v>670</v>
      </c>
      <c r="L528" s="74">
        <f t="shared" si="535"/>
        <v>355</v>
      </c>
      <c r="M528" s="99">
        <f t="shared" si="191"/>
        <v>8351.7722825010205</v>
      </c>
      <c r="N528" s="108">
        <f t="shared" si="536"/>
        <v>3409.6570834430081</v>
      </c>
      <c r="O528" s="108">
        <f t="shared" si="537"/>
        <v>4942.1151990580129</v>
      </c>
      <c r="P528" s="108">
        <f t="shared" si="538"/>
        <v>0</v>
      </c>
      <c r="Q528" s="108"/>
      <c r="R528" s="109"/>
      <c r="S528" s="99">
        <f t="shared" si="399"/>
        <v>5586.4035457946347</v>
      </c>
      <c r="T528" s="108">
        <f t="shared" si="539"/>
        <v>2452.9677660878051</v>
      </c>
      <c r="U528" s="108">
        <f t="shared" si="540"/>
        <v>3133.4357797068296</v>
      </c>
      <c r="V528" s="108">
        <f t="shared" si="541"/>
        <v>0</v>
      </c>
      <c r="W528" s="108"/>
      <c r="X528" s="109"/>
      <c r="Y528" s="99">
        <f t="shared" si="8"/>
        <v>12676.856265848546</v>
      </c>
      <c r="Z528" s="108">
        <f t="shared" si="542"/>
        <v>4905.9355321756102</v>
      </c>
      <c r="AA528" s="108">
        <f t="shared" si="543"/>
        <v>7770.9207336729369</v>
      </c>
      <c r="AB528" s="108">
        <f t="shared" si="544"/>
        <v>0</v>
      </c>
      <c r="AC528" s="108"/>
      <c r="AD528" s="109"/>
      <c r="AE528" s="99">
        <f t="shared" si="625"/>
        <v>18.484776131615998</v>
      </c>
      <c r="AF528" s="101">
        <f t="shared" ref="AF528" si="638">AP528</f>
        <v>36</v>
      </c>
      <c r="AG528" s="101">
        <f t="shared" si="458"/>
        <v>19.001300000000001</v>
      </c>
      <c r="AH528" s="101">
        <f t="shared" si="546"/>
        <v>363</v>
      </c>
      <c r="AI528" s="101">
        <f t="shared" si="547"/>
        <v>248</v>
      </c>
      <c r="AJ528" s="108">
        <f t="shared" si="548"/>
        <v>1.6666666666666667</v>
      </c>
      <c r="AK528" s="101">
        <f t="shared" si="461"/>
        <v>4655.3362881621961</v>
      </c>
      <c r="AL528" s="101">
        <f t="shared" si="549"/>
        <v>2044.1398050731711</v>
      </c>
      <c r="AM528" s="101">
        <f t="shared" si="550"/>
        <v>2611.1964830890247</v>
      </c>
      <c r="AN528" s="101"/>
      <c r="AO528" s="1">
        <v>24</v>
      </c>
      <c r="AP528" s="2">
        <v>36</v>
      </c>
      <c r="AQ528" s="74">
        <f t="shared" si="551"/>
        <v>363</v>
      </c>
      <c r="AR528" s="31">
        <f t="shared" si="552"/>
        <v>1</v>
      </c>
      <c r="AS528" s="2">
        <f t="shared" si="553"/>
        <v>0</v>
      </c>
      <c r="AT528" s="33">
        <f t="shared" si="554"/>
        <v>0</v>
      </c>
      <c r="AU528" s="31">
        <f t="shared" si="555"/>
        <v>0</v>
      </c>
      <c r="AV528" s="2">
        <f t="shared" si="556"/>
        <v>0</v>
      </c>
      <c r="AW528" s="33">
        <f t="shared" si="557"/>
        <v>1.24</v>
      </c>
      <c r="AX528" s="31">
        <f t="shared" si="558"/>
        <v>1</v>
      </c>
      <c r="AY528" s="33">
        <f t="shared" si="559"/>
        <v>1</v>
      </c>
      <c r="AZ528" s="2"/>
      <c r="BA528" s="101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2" customHeight="1">
      <c r="A529" s="2"/>
      <c r="B529" s="107">
        <v>454</v>
      </c>
      <c r="C529" s="31">
        <v>7</v>
      </c>
      <c r="D529" s="111" t="s">
        <v>8</v>
      </c>
      <c r="E529" s="2" t="s">
        <v>148</v>
      </c>
      <c r="F529" s="2" t="s">
        <v>149</v>
      </c>
      <c r="G529" s="2"/>
      <c r="H529" s="33" t="s">
        <v>80</v>
      </c>
      <c r="I529" s="99">
        <f t="shared" si="0"/>
        <v>420.08480365738581</v>
      </c>
      <c r="J529" s="101">
        <f t="shared" si="1"/>
        <v>19.637781784066725</v>
      </c>
      <c r="K529" s="101">
        <f t="shared" si="2"/>
        <v>711</v>
      </c>
      <c r="L529" s="74">
        <f t="shared" si="535"/>
        <v>371</v>
      </c>
      <c r="M529" s="99">
        <f t="shared" si="191"/>
        <v>7765.1735519006379</v>
      </c>
      <c r="N529" s="108">
        <f t="shared" si="536"/>
        <v>3409.6570834430081</v>
      </c>
      <c r="O529" s="108">
        <f t="shared" si="537"/>
        <v>4355.5164684576293</v>
      </c>
      <c r="P529" s="108">
        <f t="shared" si="538"/>
        <v>0</v>
      </c>
      <c r="Q529" s="108"/>
      <c r="R529" s="109"/>
      <c r="S529" s="99">
        <f t="shared" si="399"/>
        <v>5586.4035457946347</v>
      </c>
      <c r="T529" s="108">
        <f t="shared" si="539"/>
        <v>2452.9677660878051</v>
      </c>
      <c r="U529" s="108">
        <f t="shared" si="540"/>
        <v>3133.4357797068296</v>
      </c>
      <c r="V529" s="108">
        <f t="shared" si="541"/>
        <v>0</v>
      </c>
      <c r="W529" s="108"/>
      <c r="X529" s="109"/>
      <c r="Y529" s="99">
        <f t="shared" si="8"/>
        <v>11172.807091589271</v>
      </c>
      <c r="Z529" s="108">
        <f t="shared" si="542"/>
        <v>4905.9355321756102</v>
      </c>
      <c r="AA529" s="108">
        <f t="shared" si="543"/>
        <v>6266.8715594136602</v>
      </c>
      <c r="AB529" s="108">
        <f t="shared" si="544"/>
        <v>0</v>
      </c>
      <c r="AC529" s="108"/>
      <c r="AD529" s="109"/>
      <c r="AE529" s="99">
        <f t="shared" si="625"/>
        <v>18.484776131615998</v>
      </c>
      <c r="AF529" s="101">
        <f t="shared" ref="AF529" si="639">AP529</f>
        <v>36</v>
      </c>
      <c r="AG529" s="101">
        <f t="shared" si="458"/>
        <v>19.001300000000001</v>
      </c>
      <c r="AH529" s="101">
        <f t="shared" si="546"/>
        <v>363</v>
      </c>
      <c r="AI529" s="101">
        <f t="shared" si="547"/>
        <v>200</v>
      </c>
      <c r="AJ529" s="108">
        <f t="shared" si="548"/>
        <v>1.6666666666666667</v>
      </c>
      <c r="AK529" s="101">
        <f t="shared" si="461"/>
        <v>4655.3362881621961</v>
      </c>
      <c r="AL529" s="101">
        <f t="shared" si="549"/>
        <v>2044.1398050731711</v>
      </c>
      <c r="AM529" s="101">
        <f t="shared" si="550"/>
        <v>2611.1964830890247</v>
      </c>
      <c r="AN529" s="101"/>
      <c r="AO529" s="1">
        <v>24</v>
      </c>
      <c r="AP529" s="2">
        <v>36</v>
      </c>
      <c r="AQ529" s="74">
        <f t="shared" si="551"/>
        <v>363</v>
      </c>
      <c r="AR529" s="31">
        <f t="shared" si="552"/>
        <v>1.2</v>
      </c>
      <c r="AS529" s="2">
        <f t="shared" si="553"/>
        <v>0</v>
      </c>
      <c r="AT529" s="33">
        <f t="shared" si="554"/>
        <v>0</v>
      </c>
      <c r="AU529" s="31">
        <f t="shared" si="555"/>
        <v>0</v>
      </c>
      <c r="AV529" s="2">
        <f t="shared" si="556"/>
        <v>0</v>
      </c>
      <c r="AW529" s="33">
        <f t="shared" si="557"/>
        <v>1</v>
      </c>
      <c r="AX529" s="31">
        <f t="shared" si="558"/>
        <v>1</v>
      </c>
      <c r="AY529" s="33">
        <f t="shared" si="559"/>
        <v>1</v>
      </c>
      <c r="AZ529" s="2"/>
      <c r="BA529" s="101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2" customHeight="1">
      <c r="A530" s="2"/>
      <c r="B530" s="107">
        <v>455</v>
      </c>
      <c r="C530" s="31">
        <v>7</v>
      </c>
      <c r="D530" s="111" t="s">
        <v>8</v>
      </c>
      <c r="E530" s="2" t="s">
        <v>163</v>
      </c>
      <c r="F530" s="2" t="s">
        <v>149</v>
      </c>
      <c r="G530" s="2"/>
      <c r="H530" s="33" t="s">
        <v>80</v>
      </c>
      <c r="I530" s="99">
        <f t="shared" si="0"/>
        <v>495.63891783786215</v>
      </c>
      <c r="J530" s="101">
        <f t="shared" si="1"/>
        <v>19.637781784066725</v>
      </c>
      <c r="K530" s="101">
        <f t="shared" si="2"/>
        <v>609</v>
      </c>
      <c r="L530" s="74">
        <f t="shared" si="535"/>
        <v>333</v>
      </c>
      <c r="M530" s="99">
        <f t="shared" si="191"/>
        <v>9161.7744383492973</v>
      </c>
      <c r="N530" s="108">
        <f t="shared" si="536"/>
        <v>4022.8990249649601</v>
      </c>
      <c r="O530" s="108">
        <f t="shared" si="537"/>
        <v>5138.8754133843377</v>
      </c>
      <c r="P530" s="108">
        <f t="shared" si="538"/>
        <v>0</v>
      </c>
      <c r="Q530" s="108"/>
      <c r="R530" s="109"/>
      <c r="S530" s="99">
        <f t="shared" si="399"/>
        <v>5586.4035457946347</v>
      </c>
      <c r="T530" s="108">
        <f t="shared" si="539"/>
        <v>2452.9677660878051</v>
      </c>
      <c r="U530" s="108">
        <f t="shared" si="540"/>
        <v>3133.4357797068296</v>
      </c>
      <c r="V530" s="108">
        <f t="shared" si="541"/>
        <v>0</v>
      </c>
      <c r="W530" s="108"/>
      <c r="X530" s="109"/>
      <c r="Y530" s="99">
        <f t="shared" si="8"/>
        <v>11172.807091589271</v>
      </c>
      <c r="Z530" s="108">
        <f t="shared" si="542"/>
        <v>4905.9355321756102</v>
      </c>
      <c r="AA530" s="108">
        <f t="shared" si="543"/>
        <v>6266.8715594136602</v>
      </c>
      <c r="AB530" s="108">
        <f t="shared" si="544"/>
        <v>0</v>
      </c>
      <c r="AC530" s="108"/>
      <c r="AD530" s="109"/>
      <c r="AE530" s="99">
        <f t="shared" si="625"/>
        <v>18.484776131615998</v>
      </c>
      <c r="AF530" s="101">
        <f t="shared" ref="AF530" si="640">AP530</f>
        <v>36</v>
      </c>
      <c r="AG530" s="101">
        <f t="shared" si="458"/>
        <v>44.001300000000001</v>
      </c>
      <c r="AH530" s="101">
        <f t="shared" si="546"/>
        <v>363</v>
      </c>
      <c r="AI530" s="101">
        <f t="shared" si="547"/>
        <v>200</v>
      </c>
      <c r="AJ530" s="108">
        <f t="shared" si="548"/>
        <v>1.6666666666666667</v>
      </c>
      <c r="AK530" s="101">
        <f t="shared" si="461"/>
        <v>4655.3362881621961</v>
      </c>
      <c r="AL530" s="101">
        <f t="shared" si="549"/>
        <v>2044.1398050731711</v>
      </c>
      <c r="AM530" s="101">
        <f t="shared" si="550"/>
        <v>2611.1964830890247</v>
      </c>
      <c r="AN530" s="101"/>
      <c r="AO530" s="1">
        <v>24</v>
      </c>
      <c r="AP530" s="2">
        <v>36</v>
      </c>
      <c r="AQ530" s="74">
        <f t="shared" si="551"/>
        <v>363</v>
      </c>
      <c r="AR530" s="31">
        <f t="shared" si="552"/>
        <v>1.2</v>
      </c>
      <c r="AS530" s="2">
        <f t="shared" si="553"/>
        <v>0</v>
      </c>
      <c r="AT530" s="33">
        <f t="shared" si="554"/>
        <v>0</v>
      </c>
      <c r="AU530" s="31">
        <f t="shared" si="555"/>
        <v>25</v>
      </c>
      <c r="AV530" s="2">
        <f t="shared" si="556"/>
        <v>0</v>
      </c>
      <c r="AW530" s="33">
        <f t="shared" si="557"/>
        <v>1</v>
      </c>
      <c r="AX530" s="31">
        <f t="shared" si="558"/>
        <v>1</v>
      </c>
      <c r="AY530" s="33">
        <f t="shared" si="559"/>
        <v>1</v>
      </c>
      <c r="AZ530" s="2"/>
      <c r="BA530" s="101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2" customHeight="1">
      <c r="A531" s="2"/>
      <c r="B531" s="107">
        <v>456</v>
      </c>
      <c r="C531" s="31">
        <v>7</v>
      </c>
      <c r="D531" s="111" t="s">
        <v>8</v>
      </c>
      <c r="E531" s="2" t="s">
        <v>155</v>
      </c>
      <c r="F531" s="2" t="s">
        <v>149</v>
      </c>
      <c r="G531" s="2"/>
      <c r="H531" s="33" t="s">
        <v>80</v>
      </c>
      <c r="I531" s="99">
        <f t="shared" si="0"/>
        <v>451.81895755915122</v>
      </c>
      <c r="J531" s="101">
        <f t="shared" si="1"/>
        <v>19.637781784066725</v>
      </c>
      <c r="K531" s="101">
        <f t="shared" si="2"/>
        <v>670</v>
      </c>
      <c r="L531" s="74">
        <f t="shared" si="535"/>
        <v>355</v>
      </c>
      <c r="M531" s="99">
        <f t="shared" si="191"/>
        <v>8351.7722825010205</v>
      </c>
      <c r="N531" s="108">
        <f t="shared" si="536"/>
        <v>3409.6570834430081</v>
      </c>
      <c r="O531" s="108">
        <f t="shared" si="537"/>
        <v>4942.1151990580129</v>
      </c>
      <c r="P531" s="108">
        <f t="shared" si="538"/>
        <v>0</v>
      </c>
      <c r="Q531" s="108"/>
      <c r="R531" s="109"/>
      <c r="S531" s="99">
        <f t="shared" si="399"/>
        <v>5586.4035457946347</v>
      </c>
      <c r="T531" s="108">
        <f t="shared" si="539"/>
        <v>2452.9677660878051</v>
      </c>
      <c r="U531" s="108">
        <f t="shared" si="540"/>
        <v>3133.4357797068296</v>
      </c>
      <c r="V531" s="108">
        <f t="shared" si="541"/>
        <v>0</v>
      </c>
      <c r="W531" s="108"/>
      <c r="X531" s="109"/>
      <c r="Y531" s="99">
        <f t="shared" si="8"/>
        <v>12676.856265848546</v>
      </c>
      <c r="Z531" s="108">
        <f t="shared" si="542"/>
        <v>4905.9355321756102</v>
      </c>
      <c r="AA531" s="108">
        <f t="shared" si="543"/>
        <v>7770.9207336729369</v>
      </c>
      <c r="AB531" s="108">
        <f t="shared" si="544"/>
        <v>0</v>
      </c>
      <c r="AC531" s="108"/>
      <c r="AD531" s="109"/>
      <c r="AE531" s="99">
        <f t="shared" si="625"/>
        <v>18.484776131615998</v>
      </c>
      <c r="AF531" s="101">
        <f t="shared" ref="AF531" si="641">AP531</f>
        <v>36</v>
      </c>
      <c r="AG531" s="101">
        <f t="shared" si="458"/>
        <v>19.001300000000001</v>
      </c>
      <c r="AH531" s="101">
        <f t="shared" si="546"/>
        <v>363</v>
      </c>
      <c r="AI531" s="101">
        <f t="shared" si="547"/>
        <v>248</v>
      </c>
      <c r="AJ531" s="108">
        <f t="shared" si="548"/>
        <v>1.6666666666666667</v>
      </c>
      <c r="AK531" s="101">
        <f t="shared" si="461"/>
        <v>4655.3362881621961</v>
      </c>
      <c r="AL531" s="101">
        <f t="shared" si="549"/>
        <v>2044.1398050731711</v>
      </c>
      <c r="AM531" s="101">
        <f t="shared" si="550"/>
        <v>2611.1964830890247</v>
      </c>
      <c r="AN531" s="101"/>
      <c r="AO531" s="1">
        <v>24</v>
      </c>
      <c r="AP531" s="2">
        <v>36</v>
      </c>
      <c r="AQ531" s="74">
        <f t="shared" si="551"/>
        <v>363</v>
      </c>
      <c r="AR531" s="31">
        <f t="shared" si="552"/>
        <v>1.2</v>
      </c>
      <c r="AS531" s="2">
        <f t="shared" si="553"/>
        <v>0</v>
      </c>
      <c r="AT531" s="33">
        <f t="shared" si="554"/>
        <v>0</v>
      </c>
      <c r="AU531" s="31">
        <f t="shared" si="555"/>
        <v>0</v>
      </c>
      <c r="AV531" s="2">
        <f t="shared" si="556"/>
        <v>0</v>
      </c>
      <c r="AW531" s="33">
        <f t="shared" si="557"/>
        <v>1.24</v>
      </c>
      <c r="AX531" s="31">
        <f t="shared" si="558"/>
        <v>1</v>
      </c>
      <c r="AY531" s="33">
        <f t="shared" si="559"/>
        <v>1</v>
      </c>
      <c r="AZ531" s="2"/>
      <c r="BA531" s="101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2" customHeight="1">
      <c r="A532" s="2"/>
      <c r="B532" s="107">
        <v>457</v>
      </c>
      <c r="C532" s="31">
        <v>4</v>
      </c>
      <c r="D532" s="111" t="s">
        <v>8</v>
      </c>
      <c r="E532" s="2" t="s">
        <v>67</v>
      </c>
      <c r="F532" s="2" t="s">
        <v>149</v>
      </c>
      <c r="G532" s="2"/>
      <c r="H532" s="33" t="s">
        <v>80</v>
      </c>
      <c r="I532" s="99">
        <f t="shared" si="0"/>
        <v>389.18078647986414</v>
      </c>
      <c r="J532" s="101">
        <f t="shared" si="1"/>
        <v>10.765615909171565</v>
      </c>
      <c r="K532" s="101">
        <f t="shared" si="2"/>
        <v>741</v>
      </c>
      <c r="L532" s="74">
        <f t="shared" si="535"/>
        <v>384</v>
      </c>
      <c r="M532" s="99">
        <f t="shared" si="191"/>
        <v>7193.9197128065352</v>
      </c>
      <c r="N532" s="108">
        <f t="shared" si="536"/>
        <v>3162.0510872952696</v>
      </c>
      <c r="O532" s="108">
        <f t="shared" si="537"/>
        <v>4031.8686255112657</v>
      </c>
      <c r="P532" s="108">
        <f t="shared" si="538"/>
        <v>0</v>
      </c>
      <c r="Q532" s="108"/>
      <c r="R532" s="109"/>
      <c r="S532" s="99">
        <f t="shared" si="399"/>
        <v>5175.4334044404877</v>
      </c>
      <c r="T532" s="108">
        <f t="shared" si="539"/>
        <v>2274.8356218936583</v>
      </c>
      <c r="U532" s="108">
        <f t="shared" si="540"/>
        <v>2900.5977825468294</v>
      </c>
      <c r="V532" s="108">
        <f t="shared" si="541"/>
        <v>0</v>
      </c>
      <c r="W532" s="108"/>
      <c r="X532" s="109"/>
      <c r="Y532" s="99">
        <f t="shared" si="8"/>
        <v>10350.866808880975</v>
      </c>
      <c r="Z532" s="108">
        <f t="shared" si="542"/>
        <v>4549.6712437873166</v>
      </c>
      <c r="AA532" s="108">
        <f t="shared" si="543"/>
        <v>5801.1955650936588</v>
      </c>
      <c r="AB532" s="108">
        <f t="shared" si="544"/>
        <v>0</v>
      </c>
      <c r="AC532" s="108"/>
      <c r="AD532" s="109"/>
      <c r="AE532" s="99">
        <f t="shared" si="625"/>
        <v>18.484776131615998</v>
      </c>
      <c r="AF532" s="101">
        <f t="shared" ref="AF532" si="642">AP532</f>
        <v>36</v>
      </c>
      <c r="AG532" s="101">
        <f t="shared" si="458"/>
        <v>19.001300000000001</v>
      </c>
      <c r="AH532" s="101">
        <f t="shared" si="546"/>
        <v>199</v>
      </c>
      <c r="AI532" s="101">
        <f t="shared" si="547"/>
        <v>200</v>
      </c>
      <c r="AJ532" s="108">
        <f t="shared" si="548"/>
        <v>1.6666666666666667</v>
      </c>
      <c r="AK532" s="101">
        <f t="shared" si="461"/>
        <v>4312.8611703670731</v>
      </c>
      <c r="AL532" s="101">
        <f t="shared" si="549"/>
        <v>1895.6963515780487</v>
      </c>
      <c r="AM532" s="101">
        <f t="shared" si="550"/>
        <v>2417.1648187890246</v>
      </c>
      <c r="AN532" s="101"/>
      <c r="AO532" s="1">
        <v>24</v>
      </c>
      <c r="AP532" s="2">
        <v>36</v>
      </c>
      <c r="AQ532" s="74">
        <f t="shared" si="551"/>
        <v>199</v>
      </c>
      <c r="AR532" s="31">
        <f t="shared" si="552"/>
        <v>1</v>
      </c>
      <c r="AS532" s="2">
        <f t="shared" si="553"/>
        <v>0</v>
      </c>
      <c r="AT532" s="33">
        <f t="shared" si="554"/>
        <v>0</v>
      </c>
      <c r="AU532" s="31">
        <f t="shared" si="555"/>
        <v>0</v>
      </c>
      <c r="AV532" s="2">
        <f t="shared" si="556"/>
        <v>0</v>
      </c>
      <c r="AW532" s="33">
        <f t="shared" si="557"/>
        <v>1</v>
      </c>
      <c r="AX532" s="31">
        <f t="shared" si="558"/>
        <v>1</v>
      </c>
      <c r="AY532" s="33">
        <f t="shared" si="559"/>
        <v>1</v>
      </c>
      <c r="AZ532" s="2"/>
      <c r="BA532" s="101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2" customHeight="1">
      <c r="A533" s="2"/>
      <c r="B533" s="107">
        <v>458</v>
      </c>
      <c r="C533" s="31">
        <v>4</v>
      </c>
      <c r="D533" s="111" t="s">
        <v>8</v>
      </c>
      <c r="E533" s="2" t="s">
        <v>148</v>
      </c>
      <c r="F533" s="2" t="s">
        <v>149</v>
      </c>
      <c r="G533" s="2"/>
      <c r="H533" s="33" t="s">
        <v>80</v>
      </c>
      <c r="I533" s="99">
        <f t="shared" si="0"/>
        <v>389.18078647986414</v>
      </c>
      <c r="J533" s="101">
        <f t="shared" si="1"/>
        <v>10.765615909171565</v>
      </c>
      <c r="K533" s="101">
        <f t="shared" si="2"/>
        <v>741</v>
      </c>
      <c r="L533" s="74">
        <f t="shared" si="535"/>
        <v>384</v>
      </c>
      <c r="M533" s="99">
        <f t="shared" si="191"/>
        <v>7193.9197128065352</v>
      </c>
      <c r="N533" s="108">
        <f t="shared" si="536"/>
        <v>3162.0510872952696</v>
      </c>
      <c r="O533" s="108">
        <f t="shared" si="537"/>
        <v>4031.8686255112657</v>
      </c>
      <c r="P533" s="108">
        <f t="shared" si="538"/>
        <v>0</v>
      </c>
      <c r="Q533" s="108"/>
      <c r="R533" s="109"/>
      <c r="S533" s="99">
        <f t="shared" si="399"/>
        <v>5175.4334044404877</v>
      </c>
      <c r="T533" s="108">
        <f t="shared" si="539"/>
        <v>2274.8356218936583</v>
      </c>
      <c r="U533" s="108">
        <f t="shared" si="540"/>
        <v>2900.5977825468294</v>
      </c>
      <c r="V533" s="108">
        <f t="shared" si="541"/>
        <v>0</v>
      </c>
      <c r="W533" s="108"/>
      <c r="X533" s="109"/>
      <c r="Y533" s="99">
        <f t="shared" si="8"/>
        <v>10350.866808880975</v>
      </c>
      <c r="Z533" s="108">
        <f t="shared" si="542"/>
        <v>4549.6712437873166</v>
      </c>
      <c r="AA533" s="108">
        <f t="shared" si="543"/>
        <v>5801.1955650936588</v>
      </c>
      <c r="AB533" s="108">
        <f t="shared" si="544"/>
        <v>0</v>
      </c>
      <c r="AC533" s="108"/>
      <c r="AD533" s="109"/>
      <c r="AE533" s="99">
        <f t="shared" si="625"/>
        <v>18.484776131615998</v>
      </c>
      <c r="AF533" s="101">
        <f t="shared" ref="AF533" si="643">AP533</f>
        <v>36</v>
      </c>
      <c r="AG533" s="101">
        <f t="shared" si="458"/>
        <v>19.001300000000001</v>
      </c>
      <c r="AH533" s="101">
        <f t="shared" si="546"/>
        <v>199</v>
      </c>
      <c r="AI533" s="101">
        <f t="shared" si="547"/>
        <v>200</v>
      </c>
      <c r="AJ533" s="108">
        <f t="shared" si="548"/>
        <v>1.6666666666666667</v>
      </c>
      <c r="AK533" s="101">
        <f t="shared" si="461"/>
        <v>4312.8611703670731</v>
      </c>
      <c r="AL533" s="101">
        <f t="shared" si="549"/>
        <v>1895.6963515780487</v>
      </c>
      <c r="AM533" s="101">
        <f t="shared" si="550"/>
        <v>2417.1648187890246</v>
      </c>
      <c r="AN533" s="101"/>
      <c r="AO533" s="1">
        <v>24</v>
      </c>
      <c r="AP533" s="2">
        <v>36</v>
      </c>
      <c r="AQ533" s="74">
        <f t="shared" si="551"/>
        <v>199</v>
      </c>
      <c r="AR533" s="31">
        <f t="shared" si="552"/>
        <v>1.2</v>
      </c>
      <c r="AS533" s="2">
        <f t="shared" si="553"/>
        <v>0</v>
      </c>
      <c r="AT533" s="33">
        <f t="shared" si="554"/>
        <v>0</v>
      </c>
      <c r="AU533" s="31">
        <f t="shared" si="555"/>
        <v>0</v>
      </c>
      <c r="AV533" s="2">
        <f t="shared" si="556"/>
        <v>0</v>
      </c>
      <c r="AW533" s="33">
        <f t="shared" si="557"/>
        <v>1</v>
      </c>
      <c r="AX533" s="31">
        <f t="shared" si="558"/>
        <v>1</v>
      </c>
      <c r="AY533" s="33">
        <f t="shared" si="559"/>
        <v>1</v>
      </c>
      <c r="AZ533" s="2"/>
      <c r="BA533" s="101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2" customHeight="1">
      <c r="A534" s="2"/>
      <c r="B534" s="107">
        <v>459</v>
      </c>
      <c r="C534" s="31">
        <v>1</v>
      </c>
      <c r="D534" s="111" t="s">
        <v>8</v>
      </c>
      <c r="E534" s="2" t="s">
        <v>67</v>
      </c>
      <c r="F534" s="2" t="s">
        <v>149</v>
      </c>
      <c r="G534" s="2"/>
      <c r="H534" s="33" t="s">
        <v>80</v>
      </c>
      <c r="I534" s="99">
        <f t="shared" si="0"/>
        <v>312.31885131669975</v>
      </c>
      <c r="J534" s="101">
        <f t="shared" si="1"/>
        <v>5.4639558131976278</v>
      </c>
      <c r="K534" s="101">
        <f t="shared" si="2"/>
        <v>823</v>
      </c>
      <c r="L534" s="74">
        <f t="shared" si="535"/>
        <v>403</v>
      </c>
      <c r="M534" s="99">
        <f t="shared" si="191"/>
        <v>5773.1440482726575</v>
      </c>
      <c r="N534" s="108">
        <f t="shared" si="536"/>
        <v>2535.1758452588188</v>
      </c>
      <c r="O534" s="108">
        <f t="shared" si="537"/>
        <v>3237.9682030138392</v>
      </c>
      <c r="P534" s="108">
        <f t="shared" si="538"/>
        <v>0</v>
      </c>
      <c r="Q534" s="108"/>
      <c r="R534" s="109"/>
      <c r="S534" s="99">
        <f t="shared" si="399"/>
        <v>4153.3021980892681</v>
      </c>
      <c r="T534" s="108">
        <f t="shared" si="539"/>
        <v>1823.8504569804879</v>
      </c>
      <c r="U534" s="108">
        <f t="shared" si="540"/>
        <v>2329.4517411087804</v>
      </c>
      <c r="V534" s="108">
        <f t="shared" si="541"/>
        <v>0</v>
      </c>
      <c r="W534" s="108"/>
      <c r="X534" s="109"/>
      <c r="Y534" s="99">
        <f t="shared" si="8"/>
        <v>8306.6043961785363</v>
      </c>
      <c r="Z534" s="108">
        <f t="shared" si="542"/>
        <v>3647.7009139609754</v>
      </c>
      <c r="AA534" s="108">
        <f t="shared" si="543"/>
        <v>4658.9034822175608</v>
      </c>
      <c r="AB534" s="108">
        <f t="shared" si="544"/>
        <v>0</v>
      </c>
      <c r="AC534" s="108"/>
      <c r="AD534" s="109"/>
      <c r="AE534" s="99">
        <f t="shared" si="625"/>
        <v>18.484776131615998</v>
      </c>
      <c r="AF534" s="101">
        <f t="shared" ref="AF534" si="644">AP534</f>
        <v>36</v>
      </c>
      <c r="AG534" s="101">
        <f t="shared" si="458"/>
        <v>19.001300000000001</v>
      </c>
      <c r="AH534" s="101">
        <f t="shared" si="546"/>
        <v>101</v>
      </c>
      <c r="AI534" s="101">
        <f t="shared" si="547"/>
        <v>200</v>
      </c>
      <c r="AJ534" s="108">
        <f t="shared" si="548"/>
        <v>1.6666666666666667</v>
      </c>
      <c r="AK534" s="101">
        <f t="shared" si="461"/>
        <v>3461.0851650743907</v>
      </c>
      <c r="AL534" s="101">
        <f t="shared" si="549"/>
        <v>1519.8753808170734</v>
      </c>
      <c r="AM534" s="101">
        <f t="shared" si="550"/>
        <v>1941.2097842573171</v>
      </c>
      <c r="AN534" s="101"/>
      <c r="AO534" s="1">
        <v>24</v>
      </c>
      <c r="AP534" s="2">
        <v>36</v>
      </c>
      <c r="AQ534" s="74">
        <f t="shared" si="551"/>
        <v>101</v>
      </c>
      <c r="AR534" s="31">
        <f t="shared" si="552"/>
        <v>1</v>
      </c>
      <c r="AS534" s="2">
        <f t="shared" si="553"/>
        <v>0</v>
      </c>
      <c r="AT534" s="33">
        <f t="shared" si="554"/>
        <v>0</v>
      </c>
      <c r="AU534" s="31">
        <f t="shared" si="555"/>
        <v>0</v>
      </c>
      <c r="AV534" s="2">
        <f t="shared" si="556"/>
        <v>0</v>
      </c>
      <c r="AW534" s="33">
        <f t="shared" si="557"/>
        <v>1</v>
      </c>
      <c r="AX534" s="31">
        <f t="shared" si="558"/>
        <v>1</v>
      </c>
      <c r="AY534" s="33">
        <f t="shared" si="559"/>
        <v>1</v>
      </c>
      <c r="AZ534" s="2"/>
      <c r="BA534" s="101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2" customHeight="1">
      <c r="A535" s="2"/>
      <c r="B535" s="107">
        <v>460</v>
      </c>
      <c r="C535" s="31">
        <v>10</v>
      </c>
      <c r="D535" s="111" t="s">
        <v>11</v>
      </c>
      <c r="E535" s="2" t="s">
        <v>67</v>
      </c>
      <c r="F535" s="2"/>
      <c r="G535" s="2"/>
      <c r="H535" s="33">
        <f t="shared" ref="H535:H556" si="645">IF(AX535=1,5,1)</f>
        <v>5</v>
      </c>
      <c r="I535" s="99">
        <f t="shared" si="0"/>
        <v>453.26783867667638</v>
      </c>
      <c r="J535" s="101">
        <f t="shared" si="1"/>
        <v>25.621083892380163</v>
      </c>
      <c r="K535" s="101">
        <f t="shared" si="2"/>
        <v>667</v>
      </c>
      <c r="L535" s="74">
        <f t="shared" si="535"/>
        <v>352</v>
      </c>
      <c r="M535" s="99">
        <f t="shared" si="191"/>
        <v>10473.193156999749</v>
      </c>
      <c r="N535" s="108">
        <f t="shared" ref="N535:N556" si="646">T535*(1+(AG535/100)*(AI535/100-1))</f>
        <v>9698.8375121045228</v>
      </c>
      <c r="O535" s="108">
        <f t="shared" ref="O535:O556" si="647">U535*(1+(AG535/100)*(AI535/100-1))</f>
        <v>774.35564489522528</v>
      </c>
      <c r="P535" s="108"/>
      <c r="Q535" s="108"/>
      <c r="R535" s="109"/>
      <c r="S535" s="99">
        <f t="shared" ref="S535:S556" si="648">T535</f>
        <v>8150.1945878780507</v>
      </c>
      <c r="T535" s="108">
        <f t="shared" ref="T535:T556" si="649">H535*AL535*AX535</f>
        <v>8150.1945878780507</v>
      </c>
      <c r="U535" s="108">
        <f t="shared" ref="U535:U556" si="650">AM535*AV535</f>
        <v>650.71192070609754</v>
      </c>
      <c r="V535" s="108"/>
      <c r="W535" s="108"/>
      <c r="X535" s="109"/>
      <c r="Y535" s="99">
        <f t="shared" si="8"/>
        <v>17601.813017168297</v>
      </c>
      <c r="Z535" s="108">
        <f t="shared" ref="Z535:AA535" si="651">T535*$D$58/100</f>
        <v>16300.389175756101</v>
      </c>
      <c r="AA535" s="108">
        <f t="shared" si="651"/>
        <v>1301.4238414121951</v>
      </c>
      <c r="AB535" s="108"/>
      <c r="AC535" s="108"/>
      <c r="AD535" s="109"/>
      <c r="AE535" s="99">
        <f>AO535*(1-$D$20/100)*(1-$D$17/100)-AR535</f>
        <v>23.105970164519999</v>
      </c>
      <c r="AF535" s="101">
        <f t="shared" ref="AF535:AF556" si="652">AP535</f>
        <v>36</v>
      </c>
      <c r="AG535" s="101">
        <f t="shared" ref="AG535:AG556" si="653">IF($D$57+AS535&gt;100,100,$D$57+AS535)</f>
        <v>19.001300000000001</v>
      </c>
      <c r="AH535" s="101">
        <f t="shared" ref="AH535:AH556" si="654">AQ535</f>
        <v>592</v>
      </c>
      <c r="AI535" s="101">
        <f t="shared" ref="AI535:AI556" si="655">$D$58</f>
        <v>200</v>
      </c>
      <c r="AJ535" s="108">
        <f t="shared" ref="AJ535:AJ556" si="656">10/IF(AX535=1,7,6)</f>
        <v>1.4285714285714286</v>
      </c>
      <c r="AK535" s="101">
        <f t="shared" si="461"/>
        <v>2280.7508382817077</v>
      </c>
      <c r="AL535" s="101">
        <f t="shared" ref="AL535:AL556" si="657">(VLOOKUP(C535,$B$36:$AG$39,14,FALSE)+VLOOKUP(C535,$B$40:$AG$43,14,FALSE)*$D$54)*$D$59/100</f>
        <v>1630.0389175756102</v>
      </c>
      <c r="AM535" s="101">
        <f t="shared" ref="AM535:AM556" si="658">(VLOOKUP(C535,$B$36:$AG$39,15,FALSE)+VLOOKUP(C535,$B$40:$AG$43,15,FALSE)*$D$54)*$D$59/100</f>
        <v>650.71192070609754</v>
      </c>
      <c r="AN535" s="101"/>
      <c r="AO535" s="1">
        <v>30</v>
      </c>
      <c r="AP535" s="2">
        <v>36</v>
      </c>
      <c r="AQ535" s="74">
        <f t="shared" ref="AQ535:AQ556" si="659">VLOOKUP(C535,$B$45:$AA$48,14,FALSE)</f>
        <v>592</v>
      </c>
      <c r="AR535" s="31">
        <f t="shared" ref="AR535:AR556" si="660">IF(LEFT(E535,1)*1=1,$S$61,$R$61)</f>
        <v>0</v>
      </c>
      <c r="AS535" s="2">
        <f t="shared" ref="AS535:AS556" si="661">IF(LEFT(E535,1)*1=2,$U$61,$T$61)</f>
        <v>0</v>
      </c>
      <c r="AT535" s="33">
        <f t="shared" ref="AT535:AT556" si="662">IF(LEFT(E535,1)*1=3,$W$61,$V$61)</f>
        <v>0</v>
      </c>
      <c r="AU535" s="31">
        <f t="shared" ref="AU535:AU556" si="663">IF(MID(E535,3,1)*1=1,$Y$61,$X$61)</f>
        <v>0</v>
      </c>
      <c r="AV535" s="2">
        <f t="shared" ref="AV535:AV556" si="664">IF(MID(E535,3,1)*1=2,$AA$61,$Z$61)</f>
        <v>1</v>
      </c>
      <c r="AW535" s="33">
        <f t="shared" ref="AW535:AW556" si="665">IF(MID(E535,3,1)*1=3,$AC$61,$AB$61)</f>
        <v>0</v>
      </c>
      <c r="AX535" s="31">
        <f t="shared" ref="AX535:AX556" si="666">IF(MID(E535,5,1)*1=1,$AE$61,$AD$61)</f>
        <v>1</v>
      </c>
      <c r="AY535" s="33">
        <f t="shared" ref="AY535:AY556" si="667">IF(MID(E535,5,1)*1=2,$AG$61,$AF$61)</f>
        <v>0</v>
      </c>
      <c r="AZ535" s="2"/>
      <c r="BA535" s="101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2" customHeight="1">
      <c r="A536" s="2"/>
      <c r="B536" s="107">
        <v>461</v>
      </c>
      <c r="C536" s="31">
        <v>10</v>
      </c>
      <c r="D536" s="111" t="s">
        <v>11</v>
      </c>
      <c r="E536" s="2" t="s">
        <v>89</v>
      </c>
      <c r="F536" s="2"/>
      <c r="G536" s="2"/>
      <c r="H536" s="33">
        <f t="shared" si="645"/>
        <v>5</v>
      </c>
      <c r="I536" s="99">
        <f t="shared" si="0"/>
        <v>470.02445264660776</v>
      </c>
      <c r="J536" s="101">
        <f t="shared" si="1"/>
        <v>25.621083892380163</v>
      </c>
      <c r="K536" s="101">
        <f t="shared" si="2"/>
        <v>643</v>
      </c>
      <c r="L536" s="74">
        <f t="shared" si="535"/>
        <v>343</v>
      </c>
      <c r="M536" s="99">
        <f t="shared" si="191"/>
        <v>10860.370979447362</v>
      </c>
      <c r="N536" s="108">
        <f t="shared" si="646"/>
        <v>9698.8375121045228</v>
      </c>
      <c r="O536" s="108">
        <f t="shared" si="647"/>
        <v>1161.5334673428379</v>
      </c>
      <c r="P536" s="108"/>
      <c r="Q536" s="108"/>
      <c r="R536" s="109"/>
      <c r="S536" s="99">
        <f t="shared" si="648"/>
        <v>8150.1945878780507</v>
      </c>
      <c r="T536" s="108">
        <f t="shared" si="649"/>
        <v>8150.1945878780507</v>
      </c>
      <c r="U536" s="108">
        <f t="shared" si="650"/>
        <v>976.06788105914632</v>
      </c>
      <c r="V536" s="108"/>
      <c r="W536" s="108"/>
      <c r="X536" s="109"/>
      <c r="Y536" s="99">
        <f t="shared" si="8"/>
        <v>18252.524937874394</v>
      </c>
      <c r="Z536" s="108">
        <f t="shared" ref="Z536:AA536" si="668">T536*$D$58/100</f>
        <v>16300.389175756101</v>
      </c>
      <c r="AA536" s="108">
        <f t="shared" si="668"/>
        <v>1952.1357621182926</v>
      </c>
      <c r="AB536" s="108"/>
      <c r="AC536" s="108"/>
      <c r="AD536" s="109"/>
      <c r="AE536" s="99">
        <f t="shared" ref="AE536:AE556" si="669">AO536*(1-$D$20/100)*(1-$D$17/100)-AR536</f>
        <v>23.105970164519999</v>
      </c>
      <c r="AF536" s="101">
        <f t="shared" si="652"/>
        <v>36</v>
      </c>
      <c r="AG536" s="101">
        <f t="shared" si="653"/>
        <v>19.001300000000001</v>
      </c>
      <c r="AH536" s="101">
        <f t="shared" si="654"/>
        <v>592</v>
      </c>
      <c r="AI536" s="101">
        <f t="shared" si="655"/>
        <v>200</v>
      </c>
      <c r="AJ536" s="108">
        <f t="shared" si="656"/>
        <v>1.4285714285714286</v>
      </c>
      <c r="AK536" s="101">
        <f t="shared" si="461"/>
        <v>2280.7508382817077</v>
      </c>
      <c r="AL536" s="101">
        <f t="shared" si="657"/>
        <v>1630.0389175756102</v>
      </c>
      <c r="AM536" s="101">
        <f t="shared" si="658"/>
        <v>650.71192070609754</v>
      </c>
      <c r="AN536" s="101"/>
      <c r="AO536" s="1">
        <v>30</v>
      </c>
      <c r="AP536" s="2">
        <v>36</v>
      </c>
      <c r="AQ536" s="74">
        <f t="shared" si="659"/>
        <v>592</v>
      </c>
      <c r="AR536" s="31">
        <f t="shared" si="660"/>
        <v>0</v>
      </c>
      <c r="AS536" s="2">
        <f t="shared" si="661"/>
        <v>0</v>
      </c>
      <c r="AT536" s="33">
        <f t="shared" si="662"/>
        <v>0</v>
      </c>
      <c r="AU536" s="31">
        <f t="shared" si="663"/>
        <v>0</v>
      </c>
      <c r="AV536" s="2">
        <f t="shared" si="664"/>
        <v>1.5</v>
      </c>
      <c r="AW536" s="33">
        <f t="shared" si="665"/>
        <v>0</v>
      </c>
      <c r="AX536" s="31">
        <f t="shared" si="666"/>
        <v>1</v>
      </c>
      <c r="AY536" s="33">
        <f t="shared" si="667"/>
        <v>0</v>
      </c>
      <c r="AZ536" s="2"/>
      <c r="BA536" s="101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2" customHeight="1">
      <c r="A537" s="2"/>
      <c r="B537" s="107">
        <v>462</v>
      </c>
      <c r="C537" s="31">
        <v>10</v>
      </c>
      <c r="D537" s="111" t="s">
        <v>11</v>
      </c>
      <c r="E537" s="2" t="s">
        <v>148</v>
      </c>
      <c r="F537" s="2"/>
      <c r="G537" s="2"/>
      <c r="H537" s="33">
        <f t="shared" si="645"/>
        <v>5</v>
      </c>
      <c r="I537" s="99">
        <f t="shared" si="0"/>
        <v>578.43866204544804</v>
      </c>
      <c r="J537" s="101">
        <f t="shared" si="1"/>
        <v>32.696397631322085</v>
      </c>
      <c r="K537" s="101">
        <f t="shared" si="2"/>
        <v>496</v>
      </c>
      <c r="L537" s="74">
        <f t="shared" si="535"/>
        <v>287</v>
      </c>
      <c r="M537" s="99">
        <f t="shared" si="191"/>
        <v>10473.193156999749</v>
      </c>
      <c r="N537" s="108">
        <f t="shared" si="646"/>
        <v>9698.8375121045228</v>
      </c>
      <c r="O537" s="108">
        <f t="shared" si="647"/>
        <v>774.35564489522528</v>
      </c>
      <c r="P537" s="108"/>
      <c r="Q537" s="108"/>
      <c r="R537" s="109"/>
      <c r="S537" s="99">
        <f t="shared" si="648"/>
        <v>8150.1945878780507</v>
      </c>
      <c r="T537" s="108">
        <f t="shared" si="649"/>
        <v>8150.1945878780507</v>
      </c>
      <c r="U537" s="108">
        <f t="shared" si="650"/>
        <v>650.71192070609754</v>
      </c>
      <c r="V537" s="108"/>
      <c r="W537" s="108"/>
      <c r="X537" s="109"/>
      <c r="Y537" s="99">
        <f t="shared" si="8"/>
        <v>17601.813017168297</v>
      </c>
      <c r="Z537" s="108">
        <f t="shared" ref="Z537:AA537" si="670">T537*$D$58/100</f>
        <v>16300.389175756101</v>
      </c>
      <c r="AA537" s="108">
        <f t="shared" si="670"/>
        <v>1301.4238414121951</v>
      </c>
      <c r="AB537" s="108"/>
      <c r="AC537" s="108"/>
      <c r="AD537" s="109"/>
      <c r="AE537" s="99">
        <f t="shared" si="669"/>
        <v>18.105970164519999</v>
      </c>
      <c r="AF537" s="101">
        <f t="shared" si="652"/>
        <v>36</v>
      </c>
      <c r="AG537" s="101">
        <f t="shared" si="653"/>
        <v>19.001300000000001</v>
      </c>
      <c r="AH537" s="101">
        <f t="shared" si="654"/>
        <v>592</v>
      </c>
      <c r="AI537" s="101">
        <f t="shared" si="655"/>
        <v>200</v>
      </c>
      <c r="AJ537" s="108">
        <f t="shared" si="656"/>
        <v>1.4285714285714286</v>
      </c>
      <c r="AK537" s="101">
        <f t="shared" si="461"/>
        <v>2280.7508382817077</v>
      </c>
      <c r="AL537" s="101">
        <f t="shared" si="657"/>
        <v>1630.0389175756102</v>
      </c>
      <c r="AM537" s="101">
        <f t="shared" si="658"/>
        <v>650.71192070609754</v>
      </c>
      <c r="AN537" s="101"/>
      <c r="AO537" s="1">
        <v>30</v>
      </c>
      <c r="AP537" s="2">
        <v>36</v>
      </c>
      <c r="AQ537" s="74">
        <f t="shared" si="659"/>
        <v>592</v>
      </c>
      <c r="AR537" s="31">
        <f t="shared" si="660"/>
        <v>5</v>
      </c>
      <c r="AS537" s="2">
        <f t="shared" si="661"/>
        <v>0</v>
      </c>
      <c r="AT537" s="33">
        <f t="shared" si="662"/>
        <v>0</v>
      </c>
      <c r="AU537" s="31">
        <f t="shared" si="663"/>
        <v>0</v>
      </c>
      <c r="AV537" s="2">
        <f t="shared" si="664"/>
        <v>1</v>
      </c>
      <c r="AW537" s="33">
        <f t="shared" si="665"/>
        <v>0</v>
      </c>
      <c r="AX537" s="31">
        <f t="shared" si="666"/>
        <v>1</v>
      </c>
      <c r="AY537" s="33">
        <f t="shared" si="667"/>
        <v>0</v>
      </c>
      <c r="AZ537" s="2"/>
      <c r="BA537" s="101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2" customHeight="1">
      <c r="A538" s="2"/>
      <c r="B538" s="107">
        <v>463</v>
      </c>
      <c r="C538" s="31">
        <v>10</v>
      </c>
      <c r="D538" s="111" t="s">
        <v>11</v>
      </c>
      <c r="E538" s="2" t="s">
        <v>152</v>
      </c>
      <c r="F538" s="2"/>
      <c r="G538" s="2"/>
      <c r="H538" s="33">
        <f t="shared" si="645"/>
        <v>5</v>
      </c>
      <c r="I538" s="99">
        <f t="shared" si="0"/>
        <v>599.82264859405711</v>
      </c>
      <c r="J538" s="101">
        <f t="shared" si="1"/>
        <v>32.696397631322085</v>
      </c>
      <c r="K538" s="101">
        <f t="shared" si="2"/>
        <v>469</v>
      </c>
      <c r="L538" s="74">
        <f t="shared" si="535"/>
        <v>275</v>
      </c>
      <c r="M538" s="99">
        <f t="shared" si="191"/>
        <v>10860.370979447362</v>
      </c>
      <c r="N538" s="108">
        <f t="shared" si="646"/>
        <v>9698.8375121045228</v>
      </c>
      <c r="O538" s="108">
        <f t="shared" si="647"/>
        <v>1161.5334673428379</v>
      </c>
      <c r="P538" s="108"/>
      <c r="Q538" s="108"/>
      <c r="R538" s="109"/>
      <c r="S538" s="99">
        <f t="shared" si="648"/>
        <v>8150.1945878780507</v>
      </c>
      <c r="T538" s="108">
        <f t="shared" si="649"/>
        <v>8150.1945878780507</v>
      </c>
      <c r="U538" s="108">
        <f t="shared" si="650"/>
        <v>976.06788105914632</v>
      </c>
      <c r="V538" s="108"/>
      <c r="W538" s="108"/>
      <c r="X538" s="109"/>
      <c r="Y538" s="99">
        <f t="shared" si="8"/>
        <v>18252.524937874394</v>
      </c>
      <c r="Z538" s="108">
        <f t="shared" ref="Z538:AA538" si="671">T538*$D$58/100</f>
        <v>16300.389175756101</v>
      </c>
      <c r="AA538" s="108">
        <f t="shared" si="671"/>
        <v>1952.1357621182926</v>
      </c>
      <c r="AB538" s="108"/>
      <c r="AC538" s="108"/>
      <c r="AD538" s="109"/>
      <c r="AE538" s="99">
        <f t="shared" si="669"/>
        <v>18.105970164519999</v>
      </c>
      <c r="AF538" s="101">
        <f t="shared" si="652"/>
        <v>36</v>
      </c>
      <c r="AG538" s="101">
        <f t="shared" si="653"/>
        <v>19.001300000000001</v>
      </c>
      <c r="AH538" s="101">
        <f t="shared" si="654"/>
        <v>592</v>
      </c>
      <c r="AI538" s="101">
        <f t="shared" si="655"/>
        <v>200</v>
      </c>
      <c r="AJ538" s="108">
        <f t="shared" si="656"/>
        <v>1.4285714285714286</v>
      </c>
      <c r="AK538" s="101">
        <f t="shared" si="461"/>
        <v>2280.7508382817077</v>
      </c>
      <c r="AL538" s="101">
        <f t="shared" si="657"/>
        <v>1630.0389175756102</v>
      </c>
      <c r="AM538" s="101">
        <f t="shared" si="658"/>
        <v>650.71192070609754</v>
      </c>
      <c r="AN538" s="101"/>
      <c r="AO538" s="1">
        <v>30</v>
      </c>
      <c r="AP538" s="2">
        <v>36</v>
      </c>
      <c r="AQ538" s="74">
        <f t="shared" si="659"/>
        <v>592</v>
      </c>
      <c r="AR538" s="31">
        <f t="shared" si="660"/>
        <v>5</v>
      </c>
      <c r="AS538" s="2">
        <f t="shared" si="661"/>
        <v>0</v>
      </c>
      <c r="AT538" s="33">
        <f t="shared" si="662"/>
        <v>0</v>
      </c>
      <c r="AU538" s="31">
        <f t="shared" si="663"/>
        <v>0</v>
      </c>
      <c r="AV538" s="2">
        <f t="shared" si="664"/>
        <v>1.5</v>
      </c>
      <c r="AW538" s="33">
        <f t="shared" si="665"/>
        <v>0</v>
      </c>
      <c r="AX538" s="31">
        <f t="shared" si="666"/>
        <v>1</v>
      </c>
      <c r="AY538" s="33">
        <f t="shared" si="667"/>
        <v>0</v>
      </c>
      <c r="AZ538" s="2"/>
      <c r="BA538" s="101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2" customHeight="1">
      <c r="A539" s="2"/>
      <c r="B539" s="107">
        <v>464</v>
      </c>
      <c r="C539" s="31">
        <v>10</v>
      </c>
      <c r="D539" s="111" t="s">
        <v>11</v>
      </c>
      <c r="E539" s="2" t="s">
        <v>79</v>
      </c>
      <c r="F539" s="2"/>
      <c r="G539" s="2"/>
      <c r="H539" s="33">
        <f t="shared" si="645"/>
        <v>5</v>
      </c>
      <c r="I539" s="99">
        <f t="shared" si="0"/>
        <v>510.40181603784919</v>
      </c>
      <c r="J539" s="101">
        <f t="shared" si="1"/>
        <v>25.621083892380163</v>
      </c>
      <c r="K539" s="101">
        <f t="shared" si="2"/>
        <v>585</v>
      </c>
      <c r="L539" s="74">
        <f t="shared" si="535"/>
        <v>321</v>
      </c>
      <c r="M539" s="99">
        <f t="shared" si="191"/>
        <v>11793.329133287369</v>
      </c>
      <c r="N539" s="108">
        <f t="shared" si="646"/>
        <v>10921.366700286229</v>
      </c>
      <c r="O539" s="108">
        <f t="shared" si="647"/>
        <v>871.96243300113986</v>
      </c>
      <c r="P539" s="108"/>
      <c r="Q539" s="108"/>
      <c r="R539" s="109"/>
      <c r="S539" s="99">
        <f t="shared" si="648"/>
        <v>8150.1945878780507</v>
      </c>
      <c r="T539" s="108">
        <f t="shared" si="649"/>
        <v>8150.1945878780507</v>
      </c>
      <c r="U539" s="108">
        <f t="shared" si="650"/>
        <v>650.71192070609754</v>
      </c>
      <c r="V539" s="108"/>
      <c r="W539" s="108"/>
      <c r="X539" s="109"/>
      <c r="Y539" s="99">
        <f t="shared" si="8"/>
        <v>17601.813017168297</v>
      </c>
      <c r="Z539" s="108">
        <f t="shared" ref="Z539:AA539" si="672">T539*$D$58/100</f>
        <v>16300.389175756101</v>
      </c>
      <c r="AA539" s="108">
        <f t="shared" si="672"/>
        <v>1301.4238414121951</v>
      </c>
      <c r="AB539" s="108"/>
      <c r="AC539" s="108"/>
      <c r="AD539" s="109"/>
      <c r="AE539" s="99">
        <f t="shared" si="669"/>
        <v>23.105970164519999</v>
      </c>
      <c r="AF539" s="101">
        <f t="shared" si="652"/>
        <v>36</v>
      </c>
      <c r="AG539" s="101">
        <f t="shared" si="653"/>
        <v>34.001300000000001</v>
      </c>
      <c r="AH539" s="101">
        <f t="shared" si="654"/>
        <v>592</v>
      </c>
      <c r="AI539" s="101">
        <f t="shared" si="655"/>
        <v>200</v>
      </c>
      <c r="AJ539" s="108">
        <f t="shared" si="656"/>
        <v>1.4285714285714286</v>
      </c>
      <c r="AK539" s="101">
        <f t="shared" si="461"/>
        <v>2280.7508382817077</v>
      </c>
      <c r="AL539" s="101">
        <f t="shared" si="657"/>
        <v>1630.0389175756102</v>
      </c>
      <c r="AM539" s="101">
        <f t="shared" si="658"/>
        <v>650.71192070609754</v>
      </c>
      <c r="AN539" s="101"/>
      <c r="AO539" s="1">
        <v>30</v>
      </c>
      <c r="AP539" s="2">
        <v>36</v>
      </c>
      <c r="AQ539" s="74">
        <f t="shared" si="659"/>
        <v>592</v>
      </c>
      <c r="AR539" s="31">
        <f t="shared" si="660"/>
        <v>0</v>
      </c>
      <c r="AS539" s="2">
        <f t="shared" si="661"/>
        <v>15</v>
      </c>
      <c r="AT539" s="33">
        <f t="shared" si="662"/>
        <v>0</v>
      </c>
      <c r="AU539" s="31">
        <f t="shared" si="663"/>
        <v>0</v>
      </c>
      <c r="AV539" s="2">
        <f t="shared" si="664"/>
        <v>1</v>
      </c>
      <c r="AW539" s="33">
        <f t="shared" si="665"/>
        <v>0</v>
      </c>
      <c r="AX539" s="31">
        <f t="shared" si="666"/>
        <v>1</v>
      </c>
      <c r="AY539" s="33">
        <f t="shared" si="667"/>
        <v>0</v>
      </c>
      <c r="AZ539" s="2"/>
      <c r="BA539" s="101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2" customHeight="1">
      <c r="A540" s="2"/>
      <c r="B540" s="107">
        <v>465</v>
      </c>
      <c r="C540" s="31">
        <v>10</v>
      </c>
      <c r="D540" s="111" t="s">
        <v>11</v>
      </c>
      <c r="E540" s="2" t="s">
        <v>101</v>
      </c>
      <c r="F540" s="2"/>
      <c r="G540" s="2"/>
      <c r="H540" s="33">
        <f t="shared" si="645"/>
        <v>5</v>
      </c>
      <c r="I540" s="99">
        <f t="shared" si="0"/>
        <v>529.27058516532054</v>
      </c>
      <c r="J540" s="101">
        <f t="shared" si="1"/>
        <v>25.621083892380163</v>
      </c>
      <c r="K540" s="101">
        <f t="shared" si="2"/>
        <v>565</v>
      </c>
      <c r="L540" s="74">
        <f t="shared" si="535"/>
        <v>310</v>
      </c>
      <c r="M540" s="99">
        <f t="shared" si="191"/>
        <v>12229.310349787938</v>
      </c>
      <c r="N540" s="108">
        <f t="shared" si="646"/>
        <v>10921.366700286229</v>
      </c>
      <c r="O540" s="108">
        <f t="shared" si="647"/>
        <v>1307.9436495017098</v>
      </c>
      <c r="P540" s="108"/>
      <c r="Q540" s="108"/>
      <c r="R540" s="109"/>
      <c r="S540" s="99">
        <f t="shared" si="648"/>
        <v>8150.1945878780507</v>
      </c>
      <c r="T540" s="108">
        <f t="shared" si="649"/>
        <v>8150.1945878780507</v>
      </c>
      <c r="U540" s="108">
        <f t="shared" si="650"/>
        <v>976.06788105914632</v>
      </c>
      <c r="V540" s="108"/>
      <c r="W540" s="108"/>
      <c r="X540" s="109"/>
      <c r="Y540" s="99">
        <f t="shared" si="8"/>
        <v>18252.524937874394</v>
      </c>
      <c r="Z540" s="108">
        <f t="shared" ref="Z540:AA540" si="673">T540*$D$58/100</f>
        <v>16300.389175756101</v>
      </c>
      <c r="AA540" s="108">
        <f t="shared" si="673"/>
        <v>1952.1357621182926</v>
      </c>
      <c r="AB540" s="108"/>
      <c r="AC540" s="108"/>
      <c r="AD540" s="109"/>
      <c r="AE540" s="99">
        <f t="shared" si="669"/>
        <v>23.105970164519999</v>
      </c>
      <c r="AF540" s="101">
        <f t="shared" si="652"/>
        <v>36</v>
      </c>
      <c r="AG540" s="101">
        <f t="shared" si="653"/>
        <v>34.001300000000001</v>
      </c>
      <c r="AH540" s="101">
        <f t="shared" si="654"/>
        <v>592</v>
      </c>
      <c r="AI540" s="101">
        <f t="shared" si="655"/>
        <v>200</v>
      </c>
      <c r="AJ540" s="108">
        <f t="shared" si="656"/>
        <v>1.4285714285714286</v>
      </c>
      <c r="AK540" s="101">
        <f t="shared" si="461"/>
        <v>2280.7508382817077</v>
      </c>
      <c r="AL540" s="101">
        <f t="shared" si="657"/>
        <v>1630.0389175756102</v>
      </c>
      <c r="AM540" s="101">
        <f t="shared" si="658"/>
        <v>650.71192070609754</v>
      </c>
      <c r="AN540" s="101"/>
      <c r="AO540" s="1">
        <v>30</v>
      </c>
      <c r="AP540" s="2">
        <v>36</v>
      </c>
      <c r="AQ540" s="74">
        <f t="shared" si="659"/>
        <v>592</v>
      </c>
      <c r="AR540" s="31">
        <f t="shared" si="660"/>
        <v>0</v>
      </c>
      <c r="AS540" s="2">
        <f t="shared" si="661"/>
        <v>15</v>
      </c>
      <c r="AT540" s="33">
        <f t="shared" si="662"/>
        <v>0</v>
      </c>
      <c r="AU540" s="31">
        <f t="shared" si="663"/>
        <v>0</v>
      </c>
      <c r="AV540" s="2">
        <f t="shared" si="664"/>
        <v>1.5</v>
      </c>
      <c r="AW540" s="33">
        <f t="shared" si="665"/>
        <v>0</v>
      </c>
      <c r="AX540" s="31">
        <f t="shared" si="666"/>
        <v>1</v>
      </c>
      <c r="AY540" s="33">
        <f t="shared" si="667"/>
        <v>0</v>
      </c>
      <c r="AZ540" s="2"/>
      <c r="BA540" s="101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2" customHeight="1">
      <c r="A541" s="2"/>
      <c r="B541" s="107">
        <v>466</v>
      </c>
      <c r="C541" s="31">
        <v>10</v>
      </c>
      <c r="D541" s="111" t="s">
        <v>11</v>
      </c>
      <c r="E541" s="2" t="s">
        <v>144</v>
      </c>
      <c r="F541" s="2"/>
      <c r="G541" s="2"/>
      <c r="H541" s="33">
        <f t="shared" si="645"/>
        <v>1</v>
      </c>
      <c r="I541" s="99">
        <f t="shared" si="0"/>
        <v>537.21876082403912</v>
      </c>
      <c r="J541" s="101">
        <f t="shared" si="1"/>
        <v>25.621083892380163</v>
      </c>
      <c r="K541" s="101">
        <f t="shared" si="2"/>
        <v>555</v>
      </c>
      <c r="L541" s="74">
        <f t="shared" si="535"/>
        <v>307</v>
      </c>
      <c r="M541" s="99">
        <f t="shared" si="191"/>
        <v>12412.960659420654</v>
      </c>
      <c r="N541" s="108">
        <f t="shared" si="646"/>
        <v>11638.605014525428</v>
      </c>
      <c r="O541" s="108">
        <f t="shared" si="647"/>
        <v>774.35564489522528</v>
      </c>
      <c r="P541" s="108"/>
      <c r="Q541" s="108"/>
      <c r="R541" s="109"/>
      <c r="S541" s="99">
        <f t="shared" si="648"/>
        <v>9780.2335054536616</v>
      </c>
      <c r="T541" s="108">
        <f t="shared" si="649"/>
        <v>9780.2335054536616</v>
      </c>
      <c r="U541" s="108">
        <f t="shared" si="650"/>
        <v>650.71192070609754</v>
      </c>
      <c r="V541" s="108"/>
      <c r="W541" s="108"/>
      <c r="X541" s="109"/>
      <c r="Y541" s="99">
        <f t="shared" si="8"/>
        <v>20861.890852319517</v>
      </c>
      <c r="Z541" s="108">
        <f t="shared" ref="Z541:AA541" si="674">T541*$D$58/100</f>
        <v>19560.467010907323</v>
      </c>
      <c r="AA541" s="108">
        <f t="shared" si="674"/>
        <v>1301.4238414121951</v>
      </c>
      <c r="AB541" s="108"/>
      <c r="AC541" s="108"/>
      <c r="AD541" s="109"/>
      <c r="AE541" s="99">
        <f t="shared" si="669"/>
        <v>23.105970164519999</v>
      </c>
      <c r="AF541" s="101">
        <f t="shared" si="652"/>
        <v>36</v>
      </c>
      <c r="AG541" s="101">
        <f t="shared" si="653"/>
        <v>19.001300000000001</v>
      </c>
      <c r="AH541" s="101">
        <f t="shared" si="654"/>
        <v>592</v>
      </c>
      <c r="AI541" s="101">
        <f t="shared" si="655"/>
        <v>200</v>
      </c>
      <c r="AJ541" s="108">
        <f t="shared" si="656"/>
        <v>1.6666666666666667</v>
      </c>
      <c r="AK541" s="101">
        <f t="shared" si="461"/>
        <v>2280.7508382817077</v>
      </c>
      <c r="AL541" s="101">
        <f t="shared" si="657"/>
        <v>1630.0389175756102</v>
      </c>
      <c r="AM541" s="101">
        <f t="shared" si="658"/>
        <v>650.71192070609754</v>
      </c>
      <c r="AN541" s="101"/>
      <c r="AO541" s="1">
        <v>30</v>
      </c>
      <c r="AP541" s="2">
        <v>36</v>
      </c>
      <c r="AQ541" s="74">
        <f t="shared" si="659"/>
        <v>592</v>
      </c>
      <c r="AR541" s="31">
        <f t="shared" si="660"/>
        <v>0</v>
      </c>
      <c r="AS541" s="2">
        <f t="shared" si="661"/>
        <v>0</v>
      </c>
      <c r="AT541" s="33">
        <f t="shared" si="662"/>
        <v>0</v>
      </c>
      <c r="AU541" s="31">
        <f t="shared" si="663"/>
        <v>0</v>
      </c>
      <c r="AV541" s="2">
        <f t="shared" si="664"/>
        <v>1</v>
      </c>
      <c r="AW541" s="33">
        <f t="shared" si="665"/>
        <v>0</v>
      </c>
      <c r="AX541" s="31">
        <f t="shared" si="666"/>
        <v>6</v>
      </c>
      <c r="AY541" s="33">
        <f t="shared" si="667"/>
        <v>0</v>
      </c>
      <c r="AZ541" s="2"/>
      <c r="BA541" s="101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2" customHeight="1">
      <c r="A542" s="2"/>
      <c r="B542" s="107">
        <v>467</v>
      </c>
      <c r="C542" s="31">
        <v>10</v>
      </c>
      <c r="D542" s="111" t="s">
        <v>11</v>
      </c>
      <c r="E542" s="2" t="s">
        <v>140</v>
      </c>
      <c r="F542" s="2"/>
      <c r="G542" s="2"/>
      <c r="H542" s="33">
        <f t="shared" si="645"/>
        <v>1</v>
      </c>
      <c r="I542" s="99">
        <f t="shared" si="0"/>
        <v>553.97537479397056</v>
      </c>
      <c r="J542" s="101">
        <f t="shared" si="1"/>
        <v>25.621083892380163</v>
      </c>
      <c r="K542" s="101">
        <f t="shared" si="2"/>
        <v>531</v>
      </c>
      <c r="L542" s="74">
        <f t="shared" si="535"/>
        <v>298</v>
      </c>
      <c r="M542" s="99">
        <f t="shared" si="191"/>
        <v>12800.138481868267</v>
      </c>
      <c r="N542" s="108">
        <f t="shared" si="646"/>
        <v>11638.605014525428</v>
      </c>
      <c r="O542" s="108">
        <f t="shared" si="647"/>
        <v>1161.5334673428379</v>
      </c>
      <c r="P542" s="108"/>
      <c r="Q542" s="108"/>
      <c r="R542" s="109"/>
      <c r="S542" s="99">
        <f t="shared" si="648"/>
        <v>9780.2335054536616</v>
      </c>
      <c r="T542" s="108">
        <f t="shared" si="649"/>
        <v>9780.2335054536616</v>
      </c>
      <c r="U542" s="108">
        <f t="shared" si="650"/>
        <v>976.06788105914632</v>
      </c>
      <c r="V542" s="108"/>
      <c r="W542" s="108"/>
      <c r="X542" s="109"/>
      <c r="Y542" s="99">
        <f t="shared" si="8"/>
        <v>21512.602773025617</v>
      </c>
      <c r="Z542" s="108">
        <f t="shared" ref="Z542:AA542" si="675">T542*$D$58/100</f>
        <v>19560.467010907323</v>
      </c>
      <c r="AA542" s="108">
        <f t="shared" si="675"/>
        <v>1952.1357621182926</v>
      </c>
      <c r="AB542" s="108"/>
      <c r="AC542" s="108"/>
      <c r="AD542" s="109"/>
      <c r="AE542" s="99">
        <f t="shared" si="669"/>
        <v>23.105970164519999</v>
      </c>
      <c r="AF542" s="101">
        <f t="shared" si="652"/>
        <v>36</v>
      </c>
      <c r="AG542" s="101">
        <f t="shared" si="653"/>
        <v>19.001300000000001</v>
      </c>
      <c r="AH542" s="101">
        <f t="shared" si="654"/>
        <v>592</v>
      </c>
      <c r="AI542" s="101">
        <f t="shared" si="655"/>
        <v>200</v>
      </c>
      <c r="AJ542" s="108">
        <f t="shared" si="656"/>
        <v>1.6666666666666667</v>
      </c>
      <c r="AK542" s="101">
        <f t="shared" si="461"/>
        <v>2280.7508382817077</v>
      </c>
      <c r="AL542" s="101">
        <f t="shared" si="657"/>
        <v>1630.0389175756102</v>
      </c>
      <c r="AM542" s="101">
        <f t="shared" si="658"/>
        <v>650.71192070609754</v>
      </c>
      <c r="AN542" s="101"/>
      <c r="AO542" s="1">
        <v>30</v>
      </c>
      <c r="AP542" s="2">
        <v>36</v>
      </c>
      <c r="AQ542" s="74">
        <f t="shared" si="659"/>
        <v>592</v>
      </c>
      <c r="AR542" s="31">
        <f t="shared" si="660"/>
        <v>0</v>
      </c>
      <c r="AS542" s="2">
        <f t="shared" si="661"/>
        <v>0</v>
      </c>
      <c r="AT542" s="33">
        <f t="shared" si="662"/>
        <v>0</v>
      </c>
      <c r="AU542" s="31">
        <f t="shared" si="663"/>
        <v>0</v>
      </c>
      <c r="AV542" s="2">
        <f t="shared" si="664"/>
        <v>1.5</v>
      </c>
      <c r="AW542" s="33">
        <f t="shared" si="665"/>
        <v>0</v>
      </c>
      <c r="AX542" s="31">
        <f t="shared" si="666"/>
        <v>6</v>
      </c>
      <c r="AY542" s="33">
        <f t="shared" si="667"/>
        <v>0</v>
      </c>
      <c r="AZ542" s="2"/>
      <c r="BA542" s="101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2" customHeight="1">
      <c r="A543" s="2"/>
      <c r="B543" s="107">
        <v>468</v>
      </c>
      <c r="C543" s="31">
        <v>10</v>
      </c>
      <c r="D543" s="111" t="s">
        <v>11</v>
      </c>
      <c r="E543" s="2" t="s">
        <v>150</v>
      </c>
      <c r="F543" s="2"/>
      <c r="G543" s="2"/>
      <c r="H543" s="33">
        <f t="shared" si="645"/>
        <v>1</v>
      </c>
      <c r="I543" s="99">
        <f t="shared" si="0"/>
        <v>685.57279983509409</v>
      </c>
      <c r="J543" s="101">
        <f t="shared" si="1"/>
        <v>32.696397631322085</v>
      </c>
      <c r="K543" s="101">
        <f t="shared" si="2"/>
        <v>368</v>
      </c>
      <c r="L543" s="74">
        <f t="shared" si="535"/>
        <v>235</v>
      </c>
      <c r="M543" s="99">
        <f t="shared" si="191"/>
        <v>12412.960659420654</v>
      </c>
      <c r="N543" s="108">
        <f t="shared" si="646"/>
        <v>11638.605014525428</v>
      </c>
      <c r="O543" s="108">
        <f t="shared" si="647"/>
        <v>774.35564489522528</v>
      </c>
      <c r="P543" s="108"/>
      <c r="Q543" s="108"/>
      <c r="R543" s="109"/>
      <c r="S543" s="99">
        <f t="shared" si="648"/>
        <v>9780.2335054536616</v>
      </c>
      <c r="T543" s="108">
        <f t="shared" si="649"/>
        <v>9780.2335054536616</v>
      </c>
      <c r="U543" s="108">
        <f t="shared" si="650"/>
        <v>650.71192070609754</v>
      </c>
      <c r="V543" s="108"/>
      <c r="W543" s="108"/>
      <c r="X543" s="109"/>
      <c r="Y543" s="99">
        <f t="shared" si="8"/>
        <v>20861.890852319517</v>
      </c>
      <c r="Z543" s="108">
        <f t="shared" ref="Z543:AA543" si="676">T543*$D$58/100</f>
        <v>19560.467010907323</v>
      </c>
      <c r="AA543" s="108">
        <f t="shared" si="676"/>
        <v>1301.4238414121951</v>
      </c>
      <c r="AB543" s="108"/>
      <c r="AC543" s="108"/>
      <c r="AD543" s="109"/>
      <c r="AE543" s="99">
        <f t="shared" si="669"/>
        <v>18.105970164519999</v>
      </c>
      <c r="AF543" s="101">
        <f t="shared" si="652"/>
        <v>36</v>
      </c>
      <c r="AG543" s="101">
        <f t="shared" si="653"/>
        <v>19.001300000000001</v>
      </c>
      <c r="AH543" s="101">
        <f t="shared" si="654"/>
        <v>592</v>
      </c>
      <c r="AI543" s="101">
        <f t="shared" si="655"/>
        <v>200</v>
      </c>
      <c r="AJ543" s="108">
        <f t="shared" si="656"/>
        <v>1.6666666666666667</v>
      </c>
      <c r="AK543" s="101">
        <f t="shared" si="461"/>
        <v>2280.7508382817077</v>
      </c>
      <c r="AL543" s="101">
        <f t="shared" si="657"/>
        <v>1630.0389175756102</v>
      </c>
      <c r="AM543" s="101">
        <f t="shared" si="658"/>
        <v>650.71192070609754</v>
      </c>
      <c r="AN543" s="101"/>
      <c r="AO543" s="1">
        <v>30</v>
      </c>
      <c r="AP543" s="2">
        <v>36</v>
      </c>
      <c r="AQ543" s="74">
        <f t="shared" si="659"/>
        <v>592</v>
      </c>
      <c r="AR543" s="31">
        <f t="shared" si="660"/>
        <v>5</v>
      </c>
      <c r="AS543" s="2">
        <f t="shared" si="661"/>
        <v>0</v>
      </c>
      <c r="AT543" s="33">
        <f t="shared" si="662"/>
        <v>0</v>
      </c>
      <c r="AU543" s="31">
        <f t="shared" si="663"/>
        <v>0</v>
      </c>
      <c r="AV543" s="2">
        <f t="shared" si="664"/>
        <v>1</v>
      </c>
      <c r="AW543" s="33">
        <f t="shared" si="665"/>
        <v>0</v>
      </c>
      <c r="AX543" s="31">
        <f t="shared" si="666"/>
        <v>6</v>
      </c>
      <c r="AY543" s="33">
        <f t="shared" si="667"/>
        <v>0</v>
      </c>
      <c r="AZ543" s="2"/>
      <c r="BA543" s="101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2" customHeight="1">
      <c r="A544" s="2"/>
      <c r="B544" s="107">
        <v>469</v>
      </c>
      <c r="C544" s="31">
        <v>10</v>
      </c>
      <c r="D544" s="111" t="s">
        <v>11</v>
      </c>
      <c r="E544" s="2" t="s">
        <v>153</v>
      </c>
      <c r="F544" s="2"/>
      <c r="G544" s="2"/>
      <c r="H544" s="33">
        <f t="shared" si="645"/>
        <v>1</v>
      </c>
      <c r="I544" s="99">
        <f t="shared" si="0"/>
        <v>706.95678638370316</v>
      </c>
      <c r="J544" s="101">
        <f t="shared" si="1"/>
        <v>32.696397631322085</v>
      </c>
      <c r="K544" s="101">
        <f t="shared" si="2"/>
        <v>349</v>
      </c>
      <c r="L544" s="74">
        <f t="shared" si="535"/>
        <v>225</v>
      </c>
      <c r="M544" s="99">
        <f t="shared" si="191"/>
        <v>12800.138481868267</v>
      </c>
      <c r="N544" s="108">
        <f t="shared" si="646"/>
        <v>11638.605014525428</v>
      </c>
      <c r="O544" s="108">
        <f t="shared" si="647"/>
        <v>1161.5334673428379</v>
      </c>
      <c r="P544" s="108"/>
      <c r="Q544" s="108"/>
      <c r="R544" s="109"/>
      <c r="S544" s="99">
        <f t="shared" si="648"/>
        <v>9780.2335054536616</v>
      </c>
      <c r="T544" s="108">
        <f t="shared" si="649"/>
        <v>9780.2335054536616</v>
      </c>
      <c r="U544" s="108">
        <f t="shared" si="650"/>
        <v>976.06788105914632</v>
      </c>
      <c r="V544" s="108"/>
      <c r="W544" s="108"/>
      <c r="X544" s="109"/>
      <c r="Y544" s="99">
        <f t="shared" si="8"/>
        <v>21512.602773025617</v>
      </c>
      <c r="Z544" s="108">
        <f t="shared" ref="Z544:AA544" si="677">T544*$D$58/100</f>
        <v>19560.467010907323</v>
      </c>
      <c r="AA544" s="108">
        <f t="shared" si="677"/>
        <v>1952.1357621182926</v>
      </c>
      <c r="AB544" s="108"/>
      <c r="AC544" s="108"/>
      <c r="AD544" s="109"/>
      <c r="AE544" s="99">
        <f t="shared" si="669"/>
        <v>18.105970164519999</v>
      </c>
      <c r="AF544" s="101">
        <f t="shared" si="652"/>
        <v>36</v>
      </c>
      <c r="AG544" s="101">
        <f t="shared" si="653"/>
        <v>19.001300000000001</v>
      </c>
      <c r="AH544" s="101">
        <f t="shared" si="654"/>
        <v>592</v>
      </c>
      <c r="AI544" s="101">
        <f t="shared" si="655"/>
        <v>200</v>
      </c>
      <c r="AJ544" s="108">
        <f t="shared" si="656"/>
        <v>1.6666666666666667</v>
      </c>
      <c r="AK544" s="101">
        <f t="shared" si="461"/>
        <v>2280.7508382817077</v>
      </c>
      <c r="AL544" s="101">
        <f t="shared" si="657"/>
        <v>1630.0389175756102</v>
      </c>
      <c r="AM544" s="101">
        <f t="shared" si="658"/>
        <v>650.71192070609754</v>
      </c>
      <c r="AN544" s="101"/>
      <c r="AO544" s="1">
        <v>30</v>
      </c>
      <c r="AP544" s="2">
        <v>36</v>
      </c>
      <c r="AQ544" s="74">
        <f t="shared" si="659"/>
        <v>592</v>
      </c>
      <c r="AR544" s="31">
        <f t="shared" si="660"/>
        <v>5</v>
      </c>
      <c r="AS544" s="2">
        <f t="shared" si="661"/>
        <v>0</v>
      </c>
      <c r="AT544" s="33">
        <f t="shared" si="662"/>
        <v>0</v>
      </c>
      <c r="AU544" s="31">
        <f t="shared" si="663"/>
        <v>0</v>
      </c>
      <c r="AV544" s="2">
        <f t="shared" si="664"/>
        <v>1.5</v>
      </c>
      <c r="AW544" s="33">
        <f t="shared" si="665"/>
        <v>0</v>
      </c>
      <c r="AX544" s="31">
        <f t="shared" si="666"/>
        <v>6</v>
      </c>
      <c r="AY544" s="33">
        <f t="shared" si="667"/>
        <v>0</v>
      </c>
      <c r="AZ544" s="2"/>
      <c r="BA544" s="101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2" customHeight="1">
      <c r="A545" s="2"/>
      <c r="B545" s="107">
        <v>470</v>
      </c>
      <c r="C545" s="31">
        <v>10</v>
      </c>
      <c r="D545" s="111" t="s">
        <v>11</v>
      </c>
      <c r="E545" s="2" t="s">
        <v>161</v>
      </c>
      <c r="F545" s="2"/>
      <c r="G545" s="2"/>
      <c r="H545" s="33">
        <f t="shared" si="645"/>
        <v>1</v>
      </c>
      <c r="I545" s="99">
        <f t="shared" si="0"/>
        <v>604.9346715944306</v>
      </c>
      <c r="J545" s="101">
        <f t="shared" si="1"/>
        <v>25.621083892380163</v>
      </c>
      <c r="K545" s="101">
        <f t="shared" si="2"/>
        <v>458</v>
      </c>
      <c r="L545" s="74">
        <f t="shared" si="535"/>
        <v>269</v>
      </c>
      <c r="M545" s="99">
        <f t="shared" si="191"/>
        <v>13977.602473344616</v>
      </c>
      <c r="N545" s="108">
        <f t="shared" si="646"/>
        <v>13105.640040343476</v>
      </c>
      <c r="O545" s="108">
        <f t="shared" si="647"/>
        <v>871.96243300113986</v>
      </c>
      <c r="P545" s="108"/>
      <c r="Q545" s="108"/>
      <c r="R545" s="109"/>
      <c r="S545" s="99">
        <f t="shared" si="648"/>
        <v>9780.2335054536616</v>
      </c>
      <c r="T545" s="108">
        <f t="shared" si="649"/>
        <v>9780.2335054536616</v>
      </c>
      <c r="U545" s="108">
        <f t="shared" si="650"/>
        <v>650.71192070609754</v>
      </c>
      <c r="V545" s="108"/>
      <c r="W545" s="108"/>
      <c r="X545" s="109"/>
      <c r="Y545" s="99">
        <f t="shared" si="8"/>
        <v>20861.890852319517</v>
      </c>
      <c r="Z545" s="108">
        <f t="shared" ref="Z545:AA545" si="678">T545*$D$58/100</f>
        <v>19560.467010907323</v>
      </c>
      <c r="AA545" s="108">
        <f t="shared" si="678"/>
        <v>1301.4238414121951</v>
      </c>
      <c r="AB545" s="108"/>
      <c r="AC545" s="108"/>
      <c r="AD545" s="109"/>
      <c r="AE545" s="99">
        <f t="shared" si="669"/>
        <v>23.105970164519999</v>
      </c>
      <c r="AF545" s="101">
        <f t="shared" si="652"/>
        <v>36</v>
      </c>
      <c r="AG545" s="101">
        <f t="shared" si="653"/>
        <v>34.001300000000001</v>
      </c>
      <c r="AH545" s="101">
        <f t="shared" si="654"/>
        <v>592</v>
      </c>
      <c r="AI545" s="101">
        <f t="shared" si="655"/>
        <v>200</v>
      </c>
      <c r="AJ545" s="108">
        <f t="shared" si="656"/>
        <v>1.6666666666666667</v>
      </c>
      <c r="AK545" s="101">
        <f t="shared" si="461"/>
        <v>2280.7508382817077</v>
      </c>
      <c r="AL545" s="101">
        <f t="shared" si="657"/>
        <v>1630.0389175756102</v>
      </c>
      <c r="AM545" s="101">
        <f t="shared" si="658"/>
        <v>650.71192070609754</v>
      </c>
      <c r="AN545" s="101"/>
      <c r="AO545" s="1">
        <v>30</v>
      </c>
      <c r="AP545" s="2">
        <v>36</v>
      </c>
      <c r="AQ545" s="74">
        <f t="shared" si="659"/>
        <v>592</v>
      </c>
      <c r="AR545" s="31">
        <f t="shared" si="660"/>
        <v>0</v>
      </c>
      <c r="AS545" s="2">
        <f t="shared" si="661"/>
        <v>15</v>
      </c>
      <c r="AT545" s="33">
        <f t="shared" si="662"/>
        <v>0</v>
      </c>
      <c r="AU545" s="31">
        <f t="shared" si="663"/>
        <v>0</v>
      </c>
      <c r="AV545" s="2">
        <f t="shared" si="664"/>
        <v>1</v>
      </c>
      <c r="AW545" s="33">
        <f t="shared" si="665"/>
        <v>0</v>
      </c>
      <c r="AX545" s="31">
        <f t="shared" si="666"/>
        <v>6</v>
      </c>
      <c r="AY545" s="33">
        <f t="shared" si="667"/>
        <v>0</v>
      </c>
      <c r="AZ545" s="2"/>
      <c r="BA545" s="101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2" customHeight="1">
      <c r="A546" s="2"/>
      <c r="B546" s="107">
        <v>471</v>
      </c>
      <c r="C546" s="31">
        <v>10</v>
      </c>
      <c r="D546" s="111" t="s">
        <v>11</v>
      </c>
      <c r="E546" s="2" t="s">
        <v>162</v>
      </c>
      <c r="F546" s="2"/>
      <c r="G546" s="2"/>
      <c r="H546" s="33">
        <f t="shared" si="645"/>
        <v>1</v>
      </c>
      <c r="I546" s="99">
        <f t="shared" si="0"/>
        <v>623.80344072190189</v>
      </c>
      <c r="J546" s="101">
        <f t="shared" si="1"/>
        <v>25.621083892380163</v>
      </c>
      <c r="K546" s="101">
        <f t="shared" si="2"/>
        <v>438</v>
      </c>
      <c r="L546" s="74">
        <f t="shared" si="535"/>
        <v>262</v>
      </c>
      <c r="M546" s="99">
        <f t="shared" si="191"/>
        <v>14413.583689845185</v>
      </c>
      <c r="N546" s="108">
        <f t="shared" si="646"/>
        <v>13105.640040343476</v>
      </c>
      <c r="O546" s="108">
        <f t="shared" si="647"/>
        <v>1307.9436495017098</v>
      </c>
      <c r="P546" s="108"/>
      <c r="Q546" s="108"/>
      <c r="R546" s="109"/>
      <c r="S546" s="99">
        <f t="shared" si="648"/>
        <v>9780.2335054536616</v>
      </c>
      <c r="T546" s="108">
        <f t="shared" si="649"/>
        <v>9780.2335054536616</v>
      </c>
      <c r="U546" s="108">
        <f t="shared" si="650"/>
        <v>976.06788105914632</v>
      </c>
      <c r="V546" s="108"/>
      <c r="W546" s="108"/>
      <c r="X546" s="109"/>
      <c r="Y546" s="99">
        <f t="shared" si="8"/>
        <v>21512.602773025617</v>
      </c>
      <c r="Z546" s="108">
        <f t="shared" ref="Z546:AA546" si="679">T546*$D$58/100</f>
        <v>19560.467010907323</v>
      </c>
      <c r="AA546" s="108">
        <f t="shared" si="679"/>
        <v>1952.1357621182926</v>
      </c>
      <c r="AB546" s="108"/>
      <c r="AC546" s="108"/>
      <c r="AD546" s="109"/>
      <c r="AE546" s="99">
        <f t="shared" si="669"/>
        <v>23.105970164519999</v>
      </c>
      <c r="AF546" s="101">
        <f t="shared" si="652"/>
        <v>36</v>
      </c>
      <c r="AG546" s="101">
        <f t="shared" si="653"/>
        <v>34.001300000000001</v>
      </c>
      <c r="AH546" s="101">
        <f t="shared" si="654"/>
        <v>592</v>
      </c>
      <c r="AI546" s="101">
        <f t="shared" si="655"/>
        <v>200</v>
      </c>
      <c r="AJ546" s="108">
        <f t="shared" si="656"/>
        <v>1.6666666666666667</v>
      </c>
      <c r="AK546" s="101">
        <f t="shared" si="461"/>
        <v>2280.7508382817077</v>
      </c>
      <c r="AL546" s="101">
        <f t="shared" si="657"/>
        <v>1630.0389175756102</v>
      </c>
      <c r="AM546" s="101">
        <f t="shared" si="658"/>
        <v>650.71192070609754</v>
      </c>
      <c r="AN546" s="101"/>
      <c r="AO546" s="1">
        <v>30</v>
      </c>
      <c r="AP546" s="2">
        <v>36</v>
      </c>
      <c r="AQ546" s="74">
        <f t="shared" si="659"/>
        <v>592</v>
      </c>
      <c r="AR546" s="31">
        <f t="shared" si="660"/>
        <v>0</v>
      </c>
      <c r="AS546" s="2">
        <f t="shared" si="661"/>
        <v>15</v>
      </c>
      <c r="AT546" s="33">
        <f t="shared" si="662"/>
        <v>0</v>
      </c>
      <c r="AU546" s="31">
        <f t="shared" si="663"/>
        <v>0</v>
      </c>
      <c r="AV546" s="2">
        <f t="shared" si="664"/>
        <v>1.5</v>
      </c>
      <c r="AW546" s="33">
        <f t="shared" si="665"/>
        <v>0</v>
      </c>
      <c r="AX546" s="31">
        <f t="shared" si="666"/>
        <v>6</v>
      </c>
      <c r="AY546" s="33">
        <f t="shared" si="667"/>
        <v>0</v>
      </c>
      <c r="AZ546" s="2"/>
      <c r="BA546" s="101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2" customHeight="1">
      <c r="A547" s="2"/>
      <c r="B547" s="107">
        <v>472</v>
      </c>
      <c r="C547" s="31">
        <v>7</v>
      </c>
      <c r="D547" s="111" t="s">
        <v>11</v>
      </c>
      <c r="E547" s="2" t="s">
        <v>67</v>
      </c>
      <c r="F547" s="2"/>
      <c r="G547" s="2"/>
      <c r="H547" s="33">
        <f t="shared" si="645"/>
        <v>5</v>
      </c>
      <c r="I547" s="99">
        <f t="shared" si="0"/>
        <v>434.29687725769179</v>
      </c>
      <c r="J547" s="101">
        <f t="shared" si="1"/>
        <v>17.830889465642951</v>
      </c>
      <c r="K547" s="101">
        <f t="shared" si="2"/>
        <v>694</v>
      </c>
      <c r="L547" s="74">
        <f t="shared" si="535"/>
        <v>364</v>
      </c>
      <c r="M547" s="99">
        <f t="shared" si="191"/>
        <v>10034.85068846043</v>
      </c>
      <c r="N547" s="108">
        <f t="shared" si="646"/>
        <v>9292.427276372704</v>
      </c>
      <c r="O547" s="108">
        <f t="shared" si="647"/>
        <v>742.42341208772552</v>
      </c>
      <c r="P547" s="108"/>
      <c r="Q547" s="108"/>
      <c r="R547" s="109"/>
      <c r="S547" s="99">
        <f t="shared" si="648"/>
        <v>7808.677112243904</v>
      </c>
      <c r="T547" s="108">
        <f t="shared" si="649"/>
        <v>7808.677112243904</v>
      </c>
      <c r="U547" s="108">
        <f t="shared" si="650"/>
        <v>623.87840476341478</v>
      </c>
      <c r="V547" s="108"/>
      <c r="W547" s="108"/>
      <c r="X547" s="109"/>
      <c r="Y547" s="99">
        <f t="shared" si="8"/>
        <v>16865.111034014637</v>
      </c>
      <c r="Z547" s="108">
        <f t="shared" ref="Z547:AA547" si="680">T547*$D$58/100</f>
        <v>15617.354224487808</v>
      </c>
      <c r="AA547" s="108">
        <f t="shared" si="680"/>
        <v>1247.7568095268296</v>
      </c>
      <c r="AB547" s="108"/>
      <c r="AC547" s="108"/>
      <c r="AD547" s="109"/>
      <c r="AE547" s="99">
        <f t="shared" si="669"/>
        <v>23.105970164519999</v>
      </c>
      <c r="AF547" s="101">
        <f t="shared" si="652"/>
        <v>36</v>
      </c>
      <c r="AG547" s="101">
        <f t="shared" si="653"/>
        <v>19.001300000000001</v>
      </c>
      <c r="AH547" s="101">
        <f t="shared" si="654"/>
        <v>412</v>
      </c>
      <c r="AI547" s="101">
        <f t="shared" si="655"/>
        <v>200</v>
      </c>
      <c r="AJ547" s="108">
        <f t="shared" si="656"/>
        <v>1.4285714285714286</v>
      </c>
      <c r="AK547" s="101">
        <f t="shared" si="461"/>
        <v>2185.6138272121957</v>
      </c>
      <c r="AL547" s="101">
        <f t="shared" si="657"/>
        <v>1561.7354224487808</v>
      </c>
      <c r="AM547" s="101">
        <f t="shared" si="658"/>
        <v>623.87840476341478</v>
      </c>
      <c r="AN547" s="101"/>
      <c r="AO547" s="1">
        <v>30</v>
      </c>
      <c r="AP547" s="2">
        <v>36</v>
      </c>
      <c r="AQ547" s="74">
        <f t="shared" si="659"/>
        <v>412</v>
      </c>
      <c r="AR547" s="31">
        <f t="shared" si="660"/>
        <v>0</v>
      </c>
      <c r="AS547" s="2">
        <f t="shared" si="661"/>
        <v>0</v>
      </c>
      <c r="AT547" s="33">
        <f t="shared" si="662"/>
        <v>0</v>
      </c>
      <c r="AU547" s="31">
        <f t="shared" si="663"/>
        <v>0</v>
      </c>
      <c r="AV547" s="2">
        <f t="shared" si="664"/>
        <v>1</v>
      </c>
      <c r="AW547" s="33">
        <f t="shared" si="665"/>
        <v>0</v>
      </c>
      <c r="AX547" s="31">
        <f t="shared" si="666"/>
        <v>1</v>
      </c>
      <c r="AY547" s="33">
        <f t="shared" si="667"/>
        <v>0</v>
      </c>
      <c r="AZ547" s="2"/>
      <c r="BA547" s="101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2" customHeight="1">
      <c r="A548" s="2"/>
      <c r="B548" s="107">
        <v>473</v>
      </c>
      <c r="C548" s="31">
        <v>7</v>
      </c>
      <c r="D548" s="111" t="s">
        <v>11</v>
      </c>
      <c r="E548" s="2" t="s">
        <v>89</v>
      </c>
      <c r="F548" s="2"/>
      <c r="G548" s="2"/>
      <c r="H548" s="33">
        <f t="shared" si="645"/>
        <v>5</v>
      </c>
      <c r="I548" s="99">
        <f t="shared" si="0"/>
        <v>450.36249594415011</v>
      </c>
      <c r="J548" s="101">
        <f t="shared" si="1"/>
        <v>17.830889465642951</v>
      </c>
      <c r="K548" s="101">
        <f t="shared" si="2"/>
        <v>674</v>
      </c>
      <c r="L548" s="74">
        <f t="shared" si="535"/>
        <v>357</v>
      </c>
      <c r="M548" s="99">
        <f t="shared" si="191"/>
        <v>10406.062394504292</v>
      </c>
      <c r="N548" s="108">
        <f t="shared" si="646"/>
        <v>9292.427276372704</v>
      </c>
      <c r="O548" s="108">
        <f t="shared" si="647"/>
        <v>1113.6351181315881</v>
      </c>
      <c r="P548" s="108"/>
      <c r="Q548" s="108"/>
      <c r="R548" s="109"/>
      <c r="S548" s="99">
        <f t="shared" si="648"/>
        <v>7808.677112243904</v>
      </c>
      <c r="T548" s="108">
        <f t="shared" si="649"/>
        <v>7808.677112243904</v>
      </c>
      <c r="U548" s="108">
        <f t="shared" si="650"/>
        <v>935.81760714512211</v>
      </c>
      <c r="V548" s="108"/>
      <c r="W548" s="108"/>
      <c r="X548" s="109"/>
      <c r="Y548" s="99">
        <f t="shared" si="8"/>
        <v>17488.989438778051</v>
      </c>
      <c r="Z548" s="108">
        <f t="shared" ref="Z548:AA548" si="681">T548*$D$58/100</f>
        <v>15617.354224487808</v>
      </c>
      <c r="AA548" s="108">
        <f t="shared" si="681"/>
        <v>1871.6352142902442</v>
      </c>
      <c r="AB548" s="108"/>
      <c r="AC548" s="108"/>
      <c r="AD548" s="109"/>
      <c r="AE548" s="99">
        <f t="shared" si="669"/>
        <v>23.105970164519999</v>
      </c>
      <c r="AF548" s="101">
        <f t="shared" si="652"/>
        <v>36</v>
      </c>
      <c r="AG548" s="101">
        <f t="shared" si="653"/>
        <v>19.001300000000001</v>
      </c>
      <c r="AH548" s="101">
        <f t="shared" si="654"/>
        <v>412</v>
      </c>
      <c r="AI548" s="101">
        <f t="shared" si="655"/>
        <v>200</v>
      </c>
      <c r="AJ548" s="108">
        <f t="shared" si="656"/>
        <v>1.4285714285714286</v>
      </c>
      <c r="AK548" s="101">
        <f t="shared" si="461"/>
        <v>2185.6138272121957</v>
      </c>
      <c r="AL548" s="101">
        <f t="shared" si="657"/>
        <v>1561.7354224487808</v>
      </c>
      <c r="AM548" s="101">
        <f t="shared" si="658"/>
        <v>623.87840476341478</v>
      </c>
      <c r="AN548" s="101"/>
      <c r="AO548" s="1">
        <v>30</v>
      </c>
      <c r="AP548" s="2">
        <v>36</v>
      </c>
      <c r="AQ548" s="74">
        <f t="shared" si="659"/>
        <v>412</v>
      </c>
      <c r="AR548" s="31">
        <f t="shared" si="660"/>
        <v>0</v>
      </c>
      <c r="AS548" s="2">
        <f t="shared" si="661"/>
        <v>0</v>
      </c>
      <c r="AT548" s="33">
        <f t="shared" si="662"/>
        <v>0</v>
      </c>
      <c r="AU548" s="31">
        <f t="shared" si="663"/>
        <v>0</v>
      </c>
      <c r="AV548" s="2">
        <f t="shared" si="664"/>
        <v>1.5</v>
      </c>
      <c r="AW548" s="33">
        <f t="shared" si="665"/>
        <v>0</v>
      </c>
      <c r="AX548" s="31">
        <f t="shared" si="666"/>
        <v>1</v>
      </c>
      <c r="AY548" s="33">
        <f t="shared" si="667"/>
        <v>0</v>
      </c>
      <c r="AZ548" s="2"/>
      <c r="BA548" s="101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2" customHeight="1">
      <c r="A549" s="2"/>
      <c r="B549" s="107">
        <v>474</v>
      </c>
      <c r="C549" s="31">
        <v>7</v>
      </c>
      <c r="D549" s="111" t="s">
        <v>11</v>
      </c>
      <c r="E549" s="2" t="s">
        <v>148</v>
      </c>
      <c r="F549" s="2"/>
      <c r="G549" s="2"/>
      <c r="H549" s="33">
        <f t="shared" si="645"/>
        <v>5</v>
      </c>
      <c r="I549" s="99">
        <f t="shared" si="0"/>
        <v>554.2288315554872</v>
      </c>
      <c r="J549" s="101">
        <f t="shared" si="1"/>
        <v>22.754925378555235</v>
      </c>
      <c r="K549" s="101">
        <f t="shared" si="2"/>
        <v>530</v>
      </c>
      <c r="L549" s="74">
        <f t="shared" si="535"/>
        <v>297</v>
      </c>
      <c r="M549" s="99">
        <f t="shared" si="191"/>
        <v>10034.85068846043</v>
      </c>
      <c r="N549" s="108">
        <f t="shared" si="646"/>
        <v>9292.427276372704</v>
      </c>
      <c r="O549" s="108">
        <f t="shared" si="647"/>
        <v>742.42341208772552</v>
      </c>
      <c r="P549" s="108"/>
      <c r="Q549" s="108"/>
      <c r="R549" s="109"/>
      <c r="S549" s="99">
        <f t="shared" si="648"/>
        <v>7808.677112243904</v>
      </c>
      <c r="T549" s="108">
        <f t="shared" si="649"/>
        <v>7808.677112243904</v>
      </c>
      <c r="U549" s="108">
        <f t="shared" si="650"/>
        <v>623.87840476341478</v>
      </c>
      <c r="V549" s="108"/>
      <c r="W549" s="108"/>
      <c r="X549" s="109"/>
      <c r="Y549" s="99">
        <f t="shared" si="8"/>
        <v>16865.111034014637</v>
      </c>
      <c r="Z549" s="108">
        <f t="shared" ref="Z549:AA549" si="682">T549*$D$58/100</f>
        <v>15617.354224487808</v>
      </c>
      <c r="AA549" s="108">
        <f t="shared" si="682"/>
        <v>1247.7568095268296</v>
      </c>
      <c r="AB549" s="108"/>
      <c r="AC549" s="108"/>
      <c r="AD549" s="109"/>
      <c r="AE549" s="99">
        <f t="shared" si="669"/>
        <v>18.105970164519999</v>
      </c>
      <c r="AF549" s="101">
        <f t="shared" si="652"/>
        <v>36</v>
      </c>
      <c r="AG549" s="101">
        <f t="shared" si="653"/>
        <v>19.001300000000001</v>
      </c>
      <c r="AH549" s="101">
        <f t="shared" si="654"/>
        <v>412</v>
      </c>
      <c r="AI549" s="101">
        <f t="shared" si="655"/>
        <v>200</v>
      </c>
      <c r="AJ549" s="108">
        <f t="shared" si="656"/>
        <v>1.4285714285714286</v>
      </c>
      <c r="AK549" s="101">
        <f t="shared" si="461"/>
        <v>2185.6138272121957</v>
      </c>
      <c r="AL549" s="101">
        <f t="shared" si="657"/>
        <v>1561.7354224487808</v>
      </c>
      <c r="AM549" s="101">
        <f t="shared" si="658"/>
        <v>623.87840476341478</v>
      </c>
      <c r="AN549" s="101"/>
      <c r="AO549" s="1">
        <v>30</v>
      </c>
      <c r="AP549" s="2">
        <v>36</v>
      </c>
      <c r="AQ549" s="74">
        <f t="shared" si="659"/>
        <v>412</v>
      </c>
      <c r="AR549" s="31">
        <f t="shared" si="660"/>
        <v>5</v>
      </c>
      <c r="AS549" s="2">
        <f t="shared" si="661"/>
        <v>0</v>
      </c>
      <c r="AT549" s="33">
        <f t="shared" si="662"/>
        <v>0</v>
      </c>
      <c r="AU549" s="31">
        <f t="shared" si="663"/>
        <v>0</v>
      </c>
      <c r="AV549" s="2">
        <f t="shared" si="664"/>
        <v>1</v>
      </c>
      <c r="AW549" s="33">
        <f t="shared" si="665"/>
        <v>0</v>
      </c>
      <c r="AX549" s="31">
        <f t="shared" si="666"/>
        <v>1</v>
      </c>
      <c r="AY549" s="33">
        <f t="shared" si="667"/>
        <v>0</v>
      </c>
      <c r="AZ549" s="2"/>
      <c r="BA549" s="101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2" customHeight="1">
      <c r="A550" s="2"/>
      <c r="B550" s="107">
        <v>475</v>
      </c>
      <c r="C550" s="31">
        <v>7</v>
      </c>
      <c r="D550" s="111" t="s">
        <v>11</v>
      </c>
      <c r="E550" s="2" t="s">
        <v>152</v>
      </c>
      <c r="F550" s="2"/>
      <c r="G550" s="2"/>
      <c r="H550" s="33">
        <f t="shared" si="645"/>
        <v>5</v>
      </c>
      <c r="I550" s="99">
        <f t="shared" si="0"/>
        <v>574.73100308624987</v>
      </c>
      <c r="J550" s="101">
        <f t="shared" si="1"/>
        <v>22.754925378555235</v>
      </c>
      <c r="K550" s="101">
        <f t="shared" si="2"/>
        <v>500</v>
      </c>
      <c r="L550" s="74">
        <f t="shared" si="535"/>
        <v>288</v>
      </c>
      <c r="M550" s="99">
        <f t="shared" si="191"/>
        <v>10406.062394504292</v>
      </c>
      <c r="N550" s="108">
        <f t="shared" si="646"/>
        <v>9292.427276372704</v>
      </c>
      <c r="O550" s="108">
        <f t="shared" si="647"/>
        <v>1113.6351181315881</v>
      </c>
      <c r="P550" s="108"/>
      <c r="Q550" s="108"/>
      <c r="R550" s="109"/>
      <c r="S550" s="99">
        <f t="shared" si="648"/>
        <v>7808.677112243904</v>
      </c>
      <c r="T550" s="108">
        <f t="shared" si="649"/>
        <v>7808.677112243904</v>
      </c>
      <c r="U550" s="108">
        <f t="shared" si="650"/>
        <v>935.81760714512211</v>
      </c>
      <c r="V550" s="108"/>
      <c r="W550" s="108"/>
      <c r="X550" s="109"/>
      <c r="Y550" s="99">
        <f t="shared" si="8"/>
        <v>17488.989438778051</v>
      </c>
      <c r="Z550" s="108">
        <f t="shared" ref="Z550:AA550" si="683">T550*$D$58/100</f>
        <v>15617.354224487808</v>
      </c>
      <c r="AA550" s="108">
        <f t="shared" si="683"/>
        <v>1871.6352142902442</v>
      </c>
      <c r="AB550" s="108"/>
      <c r="AC550" s="108"/>
      <c r="AD550" s="109"/>
      <c r="AE550" s="99">
        <f t="shared" si="669"/>
        <v>18.105970164519999</v>
      </c>
      <c r="AF550" s="101">
        <f t="shared" si="652"/>
        <v>36</v>
      </c>
      <c r="AG550" s="101">
        <f t="shared" si="653"/>
        <v>19.001300000000001</v>
      </c>
      <c r="AH550" s="101">
        <f t="shared" si="654"/>
        <v>412</v>
      </c>
      <c r="AI550" s="101">
        <f t="shared" si="655"/>
        <v>200</v>
      </c>
      <c r="AJ550" s="108">
        <f t="shared" si="656"/>
        <v>1.4285714285714286</v>
      </c>
      <c r="AK550" s="101">
        <f t="shared" si="461"/>
        <v>2185.6138272121957</v>
      </c>
      <c r="AL550" s="101">
        <f t="shared" si="657"/>
        <v>1561.7354224487808</v>
      </c>
      <c r="AM550" s="101">
        <f t="shared" si="658"/>
        <v>623.87840476341478</v>
      </c>
      <c r="AN550" s="101"/>
      <c r="AO550" s="1">
        <v>30</v>
      </c>
      <c r="AP550" s="2">
        <v>36</v>
      </c>
      <c r="AQ550" s="74">
        <f t="shared" si="659"/>
        <v>412</v>
      </c>
      <c r="AR550" s="31">
        <f t="shared" si="660"/>
        <v>5</v>
      </c>
      <c r="AS550" s="2">
        <f t="shared" si="661"/>
        <v>0</v>
      </c>
      <c r="AT550" s="33">
        <f t="shared" si="662"/>
        <v>0</v>
      </c>
      <c r="AU550" s="31">
        <f t="shared" si="663"/>
        <v>0</v>
      </c>
      <c r="AV550" s="2">
        <f t="shared" si="664"/>
        <v>1.5</v>
      </c>
      <c r="AW550" s="33">
        <f t="shared" si="665"/>
        <v>0</v>
      </c>
      <c r="AX550" s="31">
        <f t="shared" si="666"/>
        <v>1</v>
      </c>
      <c r="AY550" s="33">
        <f t="shared" si="667"/>
        <v>0</v>
      </c>
      <c r="AZ550" s="2"/>
      <c r="BA550" s="101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2" customHeight="1">
      <c r="A551" s="2"/>
      <c r="B551" s="107">
        <v>476</v>
      </c>
      <c r="C551" s="31">
        <v>7</v>
      </c>
      <c r="D551" s="111" t="s">
        <v>11</v>
      </c>
      <c r="E551" s="2" t="s">
        <v>79</v>
      </c>
      <c r="F551" s="2"/>
      <c r="G551" s="2"/>
      <c r="H551" s="33">
        <f t="shared" si="645"/>
        <v>5</v>
      </c>
      <c r="I551" s="99">
        <f t="shared" si="0"/>
        <v>489.03958308414389</v>
      </c>
      <c r="J551" s="101">
        <f t="shared" si="1"/>
        <v>17.830889465642951</v>
      </c>
      <c r="K551" s="101">
        <f t="shared" si="2"/>
        <v>616</v>
      </c>
      <c r="L551" s="74">
        <f t="shared" si="535"/>
        <v>336</v>
      </c>
      <c r="M551" s="99">
        <f t="shared" si="191"/>
        <v>11299.734016011527</v>
      </c>
      <c r="N551" s="108">
        <f t="shared" si="646"/>
        <v>10463.72884320929</v>
      </c>
      <c r="O551" s="108">
        <f t="shared" si="647"/>
        <v>836.00517280223767</v>
      </c>
      <c r="P551" s="108"/>
      <c r="Q551" s="108"/>
      <c r="R551" s="109"/>
      <c r="S551" s="99">
        <f t="shared" si="648"/>
        <v>7808.677112243904</v>
      </c>
      <c r="T551" s="108">
        <f t="shared" si="649"/>
        <v>7808.677112243904</v>
      </c>
      <c r="U551" s="108">
        <f t="shared" si="650"/>
        <v>623.87840476341478</v>
      </c>
      <c r="V551" s="108"/>
      <c r="W551" s="108"/>
      <c r="X551" s="109"/>
      <c r="Y551" s="99">
        <f t="shared" si="8"/>
        <v>16865.111034014637</v>
      </c>
      <c r="Z551" s="108">
        <f t="shared" ref="Z551:AA551" si="684">T551*$D$58/100</f>
        <v>15617.354224487808</v>
      </c>
      <c r="AA551" s="108">
        <f t="shared" si="684"/>
        <v>1247.7568095268296</v>
      </c>
      <c r="AB551" s="108"/>
      <c r="AC551" s="108"/>
      <c r="AD551" s="109"/>
      <c r="AE551" s="99">
        <f t="shared" si="669"/>
        <v>23.105970164519999</v>
      </c>
      <c r="AF551" s="101">
        <f t="shared" si="652"/>
        <v>36</v>
      </c>
      <c r="AG551" s="101">
        <f t="shared" si="653"/>
        <v>34.001300000000001</v>
      </c>
      <c r="AH551" s="101">
        <f t="shared" si="654"/>
        <v>412</v>
      </c>
      <c r="AI551" s="101">
        <f t="shared" si="655"/>
        <v>200</v>
      </c>
      <c r="AJ551" s="108">
        <f t="shared" si="656"/>
        <v>1.4285714285714286</v>
      </c>
      <c r="AK551" s="101">
        <f t="shared" si="461"/>
        <v>2185.6138272121957</v>
      </c>
      <c r="AL551" s="101">
        <f t="shared" si="657"/>
        <v>1561.7354224487808</v>
      </c>
      <c r="AM551" s="101">
        <f t="shared" si="658"/>
        <v>623.87840476341478</v>
      </c>
      <c r="AN551" s="101"/>
      <c r="AO551" s="1">
        <v>30</v>
      </c>
      <c r="AP551" s="2">
        <v>36</v>
      </c>
      <c r="AQ551" s="74">
        <f t="shared" si="659"/>
        <v>412</v>
      </c>
      <c r="AR551" s="31">
        <f t="shared" si="660"/>
        <v>0</v>
      </c>
      <c r="AS551" s="2">
        <f t="shared" si="661"/>
        <v>15</v>
      </c>
      <c r="AT551" s="33">
        <f t="shared" si="662"/>
        <v>0</v>
      </c>
      <c r="AU551" s="31">
        <f t="shared" si="663"/>
        <v>0</v>
      </c>
      <c r="AV551" s="2">
        <f t="shared" si="664"/>
        <v>1</v>
      </c>
      <c r="AW551" s="33">
        <f t="shared" si="665"/>
        <v>0</v>
      </c>
      <c r="AX551" s="31">
        <f t="shared" si="666"/>
        <v>1</v>
      </c>
      <c r="AY551" s="33">
        <f t="shared" si="667"/>
        <v>0</v>
      </c>
      <c r="AZ551" s="2"/>
      <c r="BA551" s="101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</row>
    <row r="552" spans="1:71" ht="12" customHeight="1">
      <c r="A552" s="2"/>
      <c r="B552" s="107">
        <v>477</v>
      </c>
      <c r="C552" s="31">
        <v>7</v>
      </c>
      <c r="D552" s="111" t="s">
        <v>11</v>
      </c>
      <c r="E552" s="2" t="s">
        <v>101</v>
      </c>
      <c r="F552" s="2"/>
      <c r="G552" s="2"/>
      <c r="H552" s="33">
        <f t="shared" si="645"/>
        <v>5</v>
      </c>
      <c r="I552" s="99">
        <f t="shared" si="0"/>
        <v>507.13025763383126</v>
      </c>
      <c r="J552" s="101">
        <f t="shared" si="1"/>
        <v>17.830889465642951</v>
      </c>
      <c r="K552" s="101">
        <f t="shared" si="2"/>
        <v>588</v>
      </c>
      <c r="L552" s="74">
        <f t="shared" si="535"/>
        <v>322</v>
      </c>
      <c r="M552" s="99">
        <f t="shared" si="191"/>
        <v>11717.736602412646</v>
      </c>
      <c r="N552" s="108">
        <f t="shared" si="646"/>
        <v>10463.72884320929</v>
      </c>
      <c r="O552" s="108">
        <f t="shared" si="647"/>
        <v>1254.0077592033565</v>
      </c>
      <c r="P552" s="108"/>
      <c r="Q552" s="108"/>
      <c r="R552" s="109"/>
      <c r="S552" s="99">
        <f t="shared" si="648"/>
        <v>7808.677112243904</v>
      </c>
      <c r="T552" s="108">
        <f t="shared" si="649"/>
        <v>7808.677112243904</v>
      </c>
      <c r="U552" s="108">
        <f t="shared" si="650"/>
        <v>935.81760714512211</v>
      </c>
      <c r="V552" s="108"/>
      <c r="W552" s="108"/>
      <c r="X552" s="109"/>
      <c r="Y552" s="99">
        <f t="shared" si="8"/>
        <v>17488.989438778051</v>
      </c>
      <c r="Z552" s="108">
        <f t="shared" ref="Z552:AA552" si="685">T552*$D$58/100</f>
        <v>15617.354224487808</v>
      </c>
      <c r="AA552" s="108">
        <f t="shared" si="685"/>
        <v>1871.6352142902442</v>
      </c>
      <c r="AB552" s="108"/>
      <c r="AC552" s="108"/>
      <c r="AD552" s="109"/>
      <c r="AE552" s="99">
        <f t="shared" si="669"/>
        <v>23.105970164519999</v>
      </c>
      <c r="AF552" s="101">
        <f t="shared" si="652"/>
        <v>36</v>
      </c>
      <c r="AG552" s="101">
        <f t="shared" si="653"/>
        <v>34.001300000000001</v>
      </c>
      <c r="AH552" s="101">
        <f t="shared" si="654"/>
        <v>412</v>
      </c>
      <c r="AI552" s="101">
        <f t="shared" si="655"/>
        <v>200</v>
      </c>
      <c r="AJ552" s="108">
        <f t="shared" si="656"/>
        <v>1.4285714285714286</v>
      </c>
      <c r="AK552" s="101">
        <f t="shared" si="461"/>
        <v>2185.6138272121957</v>
      </c>
      <c r="AL552" s="101">
        <f t="shared" si="657"/>
        <v>1561.7354224487808</v>
      </c>
      <c r="AM552" s="101">
        <f t="shared" si="658"/>
        <v>623.87840476341478</v>
      </c>
      <c r="AN552" s="101"/>
      <c r="AO552" s="1">
        <v>30</v>
      </c>
      <c r="AP552" s="2">
        <v>36</v>
      </c>
      <c r="AQ552" s="74">
        <f t="shared" si="659"/>
        <v>412</v>
      </c>
      <c r="AR552" s="31">
        <f t="shared" si="660"/>
        <v>0</v>
      </c>
      <c r="AS552" s="2">
        <f t="shared" si="661"/>
        <v>15</v>
      </c>
      <c r="AT552" s="33">
        <f t="shared" si="662"/>
        <v>0</v>
      </c>
      <c r="AU552" s="31">
        <f t="shared" si="663"/>
        <v>0</v>
      </c>
      <c r="AV552" s="2">
        <f t="shared" si="664"/>
        <v>1.5</v>
      </c>
      <c r="AW552" s="33">
        <f t="shared" si="665"/>
        <v>0</v>
      </c>
      <c r="AX552" s="31">
        <f t="shared" si="666"/>
        <v>1</v>
      </c>
      <c r="AY552" s="33">
        <f t="shared" si="667"/>
        <v>0</v>
      </c>
      <c r="AZ552" s="2"/>
      <c r="BA552" s="101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</row>
    <row r="553" spans="1:71" ht="12" customHeight="1">
      <c r="A553" s="2"/>
      <c r="B553" s="107">
        <v>478</v>
      </c>
      <c r="C553" s="31">
        <v>4</v>
      </c>
      <c r="D553" s="111" t="s">
        <v>11</v>
      </c>
      <c r="E553" s="2" t="s">
        <v>67</v>
      </c>
      <c r="F553" s="2"/>
      <c r="G553" s="2"/>
      <c r="H553" s="33">
        <f t="shared" si="645"/>
        <v>5</v>
      </c>
      <c r="I553" s="99">
        <f t="shared" si="0"/>
        <v>402.09734883787075</v>
      </c>
      <c r="J553" s="101">
        <f t="shared" si="1"/>
        <v>9.8243007492741512</v>
      </c>
      <c r="K553" s="101">
        <f t="shared" si="2"/>
        <v>729</v>
      </c>
      <c r="L553" s="74">
        <f t="shared" si="535"/>
        <v>379</v>
      </c>
      <c r="M553" s="99">
        <f t="shared" si="191"/>
        <v>9290.849345480432</v>
      </c>
      <c r="N553" s="108">
        <f t="shared" si="646"/>
        <v>8602.6295978420239</v>
      </c>
      <c r="O553" s="108">
        <f t="shared" si="647"/>
        <v>688.21974763840728</v>
      </c>
      <c r="P553" s="108"/>
      <c r="Q553" s="108"/>
      <c r="R553" s="109"/>
      <c r="S553" s="99">
        <f t="shared" si="648"/>
        <v>7229.0215298841476</v>
      </c>
      <c r="T553" s="108">
        <f t="shared" si="649"/>
        <v>7229.0215298841476</v>
      </c>
      <c r="U553" s="108">
        <f t="shared" si="650"/>
        <v>578.32960449878055</v>
      </c>
      <c r="V553" s="108"/>
      <c r="W553" s="108"/>
      <c r="X553" s="109"/>
      <c r="Y553" s="99">
        <f t="shared" si="8"/>
        <v>15614.702268765857</v>
      </c>
      <c r="Z553" s="108">
        <f t="shared" ref="Z553:AA553" si="686">T553*$D$58/100</f>
        <v>14458.043059768295</v>
      </c>
      <c r="AA553" s="108">
        <f t="shared" si="686"/>
        <v>1156.6592089975611</v>
      </c>
      <c r="AB553" s="108"/>
      <c r="AC553" s="108"/>
      <c r="AD553" s="109"/>
      <c r="AE553" s="99">
        <f t="shared" si="669"/>
        <v>23.105970164519999</v>
      </c>
      <c r="AF553" s="101">
        <f t="shared" si="652"/>
        <v>36</v>
      </c>
      <c r="AG553" s="101">
        <f t="shared" si="653"/>
        <v>19.001300000000001</v>
      </c>
      <c r="AH553" s="101">
        <f t="shared" si="654"/>
        <v>227</v>
      </c>
      <c r="AI553" s="101">
        <f t="shared" si="655"/>
        <v>200</v>
      </c>
      <c r="AJ553" s="108">
        <f t="shared" si="656"/>
        <v>1.4285714285714286</v>
      </c>
      <c r="AK553" s="101">
        <f t="shared" si="461"/>
        <v>2024.13391047561</v>
      </c>
      <c r="AL553" s="101">
        <f t="shared" si="657"/>
        <v>1445.8043059768295</v>
      </c>
      <c r="AM553" s="101">
        <f t="shared" si="658"/>
        <v>578.32960449878055</v>
      </c>
      <c r="AN553" s="101"/>
      <c r="AO553" s="1">
        <v>30</v>
      </c>
      <c r="AP553" s="2">
        <v>36</v>
      </c>
      <c r="AQ553" s="74">
        <f t="shared" si="659"/>
        <v>227</v>
      </c>
      <c r="AR553" s="31">
        <f t="shared" si="660"/>
        <v>0</v>
      </c>
      <c r="AS553" s="2">
        <f t="shared" si="661"/>
        <v>0</v>
      </c>
      <c r="AT553" s="33">
        <f t="shared" si="662"/>
        <v>0</v>
      </c>
      <c r="AU553" s="31">
        <f t="shared" si="663"/>
        <v>0</v>
      </c>
      <c r="AV553" s="2">
        <f t="shared" si="664"/>
        <v>1</v>
      </c>
      <c r="AW553" s="33">
        <f t="shared" si="665"/>
        <v>0</v>
      </c>
      <c r="AX553" s="31">
        <f t="shared" si="666"/>
        <v>1</v>
      </c>
      <c r="AY553" s="33">
        <f t="shared" si="667"/>
        <v>0</v>
      </c>
      <c r="AZ553" s="2"/>
      <c r="BA553" s="101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</row>
    <row r="554" spans="1:71" ht="12" customHeight="1">
      <c r="A554" s="2"/>
      <c r="B554" s="107">
        <v>479</v>
      </c>
      <c r="C554" s="31">
        <v>4</v>
      </c>
      <c r="D554" s="111" t="s">
        <v>11</v>
      </c>
      <c r="E554" s="2" t="s">
        <v>148</v>
      </c>
      <c r="F554" s="2"/>
      <c r="G554" s="2"/>
      <c r="H554" s="33">
        <f t="shared" si="645"/>
        <v>5</v>
      </c>
      <c r="I554" s="99">
        <f t="shared" si="0"/>
        <v>513.13733873739318</v>
      </c>
      <c r="J554" s="101">
        <f t="shared" si="1"/>
        <v>12.537301118767083</v>
      </c>
      <c r="K554" s="101">
        <f t="shared" si="2"/>
        <v>584</v>
      </c>
      <c r="L554" s="74">
        <f t="shared" si="535"/>
        <v>320</v>
      </c>
      <c r="M554" s="99">
        <f t="shared" si="191"/>
        <v>9290.849345480432</v>
      </c>
      <c r="N554" s="108">
        <f t="shared" si="646"/>
        <v>8602.6295978420239</v>
      </c>
      <c r="O554" s="108">
        <f t="shared" si="647"/>
        <v>688.21974763840728</v>
      </c>
      <c r="P554" s="108"/>
      <c r="Q554" s="108"/>
      <c r="R554" s="109"/>
      <c r="S554" s="99">
        <f t="shared" si="648"/>
        <v>7229.0215298841476</v>
      </c>
      <c r="T554" s="108">
        <f t="shared" si="649"/>
        <v>7229.0215298841476</v>
      </c>
      <c r="U554" s="108">
        <f t="shared" si="650"/>
        <v>578.32960449878055</v>
      </c>
      <c r="V554" s="108"/>
      <c r="W554" s="108"/>
      <c r="X554" s="109"/>
      <c r="Y554" s="99">
        <f t="shared" si="8"/>
        <v>15614.702268765857</v>
      </c>
      <c r="Z554" s="108">
        <f t="shared" ref="Z554:AA554" si="687">T554*$D$58/100</f>
        <v>14458.043059768295</v>
      </c>
      <c r="AA554" s="108">
        <f t="shared" si="687"/>
        <v>1156.6592089975611</v>
      </c>
      <c r="AB554" s="108"/>
      <c r="AC554" s="108"/>
      <c r="AD554" s="109"/>
      <c r="AE554" s="99">
        <f t="shared" si="669"/>
        <v>18.105970164519999</v>
      </c>
      <c r="AF554" s="101">
        <f t="shared" si="652"/>
        <v>36</v>
      </c>
      <c r="AG554" s="101">
        <f t="shared" si="653"/>
        <v>19.001300000000001</v>
      </c>
      <c r="AH554" s="101">
        <f t="shared" si="654"/>
        <v>227</v>
      </c>
      <c r="AI554" s="101">
        <f t="shared" si="655"/>
        <v>200</v>
      </c>
      <c r="AJ554" s="108">
        <f t="shared" si="656"/>
        <v>1.4285714285714286</v>
      </c>
      <c r="AK554" s="101">
        <f t="shared" si="461"/>
        <v>2024.13391047561</v>
      </c>
      <c r="AL554" s="101">
        <f t="shared" si="657"/>
        <v>1445.8043059768295</v>
      </c>
      <c r="AM554" s="101">
        <f t="shared" si="658"/>
        <v>578.32960449878055</v>
      </c>
      <c r="AN554" s="101"/>
      <c r="AO554" s="1">
        <v>30</v>
      </c>
      <c r="AP554" s="2">
        <v>36</v>
      </c>
      <c r="AQ554" s="74">
        <f t="shared" si="659"/>
        <v>227</v>
      </c>
      <c r="AR554" s="31">
        <f t="shared" si="660"/>
        <v>5</v>
      </c>
      <c r="AS554" s="2">
        <f t="shared" si="661"/>
        <v>0</v>
      </c>
      <c r="AT554" s="33">
        <f t="shared" si="662"/>
        <v>0</v>
      </c>
      <c r="AU554" s="31">
        <f t="shared" si="663"/>
        <v>0</v>
      </c>
      <c r="AV554" s="2">
        <f t="shared" si="664"/>
        <v>1</v>
      </c>
      <c r="AW554" s="33">
        <f t="shared" si="665"/>
        <v>0</v>
      </c>
      <c r="AX554" s="31">
        <f t="shared" si="666"/>
        <v>1</v>
      </c>
      <c r="AY554" s="33">
        <f t="shared" si="667"/>
        <v>0</v>
      </c>
      <c r="AZ554" s="2"/>
      <c r="BA554" s="101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</row>
    <row r="555" spans="1:71" ht="12" customHeight="1">
      <c r="A555" s="2"/>
      <c r="B555" s="107">
        <v>480</v>
      </c>
      <c r="C555" s="31">
        <v>4</v>
      </c>
      <c r="D555" s="111" t="s">
        <v>11</v>
      </c>
      <c r="E555" s="2" t="s">
        <v>79</v>
      </c>
      <c r="F555" s="2"/>
      <c r="G555" s="2"/>
      <c r="H555" s="33">
        <f t="shared" si="645"/>
        <v>5</v>
      </c>
      <c r="I555" s="99">
        <f t="shared" si="0"/>
        <v>452.78133491674595</v>
      </c>
      <c r="J555" s="101">
        <f t="shared" si="1"/>
        <v>9.8243007492741512</v>
      </c>
      <c r="K555" s="101">
        <f t="shared" si="2"/>
        <v>669</v>
      </c>
      <c r="L555" s="74">
        <f t="shared" si="535"/>
        <v>354</v>
      </c>
      <c r="M555" s="99">
        <f t="shared" si="191"/>
        <v>10461.952015637869</v>
      </c>
      <c r="N555" s="108">
        <f t="shared" si="646"/>
        <v>9686.9828273246458</v>
      </c>
      <c r="O555" s="108">
        <f t="shared" si="647"/>
        <v>774.96918831322432</v>
      </c>
      <c r="P555" s="108"/>
      <c r="Q555" s="108"/>
      <c r="R555" s="109"/>
      <c r="S555" s="99">
        <f t="shared" si="648"/>
        <v>7229.0215298841476</v>
      </c>
      <c r="T555" s="108">
        <f t="shared" si="649"/>
        <v>7229.0215298841476</v>
      </c>
      <c r="U555" s="108">
        <f t="shared" si="650"/>
        <v>578.32960449878055</v>
      </c>
      <c r="V555" s="108"/>
      <c r="W555" s="108"/>
      <c r="X555" s="109"/>
      <c r="Y555" s="99">
        <f t="shared" si="8"/>
        <v>15614.702268765857</v>
      </c>
      <c r="Z555" s="108">
        <f t="shared" ref="Z555:AA555" si="688">T555*$D$58/100</f>
        <v>14458.043059768295</v>
      </c>
      <c r="AA555" s="108">
        <f t="shared" si="688"/>
        <v>1156.6592089975611</v>
      </c>
      <c r="AB555" s="108"/>
      <c r="AC555" s="108"/>
      <c r="AD555" s="109"/>
      <c r="AE555" s="99">
        <f t="shared" si="669"/>
        <v>23.105970164519999</v>
      </c>
      <c r="AF555" s="101">
        <f t="shared" si="652"/>
        <v>36</v>
      </c>
      <c r="AG555" s="101">
        <f t="shared" si="653"/>
        <v>34.001300000000001</v>
      </c>
      <c r="AH555" s="101">
        <f t="shared" si="654"/>
        <v>227</v>
      </c>
      <c r="AI555" s="101">
        <f t="shared" si="655"/>
        <v>200</v>
      </c>
      <c r="AJ555" s="108">
        <f t="shared" si="656"/>
        <v>1.4285714285714286</v>
      </c>
      <c r="AK555" s="101">
        <f t="shared" si="461"/>
        <v>2024.13391047561</v>
      </c>
      <c r="AL555" s="101">
        <f t="shared" si="657"/>
        <v>1445.8043059768295</v>
      </c>
      <c r="AM555" s="101">
        <f t="shared" si="658"/>
        <v>578.32960449878055</v>
      </c>
      <c r="AN555" s="101"/>
      <c r="AO555" s="1">
        <v>30</v>
      </c>
      <c r="AP555" s="2">
        <v>36</v>
      </c>
      <c r="AQ555" s="74">
        <f t="shared" si="659"/>
        <v>227</v>
      </c>
      <c r="AR555" s="31">
        <f t="shared" si="660"/>
        <v>0</v>
      </c>
      <c r="AS555" s="2">
        <f t="shared" si="661"/>
        <v>15</v>
      </c>
      <c r="AT555" s="33">
        <f t="shared" si="662"/>
        <v>0</v>
      </c>
      <c r="AU555" s="31">
        <f t="shared" si="663"/>
        <v>0</v>
      </c>
      <c r="AV555" s="2">
        <f t="shared" si="664"/>
        <v>1</v>
      </c>
      <c r="AW555" s="33">
        <f t="shared" si="665"/>
        <v>0</v>
      </c>
      <c r="AX555" s="31">
        <f t="shared" si="666"/>
        <v>1</v>
      </c>
      <c r="AY555" s="33">
        <f t="shared" si="667"/>
        <v>0</v>
      </c>
      <c r="AZ555" s="2"/>
      <c r="BA555" s="101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</row>
    <row r="556" spans="1:71" ht="12" customHeight="1">
      <c r="A556" s="2"/>
      <c r="B556" s="107">
        <v>481</v>
      </c>
      <c r="C556" s="31">
        <v>1</v>
      </c>
      <c r="D556" s="111" t="s">
        <v>11</v>
      </c>
      <c r="E556" s="2" t="s">
        <v>67</v>
      </c>
      <c r="F556" s="2"/>
      <c r="G556" s="2"/>
      <c r="H556" s="33">
        <f t="shared" si="645"/>
        <v>5</v>
      </c>
      <c r="I556" s="99">
        <f t="shared" si="0"/>
        <v>322.93631950812033</v>
      </c>
      <c r="J556" s="101">
        <f t="shared" si="1"/>
        <v>4.9337898036002343</v>
      </c>
      <c r="K556" s="101">
        <f t="shared" si="2"/>
        <v>810</v>
      </c>
      <c r="L556" s="74">
        <f t="shared" si="535"/>
        <v>400</v>
      </c>
      <c r="M556" s="99">
        <f t="shared" si="191"/>
        <v>7461.7569635945256</v>
      </c>
      <c r="N556" s="108">
        <f t="shared" si="646"/>
        <v>6909.2105237727092</v>
      </c>
      <c r="O556" s="108">
        <f t="shared" si="647"/>
        <v>552.54643982181665</v>
      </c>
      <c r="P556" s="108"/>
      <c r="Q556" s="108"/>
      <c r="R556" s="109"/>
      <c r="S556" s="99">
        <f t="shared" si="648"/>
        <v>5805.9958368292691</v>
      </c>
      <c r="T556" s="108">
        <f t="shared" si="649"/>
        <v>5805.9958368292691</v>
      </c>
      <c r="U556" s="108">
        <f t="shared" si="650"/>
        <v>464.31966694634144</v>
      </c>
      <c r="V556" s="108"/>
      <c r="W556" s="108"/>
      <c r="X556" s="109"/>
      <c r="Y556" s="99">
        <f t="shared" si="8"/>
        <v>12540.631007551221</v>
      </c>
      <c r="Z556" s="108">
        <f t="shared" ref="Z556:AA556" si="689">T556*$D$58/100</f>
        <v>11611.991673658538</v>
      </c>
      <c r="AA556" s="108">
        <f t="shared" si="689"/>
        <v>928.63933389268288</v>
      </c>
      <c r="AB556" s="108"/>
      <c r="AC556" s="108"/>
      <c r="AD556" s="109"/>
      <c r="AE556" s="99">
        <f t="shared" si="669"/>
        <v>23.105970164519999</v>
      </c>
      <c r="AF556" s="101">
        <f t="shared" si="652"/>
        <v>36</v>
      </c>
      <c r="AG556" s="101">
        <f t="shared" si="653"/>
        <v>19.001300000000001</v>
      </c>
      <c r="AH556" s="101">
        <f t="shared" si="654"/>
        <v>114</v>
      </c>
      <c r="AI556" s="101">
        <f t="shared" si="655"/>
        <v>200</v>
      </c>
      <c r="AJ556" s="108">
        <f t="shared" si="656"/>
        <v>1.4285714285714286</v>
      </c>
      <c r="AK556" s="101">
        <f t="shared" si="461"/>
        <v>1625.5188343121952</v>
      </c>
      <c r="AL556" s="101">
        <f t="shared" si="657"/>
        <v>1161.1991673658538</v>
      </c>
      <c r="AM556" s="101">
        <f t="shared" si="658"/>
        <v>464.31966694634144</v>
      </c>
      <c r="AN556" s="101"/>
      <c r="AO556" s="1">
        <v>30</v>
      </c>
      <c r="AP556" s="2">
        <v>36</v>
      </c>
      <c r="AQ556" s="74">
        <f t="shared" si="659"/>
        <v>114</v>
      </c>
      <c r="AR556" s="31">
        <f t="shared" si="660"/>
        <v>0</v>
      </c>
      <c r="AS556" s="2">
        <f t="shared" si="661"/>
        <v>0</v>
      </c>
      <c r="AT556" s="33">
        <f t="shared" si="662"/>
        <v>0</v>
      </c>
      <c r="AU556" s="31">
        <f t="shared" si="663"/>
        <v>0</v>
      </c>
      <c r="AV556" s="2">
        <f t="shared" si="664"/>
        <v>1</v>
      </c>
      <c r="AW556" s="33">
        <f t="shared" si="665"/>
        <v>0</v>
      </c>
      <c r="AX556" s="31">
        <f t="shared" si="666"/>
        <v>1</v>
      </c>
      <c r="AY556" s="33">
        <f t="shared" si="667"/>
        <v>0</v>
      </c>
      <c r="AZ556" s="2"/>
      <c r="BA556" s="101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</row>
    <row r="557" spans="1:71" ht="12" customHeight="1">
      <c r="A557" s="2"/>
      <c r="B557" s="107">
        <v>482</v>
      </c>
      <c r="C557" s="31">
        <v>10</v>
      </c>
      <c r="D557" s="111" t="s">
        <v>14</v>
      </c>
      <c r="E557" s="2" t="s">
        <v>144</v>
      </c>
      <c r="F557" s="2"/>
      <c r="G557" s="2"/>
      <c r="H557" s="33" t="s">
        <v>81</v>
      </c>
      <c r="I557" s="99">
        <f t="shared" si="0"/>
        <v>832.17770789458234</v>
      </c>
      <c r="J557" s="101">
        <f t="shared" si="1"/>
        <v>23.695174714659018</v>
      </c>
      <c r="K557" s="101">
        <f t="shared" si="2"/>
        <v>252</v>
      </c>
      <c r="L557" s="74">
        <f t="shared" si="535"/>
        <v>177</v>
      </c>
      <c r="M557" s="99">
        <f t="shared" si="191"/>
        <v>23073.927948229033</v>
      </c>
      <c r="N557" s="101">
        <f t="shared" ref="N557:N866" si="690">T557*(1+((AG557+IF(F557="백어택",20,0))/100)*(AI557/100-1))</f>
        <v>4303.1636021730574</v>
      </c>
      <c r="O557" s="101">
        <f t="shared" ref="O557:O680" si="691">U557*(1+((AG557+IF(F557="백어택",20,0))/100)*(AI557/100-1))</f>
        <v>4303.1636021730574</v>
      </c>
      <c r="P557" s="101">
        <f t="shared" ref="P557:P680" si="692">V557*(1+((AG557+IF(F557="백어택",20,0))/100)*(AI557*IF(AX557=1,AW557,1)/100-1))</f>
        <v>5814.8777632970296</v>
      </c>
      <c r="Q557" s="101">
        <f t="shared" ref="Q557:Q680" si="693">W557*(1+((AG557+IF(F557="백어택",20,0))/100)*(AI557*AW557/100-1))</f>
        <v>8652.7229805858879</v>
      </c>
      <c r="R557" s="109"/>
      <c r="S557" s="99">
        <f t="shared" ref="S557:S977" si="694">SUM(T557:X557)</f>
        <v>19389.643599043902</v>
      </c>
      <c r="T557" s="101">
        <f t="shared" ref="T557:T680" si="695">AL557*AY557*IF(F557="백어택",1.2,1)</f>
        <v>3616.0643641481706</v>
      </c>
      <c r="U557" s="101">
        <f t="shared" ref="U557:U680" si="696">AM557*AY557*IF(F557="백어택",1.2,1)</f>
        <v>3616.0643641481706</v>
      </c>
      <c r="V557" s="101">
        <f t="shared" ref="V557:V680" si="697">AN557*AY557*IF(F557="백어택",1.2,1)</f>
        <v>4886.3985211060972</v>
      </c>
      <c r="W557" s="101">
        <f t="shared" ref="W557:W680" si="698">(T557+U557+V557)*IF(AX557=1,0,0.6)*IF(F557="백어택",1.2,1)</f>
        <v>7271.1163496414638</v>
      </c>
      <c r="X557" s="74"/>
      <c r="Y557" s="99">
        <f t="shared" si="8"/>
        <v>38779.287198087804</v>
      </c>
      <c r="Z557" s="101">
        <f t="shared" ref="Z557:Z680" si="699">T557*AI557/100</f>
        <v>7232.1287282963413</v>
      </c>
      <c r="AA557" s="101">
        <f t="shared" ref="AA557:AA680" si="700">U557*AI557/100</f>
        <v>7232.1287282963413</v>
      </c>
      <c r="AB557" s="101">
        <f t="shared" ref="AB557:AB680" si="701">V557*AI557*IF(AX557=1,AW557,1)/100</f>
        <v>9772.7970422121944</v>
      </c>
      <c r="AC557" s="101">
        <f t="shared" ref="AC557:AC680" si="702">W557*AI557*AW557/100</f>
        <v>14542.232699282928</v>
      </c>
      <c r="AD557" s="74"/>
      <c r="AE557" s="99">
        <f>AO557*(1-$D$20/100)*(1-$D$17/100)</f>
        <v>27.727164197424003</v>
      </c>
      <c r="AF557" s="101">
        <f t="shared" ref="AF557" si="703">AP557</f>
        <v>36</v>
      </c>
      <c r="AG557" s="101">
        <f t="shared" ref="AG557:AG680" si="704">IF($D$57+AU557&gt;100,100,$D$57+AU557)</f>
        <v>19.001300000000001</v>
      </c>
      <c r="AH557" s="101">
        <f t="shared" ref="AH557:AH680" si="705">AQ557*AS557</f>
        <v>657</v>
      </c>
      <c r="AI557" s="101">
        <f t="shared" ref="AI557:AI680" si="706">$D$58+IF(H557="근접",AR557,0)+IF(AY557=1,0,50)</f>
        <v>200</v>
      </c>
      <c r="AJ557" s="108">
        <f t="shared" ref="AJ557:AJ680" si="707">10/3</f>
        <v>3.3333333333333335</v>
      </c>
      <c r="AK557" s="101">
        <f t="shared" si="461"/>
        <v>12118.527249402439</v>
      </c>
      <c r="AL557" s="101">
        <f t="shared" ref="AL557:AL680" si="708">(IF(H557="근접",$D$61*(VLOOKUP(C557,$B$36:$AG$39,19,FALSE)+VLOOKUP(C557,$B$40:$AG$43,19,FALSE)*$D$54),$D$60*(VLOOKUP(C557,$B$36:$AG$39,19,FALSE)+VLOOKUP(C557,$B$40:$AG$43,19,FALSE)*$D$54)))*$D$59/100</f>
        <v>3616.0643641481706</v>
      </c>
      <c r="AM557" s="101">
        <f t="shared" ref="AM557:AM680" si="709">(IF(H557="근접",$D$61*(VLOOKUP(C557,$B$36:$AG$39,20,FALSE)+VLOOKUP(C557,$B$40:$AG$43,20,FALSE)*$D$54),$D$60*(VLOOKUP(C557,$B$36:$AG$39,20,FALSE)+VLOOKUP(C557,$B$40:$AG$43,20,FALSE)*$D$54)))*$D$59/100</f>
        <v>3616.0643641481706</v>
      </c>
      <c r="AN557" s="101">
        <f t="shared" ref="AN557:AN680" si="710">(IF(H557="근접",$D$61*(VLOOKUP(C557,$B$36:$AG$39,21,FALSE)+VLOOKUP(C557,$B$40:$AG$43,21,FALSE)*$D$54),$D$60*(VLOOKUP(C557,$B$36:$AG$39,21,FALSE)+VLOOKUP(C557,$B$40:$AG$43,21,FALSE)*$D$54)))*$D$59/100</f>
        <v>4886.3985211060972</v>
      </c>
      <c r="AO557" s="1">
        <v>36</v>
      </c>
      <c r="AP557" s="2">
        <v>36</v>
      </c>
      <c r="AQ557" s="74">
        <f t="shared" ref="AQ557:AQ680" si="711">VLOOKUP(C557,$B$45:$AA$48,19,FALSE)</f>
        <v>657</v>
      </c>
      <c r="AR557" s="31">
        <f t="shared" ref="AR557:AR680" si="712">IF(LEFT(E557,1)*1=1,$S$64,$R$64)</f>
        <v>0</v>
      </c>
      <c r="AS557" s="2">
        <f t="shared" ref="AS557:AS680" si="713">IF(LEFT(E557,1)*1=2,$U$64,$T$64)</f>
        <v>1</v>
      </c>
      <c r="AT557" s="33">
        <f t="shared" ref="AT557:AT680" si="714">IF(LEFT(E557,1)*1=3,$W$64,$V$64)</f>
        <v>0</v>
      </c>
      <c r="AU557" s="31">
        <f t="shared" ref="AU557:AU680" si="715">IF(MID(E557,3,1)*1=1,$Y$64,$X$64)</f>
        <v>0</v>
      </c>
      <c r="AV557" s="2">
        <f t="shared" ref="AV557:AV680" si="716">IF(MID(E557,3,1)*1=2,$AA$64,$Z$64)</f>
        <v>0</v>
      </c>
      <c r="AW557" s="33">
        <f t="shared" ref="AW557:AW680" si="717">IF(MID(E557,3,1)*1=3,$AC$64,$AB$64)</f>
        <v>1</v>
      </c>
      <c r="AX557" s="31">
        <f t="shared" ref="AX557:AX680" si="718">IF(MID(E557,5,1)*1=1,$AE$64,$AD$64)</f>
        <v>0.6</v>
      </c>
      <c r="AY557" s="33">
        <f t="shared" ref="AY557:AY680" si="719">IF(MID(E557,5,1)*1=2,$AG$64,$AF$64)</f>
        <v>1</v>
      </c>
      <c r="AZ557" s="2"/>
      <c r="BA557" s="101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</row>
    <row r="558" spans="1:71" ht="12" customHeight="1">
      <c r="A558" s="2"/>
      <c r="B558" s="107">
        <v>483</v>
      </c>
      <c r="C558" s="31">
        <v>10</v>
      </c>
      <c r="D558" s="111" t="s">
        <v>14</v>
      </c>
      <c r="E558" s="2" t="s">
        <v>138</v>
      </c>
      <c r="F558" s="2"/>
      <c r="G558" s="2"/>
      <c r="H558" s="33" t="s">
        <v>81</v>
      </c>
      <c r="I558" s="99">
        <f t="shared" si="0"/>
        <v>1007.0030475956155</v>
      </c>
      <c r="J558" s="101">
        <f t="shared" si="1"/>
        <v>23.695174714659018</v>
      </c>
      <c r="K558" s="101">
        <f t="shared" si="2"/>
        <v>156</v>
      </c>
      <c r="L558" s="74">
        <f t="shared" si="535"/>
        <v>121</v>
      </c>
      <c r="M558" s="99">
        <f t="shared" si="191"/>
        <v>27921.33884799001</v>
      </c>
      <c r="N558" s="101">
        <f t="shared" si="690"/>
        <v>5207.1796932100997</v>
      </c>
      <c r="O558" s="101">
        <f t="shared" si="691"/>
        <v>5207.1796932100997</v>
      </c>
      <c r="P558" s="101">
        <f t="shared" si="692"/>
        <v>7036.4773935735539</v>
      </c>
      <c r="Q558" s="101">
        <f t="shared" si="693"/>
        <v>10470.502067996253</v>
      </c>
      <c r="R558" s="109"/>
      <c r="S558" s="99">
        <f t="shared" si="694"/>
        <v>19389.643599043902</v>
      </c>
      <c r="T558" s="101">
        <f t="shared" si="695"/>
        <v>3616.0643641481706</v>
      </c>
      <c r="U558" s="101">
        <f t="shared" si="696"/>
        <v>3616.0643641481706</v>
      </c>
      <c r="V558" s="101">
        <f t="shared" si="697"/>
        <v>4886.3985211060972</v>
      </c>
      <c r="W558" s="101">
        <f t="shared" si="698"/>
        <v>7271.1163496414638</v>
      </c>
      <c r="X558" s="74"/>
      <c r="Y558" s="99">
        <f t="shared" si="8"/>
        <v>38779.287198087804</v>
      </c>
      <c r="Z558" s="101">
        <f t="shared" si="699"/>
        <v>7232.1287282963413</v>
      </c>
      <c r="AA558" s="101">
        <f t="shared" si="700"/>
        <v>7232.1287282963413</v>
      </c>
      <c r="AB558" s="101">
        <f t="shared" si="701"/>
        <v>9772.7970422121944</v>
      </c>
      <c r="AC558" s="101">
        <f t="shared" si="702"/>
        <v>14542.232699282928</v>
      </c>
      <c r="AD558" s="74"/>
      <c r="AE558" s="99">
        <f t="shared" ref="AE558:AE621" si="720">AO558*(1-$D$20/100)*(1-$D$17/100)</f>
        <v>27.727164197424003</v>
      </c>
      <c r="AF558" s="101">
        <f t="shared" ref="AF558" si="721">AP558</f>
        <v>36</v>
      </c>
      <c r="AG558" s="101">
        <f t="shared" si="704"/>
        <v>44.001300000000001</v>
      </c>
      <c r="AH558" s="101">
        <f t="shared" si="705"/>
        <v>657</v>
      </c>
      <c r="AI558" s="101">
        <f t="shared" si="706"/>
        <v>200</v>
      </c>
      <c r="AJ558" s="108">
        <f t="shared" si="707"/>
        <v>3.3333333333333335</v>
      </c>
      <c r="AK558" s="101">
        <f t="shared" si="461"/>
        <v>12118.527249402439</v>
      </c>
      <c r="AL558" s="101">
        <f t="shared" si="708"/>
        <v>3616.0643641481706</v>
      </c>
      <c r="AM558" s="101">
        <f t="shared" si="709"/>
        <v>3616.0643641481706</v>
      </c>
      <c r="AN558" s="101">
        <f t="shared" si="710"/>
        <v>4886.3985211060972</v>
      </c>
      <c r="AO558" s="1">
        <v>36</v>
      </c>
      <c r="AP558" s="2">
        <v>36</v>
      </c>
      <c r="AQ558" s="74">
        <f t="shared" si="711"/>
        <v>657</v>
      </c>
      <c r="AR558" s="31">
        <f t="shared" si="712"/>
        <v>0</v>
      </c>
      <c r="AS558" s="2">
        <f t="shared" si="713"/>
        <v>1</v>
      </c>
      <c r="AT558" s="33">
        <f t="shared" si="714"/>
        <v>0</v>
      </c>
      <c r="AU558" s="31">
        <f t="shared" si="715"/>
        <v>25</v>
      </c>
      <c r="AV558" s="2">
        <f t="shared" si="716"/>
        <v>0</v>
      </c>
      <c r="AW558" s="33">
        <f t="shared" si="717"/>
        <v>1</v>
      </c>
      <c r="AX558" s="31">
        <f t="shared" si="718"/>
        <v>0.6</v>
      </c>
      <c r="AY558" s="33">
        <f t="shared" si="719"/>
        <v>1</v>
      </c>
      <c r="AZ558" s="2"/>
      <c r="BA558" s="101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</row>
    <row r="559" spans="1:71" ht="12" customHeight="1">
      <c r="A559" s="2"/>
      <c r="B559" s="107">
        <v>484</v>
      </c>
      <c r="C559" s="31">
        <v>10</v>
      </c>
      <c r="D559" s="111" t="s">
        <v>14</v>
      </c>
      <c r="E559" s="2" t="s">
        <v>141</v>
      </c>
      <c r="F559" s="2"/>
      <c r="G559" s="2"/>
      <c r="H559" s="33" t="s">
        <v>81</v>
      </c>
      <c r="I559" s="99">
        <f t="shared" si="0"/>
        <v>868.05432214900372</v>
      </c>
      <c r="J559" s="101">
        <f t="shared" si="1"/>
        <v>23.695174714659018</v>
      </c>
      <c r="K559" s="101">
        <f t="shared" si="2"/>
        <v>231</v>
      </c>
      <c r="L559" s="74">
        <f t="shared" si="535"/>
        <v>165</v>
      </c>
      <c r="M559" s="99">
        <f t="shared" si="191"/>
        <v>24068.684722509017</v>
      </c>
      <c r="N559" s="101">
        <f t="shared" si="690"/>
        <v>4303.1636021730574</v>
      </c>
      <c r="O559" s="101">
        <f t="shared" si="691"/>
        <v>4303.1636021730574</v>
      </c>
      <c r="P559" s="101">
        <f t="shared" si="692"/>
        <v>5814.8777632970296</v>
      </c>
      <c r="Q559" s="101">
        <f t="shared" si="693"/>
        <v>9647.4797548658717</v>
      </c>
      <c r="R559" s="109"/>
      <c r="S559" s="99">
        <f t="shared" si="694"/>
        <v>19389.643599043902</v>
      </c>
      <c r="T559" s="101">
        <f t="shared" si="695"/>
        <v>3616.0643641481706</v>
      </c>
      <c r="U559" s="101">
        <f t="shared" si="696"/>
        <v>3616.0643641481706</v>
      </c>
      <c r="V559" s="101">
        <f t="shared" si="697"/>
        <v>4886.3985211060972</v>
      </c>
      <c r="W559" s="101">
        <f t="shared" si="698"/>
        <v>7271.1163496414638</v>
      </c>
      <c r="X559" s="74"/>
      <c r="Y559" s="99">
        <f t="shared" si="8"/>
        <v>44014.490969829661</v>
      </c>
      <c r="Z559" s="101">
        <f t="shared" si="699"/>
        <v>7232.1287282963413</v>
      </c>
      <c r="AA559" s="101">
        <f t="shared" si="700"/>
        <v>7232.1287282963413</v>
      </c>
      <c r="AB559" s="101">
        <f t="shared" si="701"/>
        <v>9772.7970422121944</v>
      </c>
      <c r="AC559" s="101">
        <f t="shared" si="702"/>
        <v>19777.436471024783</v>
      </c>
      <c r="AD559" s="74"/>
      <c r="AE559" s="99">
        <f t="shared" si="720"/>
        <v>27.727164197424003</v>
      </c>
      <c r="AF559" s="101">
        <f t="shared" ref="AF559" si="722">AP559</f>
        <v>36</v>
      </c>
      <c r="AG559" s="101">
        <f t="shared" si="704"/>
        <v>19.001300000000001</v>
      </c>
      <c r="AH559" s="101">
        <f t="shared" si="705"/>
        <v>657</v>
      </c>
      <c r="AI559" s="101">
        <f t="shared" si="706"/>
        <v>200</v>
      </c>
      <c r="AJ559" s="108">
        <f t="shared" si="707"/>
        <v>3.3333333333333335</v>
      </c>
      <c r="AK559" s="101">
        <f t="shared" si="461"/>
        <v>12118.527249402439</v>
      </c>
      <c r="AL559" s="101">
        <f t="shared" si="708"/>
        <v>3616.0643641481706</v>
      </c>
      <c r="AM559" s="101">
        <f t="shared" si="709"/>
        <v>3616.0643641481706</v>
      </c>
      <c r="AN559" s="101">
        <f t="shared" si="710"/>
        <v>4886.3985211060972</v>
      </c>
      <c r="AO559" s="1">
        <v>36</v>
      </c>
      <c r="AP559" s="2">
        <v>36</v>
      </c>
      <c r="AQ559" s="74">
        <f t="shared" si="711"/>
        <v>657</v>
      </c>
      <c r="AR559" s="31">
        <f t="shared" si="712"/>
        <v>0</v>
      </c>
      <c r="AS559" s="2">
        <f t="shared" si="713"/>
        <v>1</v>
      </c>
      <c r="AT559" s="33">
        <f t="shared" si="714"/>
        <v>0</v>
      </c>
      <c r="AU559" s="31">
        <f t="shared" si="715"/>
        <v>0</v>
      </c>
      <c r="AV559" s="2">
        <f t="shared" si="716"/>
        <v>0</v>
      </c>
      <c r="AW559" s="33">
        <f t="shared" si="717"/>
        <v>1.36</v>
      </c>
      <c r="AX559" s="31">
        <f t="shared" si="718"/>
        <v>0.6</v>
      </c>
      <c r="AY559" s="33">
        <f t="shared" si="719"/>
        <v>1</v>
      </c>
      <c r="AZ559" s="2"/>
      <c r="BA559" s="101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</row>
    <row r="560" spans="1:71" ht="12" customHeight="1">
      <c r="A560" s="2"/>
      <c r="B560" s="107">
        <v>485</v>
      </c>
      <c r="C560" s="31">
        <v>10</v>
      </c>
      <c r="D560" s="111" t="s">
        <v>14</v>
      </c>
      <c r="E560" s="2" t="s">
        <v>150</v>
      </c>
      <c r="F560" s="2"/>
      <c r="G560" s="2"/>
      <c r="H560" s="33" t="s">
        <v>81</v>
      </c>
      <c r="I560" s="99">
        <f t="shared" si="0"/>
        <v>898.61588243980702</v>
      </c>
      <c r="J560" s="101">
        <f t="shared" si="1"/>
        <v>23.695174714659018</v>
      </c>
      <c r="K560" s="101">
        <f t="shared" si="2"/>
        <v>206</v>
      </c>
      <c r="L560" s="74">
        <f t="shared" si="535"/>
        <v>153</v>
      </c>
      <c r="M560" s="99">
        <f t="shared" si="191"/>
        <v>24916.070122821595</v>
      </c>
      <c r="N560" s="101">
        <f t="shared" si="690"/>
        <v>4646.7132211855005</v>
      </c>
      <c r="O560" s="101">
        <f t="shared" si="691"/>
        <v>4646.7132211855005</v>
      </c>
      <c r="P560" s="101">
        <f t="shared" si="692"/>
        <v>6279.1173843924962</v>
      </c>
      <c r="Q560" s="101">
        <f t="shared" si="693"/>
        <v>9343.5262960580985</v>
      </c>
      <c r="R560" s="109"/>
      <c r="S560" s="99">
        <f t="shared" si="694"/>
        <v>19389.643599043902</v>
      </c>
      <c r="T560" s="101">
        <f t="shared" si="695"/>
        <v>3616.0643641481706</v>
      </c>
      <c r="U560" s="101">
        <f t="shared" si="696"/>
        <v>3616.0643641481706</v>
      </c>
      <c r="V560" s="101">
        <f t="shared" si="697"/>
        <v>4886.3985211060972</v>
      </c>
      <c r="W560" s="101">
        <f t="shared" si="698"/>
        <v>7271.1163496414638</v>
      </c>
      <c r="X560" s="74"/>
      <c r="Y560" s="99">
        <f t="shared" si="8"/>
        <v>48474.108997609757</v>
      </c>
      <c r="Z560" s="101">
        <f t="shared" si="699"/>
        <v>9040.1609103704268</v>
      </c>
      <c r="AA560" s="101">
        <f t="shared" si="700"/>
        <v>9040.1609103704268</v>
      </c>
      <c r="AB560" s="101">
        <f t="shared" si="701"/>
        <v>12215.996302765243</v>
      </c>
      <c r="AC560" s="101">
        <f t="shared" si="702"/>
        <v>18177.790874103659</v>
      </c>
      <c r="AD560" s="74"/>
      <c r="AE560" s="99">
        <f t="shared" si="720"/>
        <v>27.727164197424003</v>
      </c>
      <c r="AF560" s="101">
        <f t="shared" ref="AF560" si="723">AP560</f>
        <v>36</v>
      </c>
      <c r="AG560" s="101">
        <f t="shared" si="704"/>
        <v>19.001300000000001</v>
      </c>
      <c r="AH560" s="101">
        <f t="shared" si="705"/>
        <v>657</v>
      </c>
      <c r="AI560" s="101">
        <f t="shared" si="706"/>
        <v>250</v>
      </c>
      <c r="AJ560" s="108">
        <f t="shared" si="707"/>
        <v>3.3333333333333335</v>
      </c>
      <c r="AK560" s="101">
        <f t="shared" si="461"/>
        <v>12118.527249402439</v>
      </c>
      <c r="AL560" s="101">
        <f t="shared" si="708"/>
        <v>3616.0643641481706</v>
      </c>
      <c r="AM560" s="101">
        <f t="shared" si="709"/>
        <v>3616.0643641481706</v>
      </c>
      <c r="AN560" s="101">
        <f t="shared" si="710"/>
        <v>4886.3985211060972</v>
      </c>
      <c r="AO560" s="1">
        <v>36</v>
      </c>
      <c r="AP560" s="2">
        <v>36</v>
      </c>
      <c r="AQ560" s="74">
        <f t="shared" si="711"/>
        <v>657</v>
      </c>
      <c r="AR560" s="31">
        <f t="shared" si="712"/>
        <v>50</v>
      </c>
      <c r="AS560" s="2">
        <f t="shared" si="713"/>
        <v>1</v>
      </c>
      <c r="AT560" s="33">
        <f t="shared" si="714"/>
        <v>0</v>
      </c>
      <c r="AU560" s="31">
        <f t="shared" si="715"/>
        <v>0</v>
      </c>
      <c r="AV560" s="2">
        <f t="shared" si="716"/>
        <v>0</v>
      </c>
      <c r="AW560" s="33">
        <f t="shared" si="717"/>
        <v>1</v>
      </c>
      <c r="AX560" s="31">
        <f t="shared" si="718"/>
        <v>0.6</v>
      </c>
      <c r="AY560" s="33">
        <f t="shared" si="719"/>
        <v>1</v>
      </c>
      <c r="AZ560" s="2"/>
      <c r="BA560" s="101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</row>
    <row r="561" spans="1:71" ht="12" customHeight="1">
      <c r="A561" s="2"/>
      <c r="B561" s="107">
        <v>486</v>
      </c>
      <c r="C561" s="31">
        <v>10</v>
      </c>
      <c r="D561" s="111" t="s">
        <v>14</v>
      </c>
      <c r="E561" s="2" t="s">
        <v>164</v>
      </c>
      <c r="F561" s="2"/>
      <c r="G561" s="2"/>
      <c r="H561" s="33" t="s">
        <v>81</v>
      </c>
      <c r="I561" s="99">
        <f t="shared" si="0"/>
        <v>1160.8538919913569</v>
      </c>
      <c r="J561" s="101">
        <f t="shared" si="1"/>
        <v>23.695174714659018</v>
      </c>
      <c r="K561" s="101">
        <f t="shared" si="2"/>
        <v>104</v>
      </c>
      <c r="L561" s="74">
        <f t="shared" si="535"/>
        <v>89</v>
      </c>
      <c r="M561" s="99">
        <f t="shared" si="191"/>
        <v>32187.186472463061</v>
      </c>
      <c r="N561" s="101">
        <f t="shared" si="690"/>
        <v>6002.7373577410644</v>
      </c>
      <c r="O561" s="101">
        <f t="shared" si="691"/>
        <v>6002.7373577410644</v>
      </c>
      <c r="P561" s="101">
        <f t="shared" si="692"/>
        <v>8111.5168298072831</v>
      </c>
      <c r="Q561" s="101">
        <f t="shared" si="693"/>
        <v>12070.194927173648</v>
      </c>
      <c r="R561" s="109"/>
      <c r="S561" s="99">
        <f t="shared" si="694"/>
        <v>19389.643599043902</v>
      </c>
      <c r="T561" s="101">
        <f t="shared" si="695"/>
        <v>3616.0643641481706</v>
      </c>
      <c r="U561" s="101">
        <f t="shared" si="696"/>
        <v>3616.0643641481706</v>
      </c>
      <c r="V561" s="101">
        <f t="shared" si="697"/>
        <v>4886.3985211060972</v>
      </c>
      <c r="W561" s="101">
        <f t="shared" si="698"/>
        <v>7271.1163496414638</v>
      </c>
      <c r="X561" s="74"/>
      <c r="Y561" s="99">
        <f t="shared" si="8"/>
        <v>48474.108997609757</v>
      </c>
      <c r="Z561" s="101">
        <f t="shared" si="699"/>
        <v>9040.1609103704268</v>
      </c>
      <c r="AA561" s="101">
        <f t="shared" si="700"/>
        <v>9040.1609103704268</v>
      </c>
      <c r="AB561" s="101">
        <f t="shared" si="701"/>
        <v>12215.996302765243</v>
      </c>
      <c r="AC561" s="101">
        <f t="shared" si="702"/>
        <v>18177.790874103659</v>
      </c>
      <c r="AD561" s="74"/>
      <c r="AE561" s="99">
        <f t="shared" si="720"/>
        <v>27.727164197424003</v>
      </c>
      <c r="AF561" s="101">
        <f t="shared" ref="AF561" si="724">AP561</f>
        <v>36</v>
      </c>
      <c r="AG561" s="101">
        <f t="shared" si="704"/>
        <v>44.001300000000001</v>
      </c>
      <c r="AH561" s="101">
        <f t="shared" si="705"/>
        <v>657</v>
      </c>
      <c r="AI561" s="101">
        <f t="shared" si="706"/>
        <v>250</v>
      </c>
      <c r="AJ561" s="108">
        <f t="shared" si="707"/>
        <v>3.3333333333333335</v>
      </c>
      <c r="AK561" s="101">
        <f t="shared" si="461"/>
        <v>12118.527249402439</v>
      </c>
      <c r="AL561" s="101">
        <f t="shared" si="708"/>
        <v>3616.0643641481706</v>
      </c>
      <c r="AM561" s="101">
        <f t="shared" si="709"/>
        <v>3616.0643641481706</v>
      </c>
      <c r="AN561" s="101">
        <f t="shared" si="710"/>
        <v>4886.3985211060972</v>
      </c>
      <c r="AO561" s="1">
        <v>36</v>
      </c>
      <c r="AP561" s="2">
        <v>36</v>
      </c>
      <c r="AQ561" s="74">
        <f t="shared" si="711"/>
        <v>657</v>
      </c>
      <c r="AR561" s="31">
        <f t="shared" si="712"/>
        <v>50</v>
      </c>
      <c r="AS561" s="2">
        <f t="shared" si="713"/>
        <v>1</v>
      </c>
      <c r="AT561" s="33">
        <f t="shared" si="714"/>
        <v>0</v>
      </c>
      <c r="AU561" s="31">
        <f t="shared" si="715"/>
        <v>25</v>
      </c>
      <c r="AV561" s="2">
        <f t="shared" si="716"/>
        <v>0</v>
      </c>
      <c r="AW561" s="33">
        <f t="shared" si="717"/>
        <v>1</v>
      </c>
      <c r="AX561" s="31">
        <f t="shared" si="718"/>
        <v>0.6</v>
      </c>
      <c r="AY561" s="33">
        <f t="shared" si="719"/>
        <v>1</v>
      </c>
      <c r="AZ561" s="2"/>
      <c r="BA561" s="101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</row>
    <row r="562" spans="1:71" ht="12" customHeight="1">
      <c r="A562" s="2"/>
      <c r="B562" s="107">
        <v>487</v>
      </c>
      <c r="C562" s="31">
        <v>10</v>
      </c>
      <c r="D562" s="111" t="s">
        <v>14</v>
      </c>
      <c r="E562" s="2" t="s">
        <v>156</v>
      </c>
      <c r="F562" s="2"/>
      <c r="G562" s="2"/>
      <c r="H562" s="33" t="s">
        <v>81</v>
      </c>
      <c r="I562" s="99">
        <f t="shared" si="0"/>
        <v>943.46165025783375</v>
      </c>
      <c r="J562" s="101">
        <f t="shared" si="1"/>
        <v>23.695174714659018</v>
      </c>
      <c r="K562" s="101">
        <f t="shared" si="2"/>
        <v>185</v>
      </c>
      <c r="L562" s="74">
        <f t="shared" si="535"/>
        <v>140</v>
      </c>
      <c r="M562" s="99">
        <f t="shared" si="191"/>
        <v>26159.516090671576</v>
      </c>
      <c r="N562" s="101">
        <f t="shared" si="690"/>
        <v>4646.7132211855005</v>
      </c>
      <c r="O562" s="101">
        <f t="shared" si="691"/>
        <v>4646.7132211855005</v>
      </c>
      <c r="P562" s="101">
        <f t="shared" si="692"/>
        <v>6279.1173843924962</v>
      </c>
      <c r="Q562" s="101">
        <f t="shared" si="693"/>
        <v>10586.972263908079</v>
      </c>
      <c r="R562" s="109"/>
      <c r="S562" s="99">
        <f t="shared" si="694"/>
        <v>19389.643599043902</v>
      </c>
      <c r="T562" s="101">
        <f t="shared" si="695"/>
        <v>3616.0643641481706</v>
      </c>
      <c r="U562" s="101">
        <f t="shared" si="696"/>
        <v>3616.0643641481706</v>
      </c>
      <c r="V562" s="101">
        <f t="shared" si="697"/>
        <v>4886.3985211060972</v>
      </c>
      <c r="W562" s="101">
        <f t="shared" si="698"/>
        <v>7271.1163496414638</v>
      </c>
      <c r="X562" s="74"/>
      <c r="Y562" s="99">
        <f t="shared" si="8"/>
        <v>55018.113712287071</v>
      </c>
      <c r="Z562" s="101">
        <f t="shared" si="699"/>
        <v>9040.1609103704268</v>
      </c>
      <c r="AA562" s="101">
        <f t="shared" si="700"/>
        <v>9040.1609103704268</v>
      </c>
      <c r="AB562" s="101">
        <f t="shared" si="701"/>
        <v>12215.996302765243</v>
      </c>
      <c r="AC562" s="101">
        <f t="shared" si="702"/>
        <v>24721.795588780977</v>
      </c>
      <c r="AD562" s="74"/>
      <c r="AE562" s="99">
        <f t="shared" si="720"/>
        <v>27.727164197424003</v>
      </c>
      <c r="AF562" s="101">
        <f t="shared" ref="AF562" si="725">AP562</f>
        <v>36</v>
      </c>
      <c r="AG562" s="101">
        <f t="shared" si="704"/>
        <v>19.001300000000001</v>
      </c>
      <c r="AH562" s="101">
        <f t="shared" si="705"/>
        <v>657</v>
      </c>
      <c r="AI562" s="101">
        <f t="shared" si="706"/>
        <v>250</v>
      </c>
      <c r="AJ562" s="108">
        <f t="shared" si="707"/>
        <v>3.3333333333333335</v>
      </c>
      <c r="AK562" s="101">
        <f t="shared" si="461"/>
        <v>12118.527249402439</v>
      </c>
      <c r="AL562" s="101">
        <f t="shared" si="708"/>
        <v>3616.0643641481706</v>
      </c>
      <c r="AM562" s="101">
        <f t="shared" si="709"/>
        <v>3616.0643641481706</v>
      </c>
      <c r="AN562" s="101">
        <f t="shared" si="710"/>
        <v>4886.3985211060972</v>
      </c>
      <c r="AO562" s="1">
        <v>36</v>
      </c>
      <c r="AP562" s="2">
        <v>36</v>
      </c>
      <c r="AQ562" s="74">
        <f t="shared" si="711"/>
        <v>657</v>
      </c>
      <c r="AR562" s="31">
        <f t="shared" si="712"/>
        <v>50</v>
      </c>
      <c r="AS562" s="2">
        <f t="shared" si="713"/>
        <v>1</v>
      </c>
      <c r="AT562" s="33">
        <f t="shared" si="714"/>
        <v>0</v>
      </c>
      <c r="AU562" s="31">
        <f t="shared" si="715"/>
        <v>0</v>
      </c>
      <c r="AV562" s="2">
        <f t="shared" si="716"/>
        <v>0</v>
      </c>
      <c r="AW562" s="33">
        <f t="shared" si="717"/>
        <v>1.36</v>
      </c>
      <c r="AX562" s="31">
        <f t="shared" si="718"/>
        <v>0.6</v>
      </c>
      <c r="AY562" s="33">
        <f t="shared" si="719"/>
        <v>1</v>
      </c>
      <c r="AZ562" s="2"/>
      <c r="BA562" s="101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</row>
    <row r="563" spans="1:71" ht="12" customHeight="1">
      <c r="A563" s="2"/>
      <c r="B563" s="107">
        <v>488</v>
      </c>
      <c r="C563" s="31">
        <v>10</v>
      </c>
      <c r="D563" s="111" t="s">
        <v>14</v>
      </c>
      <c r="E563" s="2" t="s">
        <v>161</v>
      </c>
      <c r="F563" s="2"/>
      <c r="G563" s="2"/>
      <c r="H563" s="33" t="s">
        <v>81</v>
      </c>
      <c r="I563" s="99">
        <f t="shared" si="0"/>
        <v>832.17770789458234</v>
      </c>
      <c r="J563" s="101">
        <f t="shared" si="1"/>
        <v>11.847587357329509</v>
      </c>
      <c r="K563" s="101">
        <f t="shared" si="2"/>
        <v>252</v>
      </c>
      <c r="L563" s="74">
        <f t="shared" si="535"/>
        <v>177</v>
      </c>
      <c r="M563" s="99">
        <f t="shared" si="191"/>
        <v>23073.927948229033</v>
      </c>
      <c r="N563" s="101">
        <f t="shared" si="690"/>
        <v>4303.1636021730574</v>
      </c>
      <c r="O563" s="101">
        <f t="shared" si="691"/>
        <v>4303.1636021730574</v>
      </c>
      <c r="P563" s="101">
        <f t="shared" si="692"/>
        <v>5814.8777632970296</v>
      </c>
      <c r="Q563" s="101">
        <f t="shared" si="693"/>
        <v>8652.7229805858879</v>
      </c>
      <c r="R563" s="109"/>
      <c r="S563" s="99">
        <f t="shared" si="694"/>
        <v>19389.643599043902</v>
      </c>
      <c r="T563" s="101">
        <f t="shared" si="695"/>
        <v>3616.0643641481706</v>
      </c>
      <c r="U563" s="101">
        <f t="shared" si="696"/>
        <v>3616.0643641481706</v>
      </c>
      <c r="V563" s="101">
        <f t="shared" si="697"/>
        <v>4886.3985211060972</v>
      </c>
      <c r="W563" s="101">
        <f t="shared" si="698"/>
        <v>7271.1163496414638</v>
      </c>
      <c r="X563" s="74"/>
      <c r="Y563" s="99">
        <f t="shared" si="8"/>
        <v>38779.287198087804</v>
      </c>
      <c r="Z563" s="101">
        <f t="shared" si="699"/>
        <v>7232.1287282963413</v>
      </c>
      <c r="AA563" s="101">
        <f t="shared" si="700"/>
        <v>7232.1287282963413</v>
      </c>
      <c r="AB563" s="101">
        <f t="shared" si="701"/>
        <v>9772.7970422121944</v>
      </c>
      <c r="AC563" s="101">
        <f t="shared" si="702"/>
        <v>14542.232699282928</v>
      </c>
      <c r="AD563" s="74"/>
      <c r="AE563" s="99">
        <f t="shared" si="720"/>
        <v>27.727164197424003</v>
      </c>
      <c r="AF563" s="101">
        <f t="shared" ref="AF563" si="726">AP563</f>
        <v>36</v>
      </c>
      <c r="AG563" s="101">
        <f t="shared" si="704"/>
        <v>19.001300000000001</v>
      </c>
      <c r="AH563" s="101">
        <f t="shared" si="705"/>
        <v>328.5</v>
      </c>
      <c r="AI563" s="101">
        <f t="shared" si="706"/>
        <v>200</v>
      </c>
      <c r="AJ563" s="108">
        <f t="shared" si="707"/>
        <v>3.3333333333333335</v>
      </c>
      <c r="AK563" s="101">
        <f t="shared" si="461"/>
        <v>12118.527249402439</v>
      </c>
      <c r="AL563" s="101">
        <f t="shared" si="708"/>
        <v>3616.0643641481706</v>
      </c>
      <c r="AM563" s="101">
        <f t="shared" si="709"/>
        <v>3616.0643641481706</v>
      </c>
      <c r="AN563" s="101">
        <f t="shared" si="710"/>
        <v>4886.3985211060972</v>
      </c>
      <c r="AO563" s="1">
        <v>36</v>
      </c>
      <c r="AP563" s="2">
        <v>36</v>
      </c>
      <c r="AQ563" s="74">
        <f t="shared" si="711"/>
        <v>657</v>
      </c>
      <c r="AR563" s="31">
        <f t="shared" si="712"/>
        <v>0</v>
      </c>
      <c r="AS563" s="2">
        <f t="shared" si="713"/>
        <v>0.5</v>
      </c>
      <c r="AT563" s="33">
        <f t="shared" si="714"/>
        <v>0</v>
      </c>
      <c r="AU563" s="31">
        <f t="shared" si="715"/>
        <v>0</v>
      </c>
      <c r="AV563" s="2">
        <f t="shared" si="716"/>
        <v>0</v>
      </c>
      <c r="AW563" s="33">
        <f t="shared" si="717"/>
        <v>1</v>
      </c>
      <c r="AX563" s="31">
        <f t="shared" si="718"/>
        <v>0.6</v>
      </c>
      <c r="AY563" s="33">
        <f t="shared" si="719"/>
        <v>1</v>
      </c>
      <c r="AZ563" s="2"/>
      <c r="BA563" s="101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</row>
    <row r="564" spans="1:71" ht="12" customHeight="1">
      <c r="A564" s="2"/>
      <c r="B564" s="107">
        <v>489</v>
      </c>
      <c r="C564" s="31">
        <v>10</v>
      </c>
      <c r="D564" s="111" t="s">
        <v>14</v>
      </c>
      <c r="E564" s="2" t="s">
        <v>169</v>
      </c>
      <c r="F564" s="2"/>
      <c r="G564" s="2"/>
      <c r="H564" s="33" t="s">
        <v>81</v>
      </c>
      <c r="I564" s="99">
        <f t="shared" si="0"/>
        <v>1007.0030475956155</v>
      </c>
      <c r="J564" s="101">
        <f t="shared" si="1"/>
        <v>11.847587357329509</v>
      </c>
      <c r="K564" s="101">
        <f t="shared" si="2"/>
        <v>156</v>
      </c>
      <c r="L564" s="74">
        <f t="shared" si="535"/>
        <v>121</v>
      </c>
      <c r="M564" s="99">
        <f t="shared" si="191"/>
        <v>27921.33884799001</v>
      </c>
      <c r="N564" s="101">
        <f t="shared" si="690"/>
        <v>5207.1796932100997</v>
      </c>
      <c r="O564" s="101">
        <f t="shared" si="691"/>
        <v>5207.1796932100997</v>
      </c>
      <c r="P564" s="101">
        <f t="shared" si="692"/>
        <v>7036.4773935735539</v>
      </c>
      <c r="Q564" s="101">
        <f t="shared" si="693"/>
        <v>10470.502067996253</v>
      </c>
      <c r="R564" s="109"/>
      <c r="S564" s="99">
        <f t="shared" si="694"/>
        <v>19389.643599043902</v>
      </c>
      <c r="T564" s="101">
        <f t="shared" si="695"/>
        <v>3616.0643641481706</v>
      </c>
      <c r="U564" s="101">
        <f t="shared" si="696"/>
        <v>3616.0643641481706</v>
      </c>
      <c r="V564" s="101">
        <f t="shared" si="697"/>
        <v>4886.3985211060972</v>
      </c>
      <c r="W564" s="101">
        <f t="shared" si="698"/>
        <v>7271.1163496414638</v>
      </c>
      <c r="X564" s="74"/>
      <c r="Y564" s="99">
        <f t="shared" si="8"/>
        <v>38779.287198087804</v>
      </c>
      <c r="Z564" s="101">
        <f t="shared" si="699"/>
        <v>7232.1287282963413</v>
      </c>
      <c r="AA564" s="101">
        <f t="shared" si="700"/>
        <v>7232.1287282963413</v>
      </c>
      <c r="AB564" s="101">
        <f t="shared" si="701"/>
        <v>9772.7970422121944</v>
      </c>
      <c r="AC564" s="101">
        <f t="shared" si="702"/>
        <v>14542.232699282928</v>
      </c>
      <c r="AD564" s="74"/>
      <c r="AE564" s="99">
        <f t="shared" si="720"/>
        <v>27.727164197424003</v>
      </c>
      <c r="AF564" s="101">
        <f t="shared" ref="AF564" si="727">AP564</f>
        <v>36</v>
      </c>
      <c r="AG564" s="101">
        <f t="shared" si="704"/>
        <v>44.001300000000001</v>
      </c>
      <c r="AH564" s="101">
        <f t="shared" si="705"/>
        <v>328.5</v>
      </c>
      <c r="AI564" s="101">
        <f t="shared" si="706"/>
        <v>200</v>
      </c>
      <c r="AJ564" s="108">
        <f t="shared" si="707"/>
        <v>3.3333333333333335</v>
      </c>
      <c r="AK564" s="101">
        <f t="shared" si="461"/>
        <v>12118.527249402439</v>
      </c>
      <c r="AL564" s="101">
        <f t="shared" si="708"/>
        <v>3616.0643641481706</v>
      </c>
      <c r="AM564" s="101">
        <f t="shared" si="709"/>
        <v>3616.0643641481706</v>
      </c>
      <c r="AN564" s="101">
        <f t="shared" si="710"/>
        <v>4886.3985211060972</v>
      </c>
      <c r="AO564" s="1">
        <v>36</v>
      </c>
      <c r="AP564" s="2">
        <v>36</v>
      </c>
      <c r="AQ564" s="74">
        <f t="shared" si="711"/>
        <v>657</v>
      </c>
      <c r="AR564" s="31">
        <f t="shared" si="712"/>
        <v>0</v>
      </c>
      <c r="AS564" s="2">
        <f t="shared" si="713"/>
        <v>0.5</v>
      </c>
      <c r="AT564" s="33">
        <f t="shared" si="714"/>
        <v>0</v>
      </c>
      <c r="AU564" s="31">
        <f t="shared" si="715"/>
        <v>25</v>
      </c>
      <c r="AV564" s="2">
        <f t="shared" si="716"/>
        <v>0</v>
      </c>
      <c r="AW564" s="33">
        <f t="shared" si="717"/>
        <v>1</v>
      </c>
      <c r="AX564" s="31">
        <f t="shared" si="718"/>
        <v>0.6</v>
      </c>
      <c r="AY564" s="33">
        <f t="shared" si="719"/>
        <v>1</v>
      </c>
      <c r="AZ564" s="2"/>
      <c r="BA564" s="101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</row>
    <row r="565" spans="1:71" ht="12" customHeight="1">
      <c r="A565" s="2"/>
      <c r="B565" s="107">
        <v>490</v>
      </c>
      <c r="C565" s="31">
        <v>10</v>
      </c>
      <c r="D565" s="111" t="s">
        <v>14</v>
      </c>
      <c r="E565" s="2" t="s">
        <v>171</v>
      </c>
      <c r="F565" s="2"/>
      <c r="G565" s="2"/>
      <c r="H565" s="33" t="s">
        <v>81</v>
      </c>
      <c r="I565" s="99">
        <f t="shared" si="0"/>
        <v>868.05432214900372</v>
      </c>
      <c r="J565" s="101">
        <f t="shared" si="1"/>
        <v>11.847587357329509</v>
      </c>
      <c r="K565" s="101">
        <f t="shared" si="2"/>
        <v>231</v>
      </c>
      <c r="L565" s="74">
        <f t="shared" si="535"/>
        <v>165</v>
      </c>
      <c r="M565" s="99">
        <f t="shared" si="191"/>
        <v>24068.684722509017</v>
      </c>
      <c r="N565" s="101">
        <f t="shared" si="690"/>
        <v>4303.1636021730574</v>
      </c>
      <c r="O565" s="101">
        <f t="shared" si="691"/>
        <v>4303.1636021730574</v>
      </c>
      <c r="P565" s="101">
        <f t="shared" si="692"/>
        <v>5814.8777632970296</v>
      </c>
      <c r="Q565" s="101">
        <f t="shared" si="693"/>
        <v>9647.4797548658717</v>
      </c>
      <c r="R565" s="109"/>
      <c r="S565" s="99">
        <f t="shared" si="694"/>
        <v>19389.643599043902</v>
      </c>
      <c r="T565" s="101">
        <f t="shared" si="695"/>
        <v>3616.0643641481706</v>
      </c>
      <c r="U565" s="101">
        <f t="shared" si="696"/>
        <v>3616.0643641481706</v>
      </c>
      <c r="V565" s="101">
        <f t="shared" si="697"/>
        <v>4886.3985211060972</v>
      </c>
      <c r="W565" s="101">
        <f t="shared" si="698"/>
        <v>7271.1163496414638</v>
      </c>
      <c r="X565" s="74"/>
      <c r="Y565" s="99">
        <f t="shared" si="8"/>
        <v>44014.490969829661</v>
      </c>
      <c r="Z565" s="101">
        <f t="shared" si="699"/>
        <v>7232.1287282963413</v>
      </c>
      <c r="AA565" s="101">
        <f t="shared" si="700"/>
        <v>7232.1287282963413</v>
      </c>
      <c r="AB565" s="101">
        <f t="shared" si="701"/>
        <v>9772.7970422121944</v>
      </c>
      <c r="AC565" s="101">
        <f t="shared" si="702"/>
        <v>19777.436471024783</v>
      </c>
      <c r="AD565" s="74"/>
      <c r="AE565" s="99">
        <f t="shared" si="720"/>
        <v>27.727164197424003</v>
      </c>
      <c r="AF565" s="101">
        <f t="shared" ref="AF565" si="728">AP565</f>
        <v>36</v>
      </c>
      <c r="AG565" s="101">
        <f t="shared" si="704"/>
        <v>19.001300000000001</v>
      </c>
      <c r="AH565" s="101">
        <f t="shared" si="705"/>
        <v>328.5</v>
      </c>
      <c r="AI565" s="101">
        <f t="shared" si="706"/>
        <v>200</v>
      </c>
      <c r="AJ565" s="108">
        <f t="shared" si="707"/>
        <v>3.3333333333333335</v>
      </c>
      <c r="AK565" s="101">
        <f t="shared" si="461"/>
        <v>12118.527249402439</v>
      </c>
      <c r="AL565" s="101">
        <f t="shared" si="708"/>
        <v>3616.0643641481706</v>
      </c>
      <c r="AM565" s="101">
        <f t="shared" si="709"/>
        <v>3616.0643641481706</v>
      </c>
      <c r="AN565" s="101">
        <f t="shared" si="710"/>
        <v>4886.3985211060972</v>
      </c>
      <c r="AO565" s="1">
        <v>36</v>
      </c>
      <c r="AP565" s="2">
        <v>36</v>
      </c>
      <c r="AQ565" s="74">
        <f t="shared" si="711"/>
        <v>657</v>
      </c>
      <c r="AR565" s="31">
        <f t="shared" si="712"/>
        <v>0</v>
      </c>
      <c r="AS565" s="2">
        <f t="shared" si="713"/>
        <v>0.5</v>
      </c>
      <c r="AT565" s="33">
        <f t="shared" si="714"/>
        <v>0</v>
      </c>
      <c r="AU565" s="31">
        <f t="shared" si="715"/>
        <v>0</v>
      </c>
      <c r="AV565" s="2">
        <f t="shared" si="716"/>
        <v>0</v>
      </c>
      <c r="AW565" s="33">
        <f t="shared" si="717"/>
        <v>1.36</v>
      </c>
      <c r="AX565" s="31">
        <f t="shared" si="718"/>
        <v>0.6</v>
      </c>
      <c r="AY565" s="33">
        <f t="shared" si="719"/>
        <v>1</v>
      </c>
      <c r="AZ565" s="2"/>
      <c r="BA565" s="101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</row>
    <row r="566" spans="1:71" ht="12" customHeight="1">
      <c r="A566" s="2"/>
      <c r="B566" s="107">
        <v>491</v>
      </c>
      <c r="C566" s="31">
        <v>10</v>
      </c>
      <c r="D566" s="111" t="s">
        <v>14</v>
      </c>
      <c r="E566" s="2" t="s">
        <v>92</v>
      </c>
      <c r="F566" s="2"/>
      <c r="G566" s="2"/>
      <c r="H566" s="33" t="s">
        <v>81</v>
      </c>
      <c r="I566" s="99">
        <f t="shared" si="0"/>
        <v>673.96191182985535</v>
      </c>
      <c r="J566" s="101">
        <f t="shared" si="1"/>
        <v>23.695174714659018</v>
      </c>
      <c r="K566" s="101">
        <f t="shared" si="2"/>
        <v>382</v>
      </c>
      <c r="L566" s="74">
        <f t="shared" si="535"/>
        <v>243</v>
      </c>
      <c r="M566" s="99">
        <f t="shared" si="191"/>
        <v>18687.052592116197</v>
      </c>
      <c r="N566" s="101">
        <f t="shared" si="690"/>
        <v>5576.0558654226006</v>
      </c>
      <c r="O566" s="101">
        <f t="shared" si="691"/>
        <v>5576.0558654226006</v>
      </c>
      <c r="P566" s="101">
        <f t="shared" si="692"/>
        <v>7534.9408612709958</v>
      </c>
      <c r="Q566" s="101">
        <f t="shared" si="693"/>
        <v>0</v>
      </c>
      <c r="R566" s="109"/>
      <c r="S566" s="99">
        <f t="shared" si="694"/>
        <v>14542.232699282926</v>
      </c>
      <c r="T566" s="101">
        <f t="shared" si="695"/>
        <v>4339.2772369778049</v>
      </c>
      <c r="U566" s="101">
        <f t="shared" si="696"/>
        <v>4339.2772369778049</v>
      </c>
      <c r="V566" s="101">
        <f t="shared" si="697"/>
        <v>5863.6782253273168</v>
      </c>
      <c r="W566" s="101">
        <f t="shared" si="698"/>
        <v>0</v>
      </c>
      <c r="X566" s="74"/>
      <c r="Y566" s="99">
        <f t="shared" si="8"/>
        <v>36355.581748207318</v>
      </c>
      <c r="Z566" s="101">
        <f t="shared" si="699"/>
        <v>10848.193092444513</v>
      </c>
      <c r="AA566" s="101">
        <f t="shared" si="700"/>
        <v>10848.193092444513</v>
      </c>
      <c r="AB566" s="101">
        <f t="shared" si="701"/>
        <v>14659.195563318292</v>
      </c>
      <c r="AC566" s="101">
        <f t="shared" si="702"/>
        <v>0</v>
      </c>
      <c r="AD566" s="74"/>
      <c r="AE566" s="99">
        <f t="shared" si="720"/>
        <v>27.727164197424003</v>
      </c>
      <c r="AF566" s="101">
        <f t="shared" ref="AF566" si="729">AP566</f>
        <v>36</v>
      </c>
      <c r="AG566" s="101">
        <f t="shared" si="704"/>
        <v>19.001300000000001</v>
      </c>
      <c r="AH566" s="101">
        <f t="shared" si="705"/>
        <v>657</v>
      </c>
      <c r="AI566" s="101">
        <f t="shared" si="706"/>
        <v>250</v>
      </c>
      <c r="AJ566" s="108">
        <f t="shared" si="707"/>
        <v>3.3333333333333335</v>
      </c>
      <c r="AK566" s="101">
        <f t="shared" si="461"/>
        <v>12118.527249402439</v>
      </c>
      <c r="AL566" s="101">
        <f t="shared" si="708"/>
        <v>3616.0643641481706</v>
      </c>
      <c r="AM566" s="101">
        <f t="shared" si="709"/>
        <v>3616.0643641481706</v>
      </c>
      <c r="AN566" s="101">
        <f t="shared" si="710"/>
        <v>4886.3985211060972</v>
      </c>
      <c r="AO566" s="1">
        <v>36</v>
      </c>
      <c r="AP566" s="2">
        <v>36</v>
      </c>
      <c r="AQ566" s="74">
        <f t="shared" si="711"/>
        <v>657</v>
      </c>
      <c r="AR566" s="31">
        <f t="shared" si="712"/>
        <v>0</v>
      </c>
      <c r="AS566" s="2">
        <f t="shared" si="713"/>
        <v>1</v>
      </c>
      <c r="AT566" s="33">
        <f t="shared" si="714"/>
        <v>0</v>
      </c>
      <c r="AU566" s="31">
        <f t="shared" si="715"/>
        <v>0</v>
      </c>
      <c r="AV566" s="2">
        <f t="shared" si="716"/>
        <v>0</v>
      </c>
      <c r="AW566" s="33">
        <f t="shared" si="717"/>
        <v>1</v>
      </c>
      <c r="AX566" s="31">
        <f t="shared" si="718"/>
        <v>1</v>
      </c>
      <c r="AY566" s="33">
        <f t="shared" si="719"/>
        <v>1.2</v>
      </c>
      <c r="AZ566" s="2"/>
      <c r="BA566" s="101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</row>
    <row r="567" spans="1:71" ht="12" customHeight="1">
      <c r="A567" s="2"/>
      <c r="B567" s="107">
        <v>492</v>
      </c>
      <c r="C567" s="31">
        <v>10</v>
      </c>
      <c r="D567" s="111" t="s">
        <v>14</v>
      </c>
      <c r="E567" s="2" t="s">
        <v>139</v>
      </c>
      <c r="F567" s="2"/>
      <c r="G567" s="2"/>
      <c r="H567" s="33" t="s">
        <v>81</v>
      </c>
      <c r="I567" s="99">
        <f t="shared" si="0"/>
        <v>870.64041899351753</v>
      </c>
      <c r="J567" s="101">
        <f t="shared" si="1"/>
        <v>23.695174714659018</v>
      </c>
      <c r="K567" s="101">
        <f t="shared" si="2"/>
        <v>228</v>
      </c>
      <c r="L567" s="74">
        <f t="shared" si="535"/>
        <v>162</v>
      </c>
      <c r="M567" s="99">
        <f t="shared" si="191"/>
        <v>24140.389854347293</v>
      </c>
      <c r="N567" s="101">
        <f t="shared" si="690"/>
        <v>7203.2848292892768</v>
      </c>
      <c r="O567" s="101">
        <f t="shared" si="691"/>
        <v>7203.2848292892768</v>
      </c>
      <c r="P567" s="101">
        <f t="shared" si="692"/>
        <v>9733.8201957687397</v>
      </c>
      <c r="Q567" s="101">
        <f t="shared" si="693"/>
        <v>0</v>
      </c>
      <c r="R567" s="109"/>
      <c r="S567" s="99">
        <f t="shared" si="694"/>
        <v>14542.232699282926</v>
      </c>
      <c r="T567" s="101">
        <f t="shared" si="695"/>
        <v>4339.2772369778049</v>
      </c>
      <c r="U567" s="101">
        <f t="shared" si="696"/>
        <v>4339.2772369778049</v>
      </c>
      <c r="V567" s="101">
        <f t="shared" si="697"/>
        <v>5863.6782253273168</v>
      </c>
      <c r="W567" s="101">
        <f t="shared" si="698"/>
        <v>0</v>
      </c>
      <c r="X567" s="74"/>
      <c r="Y567" s="99">
        <f t="shared" si="8"/>
        <v>36355.581748207318</v>
      </c>
      <c r="Z567" s="101">
        <f t="shared" si="699"/>
        <v>10848.193092444513</v>
      </c>
      <c r="AA567" s="101">
        <f t="shared" si="700"/>
        <v>10848.193092444513</v>
      </c>
      <c r="AB567" s="101">
        <f t="shared" si="701"/>
        <v>14659.195563318292</v>
      </c>
      <c r="AC567" s="101">
        <f t="shared" si="702"/>
        <v>0</v>
      </c>
      <c r="AD567" s="74"/>
      <c r="AE567" s="99">
        <f t="shared" si="720"/>
        <v>27.727164197424003</v>
      </c>
      <c r="AF567" s="101">
        <f t="shared" ref="AF567" si="730">AP567</f>
        <v>36</v>
      </c>
      <c r="AG567" s="101">
        <f t="shared" si="704"/>
        <v>44.001300000000001</v>
      </c>
      <c r="AH567" s="101">
        <f t="shared" si="705"/>
        <v>657</v>
      </c>
      <c r="AI567" s="101">
        <f t="shared" si="706"/>
        <v>250</v>
      </c>
      <c r="AJ567" s="108">
        <f t="shared" si="707"/>
        <v>3.3333333333333335</v>
      </c>
      <c r="AK567" s="101">
        <f t="shared" si="461"/>
        <v>12118.527249402439</v>
      </c>
      <c r="AL567" s="101">
        <f t="shared" si="708"/>
        <v>3616.0643641481706</v>
      </c>
      <c r="AM567" s="101">
        <f t="shared" si="709"/>
        <v>3616.0643641481706</v>
      </c>
      <c r="AN567" s="101">
        <f t="shared" si="710"/>
        <v>4886.3985211060972</v>
      </c>
      <c r="AO567" s="1">
        <v>36</v>
      </c>
      <c r="AP567" s="2">
        <v>36</v>
      </c>
      <c r="AQ567" s="74">
        <f t="shared" si="711"/>
        <v>657</v>
      </c>
      <c r="AR567" s="31">
        <f t="shared" si="712"/>
        <v>0</v>
      </c>
      <c r="AS567" s="2">
        <f t="shared" si="713"/>
        <v>1</v>
      </c>
      <c r="AT567" s="33">
        <f t="shared" si="714"/>
        <v>0</v>
      </c>
      <c r="AU567" s="31">
        <f t="shared" si="715"/>
        <v>25</v>
      </c>
      <c r="AV567" s="2">
        <f t="shared" si="716"/>
        <v>0</v>
      </c>
      <c r="AW567" s="33">
        <f t="shared" si="717"/>
        <v>1</v>
      </c>
      <c r="AX567" s="31">
        <f t="shared" si="718"/>
        <v>1</v>
      </c>
      <c r="AY567" s="33">
        <f t="shared" si="719"/>
        <v>1.2</v>
      </c>
      <c r="AZ567" s="2"/>
      <c r="BA567" s="101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</row>
    <row r="568" spans="1:71" ht="12" customHeight="1">
      <c r="A568" s="2"/>
      <c r="B568" s="107">
        <v>493</v>
      </c>
      <c r="C568" s="31">
        <v>10</v>
      </c>
      <c r="D568" s="111" t="s">
        <v>14</v>
      </c>
      <c r="E568" s="2" t="s">
        <v>98</v>
      </c>
      <c r="F568" s="2"/>
      <c r="G568" s="2"/>
      <c r="H568" s="33" t="s">
        <v>81</v>
      </c>
      <c r="I568" s="99">
        <f t="shared" si="0"/>
        <v>710.12708091914021</v>
      </c>
      <c r="J568" s="101">
        <f t="shared" si="1"/>
        <v>23.695174714659018</v>
      </c>
      <c r="K568" s="101">
        <f t="shared" si="2"/>
        <v>343</v>
      </c>
      <c r="L568" s="74">
        <f t="shared" si="535"/>
        <v>221</v>
      </c>
      <c r="M568" s="99">
        <f t="shared" si="191"/>
        <v>19689.810173682403</v>
      </c>
      <c r="N568" s="101">
        <f t="shared" si="690"/>
        <v>5576.0558654226006</v>
      </c>
      <c r="O568" s="101">
        <f t="shared" si="691"/>
        <v>5576.0558654226006</v>
      </c>
      <c r="P568" s="101">
        <f t="shared" si="692"/>
        <v>8537.6984428372034</v>
      </c>
      <c r="Q568" s="101">
        <f t="shared" si="693"/>
        <v>0</v>
      </c>
      <c r="R568" s="109"/>
      <c r="S568" s="99">
        <f t="shared" si="694"/>
        <v>14542.232699282926</v>
      </c>
      <c r="T568" s="101">
        <f t="shared" si="695"/>
        <v>4339.2772369778049</v>
      </c>
      <c r="U568" s="101">
        <f t="shared" si="696"/>
        <v>4339.2772369778049</v>
      </c>
      <c r="V568" s="101">
        <f t="shared" si="697"/>
        <v>5863.6782253273168</v>
      </c>
      <c r="W568" s="101">
        <f t="shared" si="698"/>
        <v>0</v>
      </c>
      <c r="X568" s="74"/>
      <c r="Y568" s="99">
        <f t="shared" si="8"/>
        <v>41632.892151001906</v>
      </c>
      <c r="Z568" s="101">
        <f t="shared" si="699"/>
        <v>10848.193092444513</v>
      </c>
      <c r="AA568" s="101">
        <f t="shared" si="700"/>
        <v>10848.193092444513</v>
      </c>
      <c r="AB568" s="101">
        <f t="shared" si="701"/>
        <v>19936.50596611288</v>
      </c>
      <c r="AC568" s="101">
        <f t="shared" si="702"/>
        <v>0</v>
      </c>
      <c r="AD568" s="74"/>
      <c r="AE568" s="99">
        <f t="shared" si="720"/>
        <v>27.727164197424003</v>
      </c>
      <c r="AF568" s="101">
        <f t="shared" ref="AF568" si="731">AP568</f>
        <v>36</v>
      </c>
      <c r="AG568" s="101">
        <f t="shared" si="704"/>
        <v>19.001300000000001</v>
      </c>
      <c r="AH568" s="101">
        <f t="shared" si="705"/>
        <v>657</v>
      </c>
      <c r="AI568" s="101">
        <f t="shared" si="706"/>
        <v>250</v>
      </c>
      <c r="AJ568" s="108">
        <f t="shared" si="707"/>
        <v>3.3333333333333335</v>
      </c>
      <c r="AK568" s="101">
        <f t="shared" si="461"/>
        <v>12118.527249402439</v>
      </c>
      <c r="AL568" s="101">
        <f t="shared" si="708"/>
        <v>3616.0643641481706</v>
      </c>
      <c r="AM568" s="101">
        <f t="shared" si="709"/>
        <v>3616.0643641481706</v>
      </c>
      <c r="AN568" s="101">
        <f t="shared" si="710"/>
        <v>4886.3985211060972</v>
      </c>
      <c r="AO568" s="1">
        <v>36</v>
      </c>
      <c r="AP568" s="2">
        <v>36</v>
      </c>
      <c r="AQ568" s="74">
        <f t="shared" si="711"/>
        <v>657</v>
      </c>
      <c r="AR568" s="31">
        <f t="shared" si="712"/>
        <v>0</v>
      </c>
      <c r="AS568" s="2">
        <f t="shared" si="713"/>
        <v>1</v>
      </c>
      <c r="AT568" s="33">
        <f t="shared" si="714"/>
        <v>0</v>
      </c>
      <c r="AU568" s="31">
        <f t="shared" si="715"/>
        <v>0</v>
      </c>
      <c r="AV568" s="2">
        <f t="shared" si="716"/>
        <v>0</v>
      </c>
      <c r="AW568" s="33">
        <f t="shared" si="717"/>
        <v>1.36</v>
      </c>
      <c r="AX568" s="31">
        <f t="shared" si="718"/>
        <v>1</v>
      </c>
      <c r="AY568" s="33">
        <f t="shared" si="719"/>
        <v>1.2</v>
      </c>
      <c r="AZ568" s="2"/>
      <c r="BA568" s="101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</row>
    <row r="569" spans="1:71" ht="12" customHeight="1">
      <c r="A569" s="2"/>
      <c r="B569" s="107">
        <v>494</v>
      </c>
      <c r="C569" s="31">
        <v>10</v>
      </c>
      <c r="D569" s="111" t="s">
        <v>14</v>
      </c>
      <c r="E569" s="2" t="s">
        <v>151</v>
      </c>
      <c r="F569" s="2"/>
      <c r="G569" s="2"/>
      <c r="H569" s="33" t="s">
        <v>81</v>
      </c>
      <c r="I569" s="99">
        <f t="shared" si="0"/>
        <v>723.79054273877387</v>
      </c>
      <c r="J569" s="101">
        <f t="shared" si="1"/>
        <v>23.695174714659018</v>
      </c>
      <c r="K569" s="101">
        <f t="shared" si="2"/>
        <v>329</v>
      </c>
      <c r="L569" s="74">
        <f t="shared" si="535"/>
        <v>220</v>
      </c>
      <c r="M569" s="99">
        <f t="shared" si="191"/>
        <v>20068.659223060618</v>
      </c>
      <c r="N569" s="101">
        <f t="shared" si="690"/>
        <v>5988.3154082375322</v>
      </c>
      <c r="O569" s="101">
        <f t="shared" si="691"/>
        <v>5988.3154082375322</v>
      </c>
      <c r="P569" s="101">
        <f t="shared" si="692"/>
        <v>8092.0284065855558</v>
      </c>
      <c r="Q569" s="101">
        <f t="shared" si="693"/>
        <v>0</v>
      </c>
      <c r="R569" s="109"/>
      <c r="S569" s="99">
        <f t="shared" si="694"/>
        <v>14542.232699282926</v>
      </c>
      <c r="T569" s="101">
        <f t="shared" si="695"/>
        <v>4339.2772369778049</v>
      </c>
      <c r="U569" s="101">
        <f t="shared" si="696"/>
        <v>4339.2772369778049</v>
      </c>
      <c r="V569" s="101">
        <f t="shared" si="697"/>
        <v>5863.6782253273168</v>
      </c>
      <c r="W569" s="101">
        <f t="shared" si="698"/>
        <v>0</v>
      </c>
      <c r="X569" s="74"/>
      <c r="Y569" s="99">
        <f t="shared" si="8"/>
        <v>43626.698097848785</v>
      </c>
      <c r="Z569" s="101">
        <f t="shared" si="699"/>
        <v>13017.831710933415</v>
      </c>
      <c r="AA569" s="101">
        <f t="shared" si="700"/>
        <v>13017.831710933415</v>
      </c>
      <c r="AB569" s="101">
        <f t="shared" si="701"/>
        <v>17591.034675981951</v>
      </c>
      <c r="AC569" s="101">
        <f t="shared" si="702"/>
        <v>0</v>
      </c>
      <c r="AD569" s="74"/>
      <c r="AE569" s="99">
        <f t="shared" si="720"/>
        <v>27.727164197424003</v>
      </c>
      <c r="AF569" s="101">
        <f t="shared" ref="AF569" si="732">AP569</f>
        <v>36</v>
      </c>
      <c r="AG569" s="101">
        <f t="shared" si="704"/>
        <v>19.001300000000001</v>
      </c>
      <c r="AH569" s="101">
        <f t="shared" si="705"/>
        <v>657</v>
      </c>
      <c r="AI569" s="101">
        <f t="shared" si="706"/>
        <v>300</v>
      </c>
      <c r="AJ569" s="108">
        <f t="shared" si="707"/>
        <v>3.3333333333333335</v>
      </c>
      <c r="AK569" s="101">
        <f t="shared" si="461"/>
        <v>12118.527249402439</v>
      </c>
      <c r="AL569" s="101">
        <f t="shared" si="708"/>
        <v>3616.0643641481706</v>
      </c>
      <c r="AM569" s="101">
        <f t="shared" si="709"/>
        <v>3616.0643641481706</v>
      </c>
      <c r="AN569" s="101">
        <f t="shared" si="710"/>
        <v>4886.3985211060972</v>
      </c>
      <c r="AO569" s="1">
        <v>36</v>
      </c>
      <c r="AP569" s="2">
        <v>36</v>
      </c>
      <c r="AQ569" s="74">
        <f t="shared" si="711"/>
        <v>657</v>
      </c>
      <c r="AR569" s="31">
        <f t="shared" si="712"/>
        <v>50</v>
      </c>
      <c r="AS569" s="2">
        <f t="shared" si="713"/>
        <v>1</v>
      </c>
      <c r="AT569" s="33">
        <f t="shared" si="714"/>
        <v>0</v>
      </c>
      <c r="AU569" s="31">
        <f t="shared" si="715"/>
        <v>0</v>
      </c>
      <c r="AV569" s="2">
        <f t="shared" si="716"/>
        <v>0</v>
      </c>
      <c r="AW569" s="33">
        <f t="shared" si="717"/>
        <v>1</v>
      </c>
      <c r="AX569" s="31">
        <f t="shared" si="718"/>
        <v>1</v>
      </c>
      <c r="AY569" s="33">
        <f t="shared" si="719"/>
        <v>1.2</v>
      </c>
      <c r="AZ569" s="2"/>
      <c r="BA569" s="101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</row>
    <row r="570" spans="1:71" ht="12" customHeight="1">
      <c r="A570" s="2"/>
      <c r="B570" s="107">
        <v>495</v>
      </c>
      <c r="C570" s="31">
        <v>10</v>
      </c>
      <c r="D570" s="111" t="s">
        <v>14</v>
      </c>
      <c r="E570" s="2" t="s">
        <v>165</v>
      </c>
      <c r="F570" s="2"/>
      <c r="G570" s="2"/>
      <c r="H570" s="33" t="s">
        <v>81</v>
      </c>
      <c r="I570" s="99">
        <f t="shared" si="0"/>
        <v>986.02855229032377</v>
      </c>
      <c r="J570" s="101">
        <f t="shared" si="1"/>
        <v>23.695174714659018</v>
      </c>
      <c r="K570" s="101">
        <f t="shared" si="2"/>
        <v>169</v>
      </c>
      <c r="L570" s="74">
        <f t="shared" si="535"/>
        <v>130</v>
      </c>
      <c r="M570" s="99">
        <f t="shared" si="191"/>
        <v>27339.775572702085</v>
      </c>
      <c r="N570" s="101">
        <f t="shared" si="690"/>
        <v>8157.9540267264347</v>
      </c>
      <c r="O570" s="101">
        <f t="shared" si="691"/>
        <v>8157.9540267264347</v>
      </c>
      <c r="P570" s="101">
        <f t="shared" si="692"/>
        <v>11023.867519249214</v>
      </c>
      <c r="Q570" s="101">
        <f t="shared" si="693"/>
        <v>0</v>
      </c>
      <c r="R570" s="109"/>
      <c r="S570" s="99">
        <f t="shared" si="694"/>
        <v>14542.232699282926</v>
      </c>
      <c r="T570" s="101">
        <f t="shared" si="695"/>
        <v>4339.2772369778049</v>
      </c>
      <c r="U570" s="101">
        <f t="shared" si="696"/>
        <v>4339.2772369778049</v>
      </c>
      <c r="V570" s="101">
        <f t="shared" si="697"/>
        <v>5863.6782253273168</v>
      </c>
      <c r="W570" s="101">
        <f t="shared" si="698"/>
        <v>0</v>
      </c>
      <c r="X570" s="74"/>
      <c r="Y570" s="99">
        <f t="shared" si="8"/>
        <v>43626.698097848785</v>
      </c>
      <c r="Z570" s="101">
        <f t="shared" si="699"/>
        <v>13017.831710933415</v>
      </c>
      <c r="AA570" s="101">
        <f t="shared" si="700"/>
        <v>13017.831710933415</v>
      </c>
      <c r="AB570" s="101">
        <f t="shared" si="701"/>
        <v>17591.034675981951</v>
      </c>
      <c r="AC570" s="101">
        <f t="shared" si="702"/>
        <v>0</v>
      </c>
      <c r="AD570" s="74"/>
      <c r="AE570" s="99">
        <f t="shared" si="720"/>
        <v>27.727164197424003</v>
      </c>
      <c r="AF570" s="101">
        <f t="shared" ref="AF570" si="733">AP570</f>
        <v>36</v>
      </c>
      <c r="AG570" s="101">
        <f t="shared" si="704"/>
        <v>44.001300000000001</v>
      </c>
      <c r="AH570" s="101">
        <f t="shared" si="705"/>
        <v>657</v>
      </c>
      <c r="AI570" s="101">
        <f t="shared" si="706"/>
        <v>300</v>
      </c>
      <c r="AJ570" s="108">
        <f t="shared" si="707"/>
        <v>3.3333333333333335</v>
      </c>
      <c r="AK570" s="101">
        <f t="shared" si="461"/>
        <v>12118.527249402439</v>
      </c>
      <c r="AL570" s="101">
        <f t="shared" si="708"/>
        <v>3616.0643641481706</v>
      </c>
      <c r="AM570" s="101">
        <f t="shared" si="709"/>
        <v>3616.0643641481706</v>
      </c>
      <c r="AN570" s="101">
        <f t="shared" si="710"/>
        <v>4886.3985211060972</v>
      </c>
      <c r="AO570" s="1">
        <v>36</v>
      </c>
      <c r="AP570" s="2">
        <v>36</v>
      </c>
      <c r="AQ570" s="74">
        <f t="shared" si="711"/>
        <v>657</v>
      </c>
      <c r="AR570" s="31">
        <f t="shared" si="712"/>
        <v>50</v>
      </c>
      <c r="AS570" s="2">
        <f t="shared" si="713"/>
        <v>1</v>
      </c>
      <c r="AT570" s="33">
        <f t="shared" si="714"/>
        <v>0</v>
      </c>
      <c r="AU570" s="31">
        <f t="shared" si="715"/>
        <v>25</v>
      </c>
      <c r="AV570" s="2">
        <f t="shared" si="716"/>
        <v>0</v>
      </c>
      <c r="AW570" s="33">
        <f t="shared" si="717"/>
        <v>1</v>
      </c>
      <c r="AX570" s="31">
        <f t="shared" si="718"/>
        <v>1</v>
      </c>
      <c r="AY570" s="33">
        <f t="shared" si="719"/>
        <v>1.2</v>
      </c>
      <c r="AZ570" s="2"/>
      <c r="BA570" s="101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</row>
    <row r="571" spans="1:71" ht="12" customHeight="1">
      <c r="A571" s="2"/>
      <c r="B571" s="107">
        <v>496</v>
      </c>
      <c r="C571" s="31">
        <v>10</v>
      </c>
      <c r="D571" s="111" t="s">
        <v>14</v>
      </c>
      <c r="E571" s="2" t="s">
        <v>157</v>
      </c>
      <c r="F571" s="2"/>
      <c r="G571" s="2"/>
      <c r="H571" s="33" t="s">
        <v>81</v>
      </c>
      <c r="I571" s="99">
        <f t="shared" si="0"/>
        <v>767.1887456459159</v>
      </c>
      <c r="J571" s="101">
        <f t="shared" si="1"/>
        <v>23.695174714659018</v>
      </c>
      <c r="K571" s="101">
        <f t="shared" si="2"/>
        <v>287</v>
      </c>
      <c r="L571" s="74">
        <f t="shared" si="535"/>
        <v>198</v>
      </c>
      <c r="M571" s="99">
        <f t="shared" si="191"/>
        <v>21271.968320940068</v>
      </c>
      <c r="N571" s="101">
        <f t="shared" si="690"/>
        <v>5988.3154082375322</v>
      </c>
      <c r="O571" s="101">
        <f t="shared" si="691"/>
        <v>5988.3154082375322</v>
      </c>
      <c r="P571" s="101">
        <f t="shared" si="692"/>
        <v>9295.3375044650056</v>
      </c>
      <c r="Q571" s="101">
        <f t="shared" si="693"/>
        <v>0</v>
      </c>
      <c r="R571" s="109"/>
      <c r="S571" s="99">
        <f t="shared" si="694"/>
        <v>14542.232699282926</v>
      </c>
      <c r="T571" s="101">
        <f t="shared" si="695"/>
        <v>4339.2772369778049</v>
      </c>
      <c r="U571" s="101">
        <f t="shared" si="696"/>
        <v>4339.2772369778049</v>
      </c>
      <c r="V571" s="101">
        <f t="shared" si="697"/>
        <v>5863.6782253273168</v>
      </c>
      <c r="W571" s="101">
        <f t="shared" si="698"/>
        <v>0</v>
      </c>
      <c r="X571" s="74"/>
      <c r="Y571" s="99">
        <f t="shared" si="8"/>
        <v>49959.470581202288</v>
      </c>
      <c r="Z571" s="101">
        <f t="shared" si="699"/>
        <v>13017.831710933415</v>
      </c>
      <c r="AA571" s="101">
        <f t="shared" si="700"/>
        <v>13017.831710933415</v>
      </c>
      <c r="AB571" s="101">
        <f t="shared" si="701"/>
        <v>23923.807159335454</v>
      </c>
      <c r="AC571" s="101">
        <f t="shared" si="702"/>
        <v>0</v>
      </c>
      <c r="AD571" s="74"/>
      <c r="AE571" s="99">
        <f t="shared" si="720"/>
        <v>27.727164197424003</v>
      </c>
      <c r="AF571" s="101">
        <f t="shared" ref="AF571" si="734">AP571</f>
        <v>36</v>
      </c>
      <c r="AG571" s="101">
        <f t="shared" si="704"/>
        <v>19.001300000000001</v>
      </c>
      <c r="AH571" s="101">
        <f t="shared" si="705"/>
        <v>657</v>
      </c>
      <c r="AI571" s="101">
        <f t="shared" si="706"/>
        <v>300</v>
      </c>
      <c r="AJ571" s="108">
        <f t="shared" si="707"/>
        <v>3.3333333333333335</v>
      </c>
      <c r="AK571" s="101">
        <f t="shared" si="461"/>
        <v>12118.527249402439</v>
      </c>
      <c r="AL571" s="101">
        <f t="shared" si="708"/>
        <v>3616.0643641481706</v>
      </c>
      <c r="AM571" s="101">
        <f t="shared" si="709"/>
        <v>3616.0643641481706</v>
      </c>
      <c r="AN571" s="101">
        <f t="shared" si="710"/>
        <v>4886.3985211060972</v>
      </c>
      <c r="AO571" s="1">
        <v>36</v>
      </c>
      <c r="AP571" s="2">
        <v>36</v>
      </c>
      <c r="AQ571" s="74">
        <f t="shared" si="711"/>
        <v>657</v>
      </c>
      <c r="AR571" s="31">
        <f t="shared" si="712"/>
        <v>50</v>
      </c>
      <c r="AS571" s="2">
        <f t="shared" si="713"/>
        <v>1</v>
      </c>
      <c r="AT571" s="33">
        <f t="shared" si="714"/>
        <v>0</v>
      </c>
      <c r="AU571" s="31">
        <f t="shared" si="715"/>
        <v>0</v>
      </c>
      <c r="AV571" s="2">
        <f t="shared" si="716"/>
        <v>0</v>
      </c>
      <c r="AW571" s="33">
        <f t="shared" si="717"/>
        <v>1.36</v>
      </c>
      <c r="AX571" s="31">
        <f t="shared" si="718"/>
        <v>1</v>
      </c>
      <c r="AY571" s="33">
        <f t="shared" si="719"/>
        <v>1.2</v>
      </c>
      <c r="AZ571" s="2"/>
      <c r="BA571" s="101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</row>
    <row r="572" spans="1:71" ht="12" customHeight="1">
      <c r="A572" s="2"/>
      <c r="B572" s="107">
        <v>497</v>
      </c>
      <c r="C572" s="31">
        <v>10</v>
      </c>
      <c r="D572" s="111" t="s">
        <v>14</v>
      </c>
      <c r="E572" s="2" t="s">
        <v>99</v>
      </c>
      <c r="F572" s="2"/>
      <c r="G572" s="2"/>
      <c r="H572" s="33" t="s">
        <v>81</v>
      </c>
      <c r="I572" s="99">
        <f t="shared" si="0"/>
        <v>673.96191182985535</v>
      </c>
      <c r="J572" s="101">
        <f t="shared" si="1"/>
        <v>11.847587357329509</v>
      </c>
      <c r="K572" s="101">
        <f t="shared" si="2"/>
        <v>382</v>
      </c>
      <c r="L572" s="74">
        <f t="shared" si="535"/>
        <v>243</v>
      </c>
      <c r="M572" s="99">
        <f t="shared" si="191"/>
        <v>18687.052592116197</v>
      </c>
      <c r="N572" s="101">
        <f t="shared" si="690"/>
        <v>5576.0558654226006</v>
      </c>
      <c r="O572" s="101">
        <f t="shared" si="691"/>
        <v>5576.0558654226006</v>
      </c>
      <c r="P572" s="101">
        <f t="shared" si="692"/>
        <v>7534.9408612709958</v>
      </c>
      <c r="Q572" s="101">
        <f t="shared" si="693"/>
        <v>0</v>
      </c>
      <c r="R572" s="109"/>
      <c r="S572" s="99">
        <f t="shared" si="694"/>
        <v>14542.232699282926</v>
      </c>
      <c r="T572" s="101">
        <f t="shared" si="695"/>
        <v>4339.2772369778049</v>
      </c>
      <c r="U572" s="101">
        <f t="shared" si="696"/>
        <v>4339.2772369778049</v>
      </c>
      <c r="V572" s="101">
        <f t="shared" si="697"/>
        <v>5863.6782253273168</v>
      </c>
      <c r="W572" s="101">
        <f t="shared" si="698"/>
        <v>0</v>
      </c>
      <c r="X572" s="74"/>
      <c r="Y572" s="99">
        <f t="shared" si="8"/>
        <v>36355.581748207318</v>
      </c>
      <c r="Z572" s="101">
        <f t="shared" si="699"/>
        <v>10848.193092444513</v>
      </c>
      <c r="AA572" s="101">
        <f t="shared" si="700"/>
        <v>10848.193092444513</v>
      </c>
      <c r="AB572" s="101">
        <f t="shared" si="701"/>
        <v>14659.195563318292</v>
      </c>
      <c r="AC572" s="101">
        <f t="shared" si="702"/>
        <v>0</v>
      </c>
      <c r="AD572" s="74"/>
      <c r="AE572" s="99">
        <f t="shared" si="720"/>
        <v>27.727164197424003</v>
      </c>
      <c r="AF572" s="101">
        <f t="shared" ref="AF572" si="735">AP572</f>
        <v>36</v>
      </c>
      <c r="AG572" s="101">
        <f t="shared" si="704"/>
        <v>19.001300000000001</v>
      </c>
      <c r="AH572" s="101">
        <f t="shared" si="705"/>
        <v>328.5</v>
      </c>
      <c r="AI572" s="101">
        <f t="shared" si="706"/>
        <v>250</v>
      </c>
      <c r="AJ572" s="108">
        <f t="shared" si="707"/>
        <v>3.3333333333333335</v>
      </c>
      <c r="AK572" s="101">
        <f t="shared" si="461"/>
        <v>12118.527249402439</v>
      </c>
      <c r="AL572" s="101">
        <f t="shared" si="708"/>
        <v>3616.0643641481706</v>
      </c>
      <c r="AM572" s="101">
        <f t="shared" si="709"/>
        <v>3616.0643641481706</v>
      </c>
      <c r="AN572" s="101">
        <f t="shared" si="710"/>
        <v>4886.3985211060972</v>
      </c>
      <c r="AO572" s="1">
        <v>36</v>
      </c>
      <c r="AP572" s="2">
        <v>36</v>
      </c>
      <c r="AQ572" s="74">
        <f t="shared" si="711"/>
        <v>657</v>
      </c>
      <c r="AR572" s="31">
        <f t="shared" si="712"/>
        <v>0</v>
      </c>
      <c r="AS572" s="2">
        <f t="shared" si="713"/>
        <v>0.5</v>
      </c>
      <c r="AT572" s="33">
        <f t="shared" si="714"/>
        <v>0</v>
      </c>
      <c r="AU572" s="31">
        <f t="shared" si="715"/>
        <v>0</v>
      </c>
      <c r="AV572" s="2">
        <f t="shared" si="716"/>
        <v>0</v>
      </c>
      <c r="AW572" s="33">
        <f t="shared" si="717"/>
        <v>1</v>
      </c>
      <c r="AX572" s="31">
        <f t="shared" si="718"/>
        <v>1</v>
      </c>
      <c r="AY572" s="33">
        <f t="shared" si="719"/>
        <v>1.2</v>
      </c>
      <c r="AZ572" s="2"/>
      <c r="BA572" s="101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</row>
    <row r="573" spans="1:71" ht="12" customHeight="1">
      <c r="A573" s="2"/>
      <c r="B573" s="107">
        <v>498</v>
      </c>
      <c r="C573" s="31">
        <v>10</v>
      </c>
      <c r="D573" s="111" t="s">
        <v>14</v>
      </c>
      <c r="E573" s="2" t="s">
        <v>170</v>
      </c>
      <c r="F573" s="2"/>
      <c r="G573" s="2"/>
      <c r="H573" s="33" t="s">
        <v>81</v>
      </c>
      <c r="I573" s="99">
        <f t="shared" si="0"/>
        <v>870.64041899351753</v>
      </c>
      <c r="J573" s="101">
        <f t="shared" si="1"/>
        <v>11.847587357329509</v>
      </c>
      <c r="K573" s="101">
        <f t="shared" si="2"/>
        <v>228</v>
      </c>
      <c r="L573" s="74">
        <f t="shared" si="535"/>
        <v>162</v>
      </c>
      <c r="M573" s="99">
        <f t="shared" si="191"/>
        <v>24140.389854347293</v>
      </c>
      <c r="N573" s="101">
        <f t="shared" si="690"/>
        <v>7203.2848292892768</v>
      </c>
      <c r="O573" s="101">
        <f t="shared" si="691"/>
        <v>7203.2848292892768</v>
      </c>
      <c r="P573" s="101">
        <f t="shared" si="692"/>
        <v>9733.8201957687397</v>
      </c>
      <c r="Q573" s="101">
        <f t="shared" si="693"/>
        <v>0</v>
      </c>
      <c r="R573" s="109"/>
      <c r="S573" s="99">
        <f t="shared" si="694"/>
        <v>14542.232699282926</v>
      </c>
      <c r="T573" s="101">
        <f t="shared" si="695"/>
        <v>4339.2772369778049</v>
      </c>
      <c r="U573" s="101">
        <f t="shared" si="696"/>
        <v>4339.2772369778049</v>
      </c>
      <c r="V573" s="101">
        <f t="shared" si="697"/>
        <v>5863.6782253273168</v>
      </c>
      <c r="W573" s="101">
        <f t="shared" si="698"/>
        <v>0</v>
      </c>
      <c r="X573" s="74"/>
      <c r="Y573" s="99">
        <f t="shared" si="8"/>
        <v>36355.581748207318</v>
      </c>
      <c r="Z573" s="101">
        <f t="shared" si="699"/>
        <v>10848.193092444513</v>
      </c>
      <c r="AA573" s="101">
        <f t="shared" si="700"/>
        <v>10848.193092444513</v>
      </c>
      <c r="AB573" s="101">
        <f t="shared" si="701"/>
        <v>14659.195563318292</v>
      </c>
      <c r="AC573" s="101">
        <f t="shared" si="702"/>
        <v>0</v>
      </c>
      <c r="AD573" s="74"/>
      <c r="AE573" s="99">
        <f t="shared" si="720"/>
        <v>27.727164197424003</v>
      </c>
      <c r="AF573" s="101">
        <f t="shared" ref="AF573" si="736">AP573</f>
        <v>36</v>
      </c>
      <c r="AG573" s="101">
        <f t="shared" si="704"/>
        <v>44.001300000000001</v>
      </c>
      <c r="AH573" s="101">
        <f t="shared" si="705"/>
        <v>328.5</v>
      </c>
      <c r="AI573" s="101">
        <f t="shared" si="706"/>
        <v>250</v>
      </c>
      <c r="AJ573" s="108">
        <f t="shared" si="707"/>
        <v>3.3333333333333335</v>
      </c>
      <c r="AK573" s="101">
        <f t="shared" si="461"/>
        <v>12118.527249402439</v>
      </c>
      <c r="AL573" s="101">
        <f t="shared" si="708"/>
        <v>3616.0643641481706</v>
      </c>
      <c r="AM573" s="101">
        <f t="shared" si="709"/>
        <v>3616.0643641481706</v>
      </c>
      <c r="AN573" s="101">
        <f t="shared" si="710"/>
        <v>4886.3985211060972</v>
      </c>
      <c r="AO573" s="1">
        <v>36</v>
      </c>
      <c r="AP573" s="2">
        <v>36</v>
      </c>
      <c r="AQ573" s="74">
        <f t="shared" si="711"/>
        <v>657</v>
      </c>
      <c r="AR573" s="31">
        <f t="shared" si="712"/>
        <v>0</v>
      </c>
      <c r="AS573" s="2">
        <f t="shared" si="713"/>
        <v>0.5</v>
      </c>
      <c r="AT573" s="33">
        <f t="shared" si="714"/>
        <v>0</v>
      </c>
      <c r="AU573" s="31">
        <f t="shared" si="715"/>
        <v>25</v>
      </c>
      <c r="AV573" s="2">
        <f t="shared" si="716"/>
        <v>0</v>
      </c>
      <c r="AW573" s="33">
        <f t="shared" si="717"/>
        <v>1</v>
      </c>
      <c r="AX573" s="31">
        <f t="shared" si="718"/>
        <v>1</v>
      </c>
      <c r="AY573" s="33">
        <f t="shared" si="719"/>
        <v>1.2</v>
      </c>
      <c r="AZ573" s="2"/>
      <c r="BA573" s="101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</row>
    <row r="574" spans="1:71" ht="12" customHeight="1">
      <c r="A574" s="2"/>
      <c r="B574" s="107">
        <v>499</v>
      </c>
      <c r="C574" s="31">
        <v>10</v>
      </c>
      <c r="D574" s="111" t="s">
        <v>14</v>
      </c>
      <c r="E574" s="2" t="s">
        <v>108</v>
      </c>
      <c r="F574" s="2"/>
      <c r="G574" s="2"/>
      <c r="H574" s="33" t="s">
        <v>81</v>
      </c>
      <c r="I574" s="99">
        <f t="shared" si="0"/>
        <v>710.12708091914021</v>
      </c>
      <c r="J574" s="101">
        <f t="shared" si="1"/>
        <v>11.847587357329509</v>
      </c>
      <c r="K574" s="101">
        <f t="shared" si="2"/>
        <v>343</v>
      </c>
      <c r="L574" s="74">
        <f t="shared" si="535"/>
        <v>221</v>
      </c>
      <c r="M574" s="99">
        <f t="shared" si="191"/>
        <v>19689.810173682403</v>
      </c>
      <c r="N574" s="101">
        <f t="shared" si="690"/>
        <v>5576.0558654226006</v>
      </c>
      <c r="O574" s="101">
        <f t="shared" si="691"/>
        <v>5576.0558654226006</v>
      </c>
      <c r="P574" s="101">
        <f t="shared" si="692"/>
        <v>8537.6984428372034</v>
      </c>
      <c r="Q574" s="101">
        <f t="shared" si="693"/>
        <v>0</v>
      </c>
      <c r="R574" s="109"/>
      <c r="S574" s="99">
        <f t="shared" si="694"/>
        <v>14542.232699282926</v>
      </c>
      <c r="T574" s="101">
        <f t="shared" si="695"/>
        <v>4339.2772369778049</v>
      </c>
      <c r="U574" s="101">
        <f t="shared" si="696"/>
        <v>4339.2772369778049</v>
      </c>
      <c r="V574" s="101">
        <f t="shared" si="697"/>
        <v>5863.6782253273168</v>
      </c>
      <c r="W574" s="101">
        <f t="shared" si="698"/>
        <v>0</v>
      </c>
      <c r="X574" s="74"/>
      <c r="Y574" s="99">
        <f t="shared" si="8"/>
        <v>41632.892151001906</v>
      </c>
      <c r="Z574" s="101">
        <f t="shared" si="699"/>
        <v>10848.193092444513</v>
      </c>
      <c r="AA574" s="101">
        <f t="shared" si="700"/>
        <v>10848.193092444513</v>
      </c>
      <c r="AB574" s="101">
        <f t="shared" si="701"/>
        <v>19936.50596611288</v>
      </c>
      <c r="AC574" s="101">
        <f t="shared" si="702"/>
        <v>0</v>
      </c>
      <c r="AD574" s="74"/>
      <c r="AE574" s="99">
        <f t="shared" si="720"/>
        <v>27.727164197424003</v>
      </c>
      <c r="AF574" s="101">
        <f t="shared" ref="AF574" si="737">AP574</f>
        <v>36</v>
      </c>
      <c r="AG574" s="101">
        <f t="shared" si="704"/>
        <v>19.001300000000001</v>
      </c>
      <c r="AH574" s="101">
        <f t="shared" si="705"/>
        <v>328.5</v>
      </c>
      <c r="AI574" s="101">
        <f t="shared" si="706"/>
        <v>250</v>
      </c>
      <c r="AJ574" s="108">
        <f t="shared" si="707"/>
        <v>3.3333333333333335</v>
      </c>
      <c r="AK574" s="101">
        <f t="shared" si="461"/>
        <v>12118.527249402439</v>
      </c>
      <c r="AL574" s="101">
        <f t="shared" si="708"/>
        <v>3616.0643641481706</v>
      </c>
      <c r="AM574" s="101">
        <f t="shared" si="709"/>
        <v>3616.0643641481706</v>
      </c>
      <c r="AN574" s="101">
        <f t="shared" si="710"/>
        <v>4886.3985211060972</v>
      </c>
      <c r="AO574" s="1">
        <v>36</v>
      </c>
      <c r="AP574" s="2">
        <v>36</v>
      </c>
      <c r="AQ574" s="74">
        <f t="shared" si="711"/>
        <v>657</v>
      </c>
      <c r="AR574" s="31">
        <f t="shared" si="712"/>
        <v>0</v>
      </c>
      <c r="AS574" s="2">
        <f t="shared" si="713"/>
        <v>0.5</v>
      </c>
      <c r="AT574" s="33">
        <f t="shared" si="714"/>
        <v>0</v>
      </c>
      <c r="AU574" s="31">
        <f t="shared" si="715"/>
        <v>0</v>
      </c>
      <c r="AV574" s="2">
        <f t="shared" si="716"/>
        <v>0</v>
      </c>
      <c r="AW574" s="33">
        <f t="shared" si="717"/>
        <v>1.36</v>
      </c>
      <c r="AX574" s="31">
        <f t="shared" si="718"/>
        <v>1</v>
      </c>
      <c r="AY574" s="33">
        <f t="shared" si="719"/>
        <v>1.2</v>
      </c>
      <c r="AZ574" s="2"/>
      <c r="BA574" s="101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</row>
    <row r="575" spans="1:71" ht="12" customHeight="1">
      <c r="A575" s="2"/>
      <c r="B575" s="107">
        <v>500</v>
      </c>
      <c r="C575" s="31">
        <v>7</v>
      </c>
      <c r="D575" s="111" t="s">
        <v>14</v>
      </c>
      <c r="E575" s="2" t="s">
        <v>67</v>
      </c>
      <c r="F575" s="1"/>
      <c r="G575" s="1"/>
      <c r="H575" s="33" t="s">
        <v>81</v>
      </c>
      <c r="I575" s="99">
        <f t="shared" si="0"/>
        <v>497.81076510385066</v>
      </c>
      <c r="J575" s="101">
        <f t="shared" si="1"/>
        <v>16.518097441877977</v>
      </c>
      <c r="K575" s="101">
        <f t="shared" si="2"/>
        <v>607</v>
      </c>
      <c r="L575" s="74">
        <f t="shared" si="535"/>
        <v>331</v>
      </c>
      <c r="M575" s="99">
        <f t="shared" si="191"/>
        <v>13802.880823279738</v>
      </c>
      <c r="N575" s="101">
        <f t="shared" si="690"/>
        <v>4119.5649882937405</v>
      </c>
      <c r="O575" s="101">
        <f t="shared" si="691"/>
        <v>4119.5649882937405</v>
      </c>
      <c r="P575" s="101">
        <f t="shared" si="692"/>
        <v>5563.7508466922582</v>
      </c>
      <c r="Q575" s="101">
        <f t="shared" si="693"/>
        <v>0</v>
      </c>
      <c r="R575" s="109"/>
      <c r="S575" s="99">
        <f t="shared" si="694"/>
        <v>11598.932804330489</v>
      </c>
      <c r="T575" s="101">
        <f t="shared" si="695"/>
        <v>3461.7815001128056</v>
      </c>
      <c r="U575" s="101">
        <f t="shared" si="696"/>
        <v>3461.7815001128056</v>
      </c>
      <c r="V575" s="101">
        <f t="shared" si="697"/>
        <v>4675.3698041048783</v>
      </c>
      <c r="W575" s="101">
        <f t="shared" si="698"/>
        <v>0</v>
      </c>
      <c r="X575" s="74"/>
      <c r="Y575" s="99">
        <f t="shared" si="8"/>
        <v>23197.865608660977</v>
      </c>
      <c r="Z575" s="101">
        <f t="shared" si="699"/>
        <v>6923.5630002256112</v>
      </c>
      <c r="AA575" s="101">
        <f t="shared" si="700"/>
        <v>6923.5630002256112</v>
      </c>
      <c r="AB575" s="101">
        <f t="shared" si="701"/>
        <v>9350.7396082097566</v>
      </c>
      <c r="AC575" s="101">
        <f t="shared" si="702"/>
        <v>0</v>
      </c>
      <c r="AD575" s="74"/>
      <c r="AE575" s="99">
        <f t="shared" si="720"/>
        <v>27.727164197424003</v>
      </c>
      <c r="AF575" s="101">
        <f t="shared" ref="AF575" si="738">AP575</f>
        <v>36</v>
      </c>
      <c r="AG575" s="101">
        <f t="shared" si="704"/>
        <v>19.001300000000001</v>
      </c>
      <c r="AH575" s="101">
        <f t="shared" si="705"/>
        <v>458</v>
      </c>
      <c r="AI575" s="101">
        <f t="shared" si="706"/>
        <v>200</v>
      </c>
      <c r="AJ575" s="108">
        <f t="shared" si="707"/>
        <v>3.3333333333333335</v>
      </c>
      <c r="AK575" s="101">
        <f t="shared" si="461"/>
        <v>11598.932804330489</v>
      </c>
      <c r="AL575" s="101">
        <f t="shared" si="708"/>
        <v>3461.7815001128056</v>
      </c>
      <c r="AM575" s="101">
        <f t="shared" si="709"/>
        <v>3461.7815001128056</v>
      </c>
      <c r="AN575" s="101">
        <f t="shared" si="710"/>
        <v>4675.3698041048783</v>
      </c>
      <c r="AO575" s="1">
        <v>36</v>
      </c>
      <c r="AP575" s="2">
        <v>36</v>
      </c>
      <c r="AQ575" s="74">
        <f t="shared" si="711"/>
        <v>458</v>
      </c>
      <c r="AR575" s="31">
        <f t="shared" si="712"/>
        <v>0</v>
      </c>
      <c r="AS575" s="2">
        <f t="shared" si="713"/>
        <v>1</v>
      </c>
      <c r="AT575" s="33">
        <f t="shared" si="714"/>
        <v>0</v>
      </c>
      <c r="AU575" s="31">
        <f t="shared" si="715"/>
        <v>0</v>
      </c>
      <c r="AV575" s="2">
        <f t="shared" si="716"/>
        <v>0</v>
      </c>
      <c r="AW575" s="33">
        <f t="shared" si="717"/>
        <v>1</v>
      </c>
      <c r="AX575" s="31">
        <f t="shared" si="718"/>
        <v>1</v>
      </c>
      <c r="AY575" s="33">
        <f t="shared" si="719"/>
        <v>1</v>
      </c>
      <c r="AZ575" s="2"/>
      <c r="BA575" s="101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</row>
    <row r="576" spans="1:71" ht="12" customHeight="1">
      <c r="A576" s="2"/>
      <c r="B576" s="107">
        <v>501</v>
      </c>
      <c r="C576" s="31">
        <v>7</v>
      </c>
      <c r="D576" s="111" t="s">
        <v>14</v>
      </c>
      <c r="E576" s="2" t="s">
        <v>136</v>
      </c>
      <c r="F576" s="2"/>
      <c r="G576" s="2"/>
      <c r="H576" s="33" t="s">
        <v>81</v>
      </c>
      <c r="I576" s="99">
        <f t="shared" si="0"/>
        <v>602.39171613208532</v>
      </c>
      <c r="J576" s="101">
        <f t="shared" si="1"/>
        <v>16.518097441877977</v>
      </c>
      <c r="K576" s="101">
        <f t="shared" si="2"/>
        <v>462</v>
      </c>
      <c r="L576" s="74">
        <f t="shared" si="535"/>
        <v>271</v>
      </c>
      <c r="M576" s="99">
        <f t="shared" si="191"/>
        <v>16702.614024362359</v>
      </c>
      <c r="N576" s="101">
        <f t="shared" si="690"/>
        <v>4985.0103633219414</v>
      </c>
      <c r="O576" s="101">
        <f t="shared" si="691"/>
        <v>4985.0103633219414</v>
      </c>
      <c r="P576" s="101">
        <f t="shared" si="692"/>
        <v>6732.5932977184784</v>
      </c>
      <c r="Q576" s="101">
        <f t="shared" si="693"/>
        <v>0</v>
      </c>
      <c r="R576" s="109"/>
      <c r="S576" s="99">
        <f t="shared" si="694"/>
        <v>11598.932804330489</v>
      </c>
      <c r="T576" s="101">
        <f t="shared" si="695"/>
        <v>3461.7815001128056</v>
      </c>
      <c r="U576" s="101">
        <f t="shared" si="696"/>
        <v>3461.7815001128056</v>
      </c>
      <c r="V576" s="101">
        <f t="shared" si="697"/>
        <v>4675.3698041048783</v>
      </c>
      <c r="W576" s="101">
        <f t="shared" si="698"/>
        <v>0</v>
      </c>
      <c r="X576" s="74"/>
      <c r="Y576" s="99">
        <f t="shared" si="8"/>
        <v>23197.865608660977</v>
      </c>
      <c r="Z576" s="101">
        <f t="shared" si="699"/>
        <v>6923.5630002256112</v>
      </c>
      <c r="AA576" s="101">
        <f t="shared" si="700"/>
        <v>6923.5630002256112</v>
      </c>
      <c r="AB576" s="101">
        <f t="shared" si="701"/>
        <v>9350.7396082097566</v>
      </c>
      <c r="AC576" s="101">
        <f t="shared" si="702"/>
        <v>0</v>
      </c>
      <c r="AD576" s="74"/>
      <c r="AE576" s="99">
        <f t="shared" si="720"/>
        <v>27.727164197424003</v>
      </c>
      <c r="AF576" s="101">
        <f t="shared" ref="AF576" si="739">AP576</f>
        <v>36</v>
      </c>
      <c r="AG576" s="101">
        <f t="shared" si="704"/>
        <v>44.001300000000001</v>
      </c>
      <c r="AH576" s="101">
        <f t="shared" si="705"/>
        <v>458</v>
      </c>
      <c r="AI576" s="101">
        <f t="shared" si="706"/>
        <v>200</v>
      </c>
      <c r="AJ576" s="108">
        <f t="shared" si="707"/>
        <v>3.3333333333333335</v>
      </c>
      <c r="AK576" s="101">
        <f t="shared" si="461"/>
        <v>11598.932804330489</v>
      </c>
      <c r="AL576" s="101">
        <f t="shared" si="708"/>
        <v>3461.7815001128056</v>
      </c>
      <c r="AM576" s="101">
        <f t="shared" si="709"/>
        <v>3461.7815001128056</v>
      </c>
      <c r="AN576" s="101">
        <f t="shared" si="710"/>
        <v>4675.3698041048783</v>
      </c>
      <c r="AO576" s="1">
        <v>36</v>
      </c>
      <c r="AP576" s="2">
        <v>36</v>
      </c>
      <c r="AQ576" s="74">
        <f t="shared" si="711"/>
        <v>458</v>
      </c>
      <c r="AR576" s="31">
        <f t="shared" si="712"/>
        <v>0</v>
      </c>
      <c r="AS576" s="2">
        <f t="shared" si="713"/>
        <v>1</v>
      </c>
      <c r="AT576" s="33">
        <f t="shared" si="714"/>
        <v>0</v>
      </c>
      <c r="AU576" s="31">
        <f t="shared" si="715"/>
        <v>25</v>
      </c>
      <c r="AV576" s="2">
        <f t="shared" si="716"/>
        <v>0</v>
      </c>
      <c r="AW576" s="33">
        <f t="shared" si="717"/>
        <v>1</v>
      </c>
      <c r="AX576" s="31">
        <f t="shared" si="718"/>
        <v>1</v>
      </c>
      <c r="AY576" s="33">
        <f t="shared" si="719"/>
        <v>1</v>
      </c>
      <c r="AZ576" s="2"/>
      <c r="BA576" s="101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</row>
    <row r="577" spans="1:71" ht="12" customHeight="1">
      <c r="A577" s="2"/>
      <c r="B577" s="107">
        <v>502</v>
      </c>
      <c r="C577" s="31">
        <v>7</v>
      </c>
      <c r="D577" s="111" t="s">
        <v>14</v>
      </c>
      <c r="E577" s="2" t="s">
        <v>91</v>
      </c>
      <c r="F577" s="2"/>
      <c r="G577" s="2"/>
      <c r="H577" s="33" t="s">
        <v>81</v>
      </c>
      <c r="I577" s="99">
        <f t="shared" si="0"/>
        <v>520.87963525979467</v>
      </c>
      <c r="J577" s="101">
        <f t="shared" si="1"/>
        <v>16.518097441877977</v>
      </c>
      <c r="K577" s="101">
        <f t="shared" si="2"/>
        <v>573</v>
      </c>
      <c r="L577" s="74">
        <f t="shared" si="535"/>
        <v>314</v>
      </c>
      <c r="M577" s="99">
        <f t="shared" si="191"/>
        <v>14442.515173942653</v>
      </c>
      <c r="N577" s="101">
        <f t="shared" si="690"/>
        <v>4119.5649882937405</v>
      </c>
      <c r="O577" s="101">
        <f t="shared" si="691"/>
        <v>4119.5649882937405</v>
      </c>
      <c r="P577" s="101">
        <f t="shared" si="692"/>
        <v>6203.3851973551718</v>
      </c>
      <c r="Q577" s="101">
        <f t="shared" si="693"/>
        <v>0</v>
      </c>
      <c r="R577" s="109"/>
      <c r="S577" s="99">
        <f t="shared" si="694"/>
        <v>11598.932804330489</v>
      </c>
      <c r="T577" s="101">
        <f t="shared" si="695"/>
        <v>3461.7815001128056</v>
      </c>
      <c r="U577" s="101">
        <f t="shared" si="696"/>
        <v>3461.7815001128056</v>
      </c>
      <c r="V577" s="101">
        <f t="shared" si="697"/>
        <v>4675.3698041048783</v>
      </c>
      <c r="W577" s="101">
        <f t="shared" si="698"/>
        <v>0</v>
      </c>
      <c r="X577" s="74"/>
      <c r="Y577" s="99">
        <f t="shared" si="8"/>
        <v>26564.131867616496</v>
      </c>
      <c r="Z577" s="101">
        <f t="shared" si="699"/>
        <v>6923.5630002256112</v>
      </c>
      <c r="AA577" s="101">
        <f t="shared" si="700"/>
        <v>6923.5630002256112</v>
      </c>
      <c r="AB577" s="101">
        <f t="shared" si="701"/>
        <v>12717.005867165271</v>
      </c>
      <c r="AC577" s="101">
        <f t="shared" si="702"/>
        <v>0</v>
      </c>
      <c r="AD577" s="74"/>
      <c r="AE577" s="99">
        <f t="shared" si="720"/>
        <v>27.727164197424003</v>
      </c>
      <c r="AF577" s="101">
        <f t="shared" ref="AF577" si="740">AP577</f>
        <v>36</v>
      </c>
      <c r="AG577" s="101">
        <f t="shared" si="704"/>
        <v>19.001300000000001</v>
      </c>
      <c r="AH577" s="101">
        <f t="shared" si="705"/>
        <v>458</v>
      </c>
      <c r="AI577" s="101">
        <f t="shared" si="706"/>
        <v>200</v>
      </c>
      <c r="AJ577" s="108">
        <f t="shared" si="707"/>
        <v>3.3333333333333335</v>
      </c>
      <c r="AK577" s="101">
        <f t="shared" si="461"/>
        <v>11598.932804330489</v>
      </c>
      <c r="AL577" s="101">
        <f t="shared" si="708"/>
        <v>3461.7815001128056</v>
      </c>
      <c r="AM577" s="101">
        <f t="shared" si="709"/>
        <v>3461.7815001128056</v>
      </c>
      <c r="AN577" s="101">
        <f t="shared" si="710"/>
        <v>4675.3698041048783</v>
      </c>
      <c r="AO577" s="1">
        <v>36</v>
      </c>
      <c r="AP577" s="2">
        <v>36</v>
      </c>
      <c r="AQ577" s="74">
        <f t="shared" si="711"/>
        <v>458</v>
      </c>
      <c r="AR577" s="31">
        <f t="shared" si="712"/>
        <v>0</v>
      </c>
      <c r="AS577" s="2">
        <f t="shared" si="713"/>
        <v>1</v>
      </c>
      <c r="AT577" s="33">
        <f t="shared" si="714"/>
        <v>0</v>
      </c>
      <c r="AU577" s="31">
        <f t="shared" si="715"/>
        <v>0</v>
      </c>
      <c r="AV577" s="2">
        <f t="shared" si="716"/>
        <v>0</v>
      </c>
      <c r="AW577" s="33">
        <f t="shared" si="717"/>
        <v>1.36</v>
      </c>
      <c r="AX577" s="31">
        <f t="shared" si="718"/>
        <v>1</v>
      </c>
      <c r="AY577" s="33">
        <f t="shared" si="719"/>
        <v>1</v>
      </c>
      <c r="AZ577" s="2"/>
      <c r="BA577" s="101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</row>
    <row r="578" spans="1:71" ht="12" customHeight="1">
      <c r="A578" s="2"/>
      <c r="B578" s="107">
        <v>503</v>
      </c>
      <c r="C578" s="31">
        <v>7</v>
      </c>
      <c r="D578" s="111" t="s">
        <v>14</v>
      </c>
      <c r="E578" s="2" t="s">
        <v>148</v>
      </c>
      <c r="F578" s="2"/>
      <c r="G578" s="2"/>
      <c r="H578" s="33" t="s">
        <v>81</v>
      </c>
      <c r="I578" s="99">
        <f t="shared" si="0"/>
        <v>537.55424559930668</v>
      </c>
      <c r="J578" s="101">
        <f t="shared" si="1"/>
        <v>16.518097441877977</v>
      </c>
      <c r="K578" s="101">
        <f t="shared" si="2"/>
        <v>554</v>
      </c>
      <c r="L578" s="74">
        <f t="shared" si="535"/>
        <v>306</v>
      </c>
      <c r="M578" s="99">
        <f t="shared" si="191"/>
        <v>14904.854832754365</v>
      </c>
      <c r="N578" s="101">
        <f t="shared" si="690"/>
        <v>4448.4567323842075</v>
      </c>
      <c r="O578" s="101">
        <f t="shared" si="691"/>
        <v>4448.4567323842075</v>
      </c>
      <c r="P578" s="101">
        <f t="shared" si="692"/>
        <v>6007.941367985949</v>
      </c>
      <c r="Q578" s="101">
        <f t="shared" si="693"/>
        <v>0</v>
      </c>
      <c r="R578" s="109"/>
      <c r="S578" s="99">
        <f t="shared" si="694"/>
        <v>11598.932804330489</v>
      </c>
      <c r="T578" s="101">
        <f t="shared" si="695"/>
        <v>3461.7815001128056</v>
      </c>
      <c r="U578" s="101">
        <f t="shared" si="696"/>
        <v>3461.7815001128056</v>
      </c>
      <c r="V578" s="101">
        <f t="shared" si="697"/>
        <v>4675.3698041048783</v>
      </c>
      <c r="W578" s="101">
        <f t="shared" si="698"/>
        <v>0</v>
      </c>
      <c r="X578" s="74"/>
      <c r="Y578" s="99">
        <f t="shared" si="8"/>
        <v>28997.332010826223</v>
      </c>
      <c r="Z578" s="101">
        <f t="shared" si="699"/>
        <v>8654.4537502820131</v>
      </c>
      <c r="AA578" s="101">
        <f t="shared" si="700"/>
        <v>8654.4537502820131</v>
      </c>
      <c r="AB578" s="101">
        <f t="shared" si="701"/>
        <v>11688.424510262197</v>
      </c>
      <c r="AC578" s="101">
        <f t="shared" si="702"/>
        <v>0</v>
      </c>
      <c r="AD578" s="74"/>
      <c r="AE578" s="99">
        <f t="shared" si="720"/>
        <v>27.727164197424003</v>
      </c>
      <c r="AF578" s="101">
        <f t="shared" ref="AF578" si="741">AP578</f>
        <v>36</v>
      </c>
      <c r="AG578" s="101">
        <f t="shared" si="704"/>
        <v>19.001300000000001</v>
      </c>
      <c r="AH578" s="101">
        <f t="shared" si="705"/>
        <v>458</v>
      </c>
      <c r="AI578" s="101">
        <f t="shared" si="706"/>
        <v>250</v>
      </c>
      <c r="AJ578" s="108">
        <f t="shared" si="707"/>
        <v>3.3333333333333335</v>
      </c>
      <c r="AK578" s="101">
        <f t="shared" si="461"/>
        <v>11598.932804330489</v>
      </c>
      <c r="AL578" s="101">
        <f t="shared" si="708"/>
        <v>3461.7815001128056</v>
      </c>
      <c r="AM578" s="101">
        <f t="shared" si="709"/>
        <v>3461.7815001128056</v>
      </c>
      <c r="AN578" s="101">
        <f t="shared" si="710"/>
        <v>4675.3698041048783</v>
      </c>
      <c r="AO578" s="1">
        <v>36</v>
      </c>
      <c r="AP578" s="2">
        <v>36</v>
      </c>
      <c r="AQ578" s="74">
        <f t="shared" si="711"/>
        <v>458</v>
      </c>
      <c r="AR578" s="31">
        <f t="shared" si="712"/>
        <v>50</v>
      </c>
      <c r="AS578" s="2">
        <f t="shared" si="713"/>
        <v>1</v>
      </c>
      <c r="AT578" s="33">
        <f t="shared" si="714"/>
        <v>0</v>
      </c>
      <c r="AU578" s="31">
        <f t="shared" si="715"/>
        <v>0</v>
      </c>
      <c r="AV578" s="2">
        <f t="shared" si="716"/>
        <v>0</v>
      </c>
      <c r="AW578" s="33">
        <f t="shared" si="717"/>
        <v>1</v>
      </c>
      <c r="AX578" s="31">
        <f t="shared" si="718"/>
        <v>1</v>
      </c>
      <c r="AY578" s="33">
        <f t="shared" si="719"/>
        <v>1</v>
      </c>
      <c r="AZ578" s="2"/>
      <c r="BA578" s="101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</row>
    <row r="579" spans="1:71" ht="12" customHeight="1">
      <c r="A579" s="2"/>
      <c r="B579" s="107">
        <v>504</v>
      </c>
      <c r="C579" s="31">
        <v>7</v>
      </c>
      <c r="D579" s="111" t="s">
        <v>14</v>
      </c>
      <c r="E579" s="2" t="s">
        <v>163</v>
      </c>
      <c r="F579" s="2"/>
      <c r="G579" s="2"/>
      <c r="H579" s="33" t="s">
        <v>81</v>
      </c>
      <c r="I579" s="99">
        <f t="shared" si="0"/>
        <v>694.42567214165865</v>
      </c>
      <c r="J579" s="101">
        <f t="shared" si="1"/>
        <v>16.518097441877977</v>
      </c>
      <c r="K579" s="101">
        <f t="shared" si="2"/>
        <v>362</v>
      </c>
      <c r="L579" s="74">
        <f t="shared" si="535"/>
        <v>232</v>
      </c>
      <c r="M579" s="99">
        <f t="shared" si="191"/>
        <v>19254.454634378297</v>
      </c>
      <c r="N579" s="101">
        <f t="shared" si="690"/>
        <v>5746.6247949265098</v>
      </c>
      <c r="O579" s="101">
        <f t="shared" si="691"/>
        <v>5746.6247949265098</v>
      </c>
      <c r="P579" s="101">
        <f t="shared" si="692"/>
        <v>7761.205044525278</v>
      </c>
      <c r="Q579" s="101">
        <f t="shared" si="693"/>
        <v>0</v>
      </c>
      <c r="R579" s="109"/>
      <c r="S579" s="99">
        <f t="shared" si="694"/>
        <v>11598.932804330489</v>
      </c>
      <c r="T579" s="101">
        <f t="shared" si="695"/>
        <v>3461.7815001128056</v>
      </c>
      <c r="U579" s="101">
        <f t="shared" si="696"/>
        <v>3461.7815001128056</v>
      </c>
      <c r="V579" s="101">
        <f t="shared" si="697"/>
        <v>4675.3698041048783</v>
      </c>
      <c r="W579" s="101">
        <f t="shared" si="698"/>
        <v>0</v>
      </c>
      <c r="X579" s="74"/>
      <c r="Y579" s="99">
        <f t="shared" si="8"/>
        <v>28997.332010826223</v>
      </c>
      <c r="Z579" s="101">
        <f t="shared" si="699"/>
        <v>8654.4537502820131</v>
      </c>
      <c r="AA579" s="101">
        <f t="shared" si="700"/>
        <v>8654.4537502820131</v>
      </c>
      <c r="AB579" s="101">
        <f t="shared" si="701"/>
        <v>11688.424510262197</v>
      </c>
      <c r="AC579" s="101">
        <f t="shared" si="702"/>
        <v>0</v>
      </c>
      <c r="AD579" s="74"/>
      <c r="AE579" s="99">
        <f t="shared" si="720"/>
        <v>27.727164197424003</v>
      </c>
      <c r="AF579" s="101">
        <f t="shared" ref="AF579" si="742">AP579</f>
        <v>36</v>
      </c>
      <c r="AG579" s="101">
        <f t="shared" si="704"/>
        <v>44.001300000000001</v>
      </c>
      <c r="AH579" s="101">
        <f t="shared" si="705"/>
        <v>458</v>
      </c>
      <c r="AI579" s="101">
        <f t="shared" si="706"/>
        <v>250</v>
      </c>
      <c r="AJ579" s="108">
        <f t="shared" si="707"/>
        <v>3.3333333333333335</v>
      </c>
      <c r="AK579" s="101">
        <f t="shared" si="461"/>
        <v>11598.932804330489</v>
      </c>
      <c r="AL579" s="101">
        <f t="shared" si="708"/>
        <v>3461.7815001128056</v>
      </c>
      <c r="AM579" s="101">
        <f t="shared" si="709"/>
        <v>3461.7815001128056</v>
      </c>
      <c r="AN579" s="101">
        <f t="shared" si="710"/>
        <v>4675.3698041048783</v>
      </c>
      <c r="AO579" s="1">
        <v>36</v>
      </c>
      <c r="AP579" s="2">
        <v>36</v>
      </c>
      <c r="AQ579" s="74">
        <f t="shared" si="711"/>
        <v>458</v>
      </c>
      <c r="AR579" s="31">
        <f t="shared" si="712"/>
        <v>50</v>
      </c>
      <c r="AS579" s="2">
        <f t="shared" si="713"/>
        <v>1</v>
      </c>
      <c r="AT579" s="33">
        <f t="shared" si="714"/>
        <v>0</v>
      </c>
      <c r="AU579" s="31">
        <f t="shared" si="715"/>
        <v>25</v>
      </c>
      <c r="AV579" s="2">
        <f t="shared" si="716"/>
        <v>0</v>
      </c>
      <c r="AW579" s="33">
        <f t="shared" si="717"/>
        <v>1</v>
      </c>
      <c r="AX579" s="31">
        <f t="shared" si="718"/>
        <v>1</v>
      </c>
      <c r="AY579" s="33">
        <f t="shared" si="719"/>
        <v>1</v>
      </c>
      <c r="AZ579" s="2"/>
      <c r="BA579" s="101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</row>
    <row r="580" spans="1:71" ht="12" customHeight="1">
      <c r="A580" s="2"/>
      <c r="B580" s="107">
        <v>505</v>
      </c>
      <c r="C580" s="31">
        <v>7</v>
      </c>
      <c r="D580" s="111" t="s">
        <v>14</v>
      </c>
      <c r="E580" s="2" t="s">
        <v>155</v>
      </c>
      <c r="F580" s="2"/>
      <c r="G580" s="2"/>
      <c r="H580" s="33" t="s">
        <v>81</v>
      </c>
      <c r="I580" s="99">
        <f t="shared" si="0"/>
        <v>566.3903332942366</v>
      </c>
      <c r="J580" s="101">
        <f t="shared" si="1"/>
        <v>16.518097441877977</v>
      </c>
      <c r="K580" s="101">
        <f t="shared" si="2"/>
        <v>514</v>
      </c>
      <c r="L580" s="74">
        <f t="shared" si="535"/>
        <v>290</v>
      </c>
      <c r="M580" s="99">
        <f t="shared" si="191"/>
        <v>15704.397771083006</v>
      </c>
      <c r="N580" s="101">
        <f t="shared" si="690"/>
        <v>4448.4567323842075</v>
      </c>
      <c r="O580" s="101">
        <f t="shared" si="691"/>
        <v>4448.4567323842075</v>
      </c>
      <c r="P580" s="101">
        <f t="shared" si="692"/>
        <v>6807.4843063145909</v>
      </c>
      <c r="Q580" s="101">
        <f t="shared" si="693"/>
        <v>0</v>
      </c>
      <c r="R580" s="109"/>
      <c r="S580" s="99">
        <f t="shared" si="694"/>
        <v>11598.932804330489</v>
      </c>
      <c r="T580" s="101">
        <f t="shared" si="695"/>
        <v>3461.7815001128056</v>
      </c>
      <c r="U580" s="101">
        <f t="shared" si="696"/>
        <v>3461.7815001128056</v>
      </c>
      <c r="V580" s="101">
        <f t="shared" si="697"/>
        <v>4675.3698041048783</v>
      </c>
      <c r="W580" s="101">
        <f t="shared" si="698"/>
        <v>0</v>
      </c>
      <c r="X580" s="74"/>
      <c r="Y580" s="99">
        <f t="shared" si="8"/>
        <v>33205.164834520619</v>
      </c>
      <c r="Z580" s="101">
        <f t="shared" si="699"/>
        <v>8654.4537502820131</v>
      </c>
      <c r="AA580" s="101">
        <f t="shared" si="700"/>
        <v>8654.4537502820131</v>
      </c>
      <c r="AB580" s="101">
        <f t="shared" si="701"/>
        <v>15896.25733395659</v>
      </c>
      <c r="AC580" s="101">
        <f t="shared" si="702"/>
        <v>0</v>
      </c>
      <c r="AD580" s="74"/>
      <c r="AE580" s="99">
        <f t="shared" si="720"/>
        <v>27.727164197424003</v>
      </c>
      <c r="AF580" s="101">
        <f t="shared" ref="AF580" si="743">AP580</f>
        <v>36</v>
      </c>
      <c r="AG580" s="101">
        <f t="shared" si="704"/>
        <v>19.001300000000001</v>
      </c>
      <c r="AH580" s="101">
        <f t="shared" si="705"/>
        <v>458</v>
      </c>
      <c r="AI580" s="101">
        <f t="shared" si="706"/>
        <v>250</v>
      </c>
      <c r="AJ580" s="108">
        <f t="shared" si="707"/>
        <v>3.3333333333333335</v>
      </c>
      <c r="AK580" s="101">
        <f t="shared" si="461"/>
        <v>11598.932804330489</v>
      </c>
      <c r="AL580" s="101">
        <f t="shared" si="708"/>
        <v>3461.7815001128056</v>
      </c>
      <c r="AM580" s="101">
        <f t="shared" si="709"/>
        <v>3461.7815001128056</v>
      </c>
      <c r="AN580" s="101">
        <f t="shared" si="710"/>
        <v>4675.3698041048783</v>
      </c>
      <c r="AO580" s="1">
        <v>36</v>
      </c>
      <c r="AP580" s="2">
        <v>36</v>
      </c>
      <c r="AQ580" s="74">
        <f t="shared" si="711"/>
        <v>458</v>
      </c>
      <c r="AR580" s="31">
        <f t="shared" si="712"/>
        <v>50</v>
      </c>
      <c r="AS580" s="2">
        <f t="shared" si="713"/>
        <v>1</v>
      </c>
      <c r="AT580" s="33">
        <f t="shared" si="714"/>
        <v>0</v>
      </c>
      <c r="AU580" s="31">
        <f t="shared" si="715"/>
        <v>0</v>
      </c>
      <c r="AV580" s="2">
        <f t="shared" si="716"/>
        <v>0</v>
      </c>
      <c r="AW580" s="33">
        <f t="shared" si="717"/>
        <v>1.36</v>
      </c>
      <c r="AX580" s="31">
        <f t="shared" si="718"/>
        <v>1</v>
      </c>
      <c r="AY580" s="33">
        <f t="shared" si="719"/>
        <v>1</v>
      </c>
      <c r="AZ580" s="2"/>
      <c r="BA580" s="101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</row>
    <row r="581" spans="1:71" ht="12" customHeight="1">
      <c r="A581" s="2"/>
      <c r="B581" s="107">
        <v>506</v>
      </c>
      <c r="C581" s="31">
        <v>7</v>
      </c>
      <c r="D581" s="111" t="s">
        <v>14</v>
      </c>
      <c r="E581" s="2" t="s">
        <v>79</v>
      </c>
      <c r="F581" s="2"/>
      <c r="G581" s="2"/>
      <c r="H581" s="33" t="s">
        <v>81</v>
      </c>
      <c r="I581" s="99">
        <f t="shared" si="0"/>
        <v>497.81076510385066</v>
      </c>
      <c r="J581" s="101">
        <f t="shared" si="1"/>
        <v>8.2590487209389885</v>
      </c>
      <c r="K581" s="101">
        <f t="shared" si="2"/>
        <v>607</v>
      </c>
      <c r="L581" s="74">
        <f t="shared" si="535"/>
        <v>331</v>
      </c>
      <c r="M581" s="99">
        <f t="shared" si="191"/>
        <v>13802.880823279738</v>
      </c>
      <c r="N581" s="101">
        <f t="shared" si="690"/>
        <v>4119.5649882937405</v>
      </c>
      <c r="O581" s="101">
        <f t="shared" si="691"/>
        <v>4119.5649882937405</v>
      </c>
      <c r="P581" s="101">
        <f t="shared" si="692"/>
        <v>5563.7508466922582</v>
      </c>
      <c r="Q581" s="101">
        <f t="shared" si="693"/>
        <v>0</v>
      </c>
      <c r="R581" s="109"/>
      <c r="S581" s="99">
        <f t="shared" si="694"/>
        <v>11598.932804330489</v>
      </c>
      <c r="T581" s="101">
        <f t="shared" si="695"/>
        <v>3461.7815001128056</v>
      </c>
      <c r="U581" s="101">
        <f t="shared" si="696"/>
        <v>3461.7815001128056</v>
      </c>
      <c r="V581" s="101">
        <f t="shared" si="697"/>
        <v>4675.3698041048783</v>
      </c>
      <c r="W581" s="101">
        <f t="shared" si="698"/>
        <v>0</v>
      </c>
      <c r="X581" s="74"/>
      <c r="Y581" s="99">
        <f t="shared" si="8"/>
        <v>23197.865608660977</v>
      </c>
      <c r="Z581" s="101">
        <f t="shared" si="699"/>
        <v>6923.5630002256112</v>
      </c>
      <c r="AA581" s="101">
        <f t="shared" si="700"/>
        <v>6923.5630002256112</v>
      </c>
      <c r="AB581" s="101">
        <f t="shared" si="701"/>
        <v>9350.7396082097566</v>
      </c>
      <c r="AC581" s="101">
        <f t="shared" si="702"/>
        <v>0</v>
      </c>
      <c r="AD581" s="74"/>
      <c r="AE581" s="99">
        <f t="shared" si="720"/>
        <v>27.727164197424003</v>
      </c>
      <c r="AF581" s="101">
        <f t="shared" ref="AF581" si="744">AP581</f>
        <v>36</v>
      </c>
      <c r="AG581" s="101">
        <f t="shared" si="704"/>
        <v>19.001300000000001</v>
      </c>
      <c r="AH581" s="101">
        <f t="shared" si="705"/>
        <v>229</v>
      </c>
      <c r="AI581" s="101">
        <f t="shared" si="706"/>
        <v>200</v>
      </c>
      <c r="AJ581" s="108">
        <f t="shared" si="707"/>
        <v>3.3333333333333335</v>
      </c>
      <c r="AK581" s="101">
        <f t="shared" si="461"/>
        <v>11598.932804330489</v>
      </c>
      <c r="AL581" s="101">
        <f t="shared" si="708"/>
        <v>3461.7815001128056</v>
      </c>
      <c r="AM581" s="101">
        <f t="shared" si="709"/>
        <v>3461.7815001128056</v>
      </c>
      <c r="AN581" s="101">
        <f t="shared" si="710"/>
        <v>4675.3698041048783</v>
      </c>
      <c r="AO581" s="1">
        <v>36</v>
      </c>
      <c r="AP581" s="2">
        <v>36</v>
      </c>
      <c r="AQ581" s="74">
        <f t="shared" si="711"/>
        <v>458</v>
      </c>
      <c r="AR581" s="31">
        <f t="shared" si="712"/>
        <v>0</v>
      </c>
      <c r="AS581" s="2">
        <f t="shared" si="713"/>
        <v>0.5</v>
      </c>
      <c r="AT581" s="33">
        <f t="shared" si="714"/>
        <v>0</v>
      </c>
      <c r="AU581" s="31">
        <f t="shared" si="715"/>
        <v>0</v>
      </c>
      <c r="AV581" s="2">
        <f t="shared" si="716"/>
        <v>0</v>
      </c>
      <c r="AW581" s="33">
        <f t="shared" si="717"/>
        <v>1</v>
      </c>
      <c r="AX581" s="31">
        <f t="shared" si="718"/>
        <v>1</v>
      </c>
      <c r="AY581" s="33">
        <f t="shared" si="719"/>
        <v>1</v>
      </c>
      <c r="AZ581" s="2"/>
      <c r="BA581" s="101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</row>
    <row r="582" spans="1:71" ht="12" customHeight="1">
      <c r="A582" s="2"/>
      <c r="B582" s="107">
        <v>507</v>
      </c>
      <c r="C582" s="31">
        <v>7</v>
      </c>
      <c r="D582" s="111" t="s">
        <v>14</v>
      </c>
      <c r="E582" s="2" t="s">
        <v>168</v>
      </c>
      <c r="F582" s="2"/>
      <c r="G582" s="2"/>
      <c r="H582" s="33" t="s">
        <v>81</v>
      </c>
      <c r="I582" s="99">
        <f t="shared" si="0"/>
        <v>602.39171613208532</v>
      </c>
      <c r="J582" s="101">
        <f t="shared" si="1"/>
        <v>8.2590487209389885</v>
      </c>
      <c r="K582" s="101">
        <f t="shared" si="2"/>
        <v>462</v>
      </c>
      <c r="L582" s="74">
        <f t="shared" si="535"/>
        <v>271</v>
      </c>
      <c r="M582" s="99">
        <f t="shared" si="191"/>
        <v>16702.614024362359</v>
      </c>
      <c r="N582" s="101">
        <f t="shared" si="690"/>
        <v>4985.0103633219414</v>
      </c>
      <c r="O582" s="101">
        <f t="shared" si="691"/>
        <v>4985.0103633219414</v>
      </c>
      <c r="P582" s="101">
        <f t="shared" si="692"/>
        <v>6732.5932977184784</v>
      </c>
      <c r="Q582" s="101">
        <f t="shared" si="693"/>
        <v>0</v>
      </c>
      <c r="R582" s="109"/>
      <c r="S582" s="99">
        <f t="shared" si="694"/>
        <v>11598.932804330489</v>
      </c>
      <c r="T582" s="101">
        <f t="shared" si="695"/>
        <v>3461.7815001128056</v>
      </c>
      <c r="U582" s="101">
        <f t="shared" si="696"/>
        <v>3461.7815001128056</v>
      </c>
      <c r="V582" s="101">
        <f t="shared" si="697"/>
        <v>4675.3698041048783</v>
      </c>
      <c r="W582" s="101">
        <f t="shared" si="698"/>
        <v>0</v>
      </c>
      <c r="X582" s="74"/>
      <c r="Y582" s="99">
        <f t="shared" si="8"/>
        <v>23197.865608660977</v>
      </c>
      <c r="Z582" s="101">
        <f t="shared" si="699"/>
        <v>6923.5630002256112</v>
      </c>
      <c r="AA582" s="101">
        <f t="shared" si="700"/>
        <v>6923.5630002256112</v>
      </c>
      <c r="AB582" s="101">
        <f t="shared" si="701"/>
        <v>9350.7396082097566</v>
      </c>
      <c r="AC582" s="101">
        <f t="shared" si="702"/>
        <v>0</v>
      </c>
      <c r="AD582" s="74"/>
      <c r="AE582" s="99">
        <f t="shared" si="720"/>
        <v>27.727164197424003</v>
      </c>
      <c r="AF582" s="101">
        <f t="shared" ref="AF582" si="745">AP582</f>
        <v>36</v>
      </c>
      <c r="AG582" s="101">
        <f t="shared" si="704"/>
        <v>44.001300000000001</v>
      </c>
      <c r="AH582" s="101">
        <f t="shared" si="705"/>
        <v>229</v>
      </c>
      <c r="AI582" s="101">
        <f t="shared" si="706"/>
        <v>200</v>
      </c>
      <c r="AJ582" s="108">
        <f t="shared" si="707"/>
        <v>3.3333333333333335</v>
      </c>
      <c r="AK582" s="101">
        <f t="shared" si="461"/>
        <v>11598.932804330489</v>
      </c>
      <c r="AL582" s="101">
        <f t="shared" si="708"/>
        <v>3461.7815001128056</v>
      </c>
      <c r="AM582" s="101">
        <f t="shared" si="709"/>
        <v>3461.7815001128056</v>
      </c>
      <c r="AN582" s="101">
        <f t="shared" si="710"/>
        <v>4675.3698041048783</v>
      </c>
      <c r="AO582" s="1">
        <v>36</v>
      </c>
      <c r="AP582" s="2">
        <v>36</v>
      </c>
      <c r="AQ582" s="74">
        <f t="shared" si="711"/>
        <v>458</v>
      </c>
      <c r="AR582" s="31">
        <f t="shared" si="712"/>
        <v>0</v>
      </c>
      <c r="AS582" s="2">
        <f t="shared" si="713"/>
        <v>0.5</v>
      </c>
      <c r="AT582" s="33">
        <f t="shared" si="714"/>
        <v>0</v>
      </c>
      <c r="AU582" s="31">
        <f t="shared" si="715"/>
        <v>25</v>
      </c>
      <c r="AV582" s="2">
        <f t="shared" si="716"/>
        <v>0</v>
      </c>
      <c r="AW582" s="33">
        <f t="shared" si="717"/>
        <v>1</v>
      </c>
      <c r="AX582" s="31">
        <f t="shared" si="718"/>
        <v>1</v>
      </c>
      <c r="AY582" s="33">
        <f t="shared" si="719"/>
        <v>1</v>
      </c>
      <c r="AZ582" s="2"/>
      <c r="BA582" s="101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</row>
    <row r="583" spans="1:71" ht="12" customHeight="1">
      <c r="A583" s="2"/>
      <c r="B583" s="107">
        <v>508</v>
      </c>
      <c r="C583" s="31">
        <v>7</v>
      </c>
      <c r="D583" s="111" t="s">
        <v>14</v>
      </c>
      <c r="E583" s="2" t="s">
        <v>103</v>
      </c>
      <c r="F583" s="2"/>
      <c r="G583" s="2"/>
      <c r="H583" s="33" t="s">
        <v>81</v>
      </c>
      <c r="I583" s="99">
        <f t="shared" si="0"/>
        <v>520.87963525979467</v>
      </c>
      <c r="J583" s="101">
        <f t="shared" si="1"/>
        <v>8.2590487209389885</v>
      </c>
      <c r="K583" s="101">
        <f t="shared" si="2"/>
        <v>573</v>
      </c>
      <c r="L583" s="74">
        <f t="shared" si="535"/>
        <v>314</v>
      </c>
      <c r="M583" s="99">
        <f t="shared" si="191"/>
        <v>14442.515173942653</v>
      </c>
      <c r="N583" s="101">
        <f t="shared" si="690"/>
        <v>4119.5649882937405</v>
      </c>
      <c r="O583" s="101">
        <f t="shared" si="691"/>
        <v>4119.5649882937405</v>
      </c>
      <c r="P583" s="101">
        <f t="shared" si="692"/>
        <v>6203.3851973551718</v>
      </c>
      <c r="Q583" s="101">
        <f t="shared" si="693"/>
        <v>0</v>
      </c>
      <c r="R583" s="109"/>
      <c r="S583" s="99">
        <f t="shared" si="694"/>
        <v>11598.932804330489</v>
      </c>
      <c r="T583" s="101">
        <f t="shared" si="695"/>
        <v>3461.7815001128056</v>
      </c>
      <c r="U583" s="101">
        <f t="shared" si="696"/>
        <v>3461.7815001128056</v>
      </c>
      <c r="V583" s="101">
        <f t="shared" si="697"/>
        <v>4675.3698041048783</v>
      </c>
      <c r="W583" s="101">
        <f t="shared" si="698"/>
        <v>0</v>
      </c>
      <c r="X583" s="74"/>
      <c r="Y583" s="99">
        <f t="shared" si="8"/>
        <v>26564.131867616496</v>
      </c>
      <c r="Z583" s="101">
        <f t="shared" si="699"/>
        <v>6923.5630002256112</v>
      </c>
      <c r="AA583" s="101">
        <f t="shared" si="700"/>
        <v>6923.5630002256112</v>
      </c>
      <c r="AB583" s="101">
        <f t="shared" si="701"/>
        <v>12717.005867165271</v>
      </c>
      <c r="AC583" s="101">
        <f t="shared" si="702"/>
        <v>0</v>
      </c>
      <c r="AD583" s="74"/>
      <c r="AE583" s="99">
        <f t="shared" si="720"/>
        <v>27.727164197424003</v>
      </c>
      <c r="AF583" s="101">
        <f t="shared" ref="AF583" si="746">AP583</f>
        <v>36</v>
      </c>
      <c r="AG583" s="101">
        <f t="shared" si="704"/>
        <v>19.001300000000001</v>
      </c>
      <c r="AH583" s="101">
        <f t="shared" si="705"/>
        <v>229</v>
      </c>
      <c r="AI583" s="101">
        <f t="shared" si="706"/>
        <v>200</v>
      </c>
      <c r="AJ583" s="108">
        <f t="shared" si="707"/>
        <v>3.3333333333333335</v>
      </c>
      <c r="AK583" s="101">
        <f t="shared" si="461"/>
        <v>11598.932804330489</v>
      </c>
      <c r="AL583" s="101">
        <f t="shared" si="708"/>
        <v>3461.7815001128056</v>
      </c>
      <c r="AM583" s="101">
        <f t="shared" si="709"/>
        <v>3461.7815001128056</v>
      </c>
      <c r="AN583" s="101">
        <f t="shared" si="710"/>
        <v>4675.3698041048783</v>
      </c>
      <c r="AO583" s="1">
        <v>36</v>
      </c>
      <c r="AP583" s="2">
        <v>36</v>
      </c>
      <c r="AQ583" s="74">
        <f t="shared" si="711"/>
        <v>458</v>
      </c>
      <c r="AR583" s="31">
        <f t="shared" si="712"/>
        <v>0</v>
      </c>
      <c r="AS583" s="2">
        <f t="shared" si="713"/>
        <v>0.5</v>
      </c>
      <c r="AT583" s="33">
        <f t="shared" si="714"/>
        <v>0</v>
      </c>
      <c r="AU583" s="31">
        <f t="shared" si="715"/>
        <v>0</v>
      </c>
      <c r="AV583" s="2">
        <f t="shared" si="716"/>
        <v>0</v>
      </c>
      <c r="AW583" s="33">
        <f t="shared" si="717"/>
        <v>1.36</v>
      </c>
      <c r="AX583" s="31">
        <f t="shared" si="718"/>
        <v>1</v>
      </c>
      <c r="AY583" s="33">
        <f t="shared" si="719"/>
        <v>1</v>
      </c>
      <c r="AZ583" s="2"/>
      <c r="BA583" s="101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</row>
    <row r="584" spans="1:71" ht="12" customHeight="1">
      <c r="A584" s="2"/>
      <c r="B584" s="107">
        <v>509</v>
      </c>
      <c r="C584" s="31">
        <v>4</v>
      </c>
      <c r="D584" s="111" t="s">
        <v>14</v>
      </c>
      <c r="E584" s="2" t="s">
        <v>67</v>
      </c>
      <c r="F584" s="1"/>
      <c r="G584" s="1"/>
      <c r="H584" s="33" t="s">
        <v>81</v>
      </c>
      <c r="I584" s="99">
        <f t="shared" si="0"/>
        <v>461.30974290374553</v>
      </c>
      <c r="J584" s="101">
        <f t="shared" si="1"/>
        <v>9.0885601645267471</v>
      </c>
      <c r="K584" s="101">
        <f t="shared" si="2"/>
        <v>659</v>
      </c>
      <c r="L584" s="74">
        <f t="shared" si="535"/>
        <v>350</v>
      </c>
      <c r="M584" s="99">
        <f t="shared" si="191"/>
        <v>12790.810987363604</v>
      </c>
      <c r="N584" s="101">
        <f t="shared" si="690"/>
        <v>3817.542994112036</v>
      </c>
      <c r="O584" s="101">
        <f t="shared" si="691"/>
        <v>3817.542994112036</v>
      </c>
      <c r="P584" s="101">
        <f t="shared" si="692"/>
        <v>5155.724999139532</v>
      </c>
      <c r="Q584" s="101">
        <f t="shared" si="693"/>
        <v>0</v>
      </c>
      <c r="R584" s="109"/>
      <c r="S584" s="99">
        <f t="shared" si="694"/>
        <v>10748.463241463416</v>
      </c>
      <c r="T584" s="101">
        <f t="shared" si="695"/>
        <v>3207.9842775768298</v>
      </c>
      <c r="U584" s="101">
        <f t="shared" si="696"/>
        <v>3207.9842775768298</v>
      </c>
      <c r="V584" s="101">
        <f t="shared" si="697"/>
        <v>4332.4946863097566</v>
      </c>
      <c r="W584" s="101">
        <f t="shared" si="698"/>
        <v>0</v>
      </c>
      <c r="X584" s="74"/>
      <c r="Y584" s="99">
        <f t="shared" si="8"/>
        <v>21496.926482926832</v>
      </c>
      <c r="Z584" s="101">
        <f t="shared" si="699"/>
        <v>6415.9685551536595</v>
      </c>
      <c r="AA584" s="101">
        <f t="shared" si="700"/>
        <v>6415.9685551536595</v>
      </c>
      <c r="AB584" s="101">
        <f t="shared" si="701"/>
        <v>8664.9893726195132</v>
      </c>
      <c r="AC584" s="101">
        <f t="shared" si="702"/>
        <v>0</v>
      </c>
      <c r="AD584" s="74"/>
      <c r="AE584" s="99">
        <f t="shared" si="720"/>
        <v>27.727164197424003</v>
      </c>
      <c r="AF584" s="101">
        <f t="shared" ref="AF584" si="747">AP584</f>
        <v>36</v>
      </c>
      <c r="AG584" s="101">
        <f t="shared" si="704"/>
        <v>19.001300000000001</v>
      </c>
      <c r="AH584" s="101">
        <f t="shared" si="705"/>
        <v>252</v>
      </c>
      <c r="AI584" s="101">
        <f t="shared" si="706"/>
        <v>200</v>
      </c>
      <c r="AJ584" s="108">
        <f t="shared" si="707"/>
        <v>3.3333333333333335</v>
      </c>
      <c r="AK584" s="101">
        <f t="shared" si="461"/>
        <v>10748.463241463416</v>
      </c>
      <c r="AL584" s="101">
        <f t="shared" si="708"/>
        <v>3207.9842775768298</v>
      </c>
      <c r="AM584" s="101">
        <f t="shared" si="709"/>
        <v>3207.9842775768298</v>
      </c>
      <c r="AN584" s="101">
        <f t="shared" si="710"/>
        <v>4332.4946863097566</v>
      </c>
      <c r="AO584" s="1">
        <v>36</v>
      </c>
      <c r="AP584" s="2">
        <v>36</v>
      </c>
      <c r="AQ584" s="74">
        <f t="shared" si="711"/>
        <v>252</v>
      </c>
      <c r="AR584" s="31">
        <f t="shared" si="712"/>
        <v>0</v>
      </c>
      <c r="AS584" s="2">
        <f t="shared" si="713"/>
        <v>1</v>
      </c>
      <c r="AT584" s="33">
        <f t="shared" si="714"/>
        <v>0</v>
      </c>
      <c r="AU584" s="31">
        <f t="shared" si="715"/>
        <v>0</v>
      </c>
      <c r="AV584" s="2">
        <f t="shared" si="716"/>
        <v>0</v>
      </c>
      <c r="AW584" s="33">
        <f t="shared" si="717"/>
        <v>1</v>
      </c>
      <c r="AX584" s="31">
        <f t="shared" si="718"/>
        <v>1</v>
      </c>
      <c r="AY584" s="33">
        <f t="shared" si="719"/>
        <v>1</v>
      </c>
      <c r="AZ584" s="2"/>
      <c r="BA584" s="101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</row>
    <row r="585" spans="1:71" ht="12" customHeight="1">
      <c r="A585" s="2"/>
      <c r="B585" s="107">
        <v>510</v>
      </c>
      <c r="C585" s="31">
        <v>4</v>
      </c>
      <c r="D585" s="111" t="s">
        <v>14</v>
      </c>
      <c r="E585" s="2" t="s">
        <v>148</v>
      </c>
      <c r="F585" s="2"/>
      <c r="G585" s="2"/>
      <c r="H585" s="33" t="s">
        <v>81</v>
      </c>
      <c r="I585" s="99">
        <f t="shared" si="0"/>
        <v>498.1391087083079</v>
      </c>
      <c r="J585" s="101">
        <f t="shared" si="1"/>
        <v>9.0885601645267471</v>
      </c>
      <c r="K585" s="101">
        <f t="shared" si="2"/>
        <v>606</v>
      </c>
      <c r="L585" s="74">
        <f t="shared" si="535"/>
        <v>330</v>
      </c>
      <c r="M585" s="99">
        <f t="shared" si="191"/>
        <v>13811.984860313698</v>
      </c>
      <c r="N585" s="101">
        <f t="shared" si="690"/>
        <v>4122.3223523796387</v>
      </c>
      <c r="O585" s="101">
        <f t="shared" si="691"/>
        <v>4122.3223523796387</v>
      </c>
      <c r="P585" s="101">
        <f t="shared" si="692"/>
        <v>5567.3401555544206</v>
      </c>
      <c r="Q585" s="101">
        <f t="shared" si="693"/>
        <v>0</v>
      </c>
      <c r="R585" s="109"/>
      <c r="S585" s="99">
        <f t="shared" si="694"/>
        <v>10748.463241463416</v>
      </c>
      <c r="T585" s="101">
        <f t="shared" si="695"/>
        <v>3207.9842775768298</v>
      </c>
      <c r="U585" s="101">
        <f t="shared" si="696"/>
        <v>3207.9842775768298</v>
      </c>
      <c r="V585" s="101">
        <f t="shared" si="697"/>
        <v>4332.4946863097566</v>
      </c>
      <c r="W585" s="101">
        <f t="shared" si="698"/>
        <v>0</v>
      </c>
      <c r="X585" s="74"/>
      <c r="Y585" s="99">
        <f t="shared" si="8"/>
        <v>26871.158103658541</v>
      </c>
      <c r="Z585" s="101">
        <f t="shared" si="699"/>
        <v>8019.9606939420746</v>
      </c>
      <c r="AA585" s="101">
        <f t="shared" si="700"/>
        <v>8019.9606939420746</v>
      </c>
      <c r="AB585" s="101">
        <f t="shared" si="701"/>
        <v>10831.236715774392</v>
      </c>
      <c r="AC585" s="101">
        <f t="shared" si="702"/>
        <v>0</v>
      </c>
      <c r="AD585" s="74"/>
      <c r="AE585" s="99">
        <f t="shared" si="720"/>
        <v>27.727164197424003</v>
      </c>
      <c r="AF585" s="101">
        <f t="shared" ref="AF585" si="748">AP585</f>
        <v>36</v>
      </c>
      <c r="AG585" s="101">
        <f t="shared" si="704"/>
        <v>19.001300000000001</v>
      </c>
      <c r="AH585" s="101">
        <f t="shared" si="705"/>
        <v>252</v>
      </c>
      <c r="AI585" s="101">
        <f t="shared" si="706"/>
        <v>250</v>
      </c>
      <c r="AJ585" s="108">
        <f t="shared" si="707"/>
        <v>3.3333333333333335</v>
      </c>
      <c r="AK585" s="101">
        <f t="shared" si="461"/>
        <v>10748.463241463416</v>
      </c>
      <c r="AL585" s="101">
        <f t="shared" si="708"/>
        <v>3207.9842775768298</v>
      </c>
      <c r="AM585" s="101">
        <f t="shared" si="709"/>
        <v>3207.9842775768298</v>
      </c>
      <c r="AN585" s="101">
        <f t="shared" si="710"/>
        <v>4332.4946863097566</v>
      </c>
      <c r="AO585" s="1">
        <v>36</v>
      </c>
      <c r="AP585" s="2">
        <v>36</v>
      </c>
      <c r="AQ585" s="74">
        <f t="shared" si="711"/>
        <v>252</v>
      </c>
      <c r="AR585" s="31">
        <f t="shared" si="712"/>
        <v>50</v>
      </c>
      <c r="AS585" s="2">
        <f t="shared" si="713"/>
        <v>1</v>
      </c>
      <c r="AT585" s="33">
        <f t="shared" si="714"/>
        <v>0</v>
      </c>
      <c r="AU585" s="31">
        <f t="shared" si="715"/>
        <v>0</v>
      </c>
      <c r="AV585" s="2">
        <f t="shared" si="716"/>
        <v>0</v>
      </c>
      <c r="AW585" s="33">
        <f t="shared" si="717"/>
        <v>1</v>
      </c>
      <c r="AX585" s="31">
        <f t="shared" si="718"/>
        <v>1</v>
      </c>
      <c r="AY585" s="33">
        <f t="shared" si="719"/>
        <v>1</v>
      </c>
      <c r="AZ585" s="2"/>
      <c r="BA585" s="101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</row>
    <row r="586" spans="1:71" ht="12" customHeight="1">
      <c r="A586" s="2"/>
      <c r="B586" s="107">
        <v>511</v>
      </c>
      <c r="C586" s="31">
        <v>4</v>
      </c>
      <c r="D586" s="111" t="s">
        <v>14</v>
      </c>
      <c r="E586" s="2" t="s">
        <v>79</v>
      </c>
      <c r="F586" s="2"/>
      <c r="G586" s="2"/>
      <c r="H586" s="33" t="s">
        <v>81</v>
      </c>
      <c r="I586" s="99">
        <f t="shared" si="0"/>
        <v>461.30974290374553</v>
      </c>
      <c r="J586" s="101">
        <f t="shared" si="1"/>
        <v>4.5442800822633735</v>
      </c>
      <c r="K586" s="101">
        <f t="shared" si="2"/>
        <v>659</v>
      </c>
      <c r="L586" s="74">
        <f t="shared" si="535"/>
        <v>350</v>
      </c>
      <c r="M586" s="99">
        <f t="shared" si="191"/>
        <v>12790.810987363604</v>
      </c>
      <c r="N586" s="101">
        <f t="shared" si="690"/>
        <v>3817.542994112036</v>
      </c>
      <c r="O586" s="101">
        <f t="shared" si="691"/>
        <v>3817.542994112036</v>
      </c>
      <c r="P586" s="101">
        <f t="shared" si="692"/>
        <v>5155.724999139532</v>
      </c>
      <c r="Q586" s="101">
        <f t="shared" si="693"/>
        <v>0</v>
      </c>
      <c r="R586" s="109"/>
      <c r="S586" s="99">
        <f t="shared" si="694"/>
        <v>10748.463241463416</v>
      </c>
      <c r="T586" s="101">
        <f t="shared" si="695"/>
        <v>3207.9842775768298</v>
      </c>
      <c r="U586" s="101">
        <f t="shared" si="696"/>
        <v>3207.9842775768298</v>
      </c>
      <c r="V586" s="101">
        <f t="shared" si="697"/>
        <v>4332.4946863097566</v>
      </c>
      <c r="W586" s="101">
        <f t="shared" si="698"/>
        <v>0</v>
      </c>
      <c r="X586" s="74"/>
      <c r="Y586" s="99">
        <f t="shared" si="8"/>
        <v>21496.926482926832</v>
      </c>
      <c r="Z586" s="101">
        <f t="shared" si="699"/>
        <v>6415.9685551536595</v>
      </c>
      <c r="AA586" s="101">
        <f t="shared" si="700"/>
        <v>6415.9685551536595</v>
      </c>
      <c r="AB586" s="101">
        <f t="shared" si="701"/>
        <v>8664.9893726195132</v>
      </c>
      <c r="AC586" s="101">
        <f t="shared" si="702"/>
        <v>0</v>
      </c>
      <c r="AD586" s="74"/>
      <c r="AE586" s="99">
        <f t="shared" si="720"/>
        <v>27.727164197424003</v>
      </c>
      <c r="AF586" s="101">
        <f t="shared" ref="AF586" si="749">AP586</f>
        <v>36</v>
      </c>
      <c r="AG586" s="101">
        <f t="shared" si="704"/>
        <v>19.001300000000001</v>
      </c>
      <c r="AH586" s="101">
        <f t="shared" si="705"/>
        <v>126</v>
      </c>
      <c r="AI586" s="101">
        <f t="shared" si="706"/>
        <v>200</v>
      </c>
      <c r="AJ586" s="108">
        <f t="shared" si="707"/>
        <v>3.3333333333333335</v>
      </c>
      <c r="AK586" s="101">
        <f t="shared" si="461"/>
        <v>10748.463241463416</v>
      </c>
      <c r="AL586" s="101">
        <f t="shared" si="708"/>
        <v>3207.9842775768298</v>
      </c>
      <c r="AM586" s="101">
        <f t="shared" si="709"/>
        <v>3207.9842775768298</v>
      </c>
      <c r="AN586" s="101">
        <f t="shared" si="710"/>
        <v>4332.4946863097566</v>
      </c>
      <c r="AO586" s="1">
        <v>36</v>
      </c>
      <c r="AP586" s="2">
        <v>36</v>
      </c>
      <c r="AQ586" s="74">
        <f t="shared" si="711"/>
        <v>252</v>
      </c>
      <c r="AR586" s="31">
        <f t="shared" si="712"/>
        <v>0</v>
      </c>
      <c r="AS586" s="2">
        <f t="shared" si="713"/>
        <v>0.5</v>
      </c>
      <c r="AT586" s="33">
        <f t="shared" si="714"/>
        <v>0</v>
      </c>
      <c r="AU586" s="31">
        <f t="shared" si="715"/>
        <v>0</v>
      </c>
      <c r="AV586" s="2">
        <f t="shared" si="716"/>
        <v>0</v>
      </c>
      <c r="AW586" s="33">
        <f t="shared" si="717"/>
        <v>1</v>
      </c>
      <c r="AX586" s="31">
        <f t="shared" si="718"/>
        <v>1</v>
      </c>
      <c r="AY586" s="33">
        <f t="shared" si="719"/>
        <v>1</v>
      </c>
      <c r="AZ586" s="2"/>
      <c r="BA586" s="101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</row>
    <row r="587" spans="1:71" ht="12" customHeight="1">
      <c r="A587" s="2"/>
      <c r="B587" s="107">
        <v>512</v>
      </c>
      <c r="C587" s="31">
        <v>1</v>
      </c>
      <c r="D587" s="111" t="s">
        <v>14</v>
      </c>
      <c r="E587" s="2" t="s">
        <v>67</v>
      </c>
      <c r="F587" s="1"/>
      <c r="G587" s="1"/>
      <c r="H587" s="33" t="s">
        <v>81</v>
      </c>
      <c r="I587" s="99">
        <f t="shared" si="0"/>
        <v>357.66132855272019</v>
      </c>
      <c r="J587" s="101">
        <f t="shared" si="1"/>
        <v>4.5803457972019714</v>
      </c>
      <c r="K587" s="101">
        <f t="shared" si="2"/>
        <v>768</v>
      </c>
      <c r="L587" s="74">
        <f t="shared" si="535"/>
        <v>390</v>
      </c>
      <c r="M587" s="99">
        <f t="shared" si="191"/>
        <v>9916.9343838500863</v>
      </c>
      <c r="N587" s="101">
        <f t="shared" si="690"/>
        <v>2890.4506083674919</v>
      </c>
      <c r="O587" s="101">
        <f t="shared" si="691"/>
        <v>2890.4506083674919</v>
      </c>
      <c r="P587" s="101">
        <f t="shared" si="692"/>
        <v>4136.0331671151016</v>
      </c>
      <c r="Q587" s="101">
        <f t="shared" si="693"/>
        <v>0</v>
      </c>
      <c r="R587" s="109"/>
      <c r="S587" s="99">
        <f t="shared" si="694"/>
        <v>8333.4672678786592</v>
      </c>
      <c r="T587" s="101">
        <f t="shared" si="695"/>
        <v>2428.9235566060975</v>
      </c>
      <c r="U587" s="101">
        <f t="shared" si="696"/>
        <v>2428.9235566060975</v>
      </c>
      <c r="V587" s="101">
        <f t="shared" si="697"/>
        <v>3475.6201546664633</v>
      </c>
      <c r="W587" s="101">
        <f t="shared" si="698"/>
        <v>0</v>
      </c>
      <c r="X587" s="74"/>
      <c r="Y587" s="99">
        <f t="shared" si="8"/>
        <v>16666.934535757318</v>
      </c>
      <c r="Z587" s="101">
        <f t="shared" si="699"/>
        <v>4857.8471132121949</v>
      </c>
      <c r="AA587" s="101">
        <f t="shared" si="700"/>
        <v>4857.8471132121949</v>
      </c>
      <c r="AB587" s="101">
        <f t="shared" si="701"/>
        <v>6951.2403093329267</v>
      </c>
      <c r="AC587" s="101">
        <f t="shared" si="702"/>
        <v>0</v>
      </c>
      <c r="AD587" s="74"/>
      <c r="AE587" s="99">
        <f t="shared" si="720"/>
        <v>27.727164197424003</v>
      </c>
      <c r="AF587" s="101">
        <f t="shared" ref="AF587" si="750">AP587</f>
        <v>36</v>
      </c>
      <c r="AG587" s="101">
        <f t="shared" si="704"/>
        <v>19.001300000000001</v>
      </c>
      <c r="AH587" s="101">
        <f t="shared" si="705"/>
        <v>127</v>
      </c>
      <c r="AI587" s="101">
        <f t="shared" si="706"/>
        <v>200</v>
      </c>
      <c r="AJ587" s="108">
        <f t="shared" si="707"/>
        <v>3.3333333333333335</v>
      </c>
      <c r="AK587" s="101">
        <f t="shared" si="461"/>
        <v>8333.4672678786592</v>
      </c>
      <c r="AL587" s="101">
        <f t="shared" si="708"/>
        <v>2428.9235566060975</v>
      </c>
      <c r="AM587" s="101">
        <f t="shared" si="709"/>
        <v>2428.9235566060975</v>
      </c>
      <c r="AN587" s="101">
        <f t="shared" si="710"/>
        <v>3475.6201546664633</v>
      </c>
      <c r="AO587" s="1">
        <v>36</v>
      </c>
      <c r="AP587" s="2">
        <v>36</v>
      </c>
      <c r="AQ587" s="74">
        <f t="shared" si="711"/>
        <v>127</v>
      </c>
      <c r="AR587" s="31">
        <f t="shared" si="712"/>
        <v>0</v>
      </c>
      <c r="AS587" s="2">
        <f t="shared" si="713"/>
        <v>1</v>
      </c>
      <c r="AT587" s="33">
        <f t="shared" si="714"/>
        <v>0</v>
      </c>
      <c r="AU587" s="31">
        <f t="shared" si="715"/>
        <v>0</v>
      </c>
      <c r="AV587" s="2">
        <f t="shared" si="716"/>
        <v>0</v>
      </c>
      <c r="AW587" s="33">
        <f t="shared" si="717"/>
        <v>1</v>
      </c>
      <c r="AX587" s="31">
        <f t="shared" si="718"/>
        <v>1</v>
      </c>
      <c r="AY587" s="33">
        <f t="shared" si="719"/>
        <v>1</v>
      </c>
      <c r="AZ587" s="2"/>
      <c r="BA587" s="101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</row>
    <row r="588" spans="1:71" ht="12" customHeight="1">
      <c r="A588" s="2"/>
      <c r="B588" s="107">
        <v>513</v>
      </c>
      <c r="C588" s="31">
        <v>10</v>
      </c>
      <c r="D588" s="111" t="s">
        <v>14</v>
      </c>
      <c r="E588" s="2" t="s">
        <v>144</v>
      </c>
      <c r="F588" s="2"/>
      <c r="G588" s="2"/>
      <c r="H588" s="33" t="s">
        <v>80</v>
      </c>
      <c r="I588" s="99">
        <f t="shared" si="0"/>
        <v>554.78513859638815</v>
      </c>
      <c r="J588" s="101">
        <f t="shared" si="1"/>
        <v>23.695174714659018</v>
      </c>
      <c r="K588" s="101">
        <f t="shared" si="2"/>
        <v>525</v>
      </c>
      <c r="L588" s="74">
        <f t="shared" si="535"/>
        <v>294</v>
      </c>
      <c r="M588" s="99">
        <f t="shared" si="191"/>
        <v>15382.618632152687</v>
      </c>
      <c r="N588" s="101">
        <f t="shared" si="690"/>
        <v>2868.7757347820384</v>
      </c>
      <c r="O588" s="101">
        <f t="shared" si="691"/>
        <v>2868.7757347820384</v>
      </c>
      <c r="P588" s="101">
        <f t="shared" si="692"/>
        <v>3876.5851755313538</v>
      </c>
      <c r="Q588" s="101">
        <f t="shared" si="693"/>
        <v>5768.4819870572574</v>
      </c>
      <c r="R588" s="109"/>
      <c r="S588" s="99">
        <f t="shared" si="694"/>
        <v>12926.429066029268</v>
      </c>
      <c r="T588" s="101">
        <f t="shared" si="695"/>
        <v>2410.7095760987809</v>
      </c>
      <c r="U588" s="101">
        <f t="shared" si="696"/>
        <v>2410.7095760987809</v>
      </c>
      <c r="V588" s="101">
        <f t="shared" si="697"/>
        <v>3257.5990140707318</v>
      </c>
      <c r="W588" s="101">
        <f t="shared" si="698"/>
        <v>4847.4108997609756</v>
      </c>
      <c r="X588" s="74"/>
      <c r="Y588" s="99">
        <f t="shared" si="8"/>
        <v>25852.858132058536</v>
      </c>
      <c r="Z588" s="101">
        <f t="shared" si="699"/>
        <v>4821.4191521975617</v>
      </c>
      <c r="AA588" s="101">
        <f t="shared" si="700"/>
        <v>4821.4191521975617</v>
      </c>
      <c r="AB588" s="101">
        <f t="shared" si="701"/>
        <v>6515.1980281414635</v>
      </c>
      <c r="AC588" s="101">
        <f t="shared" si="702"/>
        <v>9694.8217995219511</v>
      </c>
      <c r="AD588" s="74"/>
      <c r="AE588" s="99">
        <f t="shared" si="720"/>
        <v>27.727164197424003</v>
      </c>
      <c r="AF588" s="101">
        <f t="shared" ref="AF588" si="751">AP588</f>
        <v>36</v>
      </c>
      <c r="AG588" s="101">
        <f t="shared" si="704"/>
        <v>19.001300000000001</v>
      </c>
      <c r="AH588" s="101">
        <f t="shared" si="705"/>
        <v>657</v>
      </c>
      <c r="AI588" s="101">
        <f t="shared" si="706"/>
        <v>200</v>
      </c>
      <c r="AJ588" s="108">
        <f t="shared" si="707"/>
        <v>3.3333333333333335</v>
      </c>
      <c r="AK588" s="101">
        <f t="shared" si="461"/>
        <v>8079.0181662682935</v>
      </c>
      <c r="AL588" s="101">
        <f t="shared" si="708"/>
        <v>2410.7095760987809</v>
      </c>
      <c r="AM588" s="101">
        <f t="shared" si="709"/>
        <v>2410.7095760987809</v>
      </c>
      <c r="AN588" s="101">
        <f t="shared" si="710"/>
        <v>3257.5990140707318</v>
      </c>
      <c r="AO588" s="1">
        <v>36</v>
      </c>
      <c r="AP588" s="2">
        <v>36</v>
      </c>
      <c r="AQ588" s="74">
        <f t="shared" si="711"/>
        <v>657</v>
      </c>
      <c r="AR588" s="31">
        <f t="shared" si="712"/>
        <v>0</v>
      </c>
      <c r="AS588" s="2">
        <f t="shared" si="713"/>
        <v>1</v>
      </c>
      <c r="AT588" s="33">
        <f t="shared" si="714"/>
        <v>0</v>
      </c>
      <c r="AU588" s="31">
        <f t="shared" si="715"/>
        <v>0</v>
      </c>
      <c r="AV588" s="2">
        <f t="shared" si="716"/>
        <v>0</v>
      </c>
      <c r="AW588" s="33">
        <f t="shared" si="717"/>
        <v>1</v>
      </c>
      <c r="AX588" s="31">
        <f t="shared" si="718"/>
        <v>0.6</v>
      </c>
      <c r="AY588" s="33">
        <f t="shared" si="719"/>
        <v>1</v>
      </c>
      <c r="AZ588" s="2"/>
      <c r="BA588" s="101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</row>
    <row r="589" spans="1:71" ht="12" customHeight="1">
      <c r="A589" s="2"/>
      <c r="B589" s="107">
        <v>514</v>
      </c>
      <c r="C589" s="31">
        <v>10</v>
      </c>
      <c r="D589" s="111" t="s">
        <v>14</v>
      </c>
      <c r="E589" s="2" t="s">
        <v>138</v>
      </c>
      <c r="F589" s="2"/>
      <c r="G589" s="2"/>
      <c r="H589" s="33" t="s">
        <v>80</v>
      </c>
      <c r="I589" s="99">
        <f t="shared" si="0"/>
        <v>671.33536506374367</v>
      </c>
      <c r="J589" s="101">
        <f t="shared" si="1"/>
        <v>23.695174714659018</v>
      </c>
      <c r="K589" s="101">
        <f t="shared" si="2"/>
        <v>386</v>
      </c>
      <c r="L589" s="74">
        <f t="shared" si="535"/>
        <v>245</v>
      </c>
      <c r="M589" s="99">
        <f t="shared" si="191"/>
        <v>18614.225898660006</v>
      </c>
      <c r="N589" s="101">
        <f t="shared" si="690"/>
        <v>3471.4531288067337</v>
      </c>
      <c r="O589" s="101">
        <f t="shared" si="691"/>
        <v>3471.4531288067337</v>
      </c>
      <c r="P589" s="101">
        <f t="shared" si="692"/>
        <v>4690.9849290490365</v>
      </c>
      <c r="Q589" s="101">
        <f t="shared" si="693"/>
        <v>6980.3347119975015</v>
      </c>
      <c r="R589" s="109"/>
      <c r="S589" s="99">
        <f t="shared" si="694"/>
        <v>12926.429066029268</v>
      </c>
      <c r="T589" s="101">
        <f t="shared" si="695"/>
        <v>2410.7095760987809</v>
      </c>
      <c r="U589" s="101">
        <f t="shared" si="696"/>
        <v>2410.7095760987809</v>
      </c>
      <c r="V589" s="101">
        <f t="shared" si="697"/>
        <v>3257.5990140707318</v>
      </c>
      <c r="W589" s="101">
        <f t="shared" si="698"/>
        <v>4847.4108997609756</v>
      </c>
      <c r="X589" s="74"/>
      <c r="Y589" s="99">
        <f t="shared" si="8"/>
        <v>25852.858132058536</v>
      </c>
      <c r="Z589" s="101">
        <f t="shared" si="699"/>
        <v>4821.4191521975617</v>
      </c>
      <c r="AA589" s="101">
        <f t="shared" si="700"/>
        <v>4821.4191521975617</v>
      </c>
      <c r="AB589" s="101">
        <f t="shared" si="701"/>
        <v>6515.1980281414635</v>
      </c>
      <c r="AC589" s="101">
        <f t="shared" si="702"/>
        <v>9694.8217995219511</v>
      </c>
      <c r="AD589" s="74"/>
      <c r="AE589" s="99">
        <f t="shared" si="720"/>
        <v>27.727164197424003</v>
      </c>
      <c r="AF589" s="101">
        <f t="shared" ref="AF589" si="752">AP589</f>
        <v>36</v>
      </c>
      <c r="AG589" s="101">
        <f t="shared" si="704"/>
        <v>44.001300000000001</v>
      </c>
      <c r="AH589" s="101">
        <f t="shared" si="705"/>
        <v>657</v>
      </c>
      <c r="AI589" s="101">
        <f t="shared" si="706"/>
        <v>200</v>
      </c>
      <c r="AJ589" s="108">
        <f t="shared" si="707"/>
        <v>3.3333333333333335</v>
      </c>
      <c r="AK589" s="101">
        <f t="shared" si="461"/>
        <v>8079.0181662682935</v>
      </c>
      <c r="AL589" s="101">
        <f t="shared" si="708"/>
        <v>2410.7095760987809</v>
      </c>
      <c r="AM589" s="101">
        <f t="shared" si="709"/>
        <v>2410.7095760987809</v>
      </c>
      <c r="AN589" s="101">
        <f t="shared" si="710"/>
        <v>3257.5990140707318</v>
      </c>
      <c r="AO589" s="1">
        <v>36</v>
      </c>
      <c r="AP589" s="2">
        <v>36</v>
      </c>
      <c r="AQ589" s="74">
        <f t="shared" si="711"/>
        <v>657</v>
      </c>
      <c r="AR589" s="31">
        <f t="shared" si="712"/>
        <v>0</v>
      </c>
      <c r="AS589" s="2">
        <f t="shared" si="713"/>
        <v>1</v>
      </c>
      <c r="AT589" s="33">
        <f t="shared" si="714"/>
        <v>0</v>
      </c>
      <c r="AU589" s="31">
        <f t="shared" si="715"/>
        <v>25</v>
      </c>
      <c r="AV589" s="2">
        <f t="shared" si="716"/>
        <v>0</v>
      </c>
      <c r="AW589" s="33">
        <f t="shared" si="717"/>
        <v>1</v>
      </c>
      <c r="AX589" s="31">
        <f t="shared" si="718"/>
        <v>0.6</v>
      </c>
      <c r="AY589" s="33">
        <f t="shared" si="719"/>
        <v>1</v>
      </c>
      <c r="AZ589" s="2"/>
      <c r="BA589" s="101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</row>
    <row r="590" spans="1:71" ht="12" customHeight="1">
      <c r="A590" s="2"/>
      <c r="B590" s="107">
        <v>515</v>
      </c>
      <c r="C590" s="31">
        <v>10</v>
      </c>
      <c r="D590" s="111" t="s">
        <v>14</v>
      </c>
      <c r="E590" s="2" t="s">
        <v>141</v>
      </c>
      <c r="F590" s="2"/>
      <c r="G590" s="2"/>
      <c r="H590" s="33" t="s">
        <v>80</v>
      </c>
      <c r="I590" s="99">
        <f t="shared" si="0"/>
        <v>578.70288143266907</v>
      </c>
      <c r="J590" s="101">
        <f t="shared" si="1"/>
        <v>23.695174714659018</v>
      </c>
      <c r="K590" s="101">
        <f t="shared" si="2"/>
        <v>493</v>
      </c>
      <c r="L590" s="74">
        <f t="shared" si="535"/>
        <v>284</v>
      </c>
      <c r="M590" s="99">
        <f t="shared" si="191"/>
        <v>16045.78981500601</v>
      </c>
      <c r="N590" s="101">
        <f t="shared" si="690"/>
        <v>2868.7757347820384</v>
      </c>
      <c r="O590" s="101">
        <f t="shared" si="691"/>
        <v>2868.7757347820384</v>
      </c>
      <c r="P590" s="101">
        <f t="shared" si="692"/>
        <v>3876.5851755313538</v>
      </c>
      <c r="Q590" s="101">
        <f t="shared" si="693"/>
        <v>6431.6531699105808</v>
      </c>
      <c r="R590" s="109"/>
      <c r="S590" s="99">
        <f t="shared" si="694"/>
        <v>12926.429066029268</v>
      </c>
      <c r="T590" s="101">
        <f t="shared" si="695"/>
        <v>2410.7095760987809</v>
      </c>
      <c r="U590" s="101">
        <f t="shared" si="696"/>
        <v>2410.7095760987809</v>
      </c>
      <c r="V590" s="101">
        <f t="shared" si="697"/>
        <v>3257.5990140707318</v>
      </c>
      <c r="W590" s="101">
        <f t="shared" si="698"/>
        <v>4847.4108997609756</v>
      </c>
      <c r="X590" s="74"/>
      <c r="Y590" s="99">
        <f t="shared" si="8"/>
        <v>29342.993979886443</v>
      </c>
      <c r="Z590" s="101">
        <f t="shared" si="699"/>
        <v>4821.4191521975617</v>
      </c>
      <c r="AA590" s="101">
        <f t="shared" si="700"/>
        <v>4821.4191521975617</v>
      </c>
      <c r="AB590" s="101">
        <f t="shared" si="701"/>
        <v>6515.1980281414635</v>
      </c>
      <c r="AC590" s="101">
        <f t="shared" si="702"/>
        <v>13184.957647349855</v>
      </c>
      <c r="AD590" s="74"/>
      <c r="AE590" s="99">
        <f t="shared" si="720"/>
        <v>27.727164197424003</v>
      </c>
      <c r="AF590" s="101">
        <f t="shared" ref="AF590" si="753">AP590</f>
        <v>36</v>
      </c>
      <c r="AG590" s="101">
        <f t="shared" si="704"/>
        <v>19.001300000000001</v>
      </c>
      <c r="AH590" s="101">
        <f t="shared" si="705"/>
        <v>657</v>
      </c>
      <c r="AI590" s="101">
        <f t="shared" si="706"/>
        <v>200</v>
      </c>
      <c r="AJ590" s="108">
        <f t="shared" si="707"/>
        <v>3.3333333333333335</v>
      </c>
      <c r="AK590" s="101">
        <f t="shared" si="461"/>
        <v>8079.0181662682935</v>
      </c>
      <c r="AL590" s="101">
        <f t="shared" si="708"/>
        <v>2410.7095760987809</v>
      </c>
      <c r="AM590" s="101">
        <f t="shared" si="709"/>
        <v>2410.7095760987809</v>
      </c>
      <c r="AN590" s="101">
        <f t="shared" si="710"/>
        <v>3257.5990140707318</v>
      </c>
      <c r="AO590" s="1">
        <v>36</v>
      </c>
      <c r="AP590" s="2">
        <v>36</v>
      </c>
      <c r="AQ590" s="74">
        <f t="shared" si="711"/>
        <v>657</v>
      </c>
      <c r="AR590" s="31">
        <f t="shared" si="712"/>
        <v>0</v>
      </c>
      <c r="AS590" s="2">
        <f t="shared" si="713"/>
        <v>1</v>
      </c>
      <c r="AT590" s="33">
        <f t="shared" si="714"/>
        <v>0</v>
      </c>
      <c r="AU590" s="31">
        <f t="shared" si="715"/>
        <v>0</v>
      </c>
      <c r="AV590" s="2">
        <f t="shared" si="716"/>
        <v>0</v>
      </c>
      <c r="AW590" s="33">
        <f t="shared" si="717"/>
        <v>1.36</v>
      </c>
      <c r="AX590" s="31">
        <f t="shared" si="718"/>
        <v>0.6</v>
      </c>
      <c r="AY590" s="33">
        <f t="shared" si="719"/>
        <v>1</v>
      </c>
      <c r="AZ590" s="2"/>
      <c r="BA590" s="101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</row>
    <row r="591" spans="1:71" ht="12" customHeight="1">
      <c r="A591" s="2"/>
      <c r="B591" s="107">
        <v>516</v>
      </c>
      <c r="C591" s="31">
        <v>10</v>
      </c>
      <c r="D591" s="111" t="s">
        <v>14</v>
      </c>
      <c r="E591" s="2" t="s">
        <v>150</v>
      </c>
      <c r="F591" s="2"/>
      <c r="G591" s="2"/>
      <c r="H591" s="33" t="s">
        <v>80</v>
      </c>
      <c r="I591" s="99">
        <f t="shared" si="0"/>
        <v>554.78513859638815</v>
      </c>
      <c r="J591" s="101">
        <f t="shared" si="1"/>
        <v>23.695174714659018</v>
      </c>
      <c r="K591" s="101">
        <f t="shared" si="2"/>
        <v>525</v>
      </c>
      <c r="L591" s="74">
        <f t="shared" si="535"/>
        <v>294</v>
      </c>
      <c r="M591" s="99">
        <f t="shared" si="191"/>
        <v>15382.618632152687</v>
      </c>
      <c r="N591" s="101">
        <f t="shared" si="690"/>
        <v>2868.7757347820384</v>
      </c>
      <c r="O591" s="101">
        <f t="shared" si="691"/>
        <v>2868.7757347820384</v>
      </c>
      <c r="P591" s="101">
        <f t="shared" si="692"/>
        <v>3876.5851755313538</v>
      </c>
      <c r="Q591" s="101">
        <f t="shared" si="693"/>
        <v>5768.4819870572574</v>
      </c>
      <c r="R591" s="109"/>
      <c r="S591" s="99">
        <f t="shared" si="694"/>
        <v>12926.429066029268</v>
      </c>
      <c r="T591" s="101">
        <f t="shared" si="695"/>
        <v>2410.7095760987809</v>
      </c>
      <c r="U591" s="101">
        <f t="shared" si="696"/>
        <v>2410.7095760987809</v>
      </c>
      <c r="V591" s="101">
        <f t="shared" si="697"/>
        <v>3257.5990140707318</v>
      </c>
      <c r="W591" s="101">
        <f t="shared" si="698"/>
        <v>4847.4108997609756</v>
      </c>
      <c r="X591" s="74"/>
      <c r="Y591" s="99">
        <f t="shared" si="8"/>
        <v>25852.858132058536</v>
      </c>
      <c r="Z591" s="101">
        <f t="shared" si="699"/>
        <v>4821.4191521975617</v>
      </c>
      <c r="AA591" s="101">
        <f t="shared" si="700"/>
        <v>4821.4191521975617</v>
      </c>
      <c r="AB591" s="101">
        <f t="shared" si="701"/>
        <v>6515.1980281414635</v>
      </c>
      <c r="AC591" s="101">
        <f t="shared" si="702"/>
        <v>9694.8217995219511</v>
      </c>
      <c r="AD591" s="74"/>
      <c r="AE591" s="99">
        <f t="shared" si="720"/>
        <v>27.727164197424003</v>
      </c>
      <c r="AF591" s="101">
        <f t="shared" ref="AF591" si="754">AP591</f>
        <v>36</v>
      </c>
      <c r="AG591" s="101">
        <f t="shared" si="704"/>
        <v>19.001300000000001</v>
      </c>
      <c r="AH591" s="101">
        <f t="shared" si="705"/>
        <v>657</v>
      </c>
      <c r="AI591" s="101">
        <f t="shared" si="706"/>
        <v>200</v>
      </c>
      <c r="AJ591" s="108">
        <f t="shared" si="707"/>
        <v>3.3333333333333335</v>
      </c>
      <c r="AK591" s="101">
        <f t="shared" si="461"/>
        <v>8079.0181662682935</v>
      </c>
      <c r="AL591" s="101">
        <f t="shared" si="708"/>
        <v>2410.7095760987809</v>
      </c>
      <c r="AM591" s="101">
        <f t="shared" si="709"/>
        <v>2410.7095760987809</v>
      </c>
      <c r="AN591" s="101">
        <f t="shared" si="710"/>
        <v>3257.5990140707318</v>
      </c>
      <c r="AO591" s="1">
        <v>36</v>
      </c>
      <c r="AP591" s="2">
        <v>36</v>
      </c>
      <c r="AQ591" s="74">
        <f t="shared" si="711"/>
        <v>657</v>
      </c>
      <c r="AR591" s="31">
        <f t="shared" si="712"/>
        <v>50</v>
      </c>
      <c r="AS591" s="2">
        <f t="shared" si="713"/>
        <v>1</v>
      </c>
      <c r="AT591" s="33">
        <f t="shared" si="714"/>
        <v>0</v>
      </c>
      <c r="AU591" s="31">
        <f t="shared" si="715"/>
        <v>0</v>
      </c>
      <c r="AV591" s="2">
        <f t="shared" si="716"/>
        <v>0</v>
      </c>
      <c r="AW591" s="33">
        <f t="shared" si="717"/>
        <v>1</v>
      </c>
      <c r="AX591" s="31">
        <f t="shared" si="718"/>
        <v>0.6</v>
      </c>
      <c r="AY591" s="33">
        <f t="shared" si="719"/>
        <v>1</v>
      </c>
      <c r="AZ591" s="2"/>
      <c r="BA591" s="101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</row>
    <row r="592" spans="1:71" ht="12" customHeight="1">
      <c r="A592" s="2"/>
      <c r="B592" s="107">
        <v>517</v>
      </c>
      <c r="C592" s="31">
        <v>10</v>
      </c>
      <c r="D592" s="111" t="s">
        <v>14</v>
      </c>
      <c r="E592" s="2" t="s">
        <v>164</v>
      </c>
      <c r="F592" s="2"/>
      <c r="G592" s="2"/>
      <c r="H592" s="33" t="s">
        <v>80</v>
      </c>
      <c r="I592" s="99">
        <f t="shared" si="0"/>
        <v>671.33536506374367</v>
      </c>
      <c r="J592" s="101">
        <f t="shared" si="1"/>
        <v>23.695174714659018</v>
      </c>
      <c r="K592" s="101">
        <f t="shared" si="2"/>
        <v>386</v>
      </c>
      <c r="L592" s="74">
        <f t="shared" si="535"/>
        <v>245</v>
      </c>
      <c r="M592" s="99">
        <f t="shared" si="191"/>
        <v>18614.225898660006</v>
      </c>
      <c r="N592" s="101">
        <f t="shared" si="690"/>
        <v>3471.4531288067337</v>
      </c>
      <c r="O592" s="101">
        <f t="shared" si="691"/>
        <v>3471.4531288067337</v>
      </c>
      <c r="P592" s="101">
        <f t="shared" si="692"/>
        <v>4690.9849290490365</v>
      </c>
      <c r="Q592" s="101">
        <f t="shared" si="693"/>
        <v>6980.3347119975015</v>
      </c>
      <c r="R592" s="109"/>
      <c r="S592" s="99">
        <f t="shared" si="694"/>
        <v>12926.429066029268</v>
      </c>
      <c r="T592" s="101">
        <f t="shared" si="695"/>
        <v>2410.7095760987809</v>
      </c>
      <c r="U592" s="101">
        <f t="shared" si="696"/>
        <v>2410.7095760987809</v>
      </c>
      <c r="V592" s="101">
        <f t="shared" si="697"/>
        <v>3257.5990140707318</v>
      </c>
      <c r="W592" s="101">
        <f t="shared" si="698"/>
        <v>4847.4108997609756</v>
      </c>
      <c r="X592" s="74"/>
      <c r="Y592" s="99">
        <f t="shared" si="8"/>
        <v>25852.858132058536</v>
      </c>
      <c r="Z592" s="101">
        <f t="shared" si="699"/>
        <v>4821.4191521975617</v>
      </c>
      <c r="AA592" s="101">
        <f t="shared" si="700"/>
        <v>4821.4191521975617</v>
      </c>
      <c r="AB592" s="101">
        <f t="shared" si="701"/>
        <v>6515.1980281414635</v>
      </c>
      <c r="AC592" s="101">
        <f t="shared" si="702"/>
        <v>9694.8217995219511</v>
      </c>
      <c r="AD592" s="74"/>
      <c r="AE592" s="99">
        <f t="shared" si="720"/>
        <v>27.727164197424003</v>
      </c>
      <c r="AF592" s="101">
        <f t="shared" ref="AF592" si="755">AP592</f>
        <v>36</v>
      </c>
      <c r="AG592" s="101">
        <f t="shared" si="704"/>
        <v>44.001300000000001</v>
      </c>
      <c r="AH592" s="101">
        <f t="shared" si="705"/>
        <v>657</v>
      </c>
      <c r="AI592" s="101">
        <f t="shared" si="706"/>
        <v>200</v>
      </c>
      <c r="AJ592" s="108">
        <f t="shared" si="707"/>
        <v>3.3333333333333335</v>
      </c>
      <c r="AK592" s="101">
        <f t="shared" si="461"/>
        <v>8079.0181662682935</v>
      </c>
      <c r="AL592" s="101">
        <f t="shared" si="708"/>
        <v>2410.7095760987809</v>
      </c>
      <c r="AM592" s="101">
        <f t="shared" si="709"/>
        <v>2410.7095760987809</v>
      </c>
      <c r="AN592" s="101">
        <f t="shared" si="710"/>
        <v>3257.5990140707318</v>
      </c>
      <c r="AO592" s="1">
        <v>36</v>
      </c>
      <c r="AP592" s="2">
        <v>36</v>
      </c>
      <c r="AQ592" s="74">
        <f t="shared" si="711"/>
        <v>657</v>
      </c>
      <c r="AR592" s="31">
        <f t="shared" si="712"/>
        <v>50</v>
      </c>
      <c r="AS592" s="2">
        <f t="shared" si="713"/>
        <v>1</v>
      </c>
      <c r="AT592" s="33">
        <f t="shared" si="714"/>
        <v>0</v>
      </c>
      <c r="AU592" s="31">
        <f t="shared" si="715"/>
        <v>25</v>
      </c>
      <c r="AV592" s="2">
        <f t="shared" si="716"/>
        <v>0</v>
      </c>
      <c r="AW592" s="33">
        <f t="shared" si="717"/>
        <v>1</v>
      </c>
      <c r="AX592" s="31">
        <f t="shared" si="718"/>
        <v>0.6</v>
      </c>
      <c r="AY592" s="33">
        <f t="shared" si="719"/>
        <v>1</v>
      </c>
      <c r="AZ592" s="2"/>
      <c r="BA592" s="101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</row>
    <row r="593" spans="1:71" ht="12" customHeight="1">
      <c r="A593" s="2"/>
      <c r="B593" s="107">
        <v>518</v>
      </c>
      <c r="C593" s="31">
        <v>10</v>
      </c>
      <c r="D593" s="111" t="s">
        <v>14</v>
      </c>
      <c r="E593" s="2" t="s">
        <v>156</v>
      </c>
      <c r="F593" s="2"/>
      <c r="G593" s="2"/>
      <c r="H593" s="33" t="s">
        <v>80</v>
      </c>
      <c r="I593" s="99">
        <f t="shared" si="0"/>
        <v>578.70288143266907</v>
      </c>
      <c r="J593" s="101">
        <f t="shared" si="1"/>
        <v>23.695174714659018</v>
      </c>
      <c r="K593" s="101">
        <f t="shared" si="2"/>
        <v>493</v>
      </c>
      <c r="L593" s="74">
        <f t="shared" si="535"/>
        <v>284</v>
      </c>
      <c r="M593" s="99">
        <f t="shared" si="191"/>
        <v>16045.78981500601</v>
      </c>
      <c r="N593" s="101">
        <f t="shared" si="690"/>
        <v>2868.7757347820384</v>
      </c>
      <c r="O593" s="101">
        <f t="shared" si="691"/>
        <v>2868.7757347820384</v>
      </c>
      <c r="P593" s="101">
        <f t="shared" si="692"/>
        <v>3876.5851755313538</v>
      </c>
      <c r="Q593" s="101">
        <f t="shared" si="693"/>
        <v>6431.6531699105808</v>
      </c>
      <c r="R593" s="109"/>
      <c r="S593" s="99">
        <f t="shared" si="694"/>
        <v>12926.429066029268</v>
      </c>
      <c r="T593" s="101">
        <f t="shared" si="695"/>
        <v>2410.7095760987809</v>
      </c>
      <c r="U593" s="101">
        <f t="shared" si="696"/>
        <v>2410.7095760987809</v>
      </c>
      <c r="V593" s="101">
        <f t="shared" si="697"/>
        <v>3257.5990140707318</v>
      </c>
      <c r="W593" s="101">
        <f t="shared" si="698"/>
        <v>4847.4108997609756</v>
      </c>
      <c r="X593" s="74"/>
      <c r="Y593" s="99">
        <f t="shared" si="8"/>
        <v>29342.993979886443</v>
      </c>
      <c r="Z593" s="101">
        <f t="shared" si="699"/>
        <v>4821.4191521975617</v>
      </c>
      <c r="AA593" s="101">
        <f t="shared" si="700"/>
        <v>4821.4191521975617</v>
      </c>
      <c r="AB593" s="101">
        <f t="shared" si="701"/>
        <v>6515.1980281414635</v>
      </c>
      <c r="AC593" s="101">
        <f t="shared" si="702"/>
        <v>13184.957647349855</v>
      </c>
      <c r="AD593" s="74"/>
      <c r="AE593" s="99">
        <f t="shared" si="720"/>
        <v>27.727164197424003</v>
      </c>
      <c r="AF593" s="101">
        <f t="shared" ref="AF593" si="756">AP593</f>
        <v>36</v>
      </c>
      <c r="AG593" s="101">
        <f t="shared" si="704"/>
        <v>19.001300000000001</v>
      </c>
      <c r="AH593" s="101">
        <f t="shared" si="705"/>
        <v>657</v>
      </c>
      <c r="AI593" s="101">
        <f t="shared" si="706"/>
        <v>200</v>
      </c>
      <c r="AJ593" s="108">
        <f t="shared" si="707"/>
        <v>3.3333333333333335</v>
      </c>
      <c r="AK593" s="101">
        <f t="shared" si="461"/>
        <v>8079.0181662682935</v>
      </c>
      <c r="AL593" s="101">
        <f t="shared" si="708"/>
        <v>2410.7095760987809</v>
      </c>
      <c r="AM593" s="101">
        <f t="shared" si="709"/>
        <v>2410.7095760987809</v>
      </c>
      <c r="AN593" s="101">
        <f t="shared" si="710"/>
        <v>3257.5990140707318</v>
      </c>
      <c r="AO593" s="1">
        <v>36</v>
      </c>
      <c r="AP593" s="2">
        <v>36</v>
      </c>
      <c r="AQ593" s="74">
        <f t="shared" si="711"/>
        <v>657</v>
      </c>
      <c r="AR593" s="31">
        <f t="shared" si="712"/>
        <v>50</v>
      </c>
      <c r="AS593" s="2">
        <f t="shared" si="713"/>
        <v>1</v>
      </c>
      <c r="AT593" s="33">
        <f t="shared" si="714"/>
        <v>0</v>
      </c>
      <c r="AU593" s="31">
        <f t="shared" si="715"/>
        <v>0</v>
      </c>
      <c r="AV593" s="2">
        <f t="shared" si="716"/>
        <v>0</v>
      </c>
      <c r="AW593" s="33">
        <f t="shared" si="717"/>
        <v>1.36</v>
      </c>
      <c r="AX593" s="31">
        <f t="shared" si="718"/>
        <v>0.6</v>
      </c>
      <c r="AY593" s="33">
        <f t="shared" si="719"/>
        <v>1</v>
      </c>
      <c r="AZ593" s="2"/>
      <c r="BA593" s="101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</row>
    <row r="594" spans="1:71" ht="12" customHeight="1">
      <c r="A594" s="2"/>
      <c r="B594" s="107">
        <v>519</v>
      </c>
      <c r="C594" s="31">
        <v>10</v>
      </c>
      <c r="D594" s="111" t="s">
        <v>14</v>
      </c>
      <c r="E594" s="2" t="s">
        <v>161</v>
      </c>
      <c r="F594" s="2"/>
      <c r="G594" s="2"/>
      <c r="H594" s="33" t="s">
        <v>80</v>
      </c>
      <c r="I594" s="99">
        <f t="shared" si="0"/>
        <v>554.78513859638815</v>
      </c>
      <c r="J594" s="101">
        <f t="shared" si="1"/>
        <v>11.847587357329509</v>
      </c>
      <c r="K594" s="101">
        <f t="shared" si="2"/>
        <v>525</v>
      </c>
      <c r="L594" s="74">
        <f t="shared" si="535"/>
        <v>294</v>
      </c>
      <c r="M594" s="99">
        <f t="shared" si="191"/>
        <v>15382.618632152687</v>
      </c>
      <c r="N594" s="101">
        <f t="shared" si="690"/>
        <v>2868.7757347820384</v>
      </c>
      <c r="O594" s="101">
        <f t="shared" si="691"/>
        <v>2868.7757347820384</v>
      </c>
      <c r="P594" s="101">
        <f t="shared" si="692"/>
        <v>3876.5851755313538</v>
      </c>
      <c r="Q594" s="101">
        <f t="shared" si="693"/>
        <v>5768.4819870572574</v>
      </c>
      <c r="R594" s="109"/>
      <c r="S594" s="99">
        <f t="shared" si="694"/>
        <v>12926.429066029268</v>
      </c>
      <c r="T594" s="101">
        <f t="shared" si="695"/>
        <v>2410.7095760987809</v>
      </c>
      <c r="U594" s="101">
        <f t="shared" si="696"/>
        <v>2410.7095760987809</v>
      </c>
      <c r="V594" s="101">
        <f t="shared" si="697"/>
        <v>3257.5990140707318</v>
      </c>
      <c r="W594" s="101">
        <f t="shared" si="698"/>
        <v>4847.4108997609756</v>
      </c>
      <c r="X594" s="74"/>
      <c r="Y594" s="99">
        <f t="shared" si="8"/>
        <v>25852.858132058536</v>
      </c>
      <c r="Z594" s="101">
        <f t="shared" si="699"/>
        <v>4821.4191521975617</v>
      </c>
      <c r="AA594" s="101">
        <f t="shared" si="700"/>
        <v>4821.4191521975617</v>
      </c>
      <c r="AB594" s="101">
        <f t="shared" si="701"/>
        <v>6515.1980281414635</v>
      </c>
      <c r="AC594" s="101">
        <f t="shared" si="702"/>
        <v>9694.8217995219511</v>
      </c>
      <c r="AD594" s="74"/>
      <c r="AE594" s="99">
        <f t="shared" si="720"/>
        <v>27.727164197424003</v>
      </c>
      <c r="AF594" s="101">
        <f t="shared" ref="AF594" si="757">AP594</f>
        <v>36</v>
      </c>
      <c r="AG594" s="101">
        <f t="shared" si="704"/>
        <v>19.001300000000001</v>
      </c>
      <c r="AH594" s="101">
        <f t="shared" si="705"/>
        <v>328.5</v>
      </c>
      <c r="AI594" s="101">
        <f t="shared" si="706"/>
        <v>200</v>
      </c>
      <c r="AJ594" s="108">
        <f t="shared" si="707"/>
        <v>3.3333333333333335</v>
      </c>
      <c r="AK594" s="101">
        <f t="shared" si="461"/>
        <v>8079.0181662682935</v>
      </c>
      <c r="AL594" s="101">
        <f t="shared" si="708"/>
        <v>2410.7095760987809</v>
      </c>
      <c r="AM594" s="101">
        <f t="shared" si="709"/>
        <v>2410.7095760987809</v>
      </c>
      <c r="AN594" s="101">
        <f t="shared" si="710"/>
        <v>3257.5990140707318</v>
      </c>
      <c r="AO594" s="1">
        <v>36</v>
      </c>
      <c r="AP594" s="2">
        <v>36</v>
      </c>
      <c r="AQ594" s="74">
        <f t="shared" si="711"/>
        <v>657</v>
      </c>
      <c r="AR594" s="31">
        <f t="shared" si="712"/>
        <v>0</v>
      </c>
      <c r="AS594" s="2">
        <f t="shared" si="713"/>
        <v>0.5</v>
      </c>
      <c r="AT594" s="33">
        <f t="shared" si="714"/>
        <v>0</v>
      </c>
      <c r="AU594" s="31">
        <f t="shared" si="715"/>
        <v>0</v>
      </c>
      <c r="AV594" s="2">
        <f t="shared" si="716"/>
        <v>0</v>
      </c>
      <c r="AW594" s="33">
        <f t="shared" si="717"/>
        <v>1</v>
      </c>
      <c r="AX594" s="31">
        <f t="shared" si="718"/>
        <v>0.6</v>
      </c>
      <c r="AY594" s="33">
        <f t="shared" si="719"/>
        <v>1</v>
      </c>
      <c r="AZ594" s="2"/>
      <c r="BA594" s="101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</row>
    <row r="595" spans="1:71" ht="12" customHeight="1">
      <c r="A595" s="2"/>
      <c r="B595" s="107">
        <v>520</v>
      </c>
      <c r="C595" s="31">
        <v>10</v>
      </c>
      <c r="D595" s="111" t="s">
        <v>14</v>
      </c>
      <c r="E595" s="2" t="s">
        <v>169</v>
      </c>
      <c r="F595" s="2"/>
      <c r="G595" s="2"/>
      <c r="H595" s="33" t="s">
        <v>80</v>
      </c>
      <c r="I595" s="99">
        <f t="shared" si="0"/>
        <v>671.33536506374367</v>
      </c>
      <c r="J595" s="101">
        <f t="shared" si="1"/>
        <v>11.847587357329509</v>
      </c>
      <c r="K595" s="101">
        <f t="shared" si="2"/>
        <v>386</v>
      </c>
      <c r="L595" s="74">
        <f t="shared" si="535"/>
        <v>245</v>
      </c>
      <c r="M595" s="99">
        <f t="shared" si="191"/>
        <v>18614.225898660006</v>
      </c>
      <c r="N595" s="101">
        <f t="shared" si="690"/>
        <v>3471.4531288067337</v>
      </c>
      <c r="O595" s="101">
        <f t="shared" si="691"/>
        <v>3471.4531288067337</v>
      </c>
      <c r="P595" s="101">
        <f t="shared" si="692"/>
        <v>4690.9849290490365</v>
      </c>
      <c r="Q595" s="101">
        <f t="shared" si="693"/>
        <v>6980.3347119975015</v>
      </c>
      <c r="R595" s="109"/>
      <c r="S595" s="99">
        <f t="shared" si="694"/>
        <v>12926.429066029268</v>
      </c>
      <c r="T595" s="101">
        <f t="shared" si="695"/>
        <v>2410.7095760987809</v>
      </c>
      <c r="U595" s="101">
        <f t="shared" si="696"/>
        <v>2410.7095760987809</v>
      </c>
      <c r="V595" s="101">
        <f t="shared" si="697"/>
        <v>3257.5990140707318</v>
      </c>
      <c r="W595" s="101">
        <f t="shared" si="698"/>
        <v>4847.4108997609756</v>
      </c>
      <c r="X595" s="74"/>
      <c r="Y595" s="99">
        <f t="shared" si="8"/>
        <v>25852.858132058536</v>
      </c>
      <c r="Z595" s="101">
        <f t="shared" si="699"/>
        <v>4821.4191521975617</v>
      </c>
      <c r="AA595" s="101">
        <f t="shared" si="700"/>
        <v>4821.4191521975617</v>
      </c>
      <c r="AB595" s="101">
        <f t="shared" si="701"/>
        <v>6515.1980281414635</v>
      </c>
      <c r="AC595" s="101">
        <f t="shared" si="702"/>
        <v>9694.8217995219511</v>
      </c>
      <c r="AD595" s="74"/>
      <c r="AE595" s="99">
        <f t="shared" si="720"/>
        <v>27.727164197424003</v>
      </c>
      <c r="AF595" s="101">
        <f t="shared" ref="AF595" si="758">AP595</f>
        <v>36</v>
      </c>
      <c r="AG595" s="101">
        <f t="shared" si="704"/>
        <v>44.001300000000001</v>
      </c>
      <c r="AH595" s="101">
        <f t="shared" si="705"/>
        <v>328.5</v>
      </c>
      <c r="AI595" s="101">
        <f t="shared" si="706"/>
        <v>200</v>
      </c>
      <c r="AJ595" s="108">
        <f t="shared" si="707"/>
        <v>3.3333333333333335</v>
      </c>
      <c r="AK595" s="101">
        <f t="shared" si="461"/>
        <v>8079.0181662682935</v>
      </c>
      <c r="AL595" s="101">
        <f t="shared" si="708"/>
        <v>2410.7095760987809</v>
      </c>
      <c r="AM595" s="101">
        <f t="shared" si="709"/>
        <v>2410.7095760987809</v>
      </c>
      <c r="AN595" s="101">
        <f t="shared" si="710"/>
        <v>3257.5990140707318</v>
      </c>
      <c r="AO595" s="1">
        <v>36</v>
      </c>
      <c r="AP595" s="2">
        <v>36</v>
      </c>
      <c r="AQ595" s="74">
        <f t="shared" si="711"/>
        <v>657</v>
      </c>
      <c r="AR595" s="31">
        <f t="shared" si="712"/>
        <v>0</v>
      </c>
      <c r="AS595" s="2">
        <f t="shared" si="713"/>
        <v>0.5</v>
      </c>
      <c r="AT595" s="33">
        <f t="shared" si="714"/>
        <v>0</v>
      </c>
      <c r="AU595" s="31">
        <f t="shared" si="715"/>
        <v>25</v>
      </c>
      <c r="AV595" s="2">
        <f t="shared" si="716"/>
        <v>0</v>
      </c>
      <c r="AW595" s="33">
        <f t="shared" si="717"/>
        <v>1</v>
      </c>
      <c r="AX595" s="31">
        <f t="shared" si="718"/>
        <v>0.6</v>
      </c>
      <c r="AY595" s="33">
        <f t="shared" si="719"/>
        <v>1</v>
      </c>
      <c r="AZ595" s="2"/>
      <c r="BA595" s="101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</row>
    <row r="596" spans="1:71" ht="12" customHeight="1">
      <c r="A596" s="2"/>
      <c r="B596" s="107">
        <v>521</v>
      </c>
      <c r="C596" s="31">
        <v>10</v>
      </c>
      <c r="D596" s="111" t="s">
        <v>14</v>
      </c>
      <c r="E596" s="2" t="s">
        <v>171</v>
      </c>
      <c r="F596" s="2"/>
      <c r="G596" s="2"/>
      <c r="H596" s="33" t="s">
        <v>80</v>
      </c>
      <c r="I596" s="99">
        <f t="shared" si="0"/>
        <v>578.70288143266907</v>
      </c>
      <c r="J596" s="101">
        <f t="shared" si="1"/>
        <v>11.847587357329509</v>
      </c>
      <c r="K596" s="101">
        <f t="shared" si="2"/>
        <v>493</v>
      </c>
      <c r="L596" s="74">
        <f t="shared" si="535"/>
        <v>284</v>
      </c>
      <c r="M596" s="99">
        <f t="shared" si="191"/>
        <v>16045.78981500601</v>
      </c>
      <c r="N596" s="101">
        <f t="shared" si="690"/>
        <v>2868.7757347820384</v>
      </c>
      <c r="O596" s="101">
        <f t="shared" si="691"/>
        <v>2868.7757347820384</v>
      </c>
      <c r="P596" s="101">
        <f t="shared" si="692"/>
        <v>3876.5851755313538</v>
      </c>
      <c r="Q596" s="101">
        <f t="shared" si="693"/>
        <v>6431.6531699105808</v>
      </c>
      <c r="R596" s="109"/>
      <c r="S596" s="99">
        <f t="shared" si="694"/>
        <v>12926.429066029268</v>
      </c>
      <c r="T596" s="101">
        <f t="shared" si="695"/>
        <v>2410.7095760987809</v>
      </c>
      <c r="U596" s="101">
        <f t="shared" si="696"/>
        <v>2410.7095760987809</v>
      </c>
      <c r="V596" s="101">
        <f t="shared" si="697"/>
        <v>3257.5990140707318</v>
      </c>
      <c r="W596" s="101">
        <f t="shared" si="698"/>
        <v>4847.4108997609756</v>
      </c>
      <c r="X596" s="74"/>
      <c r="Y596" s="99">
        <f t="shared" si="8"/>
        <v>29342.993979886443</v>
      </c>
      <c r="Z596" s="101">
        <f t="shared" si="699"/>
        <v>4821.4191521975617</v>
      </c>
      <c r="AA596" s="101">
        <f t="shared" si="700"/>
        <v>4821.4191521975617</v>
      </c>
      <c r="AB596" s="101">
        <f t="shared" si="701"/>
        <v>6515.1980281414635</v>
      </c>
      <c r="AC596" s="101">
        <f t="shared" si="702"/>
        <v>13184.957647349855</v>
      </c>
      <c r="AD596" s="74"/>
      <c r="AE596" s="99">
        <f t="shared" si="720"/>
        <v>27.727164197424003</v>
      </c>
      <c r="AF596" s="101">
        <f t="shared" ref="AF596" si="759">AP596</f>
        <v>36</v>
      </c>
      <c r="AG596" s="101">
        <f t="shared" si="704"/>
        <v>19.001300000000001</v>
      </c>
      <c r="AH596" s="101">
        <f t="shared" si="705"/>
        <v>328.5</v>
      </c>
      <c r="AI596" s="101">
        <f t="shared" si="706"/>
        <v>200</v>
      </c>
      <c r="AJ596" s="108">
        <f t="shared" si="707"/>
        <v>3.3333333333333335</v>
      </c>
      <c r="AK596" s="101">
        <f t="shared" si="461"/>
        <v>8079.0181662682935</v>
      </c>
      <c r="AL596" s="101">
        <f t="shared" si="708"/>
        <v>2410.7095760987809</v>
      </c>
      <c r="AM596" s="101">
        <f t="shared" si="709"/>
        <v>2410.7095760987809</v>
      </c>
      <c r="AN596" s="101">
        <f t="shared" si="710"/>
        <v>3257.5990140707318</v>
      </c>
      <c r="AO596" s="1">
        <v>36</v>
      </c>
      <c r="AP596" s="2">
        <v>36</v>
      </c>
      <c r="AQ596" s="74">
        <f t="shared" si="711"/>
        <v>657</v>
      </c>
      <c r="AR596" s="31">
        <f t="shared" si="712"/>
        <v>0</v>
      </c>
      <c r="AS596" s="2">
        <f t="shared" si="713"/>
        <v>0.5</v>
      </c>
      <c r="AT596" s="33">
        <f t="shared" si="714"/>
        <v>0</v>
      </c>
      <c r="AU596" s="31">
        <f t="shared" si="715"/>
        <v>0</v>
      </c>
      <c r="AV596" s="2">
        <f t="shared" si="716"/>
        <v>0</v>
      </c>
      <c r="AW596" s="33">
        <f t="shared" si="717"/>
        <v>1.36</v>
      </c>
      <c r="AX596" s="31">
        <f t="shared" si="718"/>
        <v>0.6</v>
      </c>
      <c r="AY596" s="33">
        <f t="shared" si="719"/>
        <v>1</v>
      </c>
      <c r="AZ596" s="2"/>
      <c r="BA596" s="101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</row>
    <row r="597" spans="1:71" ht="12" customHeight="1">
      <c r="A597" s="2"/>
      <c r="B597" s="107">
        <v>522</v>
      </c>
      <c r="C597" s="31">
        <v>10</v>
      </c>
      <c r="D597" s="111" t="s">
        <v>14</v>
      </c>
      <c r="E597" s="2" t="s">
        <v>92</v>
      </c>
      <c r="F597" s="2"/>
      <c r="G597" s="2"/>
      <c r="H597" s="33" t="s">
        <v>80</v>
      </c>
      <c r="I597" s="99">
        <f t="shared" si="0"/>
        <v>449.30794121990357</v>
      </c>
      <c r="J597" s="101">
        <f t="shared" si="1"/>
        <v>23.695174714659018</v>
      </c>
      <c r="K597" s="101">
        <f t="shared" si="2"/>
        <v>676</v>
      </c>
      <c r="L597" s="74">
        <f t="shared" si="535"/>
        <v>359</v>
      </c>
      <c r="M597" s="99">
        <f t="shared" si="191"/>
        <v>12458.035061410799</v>
      </c>
      <c r="N597" s="101">
        <f t="shared" si="690"/>
        <v>3717.3705769484004</v>
      </c>
      <c r="O597" s="101">
        <f t="shared" si="691"/>
        <v>3717.3705769484004</v>
      </c>
      <c r="P597" s="101">
        <f t="shared" si="692"/>
        <v>5023.2939075139975</v>
      </c>
      <c r="Q597" s="101">
        <f t="shared" si="693"/>
        <v>0</v>
      </c>
      <c r="R597" s="109"/>
      <c r="S597" s="99">
        <f t="shared" si="694"/>
        <v>9694.8217995219511</v>
      </c>
      <c r="T597" s="101">
        <f t="shared" si="695"/>
        <v>2892.8514913185368</v>
      </c>
      <c r="U597" s="101">
        <f t="shared" si="696"/>
        <v>2892.8514913185368</v>
      </c>
      <c r="V597" s="101">
        <f t="shared" si="697"/>
        <v>3909.118816884878</v>
      </c>
      <c r="W597" s="101">
        <f t="shared" si="698"/>
        <v>0</v>
      </c>
      <c r="X597" s="74"/>
      <c r="Y597" s="99">
        <f t="shared" si="8"/>
        <v>24237.054498804879</v>
      </c>
      <c r="Z597" s="101">
        <f t="shared" si="699"/>
        <v>7232.1287282963422</v>
      </c>
      <c r="AA597" s="101">
        <f t="shared" si="700"/>
        <v>7232.1287282963422</v>
      </c>
      <c r="AB597" s="101">
        <f t="shared" si="701"/>
        <v>9772.7970422121944</v>
      </c>
      <c r="AC597" s="101">
        <f t="shared" si="702"/>
        <v>0</v>
      </c>
      <c r="AD597" s="74"/>
      <c r="AE597" s="99">
        <f t="shared" si="720"/>
        <v>27.727164197424003</v>
      </c>
      <c r="AF597" s="101">
        <f t="shared" ref="AF597" si="760">AP597</f>
        <v>36</v>
      </c>
      <c r="AG597" s="101">
        <f t="shared" si="704"/>
        <v>19.001300000000001</v>
      </c>
      <c r="AH597" s="101">
        <f t="shared" si="705"/>
        <v>657</v>
      </c>
      <c r="AI597" s="101">
        <f t="shared" si="706"/>
        <v>250</v>
      </c>
      <c r="AJ597" s="108">
        <f t="shared" si="707"/>
        <v>3.3333333333333335</v>
      </c>
      <c r="AK597" s="101">
        <f t="shared" si="461"/>
        <v>8079.0181662682935</v>
      </c>
      <c r="AL597" s="101">
        <f t="shared" si="708"/>
        <v>2410.7095760987809</v>
      </c>
      <c r="AM597" s="101">
        <f t="shared" si="709"/>
        <v>2410.7095760987809</v>
      </c>
      <c r="AN597" s="101">
        <f t="shared" si="710"/>
        <v>3257.5990140707318</v>
      </c>
      <c r="AO597" s="1">
        <v>36</v>
      </c>
      <c r="AP597" s="2">
        <v>36</v>
      </c>
      <c r="AQ597" s="74">
        <f t="shared" si="711"/>
        <v>657</v>
      </c>
      <c r="AR597" s="31">
        <f t="shared" si="712"/>
        <v>0</v>
      </c>
      <c r="AS597" s="2">
        <f t="shared" si="713"/>
        <v>1</v>
      </c>
      <c r="AT597" s="33">
        <f t="shared" si="714"/>
        <v>0</v>
      </c>
      <c r="AU597" s="31">
        <f t="shared" si="715"/>
        <v>0</v>
      </c>
      <c r="AV597" s="2">
        <f t="shared" si="716"/>
        <v>0</v>
      </c>
      <c r="AW597" s="33">
        <f t="shared" si="717"/>
        <v>1</v>
      </c>
      <c r="AX597" s="31">
        <f t="shared" si="718"/>
        <v>1</v>
      </c>
      <c r="AY597" s="33">
        <f t="shared" si="719"/>
        <v>1.2</v>
      </c>
      <c r="AZ597" s="2"/>
      <c r="BA597" s="101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</row>
    <row r="598" spans="1:71" ht="12" customHeight="1">
      <c r="A598" s="2"/>
      <c r="B598" s="107">
        <v>523</v>
      </c>
      <c r="C598" s="31">
        <v>10</v>
      </c>
      <c r="D598" s="111" t="s">
        <v>14</v>
      </c>
      <c r="E598" s="2" t="s">
        <v>139</v>
      </c>
      <c r="F598" s="2"/>
      <c r="G598" s="2"/>
      <c r="H598" s="33" t="s">
        <v>80</v>
      </c>
      <c r="I598" s="99">
        <f t="shared" si="0"/>
        <v>580.42694599567847</v>
      </c>
      <c r="J598" s="101">
        <f t="shared" si="1"/>
        <v>23.695174714659018</v>
      </c>
      <c r="K598" s="101">
        <f t="shared" si="2"/>
        <v>490</v>
      </c>
      <c r="L598" s="74">
        <f t="shared" si="535"/>
        <v>281</v>
      </c>
      <c r="M598" s="99">
        <f t="shared" si="191"/>
        <v>16093.593236231531</v>
      </c>
      <c r="N598" s="101">
        <f t="shared" si="690"/>
        <v>4802.1898861928521</v>
      </c>
      <c r="O598" s="101">
        <f t="shared" si="691"/>
        <v>4802.1898861928521</v>
      </c>
      <c r="P598" s="101">
        <f t="shared" si="692"/>
        <v>6489.2134638458265</v>
      </c>
      <c r="Q598" s="101">
        <f t="shared" si="693"/>
        <v>0</v>
      </c>
      <c r="R598" s="109"/>
      <c r="S598" s="99">
        <f t="shared" si="694"/>
        <v>9694.8217995219511</v>
      </c>
      <c r="T598" s="101">
        <f t="shared" si="695"/>
        <v>2892.8514913185368</v>
      </c>
      <c r="U598" s="101">
        <f t="shared" si="696"/>
        <v>2892.8514913185368</v>
      </c>
      <c r="V598" s="101">
        <f t="shared" si="697"/>
        <v>3909.118816884878</v>
      </c>
      <c r="W598" s="101">
        <f t="shared" si="698"/>
        <v>0</v>
      </c>
      <c r="X598" s="74"/>
      <c r="Y598" s="99">
        <f t="shared" si="8"/>
        <v>24237.054498804879</v>
      </c>
      <c r="Z598" s="101">
        <f t="shared" si="699"/>
        <v>7232.1287282963422</v>
      </c>
      <c r="AA598" s="101">
        <f t="shared" si="700"/>
        <v>7232.1287282963422</v>
      </c>
      <c r="AB598" s="101">
        <f t="shared" si="701"/>
        <v>9772.7970422121944</v>
      </c>
      <c r="AC598" s="101">
        <f t="shared" si="702"/>
        <v>0</v>
      </c>
      <c r="AD598" s="74"/>
      <c r="AE598" s="99">
        <f t="shared" si="720"/>
        <v>27.727164197424003</v>
      </c>
      <c r="AF598" s="101">
        <f t="shared" ref="AF598" si="761">AP598</f>
        <v>36</v>
      </c>
      <c r="AG598" s="101">
        <f t="shared" si="704"/>
        <v>44.001300000000001</v>
      </c>
      <c r="AH598" s="101">
        <f t="shared" si="705"/>
        <v>657</v>
      </c>
      <c r="AI598" s="101">
        <f t="shared" si="706"/>
        <v>250</v>
      </c>
      <c r="AJ598" s="108">
        <f t="shared" si="707"/>
        <v>3.3333333333333335</v>
      </c>
      <c r="AK598" s="101">
        <f t="shared" si="461"/>
        <v>8079.0181662682935</v>
      </c>
      <c r="AL598" s="101">
        <f t="shared" si="708"/>
        <v>2410.7095760987809</v>
      </c>
      <c r="AM598" s="101">
        <f t="shared" si="709"/>
        <v>2410.7095760987809</v>
      </c>
      <c r="AN598" s="101">
        <f t="shared" si="710"/>
        <v>3257.5990140707318</v>
      </c>
      <c r="AO598" s="1">
        <v>36</v>
      </c>
      <c r="AP598" s="2">
        <v>36</v>
      </c>
      <c r="AQ598" s="74">
        <f t="shared" si="711"/>
        <v>657</v>
      </c>
      <c r="AR598" s="31">
        <f t="shared" si="712"/>
        <v>0</v>
      </c>
      <c r="AS598" s="2">
        <f t="shared" si="713"/>
        <v>1</v>
      </c>
      <c r="AT598" s="33">
        <f t="shared" si="714"/>
        <v>0</v>
      </c>
      <c r="AU598" s="31">
        <f t="shared" si="715"/>
        <v>25</v>
      </c>
      <c r="AV598" s="2">
        <f t="shared" si="716"/>
        <v>0</v>
      </c>
      <c r="AW598" s="33">
        <f t="shared" si="717"/>
        <v>1</v>
      </c>
      <c r="AX598" s="31">
        <f t="shared" si="718"/>
        <v>1</v>
      </c>
      <c r="AY598" s="33">
        <f t="shared" si="719"/>
        <v>1.2</v>
      </c>
      <c r="AZ598" s="2"/>
      <c r="BA598" s="101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</row>
    <row r="599" spans="1:71" ht="12" customHeight="1">
      <c r="A599" s="2"/>
      <c r="B599" s="107">
        <v>524</v>
      </c>
      <c r="C599" s="31">
        <v>10</v>
      </c>
      <c r="D599" s="111" t="s">
        <v>14</v>
      </c>
      <c r="E599" s="2" t="s">
        <v>98</v>
      </c>
      <c r="F599" s="2"/>
      <c r="G599" s="2"/>
      <c r="H599" s="33" t="s">
        <v>80</v>
      </c>
      <c r="I599" s="99">
        <f t="shared" si="0"/>
        <v>473.41805394609355</v>
      </c>
      <c r="J599" s="101">
        <f t="shared" si="1"/>
        <v>23.695174714659018</v>
      </c>
      <c r="K599" s="101">
        <f t="shared" si="2"/>
        <v>637</v>
      </c>
      <c r="L599" s="74">
        <f t="shared" si="535"/>
        <v>340</v>
      </c>
      <c r="M599" s="99">
        <f t="shared" si="191"/>
        <v>13126.54011578827</v>
      </c>
      <c r="N599" s="101">
        <f t="shared" si="690"/>
        <v>3717.3705769484004</v>
      </c>
      <c r="O599" s="101">
        <f t="shared" si="691"/>
        <v>3717.3705769484004</v>
      </c>
      <c r="P599" s="101">
        <f t="shared" si="692"/>
        <v>5691.7989618914689</v>
      </c>
      <c r="Q599" s="101">
        <f t="shared" si="693"/>
        <v>0</v>
      </c>
      <c r="R599" s="109"/>
      <c r="S599" s="99">
        <f t="shared" si="694"/>
        <v>9694.8217995219511</v>
      </c>
      <c r="T599" s="101">
        <f t="shared" si="695"/>
        <v>2892.8514913185368</v>
      </c>
      <c r="U599" s="101">
        <f t="shared" si="696"/>
        <v>2892.8514913185368</v>
      </c>
      <c r="V599" s="101">
        <f t="shared" si="697"/>
        <v>3909.118816884878</v>
      </c>
      <c r="W599" s="101">
        <f t="shared" si="698"/>
        <v>0</v>
      </c>
      <c r="X599" s="74"/>
      <c r="Y599" s="99">
        <f t="shared" si="8"/>
        <v>27755.26143400127</v>
      </c>
      <c r="Z599" s="101">
        <f t="shared" si="699"/>
        <v>7232.1287282963422</v>
      </c>
      <c r="AA599" s="101">
        <f t="shared" si="700"/>
        <v>7232.1287282963422</v>
      </c>
      <c r="AB599" s="101">
        <f t="shared" si="701"/>
        <v>13291.003977408585</v>
      </c>
      <c r="AC599" s="101">
        <f t="shared" si="702"/>
        <v>0</v>
      </c>
      <c r="AD599" s="74"/>
      <c r="AE599" s="99">
        <f t="shared" si="720"/>
        <v>27.727164197424003</v>
      </c>
      <c r="AF599" s="101">
        <f t="shared" ref="AF599" si="762">AP599</f>
        <v>36</v>
      </c>
      <c r="AG599" s="101">
        <f t="shared" si="704"/>
        <v>19.001300000000001</v>
      </c>
      <c r="AH599" s="101">
        <f t="shared" si="705"/>
        <v>657</v>
      </c>
      <c r="AI599" s="101">
        <f t="shared" si="706"/>
        <v>250</v>
      </c>
      <c r="AJ599" s="108">
        <f t="shared" si="707"/>
        <v>3.3333333333333335</v>
      </c>
      <c r="AK599" s="101">
        <f t="shared" si="461"/>
        <v>8079.0181662682935</v>
      </c>
      <c r="AL599" s="101">
        <f t="shared" si="708"/>
        <v>2410.7095760987809</v>
      </c>
      <c r="AM599" s="101">
        <f t="shared" si="709"/>
        <v>2410.7095760987809</v>
      </c>
      <c r="AN599" s="101">
        <f t="shared" si="710"/>
        <v>3257.5990140707318</v>
      </c>
      <c r="AO599" s="1">
        <v>36</v>
      </c>
      <c r="AP599" s="2">
        <v>36</v>
      </c>
      <c r="AQ599" s="74">
        <f t="shared" si="711"/>
        <v>657</v>
      </c>
      <c r="AR599" s="31">
        <f t="shared" si="712"/>
        <v>0</v>
      </c>
      <c r="AS599" s="2">
        <f t="shared" si="713"/>
        <v>1</v>
      </c>
      <c r="AT599" s="33">
        <f t="shared" si="714"/>
        <v>0</v>
      </c>
      <c r="AU599" s="31">
        <f t="shared" si="715"/>
        <v>0</v>
      </c>
      <c r="AV599" s="2">
        <f t="shared" si="716"/>
        <v>0</v>
      </c>
      <c r="AW599" s="33">
        <f t="shared" si="717"/>
        <v>1.36</v>
      </c>
      <c r="AX599" s="31">
        <f t="shared" si="718"/>
        <v>1</v>
      </c>
      <c r="AY599" s="33">
        <f t="shared" si="719"/>
        <v>1.2</v>
      </c>
      <c r="AZ599" s="2"/>
      <c r="BA599" s="101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</row>
    <row r="600" spans="1:71" ht="12" customHeight="1">
      <c r="A600" s="2"/>
      <c r="B600" s="107">
        <v>525</v>
      </c>
      <c r="C600" s="31">
        <v>10</v>
      </c>
      <c r="D600" s="111" t="s">
        <v>14</v>
      </c>
      <c r="E600" s="2" t="s">
        <v>151</v>
      </c>
      <c r="F600" s="2"/>
      <c r="G600" s="2"/>
      <c r="H600" s="33" t="s">
        <v>80</v>
      </c>
      <c r="I600" s="99">
        <f t="shared" si="0"/>
        <v>449.30794121990357</v>
      </c>
      <c r="J600" s="101">
        <f t="shared" si="1"/>
        <v>23.695174714659018</v>
      </c>
      <c r="K600" s="101">
        <f t="shared" si="2"/>
        <v>676</v>
      </c>
      <c r="L600" s="74">
        <f t="shared" si="535"/>
        <v>359</v>
      </c>
      <c r="M600" s="99">
        <f t="shared" si="191"/>
        <v>12458.035061410799</v>
      </c>
      <c r="N600" s="101">
        <f t="shared" si="690"/>
        <v>3717.3705769484004</v>
      </c>
      <c r="O600" s="101">
        <f t="shared" si="691"/>
        <v>3717.3705769484004</v>
      </c>
      <c r="P600" s="101">
        <f t="shared" si="692"/>
        <v>5023.2939075139975</v>
      </c>
      <c r="Q600" s="101">
        <f t="shared" si="693"/>
        <v>0</v>
      </c>
      <c r="R600" s="109"/>
      <c r="S600" s="99">
        <f t="shared" si="694"/>
        <v>9694.8217995219511</v>
      </c>
      <c r="T600" s="101">
        <f t="shared" si="695"/>
        <v>2892.8514913185368</v>
      </c>
      <c r="U600" s="101">
        <f t="shared" si="696"/>
        <v>2892.8514913185368</v>
      </c>
      <c r="V600" s="101">
        <f t="shared" si="697"/>
        <v>3909.118816884878</v>
      </c>
      <c r="W600" s="101">
        <f t="shared" si="698"/>
        <v>0</v>
      </c>
      <c r="X600" s="74"/>
      <c r="Y600" s="99">
        <f t="shared" si="8"/>
        <v>24237.054498804879</v>
      </c>
      <c r="Z600" s="101">
        <f t="shared" si="699"/>
        <v>7232.1287282963422</v>
      </c>
      <c r="AA600" s="101">
        <f t="shared" si="700"/>
        <v>7232.1287282963422</v>
      </c>
      <c r="AB600" s="101">
        <f t="shared" si="701"/>
        <v>9772.7970422121944</v>
      </c>
      <c r="AC600" s="101">
        <f t="shared" si="702"/>
        <v>0</v>
      </c>
      <c r="AD600" s="74"/>
      <c r="AE600" s="99">
        <f t="shared" si="720"/>
        <v>27.727164197424003</v>
      </c>
      <c r="AF600" s="101">
        <f t="shared" ref="AF600" si="763">AP600</f>
        <v>36</v>
      </c>
      <c r="AG600" s="101">
        <f t="shared" si="704"/>
        <v>19.001300000000001</v>
      </c>
      <c r="AH600" s="101">
        <f t="shared" si="705"/>
        <v>657</v>
      </c>
      <c r="AI600" s="101">
        <f t="shared" si="706"/>
        <v>250</v>
      </c>
      <c r="AJ600" s="108">
        <f t="shared" si="707"/>
        <v>3.3333333333333335</v>
      </c>
      <c r="AK600" s="101">
        <f t="shared" si="461"/>
        <v>8079.0181662682935</v>
      </c>
      <c r="AL600" s="101">
        <f t="shared" si="708"/>
        <v>2410.7095760987809</v>
      </c>
      <c r="AM600" s="101">
        <f t="shared" si="709"/>
        <v>2410.7095760987809</v>
      </c>
      <c r="AN600" s="101">
        <f t="shared" si="710"/>
        <v>3257.5990140707318</v>
      </c>
      <c r="AO600" s="1">
        <v>36</v>
      </c>
      <c r="AP600" s="2">
        <v>36</v>
      </c>
      <c r="AQ600" s="74">
        <f t="shared" si="711"/>
        <v>657</v>
      </c>
      <c r="AR600" s="31">
        <f t="shared" si="712"/>
        <v>50</v>
      </c>
      <c r="AS600" s="2">
        <f t="shared" si="713"/>
        <v>1</v>
      </c>
      <c r="AT600" s="33">
        <f t="shared" si="714"/>
        <v>0</v>
      </c>
      <c r="AU600" s="31">
        <f t="shared" si="715"/>
        <v>0</v>
      </c>
      <c r="AV600" s="2">
        <f t="shared" si="716"/>
        <v>0</v>
      </c>
      <c r="AW600" s="33">
        <f t="shared" si="717"/>
        <v>1</v>
      </c>
      <c r="AX600" s="31">
        <f t="shared" si="718"/>
        <v>1</v>
      </c>
      <c r="AY600" s="33">
        <f t="shared" si="719"/>
        <v>1.2</v>
      </c>
      <c r="AZ600" s="2"/>
      <c r="BA600" s="101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</row>
    <row r="601" spans="1:71" ht="12" customHeight="1">
      <c r="A601" s="2"/>
      <c r="B601" s="107">
        <v>526</v>
      </c>
      <c r="C601" s="31">
        <v>10</v>
      </c>
      <c r="D601" s="111" t="s">
        <v>14</v>
      </c>
      <c r="E601" s="2" t="s">
        <v>165</v>
      </c>
      <c r="F601" s="2"/>
      <c r="G601" s="2"/>
      <c r="H601" s="33" t="s">
        <v>80</v>
      </c>
      <c r="I601" s="99">
        <f t="shared" si="0"/>
        <v>580.42694599567847</v>
      </c>
      <c r="J601" s="101">
        <f t="shared" si="1"/>
        <v>23.695174714659018</v>
      </c>
      <c r="K601" s="101">
        <f t="shared" si="2"/>
        <v>490</v>
      </c>
      <c r="L601" s="74">
        <f t="shared" si="535"/>
        <v>281</v>
      </c>
      <c r="M601" s="99">
        <f t="shared" si="191"/>
        <v>16093.593236231531</v>
      </c>
      <c r="N601" s="101">
        <f t="shared" si="690"/>
        <v>4802.1898861928521</v>
      </c>
      <c r="O601" s="101">
        <f t="shared" si="691"/>
        <v>4802.1898861928521</v>
      </c>
      <c r="P601" s="101">
        <f t="shared" si="692"/>
        <v>6489.2134638458265</v>
      </c>
      <c r="Q601" s="101">
        <f t="shared" si="693"/>
        <v>0</v>
      </c>
      <c r="R601" s="109"/>
      <c r="S601" s="99">
        <f t="shared" si="694"/>
        <v>9694.8217995219511</v>
      </c>
      <c r="T601" s="101">
        <f t="shared" si="695"/>
        <v>2892.8514913185368</v>
      </c>
      <c r="U601" s="101">
        <f t="shared" si="696"/>
        <v>2892.8514913185368</v>
      </c>
      <c r="V601" s="101">
        <f t="shared" si="697"/>
        <v>3909.118816884878</v>
      </c>
      <c r="W601" s="101">
        <f t="shared" si="698"/>
        <v>0</v>
      </c>
      <c r="X601" s="74"/>
      <c r="Y601" s="99">
        <f t="shared" si="8"/>
        <v>24237.054498804879</v>
      </c>
      <c r="Z601" s="101">
        <f t="shared" si="699"/>
        <v>7232.1287282963422</v>
      </c>
      <c r="AA601" s="101">
        <f t="shared" si="700"/>
        <v>7232.1287282963422</v>
      </c>
      <c r="AB601" s="101">
        <f t="shared" si="701"/>
        <v>9772.7970422121944</v>
      </c>
      <c r="AC601" s="101">
        <f t="shared" si="702"/>
        <v>0</v>
      </c>
      <c r="AD601" s="74"/>
      <c r="AE601" s="99">
        <f t="shared" si="720"/>
        <v>27.727164197424003</v>
      </c>
      <c r="AF601" s="101">
        <f t="shared" ref="AF601" si="764">AP601</f>
        <v>36</v>
      </c>
      <c r="AG601" s="101">
        <f t="shared" si="704"/>
        <v>44.001300000000001</v>
      </c>
      <c r="AH601" s="101">
        <f t="shared" si="705"/>
        <v>657</v>
      </c>
      <c r="AI601" s="101">
        <f t="shared" si="706"/>
        <v>250</v>
      </c>
      <c r="AJ601" s="108">
        <f t="shared" si="707"/>
        <v>3.3333333333333335</v>
      </c>
      <c r="AK601" s="101">
        <f t="shared" si="461"/>
        <v>8079.0181662682935</v>
      </c>
      <c r="AL601" s="101">
        <f t="shared" si="708"/>
        <v>2410.7095760987809</v>
      </c>
      <c r="AM601" s="101">
        <f t="shared" si="709"/>
        <v>2410.7095760987809</v>
      </c>
      <c r="AN601" s="101">
        <f t="shared" si="710"/>
        <v>3257.5990140707318</v>
      </c>
      <c r="AO601" s="1">
        <v>36</v>
      </c>
      <c r="AP601" s="2">
        <v>36</v>
      </c>
      <c r="AQ601" s="74">
        <f t="shared" si="711"/>
        <v>657</v>
      </c>
      <c r="AR601" s="31">
        <f t="shared" si="712"/>
        <v>50</v>
      </c>
      <c r="AS601" s="2">
        <f t="shared" si="713"/>
        <v>1</v>
      </c>
      <c r="AT601" s="33">
        <f t="shared" si="714"/>
        <v>0</v>
      </c>
      <c r="AU601" s="31">
        <f t="shared" si="715"/>
        <v>25</v>
      </c>
      <c r="AV601" s="2">
        <f t="shared" si="716"/>
        <v>0</v>
      </c>
      <c r="AW601" s="33">
        <f t="shared" si="717"/>
        <v>1</v>
      </c>
      <c r="AX601" s="31">
        <f t="shared" si="718"/>
        <v>1</v>
      </c>
      <c r="AY601" s="33">
        <f t="shared" si="719"/>
        <v>1.2</v>
      </c>
      <c r="AZ601" s="2"/>
      <c r="BA601" s="101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</row>
    <row r="602" spans="1:71" ht="12" customHeight="1">
      <c r="A602" s="2"/>
      <c r="B602" s="107">
        <v>527</v>
      </c>
      <c r="C602" s="31">
        <v>10</v>
      </c>
      <c r="D602" s="111" t="s">
        <v>14</v>
      </c>
      <c r="E602" s="2" t="s">
        <v>157</v>
      </c>
      <c r="F602" s="2"/>
      <c r="G602" s="2"/>
      <c r="H602" s="33" t="s">
        <v>80</v>
      </c>
      <c r="I602" s="99">
        <f t="shared" si="0"/>
        <v>473.41805394609355</v>
      </c>
      <c r="J602" s="101">
        <f t="shared" si="1"/>
        <v>23.695174714659018</v>
      </c>
      <c r="K602" s="101">
        <f t="shared" si="2"/>
        <v>637</v>
      </c>
      <c r="L602" s="74">
        <f t="shared" si="535"/>
        <v>340</v>
      </c>
      <c r="M602" s="99">
        <f t="shared" si="191"/>
        <v>13126.54011578827</v>
      </c>
      <c r="N602" s="101">
        <f t="shared" si="690"/>
        <v>3717.3705769484004</v>
      </c>
      <c r="O602" s="101">
        <f t="shared" si="691"/>
        <v>3717.3705769484004</v>
      </c>
      <c r="P602" s="101">
        <f t="shared" si="692"/>
        <v>5691.7989618914689</v>
      </c>
      <c r="Q602" s="101">
        <f t="shared" si="693"/>
        <v>0</v>
      </c>
      <c r="R602" s="109"/>
      <c r="S602" s="99">
        <f t="shared" si="694"/>
        <v>9694.8217995219511</v>
      </c>
      <c r="T602" s="101">
        <f t="shared" si="695"/>
        <v>2892.8514913185368</v>
      </c>
      <c r="U602" s="101">
        <f t="shared" si="696"/>
        <v>2892.8514913185368</v>
      </c>
      <c r="V602" s="101">
        <f t="shared" si="697"/>
        <v>3909.118816884878</v>
      </c>
      <c r="W602" s="101">
        <f t="shared" si="698"/>
        <v>0</v>
      </c>
      <c r="X602" s="74"/>
      <c r="Y602" s="99">
        <f t="shared" si="8"/>
        <v>27755.26143400127</v>
      </c>
      <c r="Z602" s="101">
        <f t="shared" si="699"/>
        <v>7232.1287282963422</v>
      </c>
      <c r="AA602" s="101">
        <f t="shared" si="700"/>
        <v>7232.1287282963422</v>
      </c>
      <c r="AB602" s="101">
        <f t="shared" si="701"/>
        <v>13291.003977408585</v>
      </c>
      <c r="AC602" s="101">
        <f t="shared" si="702"/>
        <v>0</v>
      </c>
      <c r="AD602" s="74"/>
      <c r="AE602" s="99">
        <f t="shared" si="720"/>
        <v>27.727164197424003</v>
      </c>
      <c r="AF602" s="101">
        <f t="shared" ref="AF602" si="765">AP602</f>
        <v>36</v>
      </c>
      <c r="AG602" s="101">
        <f t="shared" si="704"/>
        <v>19.001300000000001</v>
      </c>
      <c r="AH602" s="101">
        <f t="shared" si="705"/>
        <v>657</v>
      </c>
      <c r="AI602" s="101">
        <f t="shared" si="706"/>
        <v>250</v>
      </c>
      <c r="AJ602" s="108">
        <f t="shared" si="707"/>
        <v>3.3333333333333335</v>
      </c>
      <c r="AK602" s="101">
        <f t="shared" si="461"/>
        <v>8079.0181662682935</v>
      </c>
      <c r="AL602" s="101">
        <f t="shared" si="708"/>
        <v>2410.7095760987809</v>
      </c>
      <c r="AM602" s="101">
        <f t="shared" si="709"/>
        <v>2410.7095760987809</v>
      </c>
      <c r="AN602" s="101">
        <f t="shared" si="710"/>
        <v>3257.5990140707318</v>
      </c>
      <c r="AO602" s="1">
        <v>36</v>
      </c>
      <c r="AP602" s="2">
        <v>36</v>
      </c>
      <c r="AQ602" s="74">
        <f t="shared" si="711"/>
        <v>657</v>
      </c>
      <c r="AR602" s="31">
        <f t="shared" si="712"/>
        <v>50</v>
      </c>
      <c r="AS602" s="2">
        <f t="shared" si="713"/>
        <v>1</v>
      </c>
      <c r="AT602" s="33">
        <f t="shared" si="714"/>
        <v>0</v>
      </c>
      <c r="AU602" s="31">
        <f t="shared" si="715"/>
        <v>0</v>
      </c>
      <c r="AV602" s="2">
        <f t="shared" si="716"/>
        <v>0</v>
      </c>
      <c r="AW602" s="33">
        <f t="shared" si="717"/>
        <v>1.36</v>
      </c>
      <c r="AX602" s="31">
        <f t="shared" si="718"/>
        <v>1</v>
      </c>
      <c r="AY602" s="33">
        <f t="shared" si="719"/>
        <v>1.2</v>
      </c>
      <c r="AZ602" s="2"/>
      <c r="BA602" s="101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</row>
    <row r="603" spans="1:71" ht="12" customHeight="1">
      <c r="A603" s="2"/>
      <c r="B603" s="107">
        <v>528</v>
      </c>
      <c r="C603" s="31">
        <v>10</v>
      </c>
      <c r="D603" s="111" t="s">
        <v>14</v>
      </c>
      <c r="E603" s="2" t="s">
        <v>99</v>
      </c>
      <c r="F603" s="2"/>
      <c r="G603" s="2"/>
      <c r="H603" s="33" t="s">
        <v>80</v>
      </c>
      <c r="I603" s="99">
        <f t="shared" si="0"/>
        <v>449.30794121990357</v>
      </c>
      <c r="J603" s="101">
        <f t="shared" si="1"/>
        <v>11.847587357329509</v>
      </c>
      <c r="K603" s="101">
        <f t="shared" si="2"/>
        <v>676</v>
      </c>
      <c r="L603" s="74">
        <f t="shared" si="535"/>
        <v>359</v>
      </c>
      <c r="M603" s="99">
        <f t="shared" si="191"/>
        <v>12458.035061410799</v>
      </c>
      <c r="N603" s="101">
        <f t="shared" si="690"/>
        <v>3717.3705769484004</v>
      </c>
      <c r="O603" s="101">
        <f t="shared" si="691"/>
        <v>3717.3705769484004</v>
      </c>
      <c r="P603" s="101">
        <f t="shared" si="692"/>
        <v>5023.2939075139975</v>
      </c>
      <c r="Q603" s="101">
        <f t="shared" si="693"/>
        <v>0</v>
      </c>
      <c r="R603" s="109"/>
      <c r="S603" s="99">
        <f t="shared" si="694"/>
        <v>9694.8217995219511</v>
      </c>
      <c r="T603" s="101">
        <f t="shared" si="695"/>
        <v>2892.8514913185368</v>
      </c>
      <c r="U603" s="101">
        <f t="shared" si="696"/>
        <v>2892.8514913185368</v>
      </c>
      <c r="V603" s="101">
        <f t="shared" si="697"/>
        <v>3909.118816884878</v>
      </c>
      <c r="W603" s="101">
        <f t="shared" si="698"/>
        <v>0</v>
      </c>
      <c r="X603" s="74"/>
      <c r="Y603" s="99">
        <f t="shared" si="8"/>
        <v>24237.054498804879</v>
      </c>
      <c r="Z603" s="101">
        <f t="shared" si="699"/>
        <v>7232.1287282963422</v>
      </c>
      <c r="AA603" s="101">
        <f t="shared" si="700"/>
        <v>7232.1287282963422</v>
      </c>
      <c r="AB603" s="101">
        <f t="shared" si="701"/>
        <v>9772.7970422121944</v>
      </c>
      <c r="AC603" s="101">
        <f t="shared" si="702"/>
        <v>0</v>
      </c>
      <c r="AD603" s="74"/>
      <c r="AE603" s="99">
        <f t="shared" si="720"/>
        <v>27.727164197424003</v>
      </c>
      <c r="AF603" s="101">
        <f t="shared" ref="AF603" si="766">AP603</f>
        <v>36</v>
      </c>
      <c r="AG603" s="101">
        <f t="shared" si="704"/>
        <v>19.001300000000001</v>
      </c>
      <c r="AH603" s="101">
        <f t="shared" si="705"/>
        <v>328.5</v>
      </c>
      <c r="AI603" s="101">
        <f t="shared" si="706"/>
        <v>250</v>
      </c>
      <c r="AJ603" s="108">
        <f t="shared" si="707"/>
        <v>3.3333333333333335</v>
      </c>
      <c r="AK603" s="101">
        <f t="shared" si="461"/>
        <v>8079.0181662682935</v>
      </c>
      <c r="AL603" s="101">
        <f t="shared" si="708"/>
        <v>2410.7095760987809</v>
      </c>
      <c r="AM603" s="101">
        <f t="shared" si="709"/>
        <v>2410.7095760987809</v>
      </c>
      <c r="AN603" s="101">
        <f t="shared" si="710"/>
        <v>3257.5990140707318</v>
      </c>
      <c r="AO603" s="1">
        <v>36</v>
      </c>
      <c r="AP603" s="2">
        <v>36</v>
      </c>
      <c r="AQ603" s="74">
        <f t="shared" si="711"/>
        <v>657</v>
      </c>
      <c r="AR603" s="31">
        <f t="shared" si="712"/>
        <v>0</v>
      </c>
      <c r="AS603" s="2">
        <f t="shared" si="713"/>
        <v>0.5</v>
      </c>
      <c r="AT603" s="33">
        <f t="shared" si="714"/>
        <v>0</v>
      </c>
      <c r="AU603" s="31">
        <f t="shared" si="715"/>
        <v>0</v>
      </c>
      <c r="AV603" s="2">
        <f t="shared" si="716"/>
        <v>0</v>
      </c>
      <c r="AW603" s="33">
        <f t="shared" si="717"/>
        <v>1</v>
      </c>
      <c r="AX603" s="31">
        <f t="shared" si="718"/>
        <v>1</v>
      </c>
      <c r="AY603" s="33">
        <f t="shared" si="719"/>
        <v>1.2</v>
      </c>
      <c r="AZ603" s="2"/>
      <c r="BA603" s="101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</row>
    <row r="604" spans="1:71" ht="12" customHeight="1">
      <c r="A604" s="2"/>
      <c r="B604" s="107">
        <v>529</v>
      </c>
      <c r="C604" s="31">
        <v>10</v>
      </c>
      <c r="D604" s="111" t="s">
        <v>14</v>
      </c>
      <c r="E604" s="2" t="s">
        <v>170</v>
      </c>
      <c r="F604" s="2"/>
      <c r="G604" s="2"/>
      <c r="H604" s="33" t="s">
        <v>80</v>
      </c>
      <c r="I604" s="99">
        <f t="shared" si="0"/>
        <v>580.42694599567847</v>
      </c>
      <c r="J604" s="101">
        <f t="shared" si="1"/>
        <v>11.847587357329509</v>
      </c>
      <c r="K604" s="101">
        <f t="shared" si="2"/>
        <v>490</v>
      </c>
      <c r="L604" s="74">
        <f t="shared" si="535"/>
        <v>281</v>
      </c>
      <c r="M604" s="99">
        <f t="shared" si="191"/>
        <v>16093.593236231531</v>
      </c>
      <c r="N604" s="101">
        <f t="shared" si="690"/>
        <v>4802.1898861928521</v>
      </c>
      <c r="O604" s="101">
        <f t="shared" si="691"/>
        <v>4802.1898861928521</v>
      </c>
      <c r="P604" s="101">
        <f t="shared" si="692"/>
        <v>6489.2134638458265</v>
      </c>
      <c r="Q604" s="101">
        <f t="shared" si="693"/>
        <v>0</v>
      </c>
      <c r="R604" s="109"/>
      <c r="S604" s="99">
        <f t="shared" si="694"/>
        <v>9694.8217995219511</v>
      </c>
      <c r="T604" s="101">
        <f t="shared" si="695"/>
        <v>2892.8514913185368</v>
      </c>
      <c r="U604" s="101">
        <f t="shared" si="696"/>
        <v>2892.8514913185368</v>
      </c>
      <c r="V604" s="101">
        <f t="shared" si="697"/>
        <v>3909.118816884878</v>
      </c>
      <c r="W604" s="101">
        <f t="shared" si="698"/>
        <v>0</v>
      </c>
      <c r="X604" s="74"/>
      <c r="Y604" s="99">
        <f t="shared" si="8"/>
        <v>24237.054498804879</v>
      </c>
      <c r="Z604" s="101">
        <f t="shared" si="699"/>
        <v>7232.1287282963422</v>
      </c>
      <c r="AA604" s="101">
        <f t="shared" si="700"/>
        <v>7232.1287282963422</v>
      </c>
      <c r="AB604" s="101">
        <f t="shared" si="701"/>
        <v>9772.7970422121944</v>
      </c>
      <c r="AC604" s="101">
        <f t="shared" si="702"/>
        <v>0</v>
      </c>
      <c r="AD604" s="74"/>
      <c r="AE604" s="99">
        <f t="shared" si="720"/>
        <v>27.727164197424003</v>
      </c>
      <c r="AF604" s="101">
        <f t="shared" ref="AF604" si="767">AP604</f>
        <v>36</v>
      </c>
      <c r="AG604" s="101">
        <f t="shared" si="704"/>
        <v>44.001300000000001</v>
      </c>
      <c r="AH604" s="101">
        <f t="shared" si="705"/>
        <v>328.5</v>
      </c>
      <c r="AI604" s="101">
        <f t="shared" si="706"/>
        <v>250</v>
      </c>
      <c r="AJ604" s="108">
        <f t="shared" si="707"/>
        <v>3.3333333333333335</v>
      </c>
      <c r="AK604" s="101">
        <f t="shared" si="461"/>
        <v>8079.0181662682935</v>
      </c>
      <c r="AL604" s="101">
        <f t="shared" si="708"/>
        <v>2410.7095760987809</v>
      </c>
      <c r="AM604" s="101">
        <f t="shared" si="709"/>
        <v>2410.7095760987809</v>
      </c>
      <c r="AN604" s="101">
        <f t="shared" si="710"/>
        <v>3257.5990140707318</v>
      </c>
      <c r="AO604" s="1">
        <v>36</v>
      </c>
      <c r="AP604" s="2">
        <v>36</v>
      </c>
      <c r="AQ604" s="74">
        <f t="shared" si="711"/>
        <v>657</v>
      </c>
      <c r="AR604" s="31">
        <f t="shared" si="712"/>
        <v>0</v>
      </c>
      <c r="AS604" s="2">
        <f t="shared" si="713"/>
        <v>0.5</v>
      </c>
      <c r="AT604" s="33">
        <f t="shared" si="714"/>
        <v>0</v>
      </c>
      <c r="AU604" s="31">
        <f t="shared" si="715"/>
        <v>25</v>
      </c>
      <c r="AV604" s="2">
        <f t="shared" si="716"/>
        <v>0</v>
      </c>
      <c r="AW604" s="33">
        <f t="shared" si="717"/>
        <v>1</v>
      </c>
      <c r="AX604" s="31">
        <f t="shared" si="718"/>
        <v>1</v>
      </c>
      <c r="AY604" s="33">
        <f t="shared" si="719"/>
        <v>1.2</v>
      </c>
      <c r="AZ604" s="2"/>
      <c r="BA604" s="101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</row>
    <row r="605" spans="1:71" ht="12" customHeight="1">
      <c r="A605" s="2"/>
      <c r="B605" s="107">
        <v>530</v>
      </c>
      <c r="C605" s="31">
        <v>10</v>
      </c>
      <c r="D605" s="111" t="s">
        <v>14</v>
      </c>
      <c r="E605" s="2" t="s">
        <v>108</v>
      </c>
      <c r="F605" s="2"/>
      <c r="G605" s="2"/>
      <c r="H605" s="33" t="s">
        <v>80</v>
      </c>
      <c r="I605" s="99">
        <f t="shared" si="0"/>
        <v>473.41805394609355</v>
      </c>
      <c r="J605" s="101">
        <f t="shared" si="1"/>
        <v>11.847587357329509</v>
      </c>
      <c r="K605" s="101">
        <f t="shared" si="2"/>
        <v>637</v>
      </c>
      <c r="L605" s="74">
        <f t="shared" si="535"/>
        <v>340</v>
      </c>
      <c r="M605" s="99">
        <f t="shared" si="191"/>
        <v>13126.54011578827</v>
      </c>
      <c r="N605" s="101">
        <f t="shared" si="690"/>
        <v>3717.3705769484004</v>
      </c>
      <c r="O605" s="101">
        <f t="shared" si="691"/>
        <v>3717.3705769484004</v>
      </c>
      <c r="P605" s="101">
        <f t="shared" si="692"/>
        <v>5691.7989618914689</v>
      </c>
      <c r="Q605" s="101">
        <f t="shared" si="693"/>
        <v>0</v>
      </c>
      <c r="R605" s="109"/>
      <c r="S605" s="99">
        <f t="shared" si="694"/>
        <v>9694.8217995219511</v>
      </c>
      <c r="T605" s="101">
        <f t="shared" si="695"/>
        <v>2892.8514913185368</v>
      </c>
      <c r="U605" s="101">
        <f t="shared" si="696"/>
        <v>2892.8514913185368</v>
      </c>
      <c r="V605" s="101">
        <f t="shared" si="697"/>
        <v>3909.118816884878</v>
      </c>
      <c r="W605" s="101">
        <f t="shared" si="698"/>
        <v>0</v>
      </c>
      <c r="X605" s="74"/>
      <c r="Y605" s="99">
        <f t="shared" si="8"/>
        <v>27755.26143400127</v>
      </c>
      <c r="Z605" s="101">
        <f t="shared" si="699"/>
        <v>7232.1287282963422</v>
      </c>
      <c r="AA605" s="101">
        <f t="shared" si="700"/>
        <v>7232.1287282963422</v>
      </c>
      <c r="AB605" s="101">
        <f t="shared" si="701"/>
        <v>13291.003977408585</v>
      </c>
      <c r="AC605" s="101">
        <f t="shared" si="702"/>
        <v>0</v>
      </c>
      <c r="AD605" s="74"/>
      <c r="AE605" s="99">
        <f t="shared" si="720"/>
        <v>27.727164197424003</v>
      </c>
      <c r="AF605" s="101">
        <f t="shared" ref="AF605" si="768">AP605</f>
        <v>36</v>
      </c>
      <c r="AG605" s="101">
        <f t="shared" si="704"/>
        <v>19.001300000000001</v>
      </c>
      <c r="AH605" s="101">
        <f t="shared" si="705"/>
        <v>328.5</v>
      </c>
      <c r="AI605" s="101">
        <f t="shared" si="706"/>
        <v>250</v>
      </c>
      <c r="AJ605" s="108">
        <f t="shared" si="707"/>
        <v>3.3333333333333335</v>
      </c>
      <c r="AK605" s="101">
        <f t="shared" si="461"/>
        <v>8079.0181662682935</v>
      </c>
      <c r="AL605" s="101">
        <f t="shared" si="708"/>
        <v>2410.7095760987809</v>
      </c>
      <c r="AM605" s="101">
        <f t="shared" si="709"/>
        <v>2410.7095760987809</v>
      </c>
      <c r="AN605" s="101">
        <f t="shared" si="710"/>
        <v>3257.5990140707318</v>
      </c>
      <c r="AO605" s="1">
        <v>36</v>
      </c>
      <c r="AP605" s="2">
        <v>36</v>
      </c>
      <c r="AQ605" s="74">
        <f t="shared" si="711"/>
        <v>657</v>
      </c>
      <c r="AR605" s="31">
        <f t="shared" si="712"/>
        <v>0</v>
      </c>
      <c r="AS605" s="2">
        <f t="shared" si="713"/>
        <v>0.5</v>
      </c>
      <c r="AT605" s="33">
        <f t="shared" si="714"/>
        <v>0</v>
      </c>
      <c r="AU605" s="31">
        <f t="shared" si="715"/>
        <v>0</v>
      </c>
      <c r="AV605" s="2">
        <f t="shared" si="716"/>
        <v>0</v>
      </c>
      <c r="AW605" s="33">
        <f t="shared" si="717"/>
        <v>1.36</v>
      </c>
      <c r="AX605" s="31">
        <f t="shared" si="718"/>
        <v>1</v>
      </c>
      <c r="AY605" s="33">
        <f t="shared" si="719"/>
        <v>1.2</v>
      </c>
      <c r="AZ605" s="2"/>
      <c r="BA605" s="101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</row>
    <row r="606" spans="1:71" ht="12" customHeight="1">
      <c r="A606" s="2"/>
      <c r="B606" s="107">
        <v>531</v>
      </c>
      <c r="C606" s="31">
        <v>7</v>
      </c>
      <c r="D606" s="111" t="s">
        <v>14</v>
      </c>
      <c r="E606" s="2" t="s">
        <v>67</v>
      </c>
      <c r="F606" s="1"/>
      <c r="G606" s="1"/>
      <c r="H606" s="33" t="s">
        <v>80</v>
      </c>
      <c r="I606" s="99">
        <f t="shared" si="0"/>
        <v>331.8738434025671</v>
      </c>
      <c r="J606" s="101">
        <f t="shared" si="1"/>
        <v>16.518097441877977</v>
      </c>
      <c r="K606" s="101">
        <f t="shared" si="2"/>
        <v>801</v>
      </c>
      <c r="L606" s="74">
        <f t="shared" si="535"/>
        <v>397</v>
      </c>
      <c r="M606" s="99">
        <f t="shared" si="191"/>
        <v>9201.9205488531588</v>
      </c>
      <c r="N606" s="101">
        <f t="shared" si="690"/>
        <v>2746.3766588624931</v>
      </c>
      <c r="O606" s="101">
        <f t="shared" si="691"/>
        <v>2746.3766588624931</v>
      </c>
      <c r="P606" s="101">
        <f t="shared" si="692"/>
        <v>3709.1672311281723</v>
      </c>
      <c r="Q606" s="101">
        <f t="shared" si="693"/>
        <v>0</v>
      </c>
      <c r="R606" s="109"/>
      <c r="S606" s="99">
        <f t="shared" si="694"/>
        <v>7732.6218695536591</v>
      </c>
      <c r="T606" s="101">
        <f t="shared" si="695"/>
        <v>2307.8543334085366</v>
      </c>
      <c r="U606" s="101">
        <f t="shared" si="696"/>
        <v>2307.8543334085366</v>
      </c>
      <c r="V606" s="101">
        <f t="shared" si="697"/>
        <v>3116.9132027365854</v>
      </c>
      <c r="W606" s="101">
        <f t="shared" si="698"/>
        <v>0</v>
      </c>
      <c r="X606" s="74"/>
      <c r="Y606" s="99">
        <f t="shared" si="8"/>
        <v>15465.243739107318</v>
      </c>
      <c r="Z606" s="101">
        <f t="shared" si="699"/>
        <v>4615.7086668170732</v>
      </c>
      <c r="AA606" s="101">
        <f t="shared" si="700"/>
        <v>4615.7086668170732</v>
      </c>
      <c r="AB606" s="101">
        <f t="shared" si="701"/>
        <v>6233.8264054731708</v>
      </c>
      <c r="AC606" s="101">
        <f t="shared" si="702"/>
        <v>0</v>
      </c>
      <c r="AD606" s="74"/>
      <c r="AE606" s="99">
        <f t="shared" si="720"/>
        <v>27.727164197424003</v>
      </c>
      <c r="AF606" s="101">
        <f t="shared" ref="AF606" si="769">AP606</f>
        <v>36</v>
      </c>
      <c r="AG606" s="101">
        <f t="shared" si="704"/>
        <v>19.001300000000001</v>
      </c>
      <c r="AH606" s="101">
        <f t="shared" si="705"/>
        <v>458</v>
      </c>
      <c r="AI606" s="101">
        <f t="shared" si="706"/>
        <v>200</v>
      </c>
      <c r="AJ606" s="108">
        <f t="shared" si="707"/>
        <v>3.3333333333333335</v>
      </c>
      <c r="AK606" s="101">
        <f t="shared" si="461"/>
        <v>7732.6218695536591</v>
      </c>
      <c r="AL606" s="101">
        <f t="shared" si="708"/>
        <v>2307.8543334085366</v>
      </c>
      <c r="AM606" s="101">
        <f t="shared" si="709"/>
        <v>2307.8543334085366</v>
      </c>
      <c r="AN606" s="101">
        <f t="shared" si="710"/>
        <v>3116.9132027365854</v>
      </c>
      <c r="AO606" s="1">
        <v>36</v>
      </c>
      <c r="AP606" s="2">
        <v>36</v>
      </c>
      <c r="AQ606" s="74">
        <f t="shared" si="711"/>
        <v>458</v>
      </c>
      <c r="AR606" s="31">
        <f t="shared" si="712"/>
        <v>0</v>
      </c>
      <c r="AS606" s="2">
        <f t="shared" si="713"/>
        <v>1</v>
      </c>
      <c r="AT606" s="33">
        <f t="shared" si="714"/>
        <v>0</v>
      </c>
      <c r="AU606" s="31">
        <f t="shared" si="715"/>
        <v>0</v>
      </c>
      <c r="AV606" s="2">
        <f t="shared" si="716"/>
        <v>0</v>
      </c>
      <c r="AW606" s="33">
        <f t="shared" si="717"/>
        <v>1</v>
      </c>
      <c r="AX606" s="31">
        <f t="shared" si="718"/>
        <v>1</v>
      </c>
      <c r="AY606" s="33">
        <f t="shared" si="719"/>
        <v>1</v>
      </c>
      <c r="AZ606" s="2"/>
      <c r="BA606" s="101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</row>
    <row r="607" spans="1:71" ht="12" customHeight="1">
      <c r="A607" s="2"/>
      <c r="B607" s="107">
        <v>532</v>
      </c>
      <c r="C607" s="31">
        <v>7</v>
      </c>
      <c r="D607" s="111" t="s">
        <v>14</v>
      </c>
      <c r="E607" s="2" t="s">
        <v>136</v>
      </c>
      <c r="F607" s="2"/>
      <c r="G607" s="2"/>
      <c r="H607" s="33" t="s">
        <v>80</v>
      </c>
      <c r="I607" s="99">
        <f t="shared" si="0"/>
        <v>401.5944774213902</v>
      </c>
      <c r="J607" s="101">
        <f t="shared" si="1"/>
        <v>16.518097441877977</v>
      </c>
      <c r="K607" s="101">
        <f t="shared" si="2"/>
        <v>730</v>
      </c>
      <c r="L607" s="74">
        <f t="shared" si="535"/>
        <v>380</v>
      </c>
      <c r="M607" s="99">
        <f t="shared" si="191"/>
        <v>11135.076016241572</v>
      </c>
      <c r="N607" s="101">
        <f t="shared" si="690"/>
        <v>3323.3402422146269</v>
      </c>
      <c r="O607" s="101">
        <f t="shared" si="691"/>
        <v>3323.3402422146269</v>
      </c>
      <c r="P607" s="101">
        <f t="shared" si="692"/>
        <v>4488.3955318123189</v>
      </c>
      <c r="Q607" s="101">
        <f t="shared" si="693"/>
        <v>0</v>
      </c>
      <c r="R607" s="109"/>
      <c r="S607" s="99">
        <f t="shared" si="694"/>
        <v>7732.6218695536591</v>
      </c>
      <c r="T607" s="101">
        <f t="shared" si="695"/>
        <v>2307.8543334085366</v>
      </c>
      <c r="U607" s="101">
        <f t="shared" si="696"/>
        <v>2307.8543334085366</v>
      </c>
      <c r="V607" s="101">
        <f t="shared" si="697"/>
        <v>3116.9132027365854</v>
      </c>
      <c r="W607" s="101">
        <f t="shared" si="698"/>
        <v>0</v>
      </c>
      <c r="X607" s="74"/>
      <c r="Y607" s="99">
        <f t="shared" si="8"/>
        <v>15465.243739107318</v>
      </c>
      <c r="Z607" s="101">
        <f t="shared" si="699"/>
        <v>4615.7086668170732</v>
      </c>
      <c r="AA607" s="101">
        <f t="shared" si="700"/>
        <v>4615.7086668170732</v>
      </c>
      <c r="AB607" s="101">
        <f t="shared" si="701"/>
        <v>6233.8264054731708</v>
      </c>
      <c r="AC607" s="101">
        <f t="shared" si="702"/>
        <v>0</v>
      </c>
      <c r="AD607" s="74"/>
      <c r="AE607" s="99">
        <f t="shared" si="720"/>
        <v>27.727164197424003</v>
      </c>
      <c r="AF607" s="101">
        <f t="shared" ref="AF607" si="770">AP607</f>
        <v>36</v>
      </c>
      <c r="AG607" s="101">
        <f t="shared" si="704"/>
        <v>44.001300000000001</v>
      </c>
      <c r="AH607" s="101">
        <f t="shared" si="705"/>
        <v>458</v>
      </c>
      <c r="AI607" s="101">
        <f t="shared" si="706"/>
        <v>200</v>
      </c>
      <c r="AJ607" s="108">
        <f t="shared" si="707"/>
        <v>3.3333333333333335</v>
      </c>
      <c r="AK607" s="101">
        <f t="shared" si="461"/>
        <v>7732.6218695536591</v>
      </c>
      <c r="AL607" s="101">
        <f t="shared" si="708"/>
        <v>2307.8543334085366</v>
      </c>
      <c r="AM607" s="101">
        <f t="shared" si="709"/>
        <v>2307.8543334085366</v>
      </c>
      <c r="AN607" s="101">
        <f t="shared" si="710"/>
        <v>3116.9132027365854</v>
      </c>
      <c r="AO607" s="1">
        <v>36</v>
      </c>
      <c r="AP607" s="2">
        <v>36</v>
      </c>
      <c r="AQ607" s="74">
        <f t="shared" si="711"/>
        <v>458</v>
      </c>
      <c r="AR607" s="31">
        <f t="shared" si="712"/>
        <v>0</v>
      </c>
      <c r="AS607" s="2">
        <f t="shared" si="713"/>
        <v>1</v>
      </c>
      <c r="AT607" s="33">
        <f t="shared" si="714"/>
        <v>0</v>
      </c>
      <c r="AU607" s="31">
        <f t="shared" si="715"/>
        <v>25</v>
      </c>
      <c r="AV607" s="2">
        <f t="shared" si="716"/>
        <v>0</v>
      </c>
      <c r="AW607" s="33">
        <f t="shared" si="717"/>
        <v>1</v>
      </c>
      <c r="AX607" s="31">
        <f t="shared" si="718"/>
        <v>1</v>
      </c>
      <c r="AY607" s="33">
        <f t="shared" si="719"/>
        <v>1</v>
      </c>
      <c r="AZ607" s="2"/>
      <c r="BA607" s="101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</row>
    <row r="608" spans="1:71" ht="12" customHeight="1">
      <c r="A608" s="2"/>
      <c r="B608" s="107">
        <v>533</v>
      </c>
      <c r="C608" s="31">
        <v>7</v>
      </c>
      <c r="D608" s="111" t="s">
        <v>14</v>
      </c>
      <c r="E608" s="2" t="s">
        <v>91</v>
      </c>
      <c r="F608" s="2"/>
      <c r="G608" s="2"/>
      <c r="H608" s="33" t="s">
        <v>80</v>
      </c>
      <c r="I608" s="99">
        <f t="shared" si="0"/>
        <v>347.25309017319648</v>
      </c>
      <c r="J608" s="101">
        <f t="shared" si="1"/>
        <v>16.518097441877977</v>
      </c>
      <c r="K608" s="101">
        <f t="shared" si="2"/>
        <v>782</v>
      </c>
      <c r="L608" s="74">
        <f t="shared" si="535"/>
        <v>392</v>
      </c>
      <c r="M608" s="99">
        <f t="shared" si="191"/>
        <v>9628.3434492951019</v>
      </c>
      <c r="N608" s="101">
        <f t="shared" si="690"/>
        <v>2746.3766588624931</v>
      </c>
      <c r="O608" s="101">
        <f t="shared" si="691"/>
        <v>2746.3766588624931</v>
      </c>
      <c r="P608" s="101">
        <f t="shared" si="692"/>
        <v>4135.5901315701149</v>
      </c>
      <c r="Q608" s="101">
        <f t="shared" si="693"/>
        <v>0</v>
      </c>
      <c r="R608" s="109"/>
      <c r="S608" s="99">
        <f t="shared" si="694"/>
        <v>7732.6218695536591</v>
      </c>
      <c r="T608" s="101">
        <f t="shared" si="695"/>
        <v>2307.8543334085366</v>
      </c>
      <c r="U608" s="101">
        <f t="shared" si="696"/>
        <v>2307.8543334085366</v>
      </c>
      <c r="V608" s="101">
        <f t="shared" si="697"/>
        <v>3116.9132027365854</v>
      </c>
      <c r="W608" s="101">
        <f t="shared" si="698"/>
        <v>0</v>
      </c>
      <c r="X608" s="74"/>
      <c r="Y608" s="99">
        <f t="shared" si="8"/>
        <v>17709.421245077661</v>
      </c>
      <c r="Z608" s="101">
        <f t="shared" si="699"/>
        <v>4615.7086668170732</v>
      </c>
      <c r="AA608" s="101">
        <f t="shared" si="700"/>
        <v>4615.7086668170732</v>
      </c>
      <c r="AB608" s="101">
        <f t="shared" si="701"/>
        <v>8478.0039114435131</v>
      </c>
      <c r="AC608" s="101">
        <f t="shared" si="702"/>
        <v>0</v>
      </c>
      <c r="AD608" s="74"/>
      <c r="AE608" s="99">
        <f t="shared" si="720"/>
        <v>27.727164197424003</v>
      </c>
      <c r="AF608" s="101">
        <f t="shared" ref="AF608" si="771">AP608</f>
        <v>36</v>
      </c>
      <c r="AG608" s="101">
        <f t="shared" si="704"/>
        <v>19.001300000000001</v>
      </c>
      <c r="AH608" s="101">
        <f t="shared" si="705"/>
        <v>458</v>
      </c>
      <c r="AI608" s="101">
        <f t="shared" si="706"/>
        <v>200</v>
      </c>
      <c r="AJ608" s="108">
        <f t="shared" si="707"/>
        <v>3.3333333333333335</v>
      </c>
      <c r="AK608" s="101">
        <f t="shared" si="461"/>
        <v>7732.6218695536591</v>
      </c>
      <c r="AL608" s="101">
        <f t="shared" si="708"/>
        <v>2307.8543334085366</v>
      </c>
      <c r="AM608" s="101">
        <f t="shared" si="709"/>
        <v>2307.8543334085366</v>
      </c>
      <c r="AN608" s="101">
        <f t="shared" si="710"/>
        <v>3116.9132027365854</v>
      </c>
      <c r="AO608" s="1">
        <v>36</v>
      </c>
      <c r="AP608" s="2">
        <v>36</v>
      </c>
      <c r="AQ608" s="74">
        <f t="shared" si="711"/>
        <v>458</v>
      </c>
      <c r="AR608" s="31">
        <f t="shared" si="712"/>
        <v>0</v>
      </c>
      <c r="AS608" s="2">
        <f t="shared" si="713"/>
        <v>1</v>
      </c>
      <c r="AT608" s="33">
        <f t="shared" si="714"/>
        <v>0</v>
      </c>
      <c r="AU608" s="31">
        <f t="shared" si="715"/>
        <v>0</v>
      </c>
      <c r="AV608" s="2">
        <f t="shared" si="716"/>
        <v>0</v>
      </c>
      <c r="AW608" s="33">
        <f t="shared" si="717"/>
        <v>1.36</v>
      </c>
      <c r="AX608" s="31">
        <f t="shared" si="718"/>
        <v>1</v>
      </c>
      <c r="AY608" s="33">
        <f t="shared" si="719"/>
        <v>1</v>
      </c>
      <c r="AZ608" s="2"/>
      <c r="BA608" s="101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</row>
    <row r="609" spans="1:71" ht="12" customHeight="1">
      <c r="A609" s="2"/>
      <c r="B609" s="107">
        <v>534</v>
      </c>
      <c r="C609" s="31">
        <v>7</v>
      </c>
      <c r="D609" s="111" t="s">
        <v>14</v>
      </c>
      <c r="E609" s="2" t="s">
        <v>148</v>
      </c>
      <c r="F609" s="2"/>
      <c r="G609" s="2"/>
      <c r="H609" s="33" t="s">
        <v>80</v>
      </c>
      <c r="I609" s="99">
        <f t="shared" si="0"/>
        <v>331.8738434025671</v>
      </c>
      <c r="J609" s="101">
        <f t="shared" si="1"/>
        <v>16.518097441877977</v>
      </c>
      <c r="K609" s="101">
        <f t="shared" si="2"/>
        <v>801</v>
      </c>
      <c r="L609" s="74">
        <f t="shared" si="535"/>
        <v>397</v>
      </c>
      <c r="M609" s="99">
        <f t="shared" si="191"/>
        <v>9201.9205488531588</v>
      </c>
      <c r="N609" s="101">
        <f t="shared" si="690"/>
        <v>2746.3766588624931</v>
      </c>
      <c r="O609" s="101">
        <f t="shared" si="691"/>
        <v>2746.3766588624931</v>
      </c>
      <c r="P609" s="101">
        <f t="shared" si="692"/>
        <v>3709.1672311281723</v>
      </c>
      <c r="Q609" s="101">
        <f t="shared" si="693"/>
        <v>0</v>
      </c>
      <c r="R609" s="109"/>
      <c r="S609" s="99">
        <f t="shared" si="694"/>
        <v>7732.6218695536591</v>
      </c>
      <c r="T609" s="101">
        <f t="shared" si="695"/>
        <v>2307.8543334085366</v>
      </c>
      <c r="U609" s="101">
        <f t="shared" si="696"/>
        <v>2307.8543334085366</v>
      </c>
      <c r="V609" s="101">
        <f t="shared" si="697"/>
        <v>3116.9132027365854</v>
      </c>
      <c r="W609" s="101">
        <f t="shared" si="698"/>
        <v>0</v>
      </c>
      <c r="X609" s="74"/>
      <c r="Y609" s="99">
        <f t="shared" si="8"/>
        <v>15465.243739107318</v>
      </c>
      <c r="Z609" s="101">
        <f t="shared" si="699"/>
        <v>4615.7086668170732</v>
      </c>
      <c r="AA609" s="101">
        <f t="shared" si="700"/>
        <v>4615.7086668170732</v>
      </c>
      <c r="AB609" s="101">
        <f t="shared" si="701"/>
        <v>6233.8264054731708</v>
      </c>
      <c r="AC609" s="101">
        <f t="shared" si="702"/>
        <v>0</v>
      </c>
      <c r="AD609" s="74"/>
      <c r="AE609" s="99">
        <f t="shared" si="720"/>
        <v>27.727164197424003</v>
      </c>
      <c r="AF609" s="101">
        <f t="shared" ref="AF609" si="772">AP609</f>
        <v>36</v>
      </c>
      <c r="AG609" s="101">
        <f t="shared" si="704"/>
        <v>19.001300000000001</v>
      </c>
      <c r="AH609" s="101">
        <f t="shared" si="705"/>
        <v>458</v>
      </c>
      <c r="AI609" s="101">
        <f t="shared" si="706"/>
        <v>200</v>
      </c>
      <c r="AJ609" s="108">
        <f t="shared" si="707"/>
        <v>3.3333333333333335</v>
      </c>
      <c r="AK609" s="101">
        <f t="shared" si="461"/>
        <v>7732.6218695536591</v>
      </c>
      <c r="AL609" s="101">
        <f t="shared" si="708"/>
        <v>2307.8543334085366</v>
      </c>
      <c r="AM609" s="101">
        <f t="shared" si="709"/>
        <v>2307.8543334085366</v>
      </c>
      <c r="AN609" s="101">
        <f t="shared" si="710"/>
        <v>3116.9132027365854</v>
      </c>
      <c r="AO609" s="1">
        <v>36</v>
      </c>
      <c r="AP609" s="2">
        <v>36</v>
      </c>
      <c r="AQ609" s="74">
        <f t="shared" si="711"/>
        <v>458</v>
      </c>
      <c r="AR609" s="31">
        <f t="shared" si="712"/>
        <v>50</v>
      </c>
      <c r="AS609" s="2">
        <f t="shared" si="713"/>
        <v>1</v>
      </c>
      <c r="AT609" s="33">
        <f t="shared" si="714"/>
        <v>0</v>
      </c>
      <c r="AU609" s="31">
        <f t="shared" si="715"/>
        <v>0</v>
      </c>
      <c r="AV609" s="2">
        <f t="shared" si="716"/>
        <v>0</v>
      </c>
      <c r="AW609" s="33">
        <f t="shared" si="717"/>
        <v>1</v>
      </c>
      <c r="AX609" s="31">
        <f t="shared" si="718"/>
        <v>1</v>
      </c>
      <c r="AY609" s="33">
        <f t="shared" si="719"/>
        <v>1</v>
      </c>
      <c r="AZ609" s="2"/>
      <c r="BA609" s="101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</row>
    <row r="610" spans="1:71" ht="12" customHeight="1">
      <c r="A610" s="2"/>
      <c r="B610" s="107">
        <v>535</v>
      </c>
      <c r="C610" s="31">
        <v>7</v>
      </c>
      <c r="D610" s="111" t="s">
        <v>14</v>
      </c>
      <c r="E610" s="2" t="s">
        <v>163</v>
      </c>
      <c r="F610" s="2"/>
      <c r="G610" s="2"/>
      <c r="H610" s="33" t="s">
        <v>80</v>
      </c>
      <c r="I610" s="99">
        <f t="shared" si="0"/>
        <v>401.5944774213902</v>
      </c>
      <c r="J610" s="101">
        <f t="shared" si="1"/>
        <v>16.518097441877977</v>
      </c>
      <c r="K610" s="101">
        <f t="shared" si="2"/>
        <v>730</v>
      </c>
      <c r="L610" s="74">
        <f t="shared" si="535"/>
        <v>380</v>
      </c>
      <c r="M610" s="99">
        <f t="shared" si="191"/>
        <v>11135.076016241572</v>
      </c>
      <c r="N610" s="101">
        <f t="shared" si="690"/>
        <v>3323.3402422146269</v>
      </c>
      <c r="O610" s="101">
        <f t="shared" si="691"/>
        <v>3323.3402422146269</v>
      </c>
      <c r="P610" s="101">
        <f t="shared" si="692"/>
        <v>4488.3955318123189</v>
      </c>
      <c r="Q610" s="101">
        <f t="shared" si="693"/>
        <v>0</v>
      </c>
      <c r="R610" s="109"/>
      <c r="S610" s="99">
        <f t="shared" si="694"/>
        <v>7732.6218695536591</v>
      </c>
      <c r="T610" s="101">
        <f t="shared" si="695"/>
        <v>2307.8543334085366</v>
      </c>
      <c r="U610" s="101">
        <f t="shared" si="696"/>
        <v>2307.8543334085366</v>
      </c>
      <c r="V610" s="101">
        <f t="shared" si="697"/>
        <v>3116.9132027365854</v>
      </c>
      <c r="W610" s="101">
        <f t="shared" si="698"/>
        <v>0</v>
      </c>
      <c r="X610" s="74"/>
      <c r="Y610" s="99">
        <f t="shared" si="8"/>
        <v>15465.243739107318</v>
      </c>
      <c r="Z610" s="101">
        <f t="shared" si="699"/>
        <v>4615.7086668170732</v>
      </c>
      <c r="AA610" s="101">
        <f t="shared" si="700"/>
        <v>4615.7086668170732</v>
      </c>
      <c r="AB610" s="101">
        <f t="shared" si="701"/>
        <v>6233.8264054731708</v>
      </c>
      <c r="AC610" s="101">
        <f t="shared" si="702"/>
        <v>0</v>
      </c>
      <c r="AD610" s="74"/>
      <c r="AE610" s="99">
        <f t="shared" si="720"/>
        <v>27.727164197424003</v>
      </c>
      <c r="AF610" s="101">
        <f t="shared" ref="AF610" si="773">AP610</f>
        <v>36</v>
      </c>
      <c r="AG610" s="101">
        <f t="shared" si="704"/>
        <v>44.001300000000001</v>
      </c>
      <c r="AH610" s="101">
        <f t="shared" si="705"/>
        <v>458</v>
      </c>
      <c r="AI610" s="101">
        <f t="shared" si="706"/>
        <v>200</v>
      </c>
      <c r="AJ610" s="108">
        <f t="shared" si="707"/>
        <v>3.3333333333333335</v>
      </c>
      <c r="AK610" s="101">
        <f t="shared" si="461"/>
        <v>7732.6218695536591</v>
      </c>
      <c r="AL610" s="101">
        <f t="shared" si="708"/>
        <v>2307.8543334085366</v>
      </c>
      <c r="AM610" s="101">
        <f t="shared" si="709"/>
        <v>2307.8543334085366</v>
      </c>
      <c r="AN610" s="101">
        <f t="shared" si="710"/>
        <v>3116.9132027365854</v>
      </c>
      <c r="AO610" s="1">
        <v>36</v>
      </c>
      <c r="AP610" s="2">
        <v>36</v>
      </c>
      <c r="AQ610" s="74">
        <f t="shared" si="711"/>
        <v>458</v>
      </c>
      <c r="AR610" s="31">
        <f t="shared" si="712"/>
        <v>50</v>
      </c>
      <c r="AS610" s="2">
        <f t="shared" si="713"/>
        <v>1</v>
      </c>
      <c r="AT610" s="33">
        <f t="shared" si="714"/>
        <v>0</v>
      </c>
      <c r="AU610" s="31">
        <f t="shared" si="715"/>
        <v>25</v>
      </c>
      <c r="AV610" s="2">
        <f t="shared" si="716"/>
        <v>0</v>
      </c>
      <c r="AW610" s="33">
        <f t="shared" si="717"/>
        <v>1</v>
      </c>
      <c r="AX610" s="31">
        <f t="shared" si="718"/>
        <v>1</v>
      </c>
      <c r="AY610" s="33">
        <f t="shared" si="719"/>
        <v>1</v>
      </c>
      <c r="AZ610" s="2"/>
      <c r="BA610" s="101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</row>
    <row r="611" spans="1:71" ht="12" customHeight="1">
      <c r="A611" s="2"/>
      <c r="B611" s="107">
        <v>536</v>
      </c>
      <c r="C611" s="31">
        <v>7</v>
      </c>
      <c r="D611" s="111" t="s">
        <v>14</v>
      </c>
      <c r="E611" s="2" t="s">
        <v>155</v>
      </c>
      <c r="F611" s="2"/>
      <c r="G611" s="2"/>
      <c r="H611" s="33" t="s">
        <v>80</v>
      </c>
      <c r="I611" s="99">
        <f t="shared" si="0"/>
        <v>347.25309017319648</v>
      </c>
      <c r="J611" s="101">
        <f t="shared" si="1"/>
        <v>16.518097441877977</v>
      </c>
      <c r="K611" s="101">
        <f t="shared" si="2"/>
        <v>782</v>
      </c>
      <c r="L611" s="74">
        <f t="shared" si="535"/>
        <v>392</v>
      </c>
      <c r="M611" s="99">
        <f t="shared" si="191"/>
        <v>9628.3434492951019</v>
      </c>
      <c r="N611" s="101">
        <f t="shared" si="690"/>
        <v>2746.3766588624931</v>
      </c>
      <c r="O611" s="101">
        <f t="shared" si="691"/>
        <v>2746.3766588624931</v>
      </c>
      <c r="P611" s="101">
        <f t="shared" si="692"/>
        <v>4135.5901315701149</v>
      </c>
      <c r="Q611" s="101">
        <f t="shared" si="693"/>
        <v>0</v>
      </c>
      <c r="R611" s="109"/>
      <c r="S611" s="99">
        <f t="shared" si="694"/>
        <v>7732.6218695536591</v>
      </c>
      <c r="T611" s="101">
        <f t="shared" si="695"/>
        <v>2307.8543334085366</v>
      </c>
      <c r="U611" s="101">
        <f t="shared" si="696"/>
        <v>2307.8543334085366</v>
      </c>
      <c r="V611" s="101">
        <f t="shared" si="697"/>
        <v>3116.9132027365854</v>
      </c>
      <c r="W611" s="101">
        <f t="shared" si="698"/>
        <v>0</v>
      </c>
      <c r="X611" s="74"/>
      <c r="Y611" s="99">
        <f t="shared" si="8"/>
        <v>17709.421245077661</v>
      </c>
      <c r="Z611" s="101">
        <f t="shared" si="699"/>
        <v>4615.7086668170732</v>
      </c>
      <c r="AA611" s="101">
        <f t="shared" si="700"/>
        <v>4615.7086668170732</v>
      </c>
      <c r="AB611" s="101">
        <f t="shared" si="701"/>
        <v>8478.0039114435131</v>
      </c>
      <c r="AC611" s="101">
        <f t="shared" si="702"/>
        <v>0</v>
      </c>
      <c r="AD611" s="74"/>
      <c r="AE611" s="99">
        <f t="shared" si="720"/>
        <v>27.727164197424003</v>
      </c>
      <c r="AF611" s="101">
        <f t="shared" ref="AF611" si="774">AP611</f>
        <v>36</v>
      </c>
      <c r="AG611" s="101">
        <f t="shared" si="704"/>
        <v>19.001300000000001</v>
      </c>
      <c r="AH611" s="101">
        <f t="shared" si="705"/>
        <v>458</v>
      </c>
      <c r="AI611" s="101">
        <f t="shared" si="706"/>
        <v>200</v>
      </c>
      <c r="AJ611" s="108">
        <f t="shared" si="707"/>
        <v>3.3333333333333335</v>
      </c>
      <c r="AK611" s="101">
        <f t="shared" si="461"/>
        <v>7732.6218695536591</v>
      </c>
      <c r="AL611" s="101">
        <f t="shared" si="708"/>
        <v>2307.8543334085366</v>
      </c>
      <c r="AM611" s="101">
        <f t="shared" si="709"/>
        <v>2307.8543334085366</v>
      </c>
      <c r="AN611" s="101">
        <f t="shared" si="710"/>
        <v>3116.9132027365854</v>
      </c>
      <c r="AO611" s="1">
        <v>36</v>
      </c>
      <c r="AP611" s="2">
        <v>36</v>
      </c>
      <c r="AQ611" s="74">
        <f t="shared" si="711"/>
        <v>458</v>
      </c>
      <c r="AR611" s="31">
        <f t="shared" si="712"/>
        <v>50</v>
      </c>
      <c r="AS611" s="2">
        <f t="shared" si="713"/>
        <v>1</v>
      </c>
      <c r="AT611" s="33">
        <f t="shared" si="714"/>
        <v>0</v>
      </c>
      <c r="AU611" s="31">
        <f t="shared" si="715"/>
        <v>0</v>
      </c>
      <c r="AV611" s="2">
        <f t="shared" si="716"/>
        <v>0</v>
      </c>
      <c r="AW611" s="33">
        <f t="shared" si="717"/>
        <v>1.36</v>
      </c>
      <c r="AX611" s="31">
        <f t="shared" si="718"/>
        <v>1</v>
      </c>
      <c r="AY611" s="33">
        <f t="shared" si="719"/>
        <v>1</v>
      </c>
      <c r="AZ611" s="2"/>
      <c r="BA611" s="101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</row>
    <row r="612" spans="1:71" ht="12" customHeight="1">
      <c r="A612" s="2"/>
      <c r="B612" s="107">
        <v>537</v>
      </c>
      <c r="C612" s="31">
        <v>7</v>
      </c>
      <c r="D612" s="111" t="s">
        <v>14</v>
      </c>
      <c r="E612" s="2" t="s">
        <v>79</v>
      </c>
      <c r="F612" s="2"/>
      <c r="G612" s="2"/>
      <c r="H612" s="33" t="s">
        <v>80</v>
      </c>
      <c r="I612" s="99">
        <f t="shared" si="0"/>
        <v>331.8738434025671</v>
      </c>
      <c r="J612" s="101">
        <f t="shared" si="1"/>
        <v>8.2590487209389885</v>
      </c>
      <c r="K612" s="101">
        <f t="shared" si="2"/>
        <v>801</v>
      </c>
      <c r="L612" s="74">
        <f t="shared" si="535"/>
        <v>397</v>
      </c>
      <c r="M612" s="99">
        <f t="shared" si="191"/>
        <v>9201.9205488531588</v>
      </c>
      <c r="N612" s="101">
        <f t="shared" si="690"/>
        <v>2746.3766588624931</v>
      </c>
      <c r="O612" s="101">
        <f t="shared" si="691"/>
        <v>2746.3766588624931</v>
      </c>
      <c r="P612" s="101">
        <f t="shared" si="692"/>
        <v>3709.1672311281723</v>
      </c>
      <c r="Q612" s="101">
        <f t="shared" si="693"/>
        <v>0</v>
      </c>
      <c r="R612" s="109"/>
      <c r="S612" s="99">
        <f t="shared" si="694"/>
        <v>7732.6218695536591</v>
      </c>
      <c r="T612" s="101">
        <f t="shared" si="695"/>
        <v>2307.8543334085366</v>
      </c>
      <c r="U612" s="101">
        <f t="shared" si="696"/>
        <v>2307.8543334085366</v>
      </c>
      <c r="V612" s="101">
        <f t="shared" si="697"/>
        <v>3116.9132027365854</v>
      </c>
      <c r="W612" s="101">
        <f t="shared" si="698"/>
        <v>0</v>
      </c>
      <c r="X612" s="74"/>
      <c r="Y612" s="99">
        <f t="shared" si="8"/>
        <v>15465.243739107318</v>
      </c>
      <c r="Z612" s="101">
        <f t="shared" si="699"/>
        <v>4615.7086668170732</v>
      </c>
      <c r="AA612" s="101">
        <f t="shared" si="700"/>
        <v>4615.7086668170732</v>
      </c>
      <c r="AB612" s="101">
        <f t="shared" si="701"/>
        <v>6233.8264054731708</v>
      </c>
      <c r="AC612" s="101">
        <f t="shared" si="702"/>
        <v>0</v>
      </c>
      <c r="AD612" s="74"/>
      <c r="AE612" s="99">
        <f t="shared" si="720"/>
        <v>27.727164197424003</v>
      </c>
      <c r="AF612" s="101">
        <f t="shared" ref="AF612" si="775">AP612</f>
        <v>36</v>
      </c>
      <c r="AG612" s="101">
        <f t="shared" si="704"/>
        <v>19.001300000000001</v>
      </c>
      <c r="AH612" s="101">
        <f t="shared" si="705"/>
        <v>229</v>
      </c>
      <c r="AI612" s="101">
        <f t="shared" si="706"/>
        <v>200</v>
      </c>
      <c r="AJ612" s="108">
        <f t="shared" si="707"/>
        <v>3.3333333333333335</v>
      </c>
      <c r="AK612" s="101">
        <f t="shared" si="461"/>
        <v>7732.6218695536591</v>
      </c>
      <c r="AL612" s="101">
        <f t="shared" si="708"/>
        <v>2307.8543334085366</v>
      </c>
      <c r="AM612" s="101">
        <f t="shared" si="709"/>
        <v>2307.8543334085366</v>
      </c>
      <c r="AN612" s="101">
        <f t="shared" si="710"/>
        <v>3116.9132027365854</v>
      </c>
      <c r="AO612" s="1">
        <v>36</v>
      </c>
      <c r="AP612" s="2">
        <v>36</v>
      </c>
      <c r="AQ612" s="74">
        <f t="shared" si="711"/>
        <v>458</v>
      </c>
      <c r="AR612" s="31">
        <f t="shared" si="712"/>
        <v>0</v>
      </c>
      <c r="AS612" s="2">
        <f t="shared" si="713"/>
        <v>0.5</v>
      </c>
      <c r="AT612" s="33">
        <f t="shared" si="714"/>
        <v>0</v>
      </c>
      <c r="AU612" s="31">
        <f t="shared" si="715"/>
        <v>0</v>
      </c>
      <c r="AV612" s="2">
        <f t="shared" si="716"/>
        <v>0</v>
      </c>
      <c r="AW612" s="33">
        <f t="shared" si="717"/>
        <v>1</v>
      </c>
      <c r="AX612" s="31">
        <f t="shared" si="718"/>
        <v>1</v>
      </c>
      <c r="AY612" s="33">
        <f t="shared" si="719"/>
        <v>1</v>
      </c>
      <c r="AZ612" s="2"/>
      <c r="BA612" s="101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</row>
    <row r="613" spans="1:71" ht="12" customHeight="1">
      <c r="A613" s="2"/>
      <c r="B613" s="107">
        <v>538</v>
      </c>
      <c r="C613" s="31">
        <v>7</v>
      </c>
      <c r="D613" s="111" t="s">
        <v>14</v>
      </c>
      <c r="E613" s="2" t="s">
        <v>168</v>
      </c>
      <c r="F613" s="2"/>
      <c r="G613" s="2"/>
      <c r="H613" s="33" t="s">
        <v>80</v>
      </c>
      <c r="I613" s="99">
        <f t="shared" si="0"/>
        <v>401.5944774213902</v>
      </c>
      <c r="J613" s="101">
        <f t="shared" si="1"/>
        <v>8.2590487209389885</v>
      </c>
      <c r="K613" s="101">
        <f t="shared" si="2"/>
        <v>730</v>
      </c>
      <c r="L613" s="74">
        <f t="shared" si="535"/>
        <v>380</v>
      </c>
      <c r="M613" s="99">
        <f t="shared" si="191"/>
        <v>11135.076016241572</v>
      </c>
      <c r="N613" s="101">
        <f t="shared" si="690"/>
        <v>3323.3402422146269</v>
      </c>
      <c r="O613" s="101">
        <f t="shared" si="691"/>
        <v>3323.3402422146269</v>
      </c>
      <c r="P613" s="101">
        <f t="shared" si="692"/>
        <v>4488.3955318123189</v>
      </c>
      <c r="Q613" s="101">
        <f t="shared" si="693"/>
        <v>0</v>
      </c>
      <c r="R613" s="109"/>
      <c r="S613" s="99">
        <f t="shared" si="694"/>
        <v>7732.6218695536591</v>
      </c>
      <c r="T613" s="101">
        <f t="shared" si="695"/>
        <v>2307.8543334085366</v>
      </c>
      <c r="U613" s="101">
        <f t="shared" si="696"/>
        <v>2307.8543334085366</v>
      </c>
      <c r="V613" s="101">
        <f t="shared" si="697"/>
        <v>3116.9132027365854</v>
      </c>
      <c r="W613" s="101">
        <f t="shared" si="698"/>
        <v>0</v>
      </c>
      <c r="X613" s="74"/>
      <c r="Y613" s="99">
        <f t="shared" si="8"/>
        <v>15465.243739107318</v>
      </c>
      <c r="Z613" s="101">
        <f t="shared" si="699"/>
        <v>4615.7086668170732</v>
      </c>
      <c r="AA613" s="101">
        <f t="shared" si="700"/>
        <v>4615.7086668170732</v>
      </c>
      <c r="AB613" s="101">
        <f t="shared" si="701"/>
        <v>6233.8264054731708</v>
      </c>
      <c r="AC613" s="101">
        <f t="shared" si="702"/>
        <v>0</v>
      </c>
      <c r="AD613" s="74"/>
      <c r="AE613" s="99">
        <f t="shared" si="720"/>
        <v>27.727164197424003</v>
      </c>
      <c r="AF613" s="101">
        <f t="shared" ref="AF613" si="776">AP613</f>
        <v>36</v>
      </c>
      <c r="AG613" s="101">
        <f t="shared" si="704"/>
        <v>44.001300000000001</v>
      </c>
      <c r="AH613" s="101">
        <f t="shared" si="705"/>
        <v>229</v>
      </c>
      <c r="AI613" s="101">
        <f t="shared" si="706"/>
        <v>200</v>
      </c>
      <c r="AJ613" s="108">
        <f t="shared" si="707"/>
        <v>3.3333333333333335</v>
      </c>
      <c r="AK613" s="101">
        <f t="shared" si="461"/>
        <v>7732.6218695536591</v>
      </c>
      <c r="AL613" s="101">
        <f t="shared" si="708"/>
        <v>2307.8543334085366</v>
      </c>
      <c r="AM613" s="101">
        <f t="shared" si="709"/>
        <v>2307.8543334085366</v>
      </c>
      <c r="AN613" s="101">
        <f t="shared" si="710"/>
        <v>3116.9132027365854</v>
      </c>
      <c r="AO613" s="1">
        <v>36</v>
      </c>
      <c r="AP613" s="2">
        <v>36</v>
      </c>
      <c r="AQ613" s="74">
        <f t="shared" si="711"/>
        <v>458</v>
      </c>
      <c r="AR613" s="31">
        <f t="shared" si="712"/>
        <v>0</v>
      </c>
      <c r="AS613" s="2">
        <f t="shared" si="713"/>
        <v>0.5</v>
      </c>
      <c r="AT613" s="33">
        <f t="shared" si="714"/>
        <v>0</v>
      </c>
      <c r="AU613" s="31">
        <f t="shared" si="715"/>
        <v>25</v>
      </c>
      <c r="AV613" s="2">
        <f t="shared" si="716"/>
        <v>0</v>
      </c>
      <c r="AW613" s="33">
        <f t="shared" si="717"/>
        <v>1</v>
      </c>
      <c r="AX613" s="31">
        <f t="shared" si="718"/>
        <v>1</v>
      </c>
      <c r="AY613" s="33">
        <f t="shared" si="719"/>
        <v>1</v>
      </c>
      <c r="AZ613" s="2"/>
      <c r="BA613" s="101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</row>
    <row r="614" spans="1:71" ht="12" customHeight="1">
      <c r="A614" s="2"/>
      <c r="B614" s="107">
        <v>539</v>
      </c>
      <c r="C614" s="31">
        <v>7</v>
      </c>
      <c r="D614" s="111" t="s">
        <v>14</v>
      </c>
      <c r="E614" s="2" t="s">
        <v>103</v>
      </c>
      <c r="F614" s="2"/>
      <c r="G614" s="2"/>
      <c r="H614" s="33" t="s">
        <v>80</v>
      </c>
      <c r="I614" s="99">
        <f t="shared" si="0"/>
        <v>347.25309017319648</v>
      </c>
      <c r="J614" s="101">
        <f t="shared" si="1"/>
        <v>8.2590487209389885</v>
      </c>
      <c r="K614" s="101">
        <f t="shared" si="2"/>
        <v>782</v>
      </c>
      <c r="L614" s="74">
        <f t="shared" si="535"/>
        <v>392</v>
      </c>
      <c r="M614" s="99">
        <f t="shared" si="191"/>
        <v>9628.3434492951019</v>
      </c>
      <c r="N614" s="101">
        <f t="shared" si="690"/>
        <v>2746.3766588624931</v>
      </c>
      <c r="O614" s="101">
        <f t="shared" si="691"/>
        <v>2746.3766588624931</v>
      </c>
      <c r="P614" s="101">
        <f t="shared" si="692"/>
        <v>4135.5901315701149</v>
      </c>
      <c r="Q614" s="101">
        <f t="shared" si="693"/>
        <v>0</v>
      </c>
      <c r="R614" s="109"/>
      <c r="S614" s="99">
        <f t="shared" si="694"/>
        <v>7732.6218695536591</v>
      </c>
      <c r="T614" s="101">
        <f t="shared" si="695"/>
        <v>2307.8543334085366</v>
      </c>
      <c r="U614" s="101">
        <f t="shared" si="696"/>
        <v>2307.8543334085366</v>
      </c>
      <c r="V614" s="101">
        <f t="shared" si="697"/>
        <v>3116.9132027365854</v>
      </c>
      <c r="W614" s="101">
        <f t="shared" si="698"/>
        <v>0</v>
      </c>
      <c r="X614" s="74"/>
      <c r="Y614" s="99">
        <f t="shared" si="8"/>
        <v>17709.421245077661</v>
      </c>
      <c r="Z614" s="101">
        <f t="shared" si="699"/>
        <v>4615.7086668170732</v>
      </c>
      <c r="AA614" s="101">
        <f t="shared" si="700"/>
        <v>4615.7086668170732</v>
      </c>
      <c r="AB614" s="101">
        <f t="shared" si="701"/>
        <v>8478.0039114435131</v>
      </c>
      <c r="AC614" s="101">
        <f t="shared" si="702"/>
        <v>0</v>
      </c>
      <c r="AD614" s="74"/>
      <c r="AE614" s="99">
        <f t="shared" si="720"/>
        <v>27.727164197424003</v>
      </c>
      <c r="AF614" s="101">
        <f t="shared" ref="AF614" si="777">AP614</f>
        <v>36</v>
      </c>
      <c r="AG614" s="101">
        <f t="shared" si="704"/>
        <v>19.001300000000001</v>
      </c>
      <c r="AH614" s="101">
        <f t="shared" si="705"/>
        <v>229</v>
      </c>
      <c r="AI614" s="101">
        <f t="shared" si="706"/>
        <v>200</v>
      </c>
      <c r="AJ614" s="108">
        <f t="shared" si="707"/>
        <v>3.3333333333333335</v>
      </c>
      <c r="AK614" s="101">
        <f t="shared" si="461"/>
        <v>7732.6218695536591</v>
      </c>
      <c r="AL614" s="101">
        <f t="shared" si="708"/>
        <v>2307.8543334085366</v>
      </c>
      <c r="AM614" s="101">
        <f t="shared" si="709"/>
        <v>2307.8543334085366</v>
      </c>
      <c r="AN614" s="101">
        <f t="shared" si="710"/>
        <v>3116.9132027365854</v>
      </c>
      <c r="AO614" s="1">
        <v>36</v>
      </c>
      <c r="AP614" s="2">
        <v>36</v>
      </c>
      <c r="AQ614" s="74">
        <f t="shared" si="711"/>
        <v>458</v>
      </c>
      <c r="AR614" s="31">
        <f t="shared" si="712"/>
        <v>0</v>
      </c>
      <c r="AS614" s="2">
        <f t="shared" si="713"/>
        <v>0.5</v>
      </c>
      <c r="AT614" s="33">
        <f t="shared" si="714"/>
        <v>0</v>
      </c>
      <c r="AU614" s="31">
        <f t="shared" si="715"/>
        <v>0</v>
      </c>
      <c r="AV614" s="2">
        <f t="shared" si="716"/>
        <v>0</v>
      </c>
      <c r="AW614" s="33">
        <f t="shared" si="717"/>
        <v>1.36</v>
      </c>
      <c r="AX614" s="31">
        <f t="shared" si="718"/>
        <v>1</v>
      </c>
      <c r="AY614" s="33">
        <f t="shared" si="719"/>
        <v>1</v>
      </c>
      <c r="AZ614" s="2"/>
      <c r="BA614" s="101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</row>
    <row r="615" spans="1:71" ht="12" customHeight="1">
      <c r="A615" s="2"/>
      <c r="B615" s="107">
        <v>540</v>
      </c>
      <c r="C615" s="31">
        <v>4</v>
      </c>
      <c r="D615" s="111" t="s">
        <v>14</v>
      </c>
      <c r="E615" s="2" t="s">
        <v>67</v>
      </c>
      <c r="F615" s="1"/>
      <c r="G615" s="1"/>
      <c r="H615" s="33" t="s">
        <v>80</v>
      </c>
      <c r="I615" s="99">
        <f t="shared" si="0"/>
        <v>307.53982860249698</v>
      </c>
      <c r="J615" s="101">
        <f t="shared" si="1"/>
        <v>9.0885601645267471</v>
      </c>
      <c r="K615" s="101">
        <f t="shared" si="2"/>
        <v>831</v>
      </c>
      <c r="L615" s="74">
        <f t="shared" si="535"/>
        <v>406</v>
      </c>
      <c r="M615" s="99">
        <f t="shared" si="191"/>
        <v>8527.2073249090681</v>
      </c>
      <c r="N615" s="101">
        <f t="shared" si="690"/>
        <v>2545.028662741357</v>
      </c>
      <c r="O615" s="101">
        <f t="shared" si="691"/>
        <v>2545.028662741357</v>
      </c>
      <c r="P615" s="101">
        <f t="shared" si="692"/>
        <v>3437.149999426355</v>
      </c>
      <c r="Q615" s="101">
        <f t="shared" si="693"/>
        <v>0</v>
      </c>
      <c r="R615" s="109"/>
      <c r="S615" s="99">
        <f t="shared" si="694"/>
        <v>7165.6421609756108</v>
      </c>
      <c r="T615" s="101">
        <f t="shared" si="695"/>
        <v>2138.6561850512198</v>
      </c>
      <c r="U615" s="101">
        <f t="shared" si="696"/>
        <v>2138.6561850512198</v>
      </c>
      <c r="V615" s="101">
        <f t="shared" si="697"/>
        <v>2888.3297908731711</v>
      </c>
      <c r="W615" s="101">
        <f t="shared" si="698"/>
        <v>0</v>
      </c>
      <c r="X615" s="74"/>
      <c r="Y615" s="99">
        <f t="shared" si="8"/>
        <v>14331.284321951222</v>
      </c>
      <c r="Z615" s="101">
        <f t="shared" si="699"/>
        <v>4277.3123701024397</v>
      </c>
      <c r="AA615" s="101">
        <f t="shared" si="700"/>
        <v>4277.3123701024397</v>
      </c>
      <c r="AB615" s="101">
        <f t="shared" si="701"/>
        <v>5776.6595817463422</v>
      </c>
      <c r="AC615" s="101">
        <f t="shared" si="702"/>
        <v>0</v>
      </c>
      <c r="AD615" s="74"/>
      <c r="AE615" s="99">
        <f t="shared" si="720"/>
        <v>27.727164197424003</v>
      </c>
      <c r="AF615" s="101">
        <f t="shared" ref="AF615" si="778">AP615</f>
        <v>36</v>
      </c>
      <c r="AG615" s="101">
        <f t="shared" si="704"/>
        <v>19.001300000000001</v>
      </c>
      <c r="AH615" s="101">
        <f t="shared" si="705"/>
        <v>252</v>
      </c>
      <c r="AI615" s="101">
        <f t="shared" si="706"/>
        <v>200</v>
      </c>
      <c r="AJ615" s="108">
        <f t="shared" si="707"/>
        <v>3.3333333333333335</v>
      </c>
      <c r="AK615" s="101">
        <f t="shared" si="461"/>
        <v>7165.6421609756108</v>
      </c>
      <c r="AL615" s="101">
        <f t="shared" si="708"/>
        <v>2138.6561850512198</v>
      </c>
      <c r="AM615" s="101">
        <f t="shared" si="709"/>
        <v>2138.6561850512198</v>
      </c>
      <c r="AN615" s="101">
        <f t="shared" si="710"/>
        <v>2888.3297908731711</v>
      </c>
      <c r="AO615" s="1">
        <v>36</v>
      </c>
      <c r="AP615" s="2">
        <v>36</v>
      </c>
      <c r="AQ615" s="74">
        <f t="shared" si="711"/>
        <v>252</v>
      </c>
      <c r="AR615" s="31">
        <f t="shared" si="712"/>
        <v>0</v>
      </c>
      <c r="AS615" s="2">
        <f t="shared" si="713"/>
        <v>1</v>
      </c>
      <c r="AT615" s="33">
        <f t="shared" si="714"/>
        <v>0</v>
      </c>
      <c r="AU615" s="31">
        <f t="shared" si="715"/>
        <v>0</v>
      </c>
      <c r="AV615" s="2">
        <f t="shared" si="716"/>
        <v>0</v>
      </c>
      <c r="AW615" s="33">
        <f t="shared" si="717"/>
        <v>1</v>
      </c>
      <c r="AX615" s="31">
        <f t="shared" si="718"/>
        <v>1</v>
      </c>
      <c r="AY615" s="33">
        <f t="shared" si="719"/>
        <v>1</v>
      </c>
      <c r="AZ615" s="2"/>
      <c r="BA615" s="101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</row>
    <row r="616" spans="1:71" ht="12" customHeight="1">
      <c r="A616" s="2"/>
      <c r="B616" s="107">
        <v>541</v>
      </c>
      <c r="C616" s="31">
        <v>4</v>
      </c>
      <c r="D616" s="111" t="s">
        <v>14</v>
      </c>
      <c r="E616" s="2" t="s">
        <v>148</v>
      </c>
      <c r="F616" s="2"/>
      <c r="G616" s="2"/>
      <c r="H616" s="33" t="s">
        <v>80</v>
      </c>
      <c r="I616" s="99">
        <f t="shared" si="0"/>
        <v>307.53982860249698</v>
      </c>
      <c r="J616" s="101">
        <f t="shared" si="1"/>
        <v>9.0885601645267471</v>
      </c>
      <c r="K616" s="101">
        <f t="shared" si="2"/>
        <v>831</v>
      </c>
      <c r="L616" s="74">
        <f t="shared" si="535"/>
        <v>406</v>
      </c>
      <c r="M616" s="99">
        <f t="shared" si="191"/>
        <v>8527.2073249090681</v>
      </c>
      <c r="N616" s="101">
        <f t="shared" si="690"/>
        <v>2545.028662741357</v>
      </c>
      <c r="O616" s="101">
        <f t="shared" si="691"/>
        <v>2545.028662741357</v>
      </c>
      <c r="P616" s="101">
        <f t="shared" si="692"/>
        <v>3437.149999426355</v>
      </c>
      <c r="Q616" s="101">
        <f t="shared" si="693"/>
        <v>0</v>
      </c>
      <c r="R616" s="109"/>
      <c r="S616" s="99">
        <f t="shared" si="694"/>
        <v>7165.6421609756108</v>
      </c>
      <c r="T616" s="101">
        <f t="shared" si="695"/>
        <v>2138.6561850512198</v>
      </c>
      <c r="U616" s="101">
        <f t="shared" si="696"/>
        <v>2138.6561850512198</v>
      </c>
      <c r="V616" s="101">
        <f t="shared" si="697"/>
        <v>2888.3297908731711</v>
      </c>
      <c r="W616" s="101">
        <f t="shared" si="698"/>
        <v>0</v>
      </c>
      <c r="X616" s="74"/>
      <c r="Y616" s="99">
        <f t="shared" si="8"/>
        <v>14331.284321951222</v>
      </c>
      <c r="Z616" s="101">
        <f t="shared" si="699"/>
        <v>4277.3123701024397</v>
      </c>
      <c r="AA616" s="101">
        <f t="shared" si="700"/>
        <v>4277.3123701024397</v>
      </c>
      <c r="AB616" s="101">
        <f t="shared" si="701"/>
        <v>5776.6595817463422</v>
      </c>
      <c r="AC616" s="101">
        <f t="shared" si="702"/>
        <v>0</v>
      </c>
      <c r="AD616" s="74"/>
      <c r="AE616" s="99">
        <f t="shared" si="720"/>
        <v>27.727164197424003</v>
      </c>
      <c r="AF616" s="101">
        <f t="shared" ref="AF616" si="779">AP616</f>
        <v>36</v>
      </c>
      <c r="AG616" s="101">
        <f t="shared" si="704"/>
        <v>19.001300000000001</v>
      </c>
      <c r="AH616" s="101">
        <f t="shared" si="705"/>
        <v>252</v>
      </c>
      <c r="AI616" s="101">
        <f t="shared" si="706"/>
        <v>200</v>
      </c>
      <c r="AJ616" s="108">
        <f t="shared" si="707"/>
        <v>3.3333333333333335</v>
      </c>
      <c r="AK616" s="101">
        <f t="shared" si="461"/>
        <v>7165.6421609756108</v>
      </c>
      <c r="AL616" s="101">
        <f t="shared" si="708"/>
        <v>2138.6561850512198</v>
      </c>
      <c r="AM616" s="101">
        <f t="shared" si="709"/>
        <v>2138.6561850512198</v>
      </c>
      <c r="AN616" s="101">
        <f t="shared" si="710"/>
        <v>2888.3297908731711</v>
      </c>
      <c r="AO616" s="1">
        <v>36</v>
      </c>
      <c r="AP616" s="2">
        <v>36</v>
      </c>
      <c r="AQ616" s="74">
        <f t="shared" si="711"/>
        <v>252</v>
      </c>
      <c r="AR616" s="31">
        <f t="shared" si="712"/>
        <v>50</v>
      </c>
      <c r="AS616" s="2">
        <f t="shared" si="713"/>
        <v>1</v>
      </c>
      <c r="AT616" s="33">
        <f t="shared" si="714"/>
        <v>0</v>
      </c>
      <c r="AU616" s="31">
        <f t="shared" si="715"/>
        <v>0</v>
      </c>
      <c r="AV616" s="2">
        <f t="shared" si="716"/>
        <v>0</v>
      </c>
      <c r="AW616" s="33">
        <f t="shared" si="717"/>
        <v>1</v>
      </c>
      <c r="AX616" s="31">
        <f t="shared" si="718"/>
        <v>1</v>
      </c>
      <c r="AY616" s="33">
        <f t="shared" si="719"/>
        <v>1</v>
      </c>
      <c r="AZ616" s="2"/>
      <c r="BA616" s="101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</row>
    <row r="617" spans="1:71" ht="12" customHeight="1">
      <c r="A617" s="2"/>
      <c r="B617" s="107">
        <v>542</v>
      </c>
      <c r="C617" s="31">
        <v>4</v>
      </c>
      <c r="D617" s="111" t="s">
        <v>14</v>
      </c>
      <c r="E617" s="2" t="s">
        <v>79</v>
      </c>
      <c r="F617" s="2"/>
      <c r="G617" s="2"/>
      <c r="H617" s="33" t="s">
        <v>80</v>
      </c>
      <c r="I617" s="99">
        <f t="shared" si="0"/>
        <v>307.53982860249698</v>
      </c>
      <c r="J617" s="101">
        <f t="shared" si="1"/>
        <v>4.5442800822633735</v>
      </c>
      <c r="K617" s="101">
        <f t="shared" si="2"/>
        <v>831</v>
      </c>
      <c r="L617" s="74">
        <f t="shared" si="535"/>
        <v>406</v>
      </c>
      <c r="M617" s="99">
        <f t="shared" si="191"/>
        <v>8527.2073249090681</v>
      </c>
      <c r="N617" s="101">
        <f t="shared" si="690"/>
        <v>2545.028662741357</v>
      </c>
      <c r="O617" s="101">
        <f t="shared" si="691"/>
        <v>2545.028662741357</v>
      </c>
      <c r="P617" s="101">
        <f t="shared" si="692"/>
        <v>3437.149999426355</v>
      </c>
      <c r="Q617" s="101">
        <f t="shared" si="693"/>
        <v>0</v>
      </c>
      <c r="R617" s="109"/>
      <c r="S617" s="99">
        <f t="shared" si="694"/>
        <v>7165.6421609756108</v>
      </c>
      <c r="T617" s="101">
        <f t="shared" si="695"/>
        <v>2138.6561850512198</v>
      </c>
      <c r="U617" s="101">
        <f t="shared" si="696"/>
        <v>2138.6561850512198</v>
      </c>
      <c r="V617" s="101">
        <f t="shared" si="697"/>
        <v>2888.3297908731711</v>
      </c>
      <c r="W617" s="101">
        <f t="shared" si="698"/>
        <v>0</v>
      </c>
      <c r="X617" s="74"/>
      <c r="Y617" s="99">
        <f t="shared" si="8"/>
        <v>14331.284321951222</v>
      </c>
      <c r="Z617" s="101">
        <f t="shared" si="699"/>
        <v>4277.3123701024397</v>
      </c>
      <c r="AA617" s="101">
        <f t="shared" si="700"/>
        <v>4277.3123701024397</v>
      </c>
      <c r="AB617" s="101">
        <f t="shared" si="701"/>
        <v>5776.6595817463422</v>
      </c>
      <c r="AC617" s="101">
        <f t="shared" si="702"/>
        <v>0</v>
      </c>
      <c r="AD617" s="74"/>
      <c r="AE617" s="99">
        <f t="shared" si="720"/>
        <v>27.727164197424003</v>
      </c>
      <c r="AF617" s="101">
        <f t="shared" ref="AF617" si="780">AP617</f>
        <v>36</v>
      </c>
      <c r="AG617" s="101">
        <f t="shared" si="704"/>
        <v>19.001300000000001</v>
      </c>
      <c r="AH617" s="101">
        <f t="shared" si="705"/>
        <v>126</v>
      </c>
      <c r="AI617" s="101">
        <f t="shared" si="706"/>
        <v>200</v>
      </c>
      <c r="AJ617" s="108">
        <f t="shared" si="707"/>
        <v>3.3333333333333335</v>
      </c>
      <c r="AK617" s="101">
        <f t="shared" si="461"/>
        <v>7165.6421609756108</v>
      </c>
      <c r="AL617" s="101">
        <f t="shared" si="708"/>
        <v>2138.6561850512198</v>
      </c>
      <c r="AM617" s="101">
        <f t="shared" si="709"/>
        <v>2138.6561850512198</v>
      </c>
      <c r="AN617" s="101">
        <f t="shared" si="710"/>
        <v>2888.3297908731711</v>
      </c>
      <c r="AO617" s="1">
        <v>36</v>
      </c>
      <c r="AP617" s="2">
        <v>36</v>
      </c>
      <c r="AQ617" s="74">
        <f t="shared" si="711"/>
        <v>252</v>
      </c>
      <c r="AR617" s="31">
        <f t="shared" si="712"/>
        <v>0</v>
      </c>
      <c r="AS617" s="2">
        <f t="shared" si="713"/>
        <v>0.5</v>
      </c>
      <c r="AT617" s="33">
        <f t="shared" si="714"/>
        <v>0</v>
      </c>
      <c r="AU617" s="31">
        <f t="shared" si="715"/>
        <v>0</v>
      </c>
      <c r="AV617" s="2">
        <f t="shared" si="716"/>
        <v>0</v>
      </c>
      <c r="AW617" s="33">
        <f t="shared" si="717"/>
        <v>1</v>
      </c>
      <c r="AX617" s="31">
        <f t="shared" si="718"/>
        <v>1</v>
      </c>
      <c r="AY617" s="33">
        <f t="shared" si="719"/>
        <v>1</v>
      </c>
      <c r="AZ617" s="2"/>
      <c r="BA617" s="101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</row>
    <row r="618" spans="1:71" ht="12" customHeight="1">
      <c r="A618" s="2"/>
      <c r="B618" s="107">
        <v>543</v>
      </c>
      <c r="C618" s="31">
        <v>1</v>
      </c>
      <c r="D618" s="111" t="s">
        <v>14</v>
      </c>
      <c r="E618" s="2" t="s">
        <v>67</v>
      </c>
      <c r="F618" s="1"/>
      <c r="G618" s="1"/>
      <c r="H618" s="33" t="s">
        <v>80</v>
      </c>
      <c r="I618" s="99">
        <f t="shared" si="0"/>
        <v>238.44088570181347</v>
      </c>
      <c r="J618" s="101">
        <f t="shared" si="1"/>
        <v>4.5803457972019714</v>
      </c>
      <c r="K618" s="101">
        <f t="shared" si="2"/>
        <v>871</v>
      </c>
      <c r="L618" s="74">
        <f t="shared" si="535"/>
        <v>415</v>
      </c>
      <c r="M618" s="99">
        <f t="shared" si="191"/>
        <v>6611.2895892333909</v>
      </c>
      <c r="N618" s="101">
        <f t="shared" si="690"/>
        <v>1926.9670722449948</v>
      </c>
      <c r="O618" s="101">
        <f t="shared" si="691"/>
        <v>1926.9670722449948</v>
      </c>
      <c r="P618" s="101">
        <f t="shared" si="692"/>
        <v>2757.3554447434017</v>
      </c>
      <c r="Q618" s="101">
        <f t="shared" si="693"/>
        <v>0</v>
      </c>
      <c r="R618" s="109"/>
      <c r="S618" s="99">
        <f t="shared" si="694"/>
        <v>5555.6448452524401</v>
      </c>
      <c r="T618" s="101">
        <f t="shared" si="695"/>
        <v>1619.2823710707319</v>
      </c>
      <c r="U618" s="101">
        <f t="shared" si="696"/>
        <v>1619.2823710707319</v>
      </c>
      <c r="V618" s="101">
        <f t="shared" si="697"/>
        <v>2317.0801031109759</v>
      </c>
      <c r="W618" s="101">
        <f t="shared" si="698"/>
        <v>0</v>
      </c>
      <c r="X618" s="74"/>
      <c r="Y618" s="99">
        <f t="shared" si="8"/>
        <v>11111.28969050488</v>
      </c>
      <c r="Z618" s="101">
        <f t="shared" si="699"/>
        <v>3238.5647421414637</v>
      </c>
      <c r="AA618" s="101">
        <f t="shared" si="700"/>
        <v>3238.5647421414637</v>
      </c>
      <c r="AB618" s="101">
        <f t="shared" si="701"/>
        <v>4634.1602062219517</v>
      </c>
      <c r="AC618" s="101">
        <f t="shared" si="702"/>
        <v>0</v>
      </c>
      <c r="AD618" s="74"/>
      <c r="AE618" s="99">
        <f t="shared" si="720"/>
        <v>27.727164197424003</v>
      </c>
      <c r="AF618" s="101">
        <f t="shared" ref="AF618" si="781">AP618</f>
        <v>36</v>
      </c>
      <c r="AG618" s="101">
        <f t="shared" si="704"/>
        <v>19.001300000000001</v>
      </c>
      <c r="AH618" s="101">
        <f t="shared" si="705"/>
        <v>127</v>
      </c>
      <c r="AI618" s="101">
        <f t="shared" si="706"/>
        <v>200</v>
      </c>
      <c r="AJ618" s="108">
        <f t="shared" si="707"/>
        <v>3.3333333333333335</v>
      </c>
      <c r="AK618" s="101">
        <f t="shared" si="461"/>
        <v>5555.6448452524401</v>
      </c>
      <c r="AL618" s="101">
        <f t="shared" si="708"/>
        <v>1619.2823710707319</v>
      </c>
      <c r="AM618" s="101">
        <f t="shared" si="709"/>
        <v>1619.2823710707319</v>
      </c>
      <c r="AN618" s="101">
        <f t="shared" si="710"/>
        <v>2317.0801031109759</v>
      </c>
      <c r="AO618" s="1">
        <v>36</v>
      </c>
      <c r="AP618" s="2">
        <v>36</v>
      </c>
      <c r="AQ618" s="74">
        <f t="shared" si="711"/>
        <v>127</v>
      </c>
      <c r="AR618" s="31">
        <f t="shared" si="712"/>
        <v>0</v>
      </c>
      <c r="AS618" s="2">
        <f t="shared" si="713"/>
        <v>1</v>
      </c>
      <c r="AT618" s="33">
        <f t="shared" si="714"/>
        <v>0</v>
      </c>
      <c r="AU618" s="31">
        <f t="shared" si="715"/>
        <v>0</v>
      </c>
      <c r="AV618" s="2">
        <f t="shared" si="716"/>
        <v>0</v>
      </c>
      <c r="AW618" s="33">
        <f t="shared" si="717"/>
        <v>1</v>
      </c>
      <c r="AX618" s="31">
        <f t="shared" si="718"/>
        <v>1</v>
      </c>
      <c r="AY618" s="33">
        <f t="shared" si="719"/>
        <v>1</v>
      </c>
      <c r="AZ618" s="2"/>
      <c r="BA618" s="101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</row>
    <row r="619" spans="1:71" ht="12" customHeight="1">
      <c r="A619" s="2"/>
      <c r="B619" s="107">
        <v>544</v>
      </c>
      <c r="C619" s="31">
        <v>10</v>
      </c>
      <c r="D619" s="111" t="s">
        <v>14</v>
      </c>
      <c r="E619" s="2" t="s">
        <v>144</v>
      </c>
      <c r="F619" s="2" t="s">
        <v>149</v>
      </c>
      <c r="G619" s="2"/>
      <c r="H619" s="33" t="s">
        <v>81</v>
      </c>
      <c r="I619" s="99">
        <f t="shared" si="0"/>
        <v>1253.9289937554772</v>
      </c>
      <c r="J619" s="101">
        <f t="shared" si="1"/>
        <v>23.695174714659018</v>
      </c>
      <c r="K619" s="101">
        <f t="shared" si="2"/>
        <v>82</v>
      </c>
      <c r="L619" s="74">
        <f t="shared" si="535"/>
        <v>71</v>
      </c>
      <c r="M619" s="99">
        <f t="shared" si="191"/>
        <v>34767.895101768772</v>
      </c>
      <c r="N619" s="101">
        <f t="shared" si="690"/>
        <v>6031.6517700032291</v>
      </c>
      <c r="O619" s="101">
        <f t="shared" si="691"/>
        <v>6031.6517700032291</v>
      </c>
      <c r="P619" s="101">
        <f t="shared" si="692"/>
        <v>8150.5889610218992</v>
      </c>
      <c r="Q619" s="101">
        <f t="shared" si="693"/>
        <v>14554.002600740414</v>
      </c>
      <c r="R619" s="109"/>
      <c r="S619" s="99">
        <f t="shared" si="694"/>
        <v>25012.640242766633</v>
      </c>
      <c r="T619" s="101">
        <f t="shared" si="695"/>
        <v>4339.2772369778049</v>
      </c>
      <c r="U619" s="101">
        <f t="shared" si="696"/>
        <v>4339.2772369778049</v>
      </c>
      <c r="V619" s="101">
        <f t="shared" si="697"/>
        <v>5863.6782253273168</v>
      </c>
      <c r="W619" s="101">
        <f t="shared" si="698"/>
        <v>10470.407543483705</v>
      </c>
      <c r="X619" s="74"/>
      <c r="Y619" s="99">
        <f t="shared" si="8"/>
        <v>50025.280485533265</v>
      </c>
      <c r="Z619" s="101">
        <f t="shared" si="699"/>
        <v>8678.5544739556099</v>
      </c>
      <c r="AA619" s="101">
        <f t="shared" si="700"/>
        <v>8678.5544739556099</v>
      </c>
      <c r="AB619" s="101">
        <f t="shared" si="701"/>
        <v>11727.356450654634</v>
      </c>
      <c r="AC619" s="101">
        <f t="shared" si="702"/>
        <v>20940.81508696741</v>
      </c>
      <c r="AD619" s="74"/>
      <c r="AE619" s="99">
        <f t="shared" si="720"/>
        <v>27.727164197424003</v>
      </c>
      <c r="AF619" s="101">
        <f t="shared" ref="AF619" si="782">AP619</f>
        <v>36</v>
      </c>
      <c r="AG619" s="101">
        <f t="shared" si="704"/>
        <v>19.001300000000001</v>
      </c>
      <c r="AH619" s="101">
        <f t="shared" si="705"/>
        <v>657</v>
      </c>
      <c r="AI619" s="101">
        <f t="shared" si="706"/>
        <v>200</v>
      </c>
      <c r="AJ619" s="108">
        <f t="shared" si="707"/>
        <v>3.3333333333333335</v>
      </c>
      <c r="AK619" s="101">
        <f t="shared" si="461"/>
        <v>12118.527249402439</v>
      </c>
      <c r="AL619" s="101">
        <f t="shared" si="708"/>
        <v>3616.0643641481706</v>
      </c>
      <c r="AM619" s="101">
        <f t="shared" si="709"/>
        <v>3616.0643641481706</v>
      </c>
      <c r="AN619" s="101">
        <f t="shared" si="710"/>
        <v>4886.3985211060972</v>
      </c>
      <c r="AO619" s="1">
        <v>36</v>
      </c>
      <c r="AP619" s="2">
        <v>36</v>
      </c>
      <c r="AQ619" s="74">
        <f t="shared" si="711"/>
        <v>657</v>
      </c>
      <c r="AR619" s="31">
        <f t="shared" si="712"/>
        <v>0</v>
      </c>
      <c r="AS619" s="2">
        <f t="shared" si="713"/>
        <v>1</v>
      </c>
      <c r="AT619" s="33">
        <f t="shared" si="714"/>
        <v>0</v>
      </c>
      <c r="AU619" s="31">
        <f t="shared" si="715"/>
        <v>0</v>
      </c>
      <c r="AV619" s="2">
        <f t="shared" si="716"/>
        <v>0</v>
      </c>
      <c r="AW619" s="33">
        <f t="shared" si="717"/>
        <v>1</v>
      </c>
      <c r="AX619" s="31">
        <f t="shared" si="718"/>
        <v>0.6</v>
      </c>
      <c r="AY619" s="33">
        <f t="shared" si="719"/>
        <v>1</v>
      </c>
      <c r="AZ619" s="2"/>
      <c r="BA619" s="101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</row>
    <row r="620" spans="1:71" ht="12" customHeight="1">
      <c r="A620" s="2"/>
      <c r="B620" s="107">
        <v>545</v>
      </c>
      <c r="C620" s="31">
        <v>10</v>
      </c>
      <c r="D620" s="111" t="s">
        <v>14</v>
      </c>
      <c r="E620" s="2" t="s">
        <v>138</v>
      </c>
      <c r="F620" s="2" t="s">
        <v>149</v>
      </c>
      <c r="G620" s="2"/>
      <c r="H620" s="33" t="s">
        <v>81</v>
      </c>
      <c r="I620" s="99">
        <f t="shared" si="0"/>
        <v>1479.4536819698103</v>
      </c>
      <c r="J620" s="101">
        <f t="shared" si="1"/>
        <v>23.695174714659018</v>
      </c>
      <c r="K620" s="101">
        <f t="shared" si="2"/>
        <v>46</v>
      </c>
      <c r="L620" s="74">
        <f t="shared" si="535"/>
        <v>43</v>
      </c>
      <c r="M620" s="99">
        <f t="shared" si="191"/>
        <v>41021.055162460441</v>
      </c>
      <c r="N620" s="101">
        <f t="shared" si="690"/>
        <v>7116.4710792476817</v>
      </c>
      <c r="O620" s="101">
        <f t="shared" si="691"/>
        <v>7116.4710792476817</v>
      </c>
      <c r="P620" s="101">
        <f t="shared" si="692"/>
        <v>9616.50851735373</v>
      </c>
      <c r="Q620" s="101">
        <f t="shared" si="693"/>
        <v>17171.604486611344</v>
      </c>
      <c r="R620" s="109"/>
      <c r="S620" s="99">
        <f t="shared" si="694"/>
        <v>25012.640242766633</v>
      </c>
      <c r="T620" s="101">
        <f t="shared" si="695"/>
        <v>4339.2772369778049</v>
      </c>
      <c r="U620" s="101">
        <f t="shared" si="696"/>
        <v>4339.2772369778049</v>
      </c>
      <c r="V620" s="101">
        <f t="shared" si="697"/>
        <v>5863.6782253273168</v>
      </c>
      <c r="W620" s="101">
        <f t="shared" si="698"/>
        <v>10470.407543483705</v>
      </c>
      <c r="X620" s="74"/>
      <c r="Y620" s="99">
        <f t="shared" si="8"/>
        <v>50025.280485533265</v>
      </c>
      <c r="Z620" s="101">
        <f t="shared" si="699"/>
        <v>8678.5544739556099</v>
      </c>
      <c r="AA620" s="101">
        <f t="shared" si="700"/>
        <v>8678.5544739556099</v>
      </c>
      <c r="AB620" s="101">
        <f t="shared" si="701"/>
        <v>11727.356450654634</v>
      </c>
      <c r="AC620" s="101">
        <f t="shared" si="702"/>
        <v>20940.81508696741</v>
      </c>
      <c r="AD620" s="74"/>
      <c r="AE620" s="99">
        <f t="shared" si="720"/>
        <v>27.727164197424003</v>
      </c>
      <c r="AF620" s="101">
        <f t="shared" ref="AF620" si="783">AP620</f>
        <v>36</v>
      </c>
      <c r="AG620" s="101">
        <f t="shared" si="704"/>
        <v>44.001300000000001</v>
      </c>
      <c r="AH620" s="101">
        <f t="shared" si="705"/>
        <v>657</v>
      </c>
      <c r="AI620" s="101">
        <f t="shared" si="706"/>
        <v>200</v>
      </c>
      <c r="AJ620" s="108">
        <f t="shared" si="707"/>
        <v>3.3333333333333335</v>
      </c>
      <c r="AK620" s="101">
        <f t="shared" si="461"/>
        <v>12118.527249402439</v>
      </c>
      <c r="AL620" s="101">
        <f t="shared" si="708"/>
        <v>3616.0643641481706</v>
      </c>
      <c r="AM620" s="101">
        <f t="shared" si="709"/>
        <v>3616.0643641481706</v>
      </c>
      <c r="AN620" s="101">
        <f t="shared" si="710"/>
        <v>4886.3985211060972</v>
      </c>
      <c r="AO620" s="1">
        <v>36</v>
      </c>
      <c r="AP620" s="2">
        <v>36</v>
      </c>
      <c r="AQ620" s="74">
        <f t="shared" si="711"/>
        <v>657</v>
      </c>
      <c r="AR620" s="31">
        <f t="shared" si="712"/>
        <v>0</v>
      </c>
      <c r="AS620" s="2">
        <f t="shared" si="713"/>
        <v>1</v>
      </c>
      <c r="AT620" s="33">
        <f t="shared" si="714"/>
        <v>0</v>
      </c>
      <c r="AU620" s="31">
        <f t="shared" si="715"/>
        <v>25</v>
      </c>
      <c r="AV620" s="2">
        <f t="shared" si="716"/>
        <v>0</v>
      </c>
      <c r="AW620" s="33">
        <f t="shared" si="717"/>
        <v>1</v>
      </c>
      <c r="AX620" s="31">
        <f t="shared" si="718"/>
        <v>0.6</v>
      </c>
      <c r="AY620" s="33">
        <f t="shared" si="719"/>
        <v>1</v>
      </c>
      <c r="AZ620" s="2"/>
      <c r="BA620" s="101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</row>
    <row r="621" spans="1:71" ht="12" customHeight="1">
      <c r="A621" s="2"/>
      <c r="B621" s="107">
        <v>546</v>
      </c>
      <c r="C621" s="31">
        <v>10</v>
      </c>
      <c r="D621" s="111" t="s">
        <v>14</v>
      </c>
      <c r="E621" s="2" t="s">
        <v>141</v>
      </c>
      <c r="F621" s="2" t="s">
        <v>149</v>
      </c>
      <c r="G621" s="2"/>
      <c r="H621" s="33" t="s">
        <v>81</v>
      </c>
      <c r="I621" s="99">
        <f t="shared" si="0"/>
        <v>1359.9689919424534</v>
      </c>
      <c r="J621" s="101">
        <f t="shared" si="1"/>
        <v>23.695174714659018</v>
      </c>
      <c r="K621" s="101">
        <f t="shared" si="2"/>
        <v>61</v>
      </c>
      <c r="L621" s="74">
        <f t="shared" si="535"/>
        <v>57</v>
      </c>
      <c r="M621" s="99">
        <f t="shared" si="191"/>
        <v>37708.083542993605</v>
      </c>
      <c r="N621" s="101">
        <f t="shared" si="690"/>
        <v>6031.6517700032291</v>
      </c>
      <c r="O621" s="101">
        <f t="shared" si="691"/>
        <v>6031.6517700032291</v>
      </c>
      <c r="P621" s="101">
        <f t="shared" si="692"/>
        <v>8150.5889610218992</v>
      </c>
      <c r="Q621" s="101">
        <f t="shared" si="693"/>
        <v>17494.191041965249</v>
      </c>
      <c r="R621" s="109"/>
      <c r="S621" s="99">
        <f t="shared" si="694"/>
        <v>25012.640242766633</v>
      </c>
      <c r="T621" s="101">
        <f t="shared" si="695"/>
        <v>4339.2772369778049</v>
      </c>
      <c r="U621" s="101">
        <f t="shared" si="696"/>
        <v>4339.2772369778049</v>
      </c>
      <c r="V621" s="101">
        <f t="shared" si="697"/>
        <v>5863.6782253273168</v>
      </c>
      <c r="W621" s="101">
        <f t="shared" si="698"/>
        <v>10470.407543483705</v>
      </c>
      <c r="X621" s="74"/>
      <c r="Y621" s="99">
        <f t="shared" si="8"/>
        <v>57563.973916841525</v>
      </c>
      <c r="Z621" s="101">
        <f t="shared" si="699"/>
        <v>8678.5544739556099</v>
      </c>
      <c r="AA621" s="101">
        <f t="shared" si="700"/>
        <v>8678.5544739556099</v>
      </c>
      <c r="AB621" s="101">
        <f t="shared" si="701"/>
        <v>11727.356450654634</v>
      </c>
      <c r="AC621" s="101">
        <f t="shared" si="702"/>
        <v>28479.508518275677</v>
      </c>
      <c r="AD621" s="74"/>
      <c r="AE621" s="99">
        <f t="shared" si="720"/>
        <v>27.727164197424003</v>
      </c>
      <c r="AF621" s="101">
        <f t="shared" ref="AF621" si="784">AP621</f>
        <v>36</v>
      </c>
      <c r="AG621" s="101">
        <f t="shared" si="704"/>
        <v>19.001300000000001</v>
      </c>
      <c r="AH621" s="101">
        <f t="shared" si="705"/>
        <v>657</v>
      </c>
      <c r="AI621" s="101">
        <f t="shared" si="706"/>
        <v>200</v>
      </c>
      <c r="AJ621" s="108">
        <f t="shared" si="707"/>
        <v>3.3333333333333335</v>
      </c>
      <c r="AK621" s="101">
        <f t="shared" si="461"/>
        <v>12118.527249402439</v>
      </c>
      <c r="AL621" s="101">
        <f t="shared" si="708"/>
        <v>3616.0643641481706</v>
      </c>
      <c r="AM621" s="101">
        <f t="shared" si="709"/>
        <v>3616.0643641481706</v>
      </c>
      <c r="AN621" s="101">
        <f t="shared" si="710"/>
        <v>4886.3985211060972</v>
      </c>
      <c r="AO621" s="1">
        <v>36</v>
      </c>
      <c r="AP621" s="2">
        <v>36</v>
      </c>
      <c r="AQ621" s="74">
        <f t="shared" si="711"/>
        <v>657</v>
      </c>
      <c r="AR621" s="31">
        <f t="shared" si="712"/>
        <v>0</v>
      </c>
      <c r="AS621" s="2">
        <f t="shared" si="713"/>
        <v>1</v>
      </c>
      <c r="AT621" s="33">
        <f t="shared" si="714"/>
        <v>0</v>
      </c>
      <c r="AU621" s="31">
        <f t="shared" si="715"/>
        <v>0</v>
      </c>
      <c r="AV621" s="2">
        <f t="shared" si="716"/>
        <v>0</v>
      </c>
      <c r="AW621" s="33">
        <f t="shared" si="717"/>
        <v>1.36</v>
      </c>
      <c r="AX621" s="31">
        <f t="shared" si="718"/>
        <v>0.6</v>
      </c>
      <c r="AY621" s="33">
        <f t="shared" si="719"/>
        <v>1</v>
      </c>
      <c r="AZ621" s="2"/>
      <c r="BA621" s="101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</row>
    <row r="622" spans="1:71" ht="12" customHeight="1">
      <c r="A622" s="2"/>
      <c r="B622" s="107">
        <v>547</v>
      </c>
      <c r="C622" s="31">
        <v>10</v>
      </c>
      <c r="D622" s="111" t="s">
        <v>14</v>
      </c>
      <c r="E622" s="2" t="s">
        <v>150</v>
      </c>
      <c r="F622" s="2" t="s">
        <v>149</v>
      </c>
      <c r="G622" s="2"/>
      <c r="H622" s="33" t="s">
        <v>81</v>
      </c>
      <c r="I622" s="99">
        <f t="shared" si="0"/>
        <v>1429.8441142045504</v>
      </c>
      <c r="J622" s="101">
        <f t="shared" si="1"/>
        <v>23.695174714659018</v>
      </c>
      <c r="K622" s="101">
        <f t="shared" si="2"/>
        <v>55</v>
      </c>
      <c r="L622" s="74">
        <f t="shared" si="535"/>
        <v>52</v>
      </c>
      <c r="M622" s="99">
        <f t="shared" si="191"/>
        <v>39645.522531269846</v>
      </c>
      <c r="N622" s="101">
        <f t="shared" si="690"/>
        <v>6877.8390365159421</v>
      </c>
      <c r="O622" s="101">
        <f t="shared" si="691"/>
        <v>6877.8390365159421</v>
      </c>
      <c r="P622" s="101">
        <f t="shared" si="692"/>
        <v>9294.0443288691913</v>
      </c>
      <c r="Q622" s="101">
        <f t="shared" si="693"/>
        <v>16595.80012936877</v>
      </c>
      <c r="R622" s="109"/>
      <c r="S622" s="99">
        <f t="shared" si="694"/>
        <v>25012.640242766633</v>
      </c>
      <c r="T622" s="101">
        <f t="shared" si="695"/>
        <v>4339.2772369778049</v>
      </c>
      <c r="U622" s="101">
        <f t="shared" si="696"/>
        <v>4339.2772369778049</v>
      </c>
      <c r="V622" s="101">
        <f t="shared" si="697"/>
        <v>5863.6782253273168</v>
      </c>
      <c r="W622" s="101">
        <f t="shared" si="698"/>
        <v>10470.407543483705</v>
      </c>
      <c r="X622" s="74"/>
      <c r="Y622" s="99">
        <f t="shared" si="8"/>
        <v>62531.600606916574</v>
      </c>
      <c r="Z622" s="101">
        <f t="shared" si="699"/>
        <v>10848.193092444513</v>
      </c>
      <c r="AA622" s="101">
        <f t="shared" si="700"/>
        <v>10848.193092444513</v>
      </c>
      <c r="AB622" s="101">
        <f t="shared" si="701"/>
        <v>14659.195563318292</v>
      </c>
      <c r="AC622" s="101">
        <f t="shared" si="702"/>
        <v>26176.01885870926</v>
      </c>
      <c r="AD622" s="74"/>
      <c r="AE622" s="99">
        <f t="shared" ref="AE622:AE680" si="785">AO622*(1-$D$20/100)*(1-$D$17/100)</f>
        <v>27.727164197424003</v>
      </c>
      <c r="AF622" s="101">
        <f t="shared" ref="AF622" si="786">AP622</f>
        <v>36</v>
      </c>
      <c r="AG622" s="101">
        <f t="shared" si="704"/>
        <v>19.001300000000001</v>
      </c>
      <c r="AH622" s="101">
        <f t="shared" si="705"/>
        <v>657</v>
      </c>
      <c r="AI622" s="101">
        <f t="shared" si="706"/>
        <v>250</v>
      </c>
      <c r="AJ622" s="108">
        <f t="shared" si="707"/>
        <v>3.3333333333333335</v>
      </c>
      <c r="AK622" s="101">
        <f t="shared" si="461"/>
        <v>12118.527249402439</v>
      </c>
      <c r="AL622" s="101">
        <f t="shared" si="708"/>
        <v>3616.0643641481706</v>
      </c>
      <c r="AM622" s="101">
        <f t="shared" si="709"/>
        <v>3616.0643641481706</v>
      </c>
      <c r="AN622" s="101">
        <f t="shared" si="710"/>
        <v>4886.3985211060972</v>
      </c>
      <c r="AO622" s="1">
        <v>36</v>
      </c>
      <c r="AP622" s="2">
        <v>36</v>
      </c>
      <c r="AQ622" s="74">
        <f t="shared" si="711"/>
        <v>657</v>
      </c>
      <c r="AR622" s="31">
        <f t="shared" si="712"/>
        <v>50</v>
      </c>
      <c r="AS622" s="2">
        <f t="shared" si="713"/>
        <v>1</v>
      </c>
      <c r="AT622" s="33">
        <f t="shared" si="714"/>
        <v>0</v>
      </c>
      <c r="AU622" s="31">
        <f t="shared" si="715"/>
        <v>0</v>
      </c>
      <c r="AV622" s="2">
        <f t="shared" si="716"/>
        <v>0</v>
      </c>
      <c r="AW622" s="33">
        <f t="shared" si="717"/>
        <v>1</v>
      </c>
      <c r="AX622" s="31">
        <f t="shared" si="718"/>
        <v>0.6</v>
      </c>
      <c r="AY622" s="33">
        <f t="shared" si="719"/>
        <v>1</v>
      </c>
      <c r="AZ622" s="2"/>
      <c r="BA622" s="101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</row>
    <row r="623" spans="1:71" ht="12" customHeight="1">
      <c r="A623" s="2"/>
      <c r="B623" s="107">
        <v>548</v>
      </c>
      <c r="C623" s="31">
        <v>10</v>
      </c>
      <c r="D623" s="111" t="s">
        <v>14</v>
      </c>
      <c r="E623" s="2" t="s">
        <v>164</v>
      </c>
      <c r="F623" s="2" t="s">
        <v>149</v>
      </c>
      <c r="G623" s="2"/>
      <c r="H623" s="33" t="s">
        <v>81</v>
      </c>
      <c r="I623" s="99">
        <f t="shared" si="0"/>
        <v>1768.1311465260494</v>
      </c>
      <c r="J623" s="101">
        <f t="shared" si="1"/>
        <v>23.695174714659018</v>
      </c>
      <c r="K623" s="101">
        <f t="shared" si="2"/>
        <v>26</v>
      </c>
      <c r="L623" s="74">
        <f t="shared" si="535"/>
        <v>26</v>
      </c>
      <c r="M623" s="99">
        <f t="shared" si="191"/>
        <v>49025.262622307331</v>
      </c>
      <c r="N623" s="101">
        <f t="shared" si="690"/>
        <v>8505.0680003826183</v>
      </c>
      <c r="O623" s="101">
        <f t="shared" si="691"/>
        <v>8505.0680003826183</v>
      </c>
      <c r="P623" s="101">
        <f t="shared" si="692"/>
        <v>11492.923663366935</v>
      </c>
      <c r="Q623" s="101">
        <f t="shared" si="693"/>
        <v>20522.202958175159</v>
      </c>
      <c r="R623" s="109"/>
      <c r="S623" s="99">
        <f t="shared" si="694"/>
        <v>25012.640242766633</v>
      </c>
      <c r="T623" s="101">
        <f t="shared" si="695"/>
        <v>4339.2772369778049</v>
      </c>
      <c r="U623" s="101">
        <f t="shared" si="696"/>
        <v>4339.2772369778049</v>
      </c>
      <c r="V623" s="101">
        <f t="shared" si="697"/>
        <v>5863.6782253273168</v>
      </c>
      <c r="W623" s="101">
        <f t="shared" si="698"/>
        <v>10470.407543483705</v>
      </c>
      <c r="X623" s="74"/>
      <c r="Y623" s="99">
        <f t="shared" si="8"/>
        <v>62531.600606916574</v>
      </c>
      <c r="Z623" s="101">
        <f t="shared" si="699"/>
        <v>10848.193092444513</v>
      </c>
      <c r="AA623" s="101">
        <f t="shared" si="700"/>
        <v>10848.193092444513</v>
      </c>
      <c r="AB623" s="101">
        <f t="shared" si="701"/>
        <v>14659.195563318292</v>
      </c>
      <c r="AC623" s="101">
        <f t="shared" si="702"/>
        <v>26176.01885870926</v>
      </c>
      <c r="AD623" s="74"/>
      <c r="AE623" s="99">
        <f t="shared" si="785"/>
        <v>27.727164197424003</v>
      </c>
      <c r="AF623" s="101">
        <f t="shared" ref="AF623" si="787">AP623</f>
        <v>36</v>
      </c>
      <c r="AG623" s="101">
        <f t="shared" si="704"/>
        <v>44.001300000000001</v>
      </c>
      <c r="AH623" s="101">
        <f t="shared" si="705"/>
        <v>657</v>
      </c>
      <c r="AI623" s="101">
        <f t="shared" si="706"/>
        <v>250</v>
      </c>
      <c r="AJ623" s="108">
        <f t="shared" si="707"/>
        <v>3.3333333333333335</v>
      </c>
      <c r="AK623" s="101">
        <f t="shared" si="461"/>
        <v>12118.527249402439</v>
      </c>
      <c r="AL623" s="101">
        <f t="shared" si="708"/>
        <v>3616.0643641481706</v>
      </c>
      <c r="AM623" s="101">
        <f t="shared" si="709"/>
        <v>3616.0643641481706</v>
      </c>
      <c r="AN623" s="101">
        <f t="shared" si="710"/>
        <v>4886.3985211060972</v>
      </c>
      <c r="AO623" s="1">
        <v>36</v>
      </c>
      <c r="AP623" s="2">
        <v>36</v>
      </c>
      <c r="AQ623" s="74">
        <f t="shared" si="711"/>
        <v>657</v>
      </c>
      <c r="AR623" s="31">
        <f t="shared" si="712"/>
        <v>50</v>
      </c>
      <c r="AS623" s="2">
        <f t="shared" si="713"/>
        <v>1</v>
      </c>
      <c r="AT623" s="33">
        <f t="shared" si="714"/>
        <v>0</v>
      </c>
      <c r="AU623" s="31">
        <f t="shared" si="715"/>
        <v>25</v>
      </c>
      <c r="AV623" s="2">
        <f t="shared" si="716"/>
        <v>0</v>
      </c>
      <c r="AW623" s="33">
        <f t="shared" si="717"/>
        <v>1</v>
      </c>
      <c r="AX623" s="31">
        <f t="shared" si="718"/>
        <v>0.6</v>
      </c>
      <c r="AY623" s="33">
        <f t="shared" si="719"/>
        <v>1</v>
      </c>
      <c r="AZ623" s="2"/>
      <c r="BA623" s="101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</row>
    <row r="624" spans="1:71" ht="12" customHeight="1">
      <c r="A624" s="2"/>
      <c r="B624" s="107">
        <v>549</v>
      </c>
      <c r="C624" s="31">
        <v>10</v>
      </c>
      <c r="D624" s="111" t="s">
        <v>14</v>
      </c>
      <c r="E624" s="2" t="s">
        <v>156</v>
      </c>
      <c r="F624" s="2" t="s">
        <v>149</v>
      </c>
      <c r="G624" s="2"/>
      <c r="H624" s="33" t="s">
        <v>81</v>
      </c>
      <c r="I624" s="99">
        <f t="shared" si="0"/>
        <v>1562.3941119382703</v>
      </c>
      <c r="J624" s="101">
        <f t="shared" si="1"/>
        <v>23.695174714659018</v>
      </c>
      <c r="K624" s="101">
        <f t="shared" si="2"/>
        <v>38</v>
      </c>
      <c r="L624" s="74">
        <f t="shared" si="535"/>
        <v>38</v>
      </c>
      <c r="M624" s="99">
        <f t="shared" si="191"/>
        <v>43320.758082800879</v>
      </c>
      <c r="N624" s="101">
        <f t="shared" si="690"/>
        <v>6877.8390365159421</v>
      </c>
      <c r="O624" s="101">
        <f t="shared" si="691"/>
        <v>6877.8390365159421</v>
      </c>
      <c r="P624" s="101">
        <f t="shared" si="692"/>
        <v>9294.0443288691913</v>
      </c>
      <c r="Q624" s="101">
        <f t="shared" si="693"/>
        <v>20271.035680899808</v>
      </c>
      <c r="R624" s="109"/>
      <c r="S624" s="99">
        <f t="shared" si="694"/>
        <v>25012.640242766633</v>
      </c>
      <c r="T624" s="101">
        <f t="shared" si="695"/>
        <v>4339.2772369778049</v>
      </c>
      <c r="U624" s="101">
        <f t="shared" si="696"/>
        <v>4339.2772369778049</v>
      </c>
      <c r="V624" s="101">
        <f t="shared" si="697"/>
        <v>5863.6782253273168</v>
      </c>
      <c r="W624" s="101">
        <f t="shared" si="698"/>
        <v>10470.407543483705</v>
      </c>
      <c r="X624" s="74"/>
      <c r="Y624" s="99">
        <f t="shared" si="8"/>
        <v>71954.967396051914</v>
      </c>
      <c r="Z624" s="101">
        <f t="shared" si="699"/>
        <v>10848.193092444513</v>
      </c>
      <c r="AA624" s="101">
        <f t="shared" si="700"/>
        <v>10848.193092444513</v>
      </c>
      <c r="AB624" s="101">
        <f t="shared" si="701"/>
        <v>14659.195563318292</v>
      </c>
      <c r="AC624" s="101">
        <f t="shared" si="702"/>
        <v>35599.385647844596</v>
      </c>
      <c r="AD624" s="74"/>
      <c r="AE624" s="99">
        <f t="shared" si="785"/>
        <v>27.727164197424003</v>
      </c>
      <c r="AF624" s="101">
        <f t="shared" ref="AF624" si="788">AP624</f>
        <v>36</v>
      </c>
      <c r="AG624" s="101">
        <f t="shared" si="704"/>
        <v>19.001300000000001</v>
      </c>
      <c r="AH624" s="101">
        <f t="shared" si="705"/>
        <v>657</v>
      </c>
      <c r="AI624" s="101">
        <f t="shared" si="706"/>
        <v>250</v>
      </c>
      <c r="AJ624" s="108">
        <f t="shared" si="707"/>
        <v>3.3333333333333335</v>
      </c>
      <c r="AK624" s="101">
        <f t="shared" si="461"/>
        <v>12118.527249402439</v>
      </c>
      <c r="AL624" s="101">
        <f t="shared" si="708"/>
        <v>3616.0643641481706</v>
      </c>
      <c r="AM624" s="101">
        <f t="shared" si="709"/>
        <v>3616.0643641481706</v>
      </c>
      <c r="AN624" s="101">
        <f t="shared" si="710"/>
        <v>4886.3985211060972</v>
      </c>
      <c r="AO624" s="1">
        <v>36</v>
      </c>
      <c r="AP624" s="2">
        <v>36</v>
      </c>
      <c r="AQ624" s="74">
        <f t="shared" si="711"/>
        <v>657</v>
      </c>
      <c r="AR624" s="31">
        <f t="shared" si="712"/>
        <v>50</v>
      </c>
      <c r="AS624" s="2">
        <f t="shared" si="713"/>
        <v>1</v>
      </c>
      <c r="AT624" s="33">
        <f t="shared" si="714"/>
        <v>0</v>
      </c>
      <c r="AU624" s="31">
        <f t="shared" si="715"/>
        <v>0</v>
      </c>
      <c r="AV624" s="2">
        <f t="shared" si="716"/>
        <v>0</v>
      </c>
      <c r="AW624" s="33">
        <f t="shared" si="717"/>
        <v>1.36</v>
      </c>
      <c r="AX624" s="31">
        <f t="shared" si="718"/>
        <v>0.6</v>
      </c>
      <c r="AY624" s="33">
        <f t="shared" si="719"/>
        <v>1</v>
      </c>
      <c r="AZ624" s="2"/>
      <c r="BA624" s="101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</row>
    <row r="625" spans="1:71" ht="12" customHeight="1">
      <c r="A625" s="2"/>
      <c r="B625" s="107">
        <v>550</v>
      </c>
      <c r="C625" s="31">
        <v>10</v>
      </c>
      <c r="D625" s="111" t="s">
        <v>14</v>
      </c>
      <c r="E625" s="2" t="s">
        <v>161</v>
      </c>
      <c r="F625" s="2" t="s">
        <v>149</v>
      </c>
      <c r="G625" s="2"/>
      <c r="H625" s="33" t="s">
        <v>81</v>
      </c>
      <c r="I625" s="99">
        <f t="shared" si="0"/>
        <v>1253.9289937554772</v>
      </c>
      <c r="J625" s="101">
        <f t="shared" si="1"/>
        <v>11.847587357329509</v>
      </c>
      <c r="K625" s="101">
        <f t="shared" si="2"/>
        <v>82</v>
      </c>
      <c r="L625" s="74">
        <f t="shared" si="535"/>
        <v>71</v>
      </c>
      <c r="M625" s="99">
        <f t="shared" si="191"/>
        <v>34767.895101768772</v>
      </c>
      <c r="N625" s="101">
        <f t="shared" si="690"/>
        <v>6031.6517700032291</v>
      </c>
      <c r="O625" s="101">
        <f t="shared" si="691"/>
        <v>6031.6517700032291</v>
      </c>
      <c r="P625" s="101">
        <f t="shared" si="692"/>
        <v>8150.5889610218992</v>
      </c>
      <c r="Q625" s="101">
        <f t="shared" si="693"/>
        <v>14554.002600740414</v>
      </c>
      <c r="R625" s="109"/>
      <c r="S625" s="99">
        <f t="shared" si="694"/>
        <v>25012.640242766633</v>
      </c>
      <c r="T625" s="101">
        <f t="shared" si="695"/>
        <v>4339.2772369778049</v>
      </c>
      <c r="U625" s="101">
        <f t="shared" si="696"/>
        <v>4339.2772369778049</v>
      </c>
      <c r="V625" s="101">
        <f t="shared" si="697"/>
        <v>5863.6782253273168</v>
      </c>
      <c r="W625" s="101">
        <f t="shared" si="698"/>
        <v>10470.407543483705</v>
      </c>
      <c r="X625" s="74"/>
      <c r="Y625" s="99">
        <f t="shared" si="8"/>
        <v>50025.280485533265</v>
      </c>
      <c r="Z625" s="101">
        <f t="shared" si="699"/>
        <v>8678.5544739556099</v>
      </c>
      <c r="AA625" s="101">
        <f t="shared" si="700"/>
        <v>8678.5544739556099</v>
      </c>
      <c r="AB625" s="101">
        <f t="shared" si="701"/>
        <v>11727.356450654634</v>
      </c>
      <c r="AC625" s="101">
        <f t="shared" si="702"/>
        <v>20940.81508696741</v>
      </c>
      <c r="AD625" s="74"/>
      <c r="AE625" s="99">
        <f t="shared" si="785"/>
        <v>27.727164197424003</v>
      </c>
      <c r="AF625" s="101">
        <f t="shared" ref="AF625" si="789">AP625</f>
        <v>36</v>
      </c>
      <c r="AG625" s="101">
        <f t="shared" si="704"/>
        <v>19.001300000000001</v>
      </c>
      <c r="AH625" s="101">
        <f t="shared" si="705"/>
        <v>328.5</v>
      </c>
      <c r="AI625" s="101">
        <f t="shared" si="706"/>
        <v>200</v>
      </c>
      <c r="AJ625" s="108">
        <f t="shared" si="707"/>
        <v>3.3333333333333335</v>
      </c>
      <c r="AK625" s="101">
        <f t="shared" si="461"/>
        <v>12118.527249402439</v>
      </c>
      <c r="AL625" s="101">
        <f t="shared" si="708"/>
        <v>3616.0643641481706</v>
      </c>
      <c r="AM625" s="101">
        <f t="shared" si="709"/>
        <v>3616.0643641481706</v>
      </c>
      <c r="AN625" s="101">
        <f t="shared" si="710"/>
        <v>4886.3985211060972</v>
      </c>
      <c r="AO625" s="1">
        <v>36</v>
      </c>
      <c r="AP625" s="2">
        <v>36</v>
      </c>
      <c r="AQ625" s="74">
        <f t="shared" si="711"/>
        <v>657</v>
      </c>
      <c r="AR625" s="31">
        <f t="shared" si="712"/>
        <v>0</v>
      </c>
      <c r="AS625" s="2">
        <f t="shared" si="713"/>
        <v>0.5</v>
      </c>
      <c r="AT625" s="33">
        <f t="shared" si="714"/>
        <v>0</v>
      </c>
      <c r="AU625" s="31">
        <f t="shared" si="715"/>
        <v>0</v>
      </c>
      <c r="AV625" s="2">
        <f t="shared" si="716"/>
        <v>0</v>
      </c>
      <c r="AW625" s="33">
        <f t="shared" si="717"/>
        <v>1</v>
      </c>
      <c r="AX625" s="31">
        <f t="shared" si="718"/>
        <v>0.6</v>
      </c>
      <c r="AY625" s="33">
        <f t="shared" si="719"/>
        <v>1</v>
      </c>
      <c r="AZ625" s="2"/>
      <c r="BA625" s="101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</row>
    <row r="626" spans="1:71" ht="12" customHeight="1">
      <c r="A626" s="2"/>
      <c r="B626" s="107">
        <v>551</v>
      </c>
      <c r="C626" s="31">
        <v>10</v>
      </c>
      <c r="D626" s="111" t="s">
        <v>14</v>
      </c>
      <c r="E626" s="2" t="s">
        <v>169</v>
      </c>
      <c r="F626" s="2" t="s">
        <v>149</v>
      </c>
      <c r="G626" s="2"/>
      <c r="H626" s="33" t="s">
        <v>81</v>
      </c>
      <c r="I626" s="99">
        <f t="shared" si="0"/>
        <v>1479.4536819698103</v>
      </c>
      <c r="J626" s="101">
        <f t="shared" si="1"/>
        <v>11.847587357329509</v>
      </c>
      <c r="K626" s="101">
        <f t="shared" si="2"/>
        <v>46</v>
      </c>
      <c r="L626" s="74">
        <f t="shared" si="535"/>
        <v>43</v>
      </c>
      <c r="M626" s="99">
        <f t="shared" si="191"/>
        <v>41021.055162460441</v>
      </c>
      <c r="N626" s="101">
        <f t="shared" si="690"/>
        <v>7116.4710792476817</v>
      </c>
      <c r="O626" s="101">
        <f t="shared" si="691"/>
        <v>7116.4710792476817</v>
      </c>
      <c r="P626" s="101">
        <f t="shared" si="692"/>
        <v>9616.50851735373</v>
      </c>
      <c r="Q626" s="101">
        <f t="shared" si="693"/>
        <v>17171.604486611344</v>
      </c>
      <c r="R626" s="109"/>
      <c r="S626" s="99">
        <f t="shared" si="694"/>
        <v>25012.640242766633</v>
      </c>
      <c r="T626" s="101">
        <f t="shared" si="695"/>
        <v>4339.2772369778049</v>
      </c>
      <c r="U626" s="101">
        <f t="shared" si="696"/>
        <v>4339.2772369778049</v>
      </c>
      <c r="V626" s="101">
        <f t="shared" si="697"/>
        <v>5863.6782253273168</v>
      </c>
      <c r="W626" s="101">
        <f t="shared" si="698"/>
        <v>10470.407543483705</v>
      </c>
      <c r="X626" s="74"/>
      <c r="Y626" s="99">
        <f t="shared" si="8"/>
        <v>50025.280485533265</v>
      </c>
      <c r="Z626" s="101">
        <f t="shared" si="699"/>
        <v>8678.5544739556099</v>
      </c>
      <c r="AA626" s="101">
        <f t="shared" si="700"/>
        <v>8678.5544739556099</v>
      </c>
      <c r="AB626" s="101">
        <f t="shared" si="701"/>
        <v>11727.356450654634</v>
      </c>
      <c r="AC626" s="101">
        <f t="shared" si="702"/>
        <v>20940.81508696741</v>
      </c>
      <c r="AD626" s="74"/>
      <c r="AE626" s="99">
        <f t="shared" si="785"/>
        <v>27.727164197424003</v>
      </c>
      <c r="AF626" s="101">
        <f t="shared" ref="AF626" si="790">AP626</f>
        <v>36</v>
      </c>
      <c r="AG626" s="101">
        <f t="shared" si="704"/>
        <v>44.001300000000001</v>
      </c>
      <c r="AH626" s="101">
        <f t="shared" si="705"/>
        <v>328.5</v>
      </c>
      <c r="AI626" s="101">
        <f t="shared" si="706"/>
        <v>200</v>
      </c>
      <c r="AJ626" s="108">
        <f t="shared" si="707"/>
        <v>3.3333333333333335</v>
      </c>
      <c r="AK626" s="101">
        <f t="shared" si="461"/>
        <v>12118.527249402439</v>
      </c>
      <c r="AL626" s="101">
        <f t="shared" si="708"/>
        <v>3616.0643641481706</v>
      </c>
      <c r="AM626" s="101">
        <f t="shared" si="709"/>
        <v>3616.0643641481706</v>
      </c>
      <c r="AN626" s="101">
        <f t="shared" si="710"/>
        <v>4886.3985211060972</v>
      </c>
      <c r="AO626" s="1">
        <v>36</v>
      </c>
      <c r="AP626" s="2">
        <v>36</v>
      </c>
      <c r="AQ626" s="74">
        <f t="shared" si="711"/>
        <v>657</v>
      </c>
      <c r="AR626" s="31">
        <f t="shared" si="712"/>
        <v>0</v>
      </c>
      <c r="AS626" s="2">
        <f t="shared" si="713"/>
        <v>0.5</v>
      </c>
      <c r="AT626" s="33">
        <f t="shared" si="714"/>
        <v>0</v>
      </c>
      <c r="AU626" s="31">
        <f t="shared" si="715"/>
        <v>25</v>
      </c>
      <c r="AV626" s="2">
        <f t="shared" si="716"/>
        <v>0</v>
      </c>
      <c r="AW626" s="33">
        <f t="shared" si="717"/>
        <v>1</v>
      </c>
      <c r="AX626" s="31">
        <f t="shared" si="718"/>
        <v>0.6</v>
      </c>
      <c r="AY626" s="33">
        <f t="shared" si="719"/>
        <v>1</v>
      </c>
      <c r="AZ626" s="2"/>
      <c r="BA626" s="101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</row>
    <row r="627" spans="1:71" ht="12" customHeight="1">
      <c r="A627" s="2"/>
      <c r="B627" s="107">
        <v>552</v>
      </c>
      <c r="C627" s="31">
        <v>10</v>
      </c>
      <c r="D627" s="111" t="s">
        <v>14</v>
      </c>
      <c r="E627" s="2" t="s">
        <v>171</v>
      </c>
      <c r="F627" s="2" t="s">
        <v>149</v>
      </c>
      <c r="G627" s="2"/>
      <c r="H627" s="33" t="s">
        <v>81</v>
      </c>
      <c r="I627" s="99">
        <f t="shared" si="0"/>
        <v>1359.9689919424534</v>
      </c>
      <c r="J627" s="101">
        <f t="shared" si="1"/>
        <v>11.847587357329509</v>
      </c>
      <c r="K627" s="101">
        <f t="shared" si="2"/>
        <v>61</v>
      </c>
      <c r="L627" s="74">
        <f t="shared" si="535"/>
        <v>57</v>
      </c>
      <c r="M627" s="99">
        <f t="shared" si="191"/>
        <v>37708.083542993605</v>
      </c>
      <c r="N627" s="101">
        <f t="shared" si="690"/>
        <v>6031.6517700032291</v>
      </c>
      <c r="O627" s="101">
        <f t="shared" si="691"/>
        <v>6031.6517700032291</v>
      </c>
      <c r="P627" s="101">
        <f t="shared" si="692"/>
        <v>8150.5889610218992</v>
      </c>
      <c r="Q627" s="101">
        <f t="shared" si="693"/>
        <v>17494.191041965249</v>
      </c>
      <c r="R627" s="109"/>
      <c r="S627" s="99">
        <f t="shared" si="694"/>
        <v>25012.640242766633</v>
      </c>
      <c r="T627" s="101">
        <f t="shared" si="695"/>
        <v>4339.2772369778049</v>
      </c>
      <c r="U627" s="101">
        <f t="shared" si="696"/>
        <v>4339.2772369778049</v>
      </c>
      <c r="V627" s="101">
        <f t="shared" si="697"/>
        <v>5863.6782253273168</v>
      </c>
      <c r="W627" s="101">
        <f t="shared" si="698"/>
        <v>10470.407543483705</v>
      </c>
      <c r="X627" s="74"/>
      <c r="Y627" s="99">
        <f t="shared" si="8"/>
        <v>57563.973916841525</v>
      </c>
      <c r="Z627" s="101">
        <f t="shared" si="699"/>
        <v>8678.5544739556099</v>
      </c>
      <c r="AA627" s="101">
        <f t="shared" si="700"/>
        <v>8678.5544739556099</v>
      </c>
      <c r="AB627" s="101">
        <f t="shared" si="701"/>
        <v>11727.356450654634</v>
      </c>
      <c r="AC627" s="101">
        <f t="shared" si="702"/>
        <v>28479.508518275677</v>
      </c>
      <c r="AD627" s="74"/>
      <c r="AE627" s="99">
        <f t="shared" si="785"/>
        <v>27.727164197424003</v>
      </c>
      <c r="AF627" s="101">
        <f t="shared" ref="AF627" si="791">AP627</f>
        <v>36</v>
      </c>
      <c r="AG627" s="101">
        <f t="shared" si="704"/>
        <v>19.001300000000001</v>
      </c>
      <c r="AH627" s="101">
        <f t="shared" si="705"/>
        <v>328.5</v>
      </c>
      <c r="AI627" s="101">
        <f t="shared" si="706"/>
        <v>200</v>
      </c>
      <c r="AJ627" s="108">
        <f t="shared" si="707"/>
        <v>3.3333333333333335</v>
      </c>
      <c r="AK627" s="101">
        <f t="shared" si="461"/>
        <v>12118.527249402439</v>
      </c>
      <c r="AL627" s="101">
        <f t="shared" si="708"/>
        <v>3616.0643641481706</v>
      </c>
      <c r="AM627" s="101">
        <f t="shared" si="709"/>
        <v>3616.0643641481706</v>
      </c>
      <c r="AN627" s="101">
        <f t="shared" si="710"/>
        <v>4886.3985211060972</v>
      </c>
      <c r="AO627" s="1">
        <v>36</v>
      </c>
      <c r="AP627" s="2">
        <v>36</v>
      </c>
      <c r="AQ627" s="74">
        <f t="shared" si="711"/>
        <v>657</v>
      </c>
      <c r="AR627" s="31">
        <f t="shared" si="712"/>
        <v>0</v>
      </c>
      <c r="AS627" s="2">
        <f t="shared" si="713"/>
        <v>0.5</v>
      </c>
      <c r="AT627" s="33">
        <f t="shared" si="714"/>
        <v>0</v>
      </c>
      <c r="AU627" s="31">
        <f t="shared" si="715"/>
        <v>0</v>
      </c>
      <c r="AV627" s="2">
        <f t="shared" si="716"/>
        <v>0</v>
      </c>
      <c r="AW627" s="33">
        <f t="shared" si="717"/>
        <v>1.36</v>
      </c>
      <c r="AX627" s="31">
        <f t="shared" si="718"/>
        <v>0.6</v>
      </c>
      <c r="AY627" s="33">
        <f t="shared" si="719"/>
        <v>1</v>
      </c>
      <c r="AZ627" s="2"/>
      <c r="BA627" s="101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</row>
    <row r="628" spans="1:71" ht="12" customHeight="1">
      <c r="A628" s="2"/>
      <c r="B628" s="107">
        <v>553</v>
      </c>
      <c r="C628" s="31">
        <v>10</v>
      </c>
      <c r="D628" s="111" t="s">
        <v>14</v>
      </c>
      <c r="E628" s="2" t="s">
        <v>92</v>
      </c>
      <c r="F628" s="2" t="s">
        <v>149</v>
      </c>
      <c r="G628" s="2"/>
      <c r="H628" s="33" t="s">
        <v>81</v>
      </c>
      <c r="I628" s="99">
        <f t="shared" si="0"/>
        <v>997.56566107294225</v>
      </c>
      <c r="J628" s="101">
        <f t="shared" si="1"/>
        <v>23.695174714659018</v>
      </c>
      <c r="K628" s="101">
        <f t="shared" si="2"/>
        <v>163</v>
      </c>
      <c r="L628" s="74">
        <f t="shared" si="535"/>
        <v>124</v>
      </c>
      <c r="M628" s="99">
        <f t="shared" si="191"/>
        <v>27659.66688228129</v>
      </c>
      <c r="N628" s="101">
        <f t="shared" si="690"/>
        <v>8253.4068438191298</v>
      </c>
      <c r="O628" s="101">
        <f t="shared" si="691"/>
        <v>8253.4068438191298</v>
      </c>
      <c r="P628" s="101">
        <f t="shared" si="692"/>
        <v>11152.85319464303</v>
      </c>
      <c r="Q628" s="101">
        <f t="shared" si="693"/>
        <v>0</v>
      </c>
      <c r="R628" s="109"/>
      <c r="S628" s="99">
        <f t="shared" si="694"/>
        <v>17450.679239139514</v>
      </c>
      <c r="T628" s="101">
        <f t="shared" si="695"/>
        <v>5207.1326843733659</v>
      </c>
      <c r="U628" s="101">
        <f t="shared" si="696"/>
        <v>5207.1326843733659</v>
      </c>
      <c r="V628" s="101">
        <f t="shared" si="697"/>
        <v>7036.4138703927802</v>
      </c>
      <c r="W628" s="101">
        <f t="shared" si="698"/>
        <v>0</v>
      </c>
      <c r="X628" s="74"/>
      <c r="Y628" s="99">
        <f t="shared" si="8"/>
        <v>43626.698097848785</v>
      </c>
      <c r="Z628" s="101">
        <f t="shared" si="699"/>
        <v>13017.831710933415</v>
      </c>
      <c r="AA628" s="101">
        <f t="shared" si="700"/>
        <v>13017.831710933415</v>
      </c>
      <c r="AB628" s="101">
        <f t="shared" si="701"/>
        <v>17591.034675981951</v>
      </c>
      <c r="AC628" s="101">
        <f t="shared" si="702"/>
        <v>0</v>
      </c>
      <c r="AD628" s="74"/>
      <c r="AE628" s="99">
        <f t="shared" si="785"/>
        <v>27.727164197424003</v>
      </c>
      <c r="AF628" s="101">
        <f t="shared" ref="AF628" si="792">AP628</f>
        <v>36</v>
      </c>
      <c r="AG628" s="101">
        <f t="shared" si="704"/>
        <v>19.001300000000001</v>
      </c>
      <c r="AH628" s="101">
        <f t="shared" si="705"/>
        <v>657</v>
      </c>
      <c r="AI628" s="101">
        <f t="shared" si="706"/>
        <v>250</v>
      </c>
      <c r="AJ628" s="108">
        <f t="shared" si="707"/>
        <v>3.3333333333333335</v>
      </c>
      <c r="AK628" s="101">
        <f t="shared" si="461"/>
        <v>12118.527249402439</v>
      </c>
      <c r="AL628" s="101">
        <f t="shared" si="708"/>
        <v>3616.0643641481706</v>
      </c>
      <c r="AM628" s="101">
        <f t="shared" si="709"/>
        <v>3616.0643641481706</v>
      </c>
      <c r="AN628" s="101">
        <f t="shared" si="710"/>
        <v>4886.3985211060972</v>
      </c>
      <c r="AO628" s="1">
        <v>36</v>
      </c>
      <c r="AP628" s="2">
        <v>36</v>
      </c>
      <c r="AQ628" s="74">
        <f t="shared" si="711"/>
        <v>657</v>
      </c>
      <c r="AR628" s="31">
        <f t="shared" si="712"/>
        <v>0</v>
      </c>
      <c r="AS628" s="2">
        <f t="shared" si="713"/>
        <v>1</v>
      </c>
      <c r="AT628" s="33">
        <f t="shared" si="714"/>
        <v>0</v>
      </c>
      <c r="AU628" s="31">
        <f t="shared" si="715"/>
        <v>0</v>
      </c>
      <c r="AV628" s="2">
        <f t="shared" si="716"/>
        <v>0</v>
      </c>
      <c r="AW628" s="33">
        <f t="shared" si="717"/>
        <v>1</v>
      </c>
      <c r="AX628" s="31">
        <f t="shared" si="718"/>
        <v>1</v>
      </c>
      <c r="AY628" s="33">
        <f t="shared" si="719"/>
        <v>1.2</v>
      </c>
      <c r="AZ628" s="2"/>
      <c r="BA628" s="101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</row>
    <row r="629" spans="1:71" ht="12" customHeight="1">
      <c r="A629" s="2"/>
      <c r="B629" s="107">
        <v>554</v>
      </c>
      <c r="C629" s="31">
        <v>10</v>
      </c>
      <c r="D629" s="111" t="s">
        <v>14</v>
      </c>
      <c r="E629" s="2" t="s">
        <v>139</v>
      </c>
      <c r="F629" s="2" t="s">
        <v>149</v>
      </c>
      <c r="G629" s="2"/>
      <c r="H629" s="33" t="s">
        <v>81</v>
      </c>
      <c r="I629" s="99">
        <f t="shared" si="0"/>
        <v>1233.5798696693371</v>
      </c>
      <c r="J629" s="101">
        <f t="shared" si="1"/>
        <v>23.695174714659018</v>
      </c>
      <c r="K629" s="101">
        <f t="shared" si="2"/>
        <v>88</v>
      </c>
      <c r="L629" s="74">
        <f t="shared" si="535"/>
        <v>77</v>
      </c>
      <c r="M629" s="99">
        <f t="shared" si="191"/>
        <v>34203.671596958608</v>
      </c>
      <c r="N629" s="101">
        <f t="shared" si="690"/>
        <v>10206.081600459143</v>
      </c>
      <c r="O629" s="101">
        <f t="shared" si="691"/>
        <v>10206.081600459143</v>
      </c>
      <c r="P629" s="101">
        <f t="shared" si="692"/>
        <v>13791.508396040323</v>
      </c>
      <c r="Q629" s="101">
        <f t="shared" si="693"/>
        <v>0</v>
      </c>
      <c r="R629" s="109"/>
      <c r="S629" s="99">
        <f t="shared" si="694"/>
        <v>17450.679239139514</v>
      </c>
      <c r="T629" s="101">
        <f t="shared" si="695"/>
        <v>5207.1326843733659</v>
      </c>
      <c r="U629" s="101">
        <f t="shared" si="696"/>
        <v>5207.1326843733659</v>
      </c>
      <c r="V629" s="101">
        <f t="shared" si="697"/>
        <v>7036.4138703927802</v>
      </c>
      <c r="W629" s="101">
        <f t="shared" si="698"/>
        <v>0</v>
      </c>
      <c r="X629" s="74"/>
      <c r="Y629" s="99">
        <f t="shared" si="8"/>
        <v>43626.698097848785</v>
      </c>
      <c r="Z629" s="101">
        <f t="shared" si="699"/>
        <v>13017.831710933415</v>
      </c>
      <c r="AA629" s="101">
        <f t="shared" si="700"/>
        <v>13017.831710933415</v>
      </c>
      <c r="AB629" s="101">
        <f t="shared" si="701"/>
        <v>17591.034675981951</v>
      </c>
      <c r="AC629" s="101">
        <f t="shared" si="702"/>
        <v>0</v>
      </c>
      <c r="AD629" s="74"/>
      <c r="AE629" s="99">
        <f t="shared" si="785"/>
        <v>27.727164197424003</v>
      </c>
      <c r="AF629" s="101">
        <f t="shared" ref="AF629" si="793">AP629</f>
        <v>36</v>
      </c>
      <c r="AG629" s="101">
        <f t="shared" si="704"/>
        <v>44.001300000000001</v>
      </c>
      <c r="AH629" s="101">
        <f t="shared" si="705"/>
        <v>657</v>
      </c>
      <c r="AI629" s="101">
        <f t="shared" si="706"/>
        <v>250</v>
      </c>
      <c r="AJ629" s="108">
        <f t="shared" si="707"/>
        <v>3.3333333333333335</v>
      </c>
      <c r="AK629" s="101">
        <f t="shared" si="461"/>
        <v>12118.527249402439</v>
      </c>
      <c r="AL629" s="101">
        <f t="shared" si="708"/>
        <v>3616.0643641481706</v>
      </c>
      <c r="AM629" s="101">
        <f t="shared" si="709"/>
        <v>3616.0643641481706</v>
      </c>
      <c r="AN629" s="101">
        <f t="shared" si="710"/>
        <v>4886.3985211060972</v>
      </c>
      <c r="AO629" s="1">
        <v>36</v>
      </c>
      <c r="AP629" s="2">
        <v>36</v>
      </c>
      <c r="AQ629" s="74">
        <f t="shared" si="711"/>
        <v>657</v>
      </c>
      <c r="AR629" s="31">
        <f t="shared" si="712"/>
        <v>0</v>
      </c>
      <c r="AS629" s="2">
        <f t="shared" si="713"/>
        <v>1</v>
      </c>
      <c r="AT629" s="33">
        <f t="shared" si="714"/>
        <v>0</v>
      </c>
      <c r="AU629" s="31">
        <f t="shared" si="715"/>
        <v>25</v>
      </c>
      <c r="AV629" s="2">
        <f t="shared" si="716"/>
        <v>0</v>
      </c>
      <c r="AW629" s="33">
        <f t="shared" si="717"/>
        <v>1</v>
      </c>
      <c r="AX629" s="31">
        <f t="shared" si="718"/>
        <v>1</v>
      </c>
      <c r="AY629" s="33">
        <f t="shared" si="719"/>
        <v>1.2</v>
      </c>
      <c r="AZ629" s="2"/>
      <c r="BA629" s="101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</row>
    <row r="630" spans="1:71" ht="12" customHeight="1">
      <c r="A630" s="2"/>
      <c r="B630" s="107">
        <v>555</v>
      </c>
      <c r="C630" s="31">
        <v>10</v>
      </c>
      <c r="D630" s="111" t="s">
        <v>14</v>
      </c>
      <c r="E630" s="2" t="s">
        <v>98</v>
      </c>
      <c r="F630" s="2" t="s">
        <v>149</v>
      </c>
      <c r="G630" s="2"/>
      <c r="H630" s="33" t="s">
        <v>81</v>
      </c>
      <c r="I630" s="99">
        <f t="shared" si="0"/>
        <v>1086.6430574112094</v>
      </c>
      <c r="J630" s="101">
        <f t="shared" si="1"/>
        <v>23.695174714659018</v>
      </c>
      <c r="K630" s="101">
        <f t="shared" si="2"/>
        <v>124</v>
      </c>
      <c r="L630" s="74">
        <f t="shared" si="535"/>
        <v>102</v>
      </c>
      <c r="M630" s="99">
        <f t="shared" si="191"/>
        <v>30129.530476831438</v>
      </c>
      <c r="N630" s="101">
        <f t="shared" si="690"/>
        <v>8253.4068438191298</v>
      </c>
      <c r="O630" s="101">
        <f t="shared" si="691"/>
        <v>8253.4068438191298</v>
      </c>
      <c r="P630" s="101">
        <f t="shared" si="692"/>
        <v>13622.716789193179</v>
      </c>
      <c r="Q630" s="101">
        <f t="shared" si="693"/>
        <v>0</v>
      </c>
      <c r="R630" s="109"/>
      <c r="S630" s="99">
        <f t="shared" si="694"/>
        <v>17450.679239139514</v>
      </c>
      <c r="T630" s="101">
        <f t="shared" si="695"/>
        <v>5207.1326843733659</v>
      </c>
      <c r="U630" s="101">
        <f t="shared" si="696"/>
        <v>5207.1326843733659</v>
      </c>
      <c r="V630" s="101">
        <f t="shared" si="697"/>
        <v>7036.4138703927802</v>
      </c>
      <c r="W630" s="101">
        <f t="shared" si="698"/>
        <v>0</v>
      </c>
      <c r="X630" s="74"/>
      <c r="Y630" s="99">
        <f t="shared" si="8"/>
        <v>49959.470581202288</v>
      </c>
      <c r="Z630" s="101">
        <f t="shared" si="699"/>
        <v>13017.831710933415</v>
      </c>
      <c r="AA630" s="101">
        <f t="shared" si="700"/>
        <v>13017.831710933415</v>
      </c>
      <c r="AB630" s="101">
        <f t="shared" si="701"/>
        <v>23923.807159335454</v>
      </c>
      <c r="AC630" s="101">
        <f t="shared" si="702"/>
        <v>0</v>
      </c>
      <c r="AD630" s="74"/>
      <c r="AE630" s="99">
        <f t="shared" si="785"/>
        <v>27.727164197424003</v>
      </c>
      <c r="AF630" s="101">
        <f t="shared" ref="AF630" si="794">AP630</f>
        <v>36</v>
      </c>
      <c r="AG630" s="101">
        <f t="shared" si="704"/>
        <v>19.001300000000001</v>
      </c>
      <c r="AH630" s="101">
        <f t="shared" si="705"/>
        <v>657</v>
      </c>
      <c r="AI630" s="101">
        <f t="shared" si="706"/>
        <v>250</v>
      </c>
      <c r="AJ630" s="108">
        <f t="shared" si="707"/>
        <v>3.3333333333333335</v>
      </c>
      <c r="AK630" s="101">
        <f t="shared" si="461"/>
        <v>12118.527249402439</v>
      </c>
      <c r="AL630" s="101">
        <f t="shared" si="708"/>
        <v>3616.0643641481706</v>
      </c>
      <c r="AM630" s="101">
        <f t="shared" si="709"/>
        <v>3616.0643641481706</v>
      </c>
      <c r="AN630" s="101">
        <f t="shared" si="710"/>
        <v>4886.3985211060972</v>
      </c>
      <c r="AO630" s="1">
        <v>36</v>
      </c>
      <c r="AP630" s="2">
        <v>36</v>
      </c>
      <c r="AQ630" s="74">
        <f t="shared" si="711"/>
        <v>657</v>
      </c>
      <c r="AR630" s="31">
        <f t="shared" si="712"/>
        <v>0</v>
      </c>
      <c r="AS630" s="2">
        <f t="shared" si="713"/>
        <v>1</v>
      </c>
      <c r="AT630" s="33">
        <f t="shared" si="714"/>
        <v>0</v>
      </c>
      <c r="AU630" s="31">
        <f t="shared" si="715"/>
        <v>0</v>
      </c>
      <c r="AV630" s="2">
        <f t="shared" si="716"/>
        <v>0</v>
      </c>
      <c r="AW630" s="33">
        <f t="shared" si="717"/>
        <v>1.36</v>
      </c>
      <c r="AX630" s="31">
        <f t="shared" si="718"/>
        <v>1</v>
      </c>
      <c r="AY630" s="33">
        <f t="shared" si="719"/>
        <v>1.2</v>
      </c>
      <c r="AZ630" s="2"/>
      <c r="BA630" s="101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</row>
    <row r="631" spans="1:71" ht="12" customHeight="1">
      <c r="A631" s="2"/>
      <c r="B631" s="107">
        <v>556</v>
      </c>
      <c r="C631" s="31">
        <v>10</v>
      </c>
      <c r="D631" s="111" t="s">
        <v>14</v>
      </c>
      <c r="E631" s="2" t="s">
        <v>151</v>
      </c>
      <c r="F631" s="2" t="s">
        <v>149</v>
      </c>
      <c r="G631" s="2"/>
      <c r="H631" s="33" t="s">
        <v>81</v>
      </c>
      <c r="I631" s="99">
        <f t="shared" si="0"/>
        <v>1120.2971404560165</v>
      </c>
      <c r="J631" s="101">
        <f t="shared" si="1"/>
        <v>23.695174714659018</v>
      </c>
      <c r="K631" s="101">
        <f t="shared" si="2"/>
        <v>115</v>
      </c>
      <c r="L631" s="74">
        <f t="shared" si="535"/>
        <v>97</v>
      </c>
      <c r="M631" s="99">
        <f t="shared" si="191"/>
        <v>31062.662763328546</v>
      </c>
      <c r="N631" s="101">
        <f t="shared" si="690"/>
        <v>9268.831563634385</v>
      </c>
      <c r="O631" s="101">
        <f t="shared" si="691"/>
        <v>9268.831563634385</v>
      </c>
      <c r="P631" s="101">
        <f t="shared" si="692"/>
        <v>12524.999636059778</v>
      </c>
      <c r="Q631" s="101">
        <f t="shared" si="693"/>
        <v>0</v>
      </c>
      <c r="R631" s="109"/>
      <c r="S631" s="99">
        <f t="shared" si="694"/>
        <v>17450.679239139514</v>
      </c>
      <c r="T631" s="101">
        <f t="shared" si="695"/>
        <v>5207.1326843733659</v>
      </c>
      <c r="U631" s="101">
        <f t="shared" si="696"/>
        <v>5207.1326843733659</v>
      </c>
      <c r="V631" s="101">
        <f t="shared" si="697"/>
        <v>7036.4138703927802</v>
      </c>
      <c r="W631" s="101">
        <f t="shared" si="698"/>
        <v>0</v>
      </c>
      <c r="X631" s="74"/>
      <c r="Y631" s="99">
        <f t="shared" si="8"/>
        <v>52352.037717418534</v>
      </c>
      <c r="Z631" s="101">
        <f t="shared" si="699"/>
        <v>15621.398053120098</v>
      </c>
      <c r="AA631" s="101">
        <f t="shared" si="700"/>
        <v>15621.398053120098</v>
      </c>
      <c r="AB631" s="101">
        <f t="shared" si="701"/>
        <v>21109.241611178339</v>
      </c>
      <c r="AC631" s="101">
        <f t="shared" si="702"/>
        <v>0</v>
      </c>
      <c r="AD631" s="74"/>
      <c r="AE631" s="99">
        <f t="shared" si="785"/>
        <v>27.727164197424003</v>
      </c>
      <c r="AF631" s="101">
        <f t="shared" ref="AF631" si="795">AP631</f>
        <v>36</v>
      </c>
      <c r="AG631" s="101">
        <f t="shared" si="704"/>
        <v>19.001300000000001</v>
      </c>
      <c r="AH631" s="101">
        <f t="shared" si="705"/>
        <v>657</v>
      </c>
      <c r="AI631" s="101">
        <f t="shared" si="706"/>
        <v>300</v>
      </c>
      <c r="AJ631" s="108">
        <f t="shared" si="707"/>
        <v>3.3333333333333335</v>
      </c>
      <c r="AK631" s="101">
        <f t="shared" si="461"/>
        <v>12118.527249402439</v>
      </c>
      <c r="AL631" s="101">
        <f t="shared" si="708"/>
        <v>3616.0643641481706</v>
      </c>
      <c r="AM631" s="101">
        <f t="shared" si="709"/>
        <v>3616.0643641481706</v>
      </c>
      <c r="AN631" s="101">
        <f t="shared" si="710"/>
        <v>4886.3985211060972</v>
      </c>
      <c r="AO631" s="1">
        <v>36</v>
      </c>
      <c r="AP631" s="2">
        <v>36</v>
      </c>
      <c r="AQ631" s="74">
        <f t="shared" si="711"/>
        <v>657</v>
      </c>
      <c r="AR631" s="31">
        <f t="shared" si="712"/>
        <v>50</v>
      </c>
      <c r="AS631" s="2">
        <f t="shared" si="713"/>
        <v>1</v>
      </c>
      <c r="AT631" s="33">
        <f t="shared" si="714"/>
        <v>0</v>
      </c>
      <c r="AU631" s="31">
        <f t="shared" si="715"/>
        <v>0</v>
      </c>
      <c r="AV631" s="2">
        <f t="shared" si="716"/>
        <v>0</v>
      </c>
      <c r="AW631" s="33">
        <f t="shared" si="717"/>
        <v>1</v>
      </c>
      <c r="AX631" s="31">
        <f t="shared" si="718"/>
        <v>1</v>
      </c>
      <c r="AY631" s="33">
        <f t="shared" si="719"/>
        <v>1.2</v>
      </c>
      <c r="AZ631" s="2"/>
      <c r="BA631" s="101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</row>
    <row r="632" spans="1:71" ht="12" customHeight="1">
      <c r="A632" s="2"/>
      <c r="B632" s="107">
        <v>557</v>
      </c>
      <c r="C632" s="31">
        <v>10</v>
      </c>
      <c r="D632" s="111" t="s">
        <v>14</v>
      </c>
      <c r="E632" s="2" t="s">
        <v>165</v>
      </c>
      <c r="F632" s="2" t="s">
        <v>149</v>
      </c>
      <c r="G632" s="2"/>
      <c r="H632" s="33" t="s">
        <v>81</v>
      </c>
      <c r="I632" s="99">
        <f t="shared" si="0"/>
        <v>1434.9827519178764</v>
      </c>
      <c r="J632" s="101">
        <f t="shared" si="1"/>
        <v>23.695174714659018</v>
      </c>
      <c r="K632" s="101">
        <f t="shared" si="2"/>
        <v>51</v>
      </c>
      <c r="L632" s="74">
        <f t="shared" si="535"/>
        <v>48</v>
      </c>
      <c r="M632" s="99">
        <f t="shared" si="191"/>
        <v>39788.00238289831</v>
      </c>
      <c r="N632" s="101">
        <f t="shared" si="690"/>
        <v>11872.39790582107</v>
      </c>
      <c r="O632" s="101">
        <f t="shared" si="691"/>
        <v>11872.39790582107</v>
      </c>
      <c r="P632" s="101">
        <f t="shared" si="692"/>
        <v>16043.206571256171</v>
      </c>
      <c r="Q632" s="101">
        <f t="shared" si="693"/>
        <v>0</v>
      </c>
      <c r="R632" s="109"/>
      <c r="S632" s="99">
        <f t="shared" si="694"/>
        <v>17450.679239139514</v>
      </c>
      <c r="T632" s="101">
        <f t="shared" si="695"/>
        <v>5207.1326843733659</v>
      </c>
      <c r="U632" s="101">
        <f t="shared" si="696"/>
        <v>5207.1326843733659</v>
      </c>
      <c r="V632" s="101">
        <f t="shared" si="697"/>
        <v>7036.4138703927802</v>
      </c>
      <c r="W632" s="101">
        <f t="shared" si="698"/>
        <v>0</v>
      </c>
      <c r="X632" s="74"/>
      <c r="Y632" s="99">
        <f t="shared" si="8"/>
        <v>52352.037717418534</v>
      </c>
      <c r="Z632" s="101">
        <f t="shared" si="699"/>
        <v>15621.398053120098</v>
      </c>
      <c r="AA632" s="101">
        <f t="shared" si="700"/>
        <v>15621.398053120098</v>
      </c>
      <c r="AB632" s="101">
        <f t="shared" si="701"/>
        <v>21109.241611178339</v>
      </c>
      <c r="AC632" s="101">
        <f t="shared" si="702"/>
        <v>0</v>
      </c>
      <c r="AD632" s="74"/>
      <c r="AE632" s="99">
        <f t="shared" si="785"/>
        <v>27.727164197424003</v>
      </c>
      <c r="AF632" s="101">
        <f t="shared" ref="AF632" si="796">AP632</f>
        <v>36</v>
      </c>
      <c r="AG632" s="101">
        <f t="shared" si="704"/>
        <v>44.001300000000001</v>
      </c>
      <c r="AH632" s="101">
        <f t="shared" si="705"/>
        <v>657</v>
      </c>
      <c r="AI632" s="101">
        <f t="shared" si="706"/>
        <v>300</v>
      </c>
      <c r="AJ632" s="108">
        <f t="shared" si="707"/>
        <v>3.3333333333333335</v>
      </c>
      <c r="AK632" s="101">
        <f t="shared" si="461"/>
        <v>12118.527249402439</v>
      </c>
      <c r="AL632" s="101">
        <f t="shared" si="708"/>
        <v>3616.0643641481706</v>
      </c>
      <c r="AM632" s="101">
        <f t="shared" si="709"/>
        <v>3616.0643641481706</v>
      </c>
      <c r="AN632" s="101">
        <f t="shared" si="710"/>
        <v>4886.3985211060972</v>
      </c>
      <c r="AO632" s="1">
        <v>36</v>
      </c>
      <c r="AP632" s="2">
        <v>36</v>
      </c>
      <c r="AQ632" s="74">
        <f t="shared" si="711"/>
        <v>657</v>
      </c>
      <c r="AR632" s="31">
        <f t="shared" si="712"/>
        <v>50</v>
      </c>
      <c r="AS632" s="2">
        <f t="shared" si="713"/>
        <v>1</v>
      </c>
      <c r="AT632" s="33">
        <f t="shared" si="714"/>
        <v>0</v>
      </c>
      <c r="AU632" s="31">
        <f t="shared" si="715"/>
        <v>25</v>
      </c>
      <c r="AV632" s="2">
        <f t="shared" si="716"/>
        <v>0</v>
      </c>
      <c r="AW632" s="33">
        <f t="shared" si="717"/>
        <v>1</v>
      </c>
      <c r="AX632" s="31">
        <f t="shared" si="718"/>
        <v>1</v>
      </c>
      <c r="AY632" s="33">
        <f t="shared" si="719"/>
        <v>1.2</v>
      </c>
      <c r="AZ632" s="2"/>
      <c r="BA632" s="101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</row>
    <row r="633" spans="1:71" ht="12" customHeight="1">
      <c r="A633" s="2"/>
      <c r="B633" s="107">
        <v>558</v>
      </c>
      <c r="C633" s="31">
        <v>10</v>
      </c>
      <c r="D633" s="111" t="s">
        <v>14</v>
      </c>
      <c r="E633" s="2" t="s">
        <v>157</v>
      </c>
      <c r="F633" s="2" t="s">
        <v>149</v>
      </c>
      <c r="G633" s="2"/>
      <c r="H633" s="33" t="s">
        <v>81</v>
      </c>
      <c r="I633" s="99">
        <f t="shared" si="0"/>
        <v>1227.1900160619371</v>
      </c>
      <c r="J633" s="101">
        <f t="shared" si="1"/>
        <v>23.695174714659018</v>
      </c>
      <c r="K633" s="101">
        <f t="shared" si="2"/>
        <v>91</v>
      </c>
      <c r="L633" s="74">
        <f t="shared" si="535"/>
        <v>80</v>
      </c>
      <c r="M633" s="99">
        <f t="shared" si="191"/>
        <v>34026.499076788728</v>
      </c>
      <c r="N633" s="101">
        <f t="shared" si="690"/>
        <v>9268.831563634385</v>
      </c>
      <c r="O633" s="101">
        <f t="shared" si="691"/>
        <v>9268.831563634385</v>
      </c>
      <c r="P633" s="101">
        <f t="shared" si="692"/>
        <v>15488.835949519958</v>
      </c>
      <c r="Q633" s="101">
        <f t="shared" si="693"/>
        <v>0</v>
      </c>
      <c r="R633" s="109"/>
      <c r="S633" s="99">
        <f t="shared" si="694"/>
        <v>17450.679239139514</v>
      </c>
      <c r="T633" s="101">
        <f t="shared" si="695"/>
        <v>5207.1326843733659</v>
      </c>
      <c r="U633" s="101">
        <f t="shared" si="696"/>
        <v>5207.1326843733659</v>
      </c>
      <c r="V633" s="101">
        <f t="shared" si="697"/>
        <v>7036.4138703927802</v>
      </c>
      <c r="W633" s="101">
        <f t="shared" si="698"/>
        <v>0</v>
      </c>
      <c r="X633" s="74"/>
      <c r="Y633" s="99">
        <f t="shared" si="8"/>
        <v>59951.364697442739</v>
      </c>
      <c r="Z633" s="101">
        <f t="shared" si="699"/>
        <v>15621.398053120098</v>
      </c>
      <c r="AA633" s="101">
        <f t="shared" si="700"/>
        <v>15621.398053120098</v>
      </c>
      <c r="AB633" s="101">
        <f t="shared" si="701"/>
        <v>28708.568591202544</v>
      </c>
      <c r="AC633" s="101">
        <f t="shared" si="702"/>
        <v>0</v>
      </c>
      <c r="AD633" s="74"/>
      <c r="AE633" s="99">
        <f t="shared" si="785"/>
        <v>27.727164197424003</v>
      </c>
      <c r="AF633" s="101">
        <f t="shared" ref="AF633" si="797">AP633</f>
        <v>36</v>
      </c>
      <c r="AG633" s="101">
        <f t="shared" si="704"/>
        <v>19.001300000000001</v>
      </c>
      <c r="AH633" s="101">
        <f t="shared" si="705"/>
        <v>657</v>
      </c>
      <c r="AI633" s="101">
        <f t="shared" si="706"/>
        <v>300</v>
      </c>
      <c r="AJ633" s="108">
        <f t="shared" si="707"/>
        <v>3.3333333333333335</v>
      </c>
      <c r="AK633" s="101">
        <f t="shared" si="461"/>
        <v>12118.527249402439</v>
      </c>
      <c r="AL633" s="101">
        <f t="shared" si="708"/>
        <v>3616.0643641481706</v>
      </c>
      <c r="AM633" s="101">
        <f t="shared" si="709"/>
        <v>3616.0643641481706</v>
      </c>
      <c r="AN633" s="101">
        <f t="shared" si="710"/>
        <v>4886.3985211060972</v>
      </c>
      <c r="AO633" s="1">
        <v>36</v>
      </c>
      <c r="AP633" s="2">
        <v>36</v>
      </c>
      <c r="AQ633" s="74">
        <f t="shared" si="711"/>
        <v>657</v>
      </c>
      <c r="AR633" s="31">
        <f t="shared" si="712"/>
        <v>50</v>
      </c>
      <c r="AS633" s="2">
        <f t="shared" si="713"/>
        <v>1</v>
      </c>
      <c r="AT633" s="33">
        <f t="shared" si="714"/>
        <v>0</v>
      </c>
      <c r="AU633" s="31">
        <f t="shared" si="715"/>
        <v>0</v>
      </c>
      <c r="AV633" s="2">
        <f t="shared" si="716"/>
        <v>0</v>
      </c>
      <c r="AW633" s="33">
        <f t="shared" si="717"/>
        <v>1.36</v>
      </c>
      <c r="AX633" s="31">
        <f t="shared" si="718"/>
        <v>1</v>
      </c>
      <c r="AY633" s="33">
        <f t="shared" si="719"/>
        <v>1.2</v>
      </c>
      <c r="AZ633" s="2"/>
      <c r="BA633" s="101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</row>
    <row r="634" spans="1:71" ht="12" customHeight="1">
      <c r="A634" s="2"/>
      <c r="B634" s="107">
        <v>559</v>
      </c>
      <c r="C634" s="31">
        <v>10</v>
      </c>
      <c r="D634" s="111" t="s">
        <v>14</v>
      </c>
      <c r="E634" s="2" t="s">
        <v>99</v>
      </c>
      <c r="F634" s="2" t="s">
        <v>149</v>
      </c>
      <c r="G634" s="2"/>
      <c r="H634" s="33" t="s">
        <v>81</v>
      </c>
      <c r="I634" s="99">
        <f t="shared" si="0"/>
        <v>997.56566107294225</v>
      </c>
      <c r="J634" s="101">
        <f t="shared" si="1"/>
        <v>11.847587357329509</v>
      </c>
      <c r="K634" s="101">
        <f t="shared" si="2"/>
        <v>163</v>
      </c>
      <c r="L634" s="74">
        <f t="shared" si="535"/>
        <v>124</v>
      </c>
      <c r="M634" s="99">
        <f t="shared" si="191"/>
        <v>27659.66688228129</v>
      </c>
      <c r="N634" s="101">
        <f t="shared" si="690"/>
        <v>8253.4068438191298</v>
      </c>
      <c r="O634" s="101">
        <f t="shared" si="691"/>
        <v>8253.4068438191298</v>
      </c>
      <c r="P634" s="101">
        <f t="shared" si="692"/>
        <v>11152.85319464303</v>
      </c>
      <c r="Q634" s="101">
        <f t="shared" si="693"/>
        <v>0</v>
      </c>
      <c r="R634" s="109"/>
      <c r="S634" s="99">
        <f t="shared" si="694"/>
        <v>17450.679239139514</v>
      </c>
      <c r="T634" s="101">
        <f t="shared" si="695"/>
        <v>5207.1326843733659</v>
      </c>
      <c r="U634" s="101">
        <f t="shared" si="696"/>
        <v>5207.1326843733659</v>
      </c>
      <c r="V634" s="101">
        <f t="shared" si="697"/>
        <v>7036.4138703927802</v>
      </c>
      <c r="W634" s="101">
        <f t="shared" si="698"/>
        <v>0</v>
      </c>
      <c r="X634" s="74"/>
      <c r="Y634" s="99">
        <f t="shared" si="8"/>
        <v>43626.698097848785</v>
      </c>
      <c r="Z634" s="101">
        <f t="shared" si="699"/>
        <v>13017.831710933415</v>
      </c>
      <c r="AA634" s="101">
        <f t="shared" si="700"/>
        <v>13017.831710933415</v>
      </c>
      <c r="AB634" s="101">
        <f t="shared" si="701"/>
        <v>17591.034675981951</v>
      </c>
      <c r="AC634" s="101">
        <f t="shared" si="702"/>
        <v>0</v>
      </c>
      <c r="AD634" s="74"/>
      <c r="AE634" s="99">
        <f t="shared" si="785"/>
        <v>27.727164197424003</v>
      </c>
      <c r="AF634" s="101">
        <f t="shared" ref="AF634" si="798">AP634</f>
        <v>36</v>
      </c>
      <c r="AG634" s="101">
        <f t="shared" si="704"/>
        <v>19.001300000000001</v>
      </c>
      <c r="AH634" s="101">
        <f t="shared" si="705"/>
        <v>328.5</v>
      </c>
      <c r="AI634" s="101">
        <f t="shared" si="706"/>
        <v>250</v>
      </c>
      <c r="AJ634" s="108">
        <f t="shared" si="707"/>
        <v>3.3333333333333335</v>
      </c>
      <c r="AK634" s="101">
        <f t="shared" si="461"/>
        <v>12118.527249402439</v>
      </c>
      <c r="AL634" s="101">
        <f t="shared" si="708"/>
        <v>3616.0643641481706</v>
      </c>
      <c r="AM634" s="101">
        <f t="shared" si="709"/>
        <v>3616.0643641481706</v>
      </c>
      <c r="AN634" s="101">
        <f t="shared" si="710"/>
        <v>4886.3985211060972</v>
      </c>
      <c r="AO634" s="1">
        <v>36</v>
      </c>
      <c r="AP634" s="2">
        <v>36</v>
      </c>
      <c r="AQ634" s="74">
        <f t="shared" si="711"/>
        <v>657</v>
      </c>
      <c r="AR634" s="31">
        <f t="shared" si="712"/>
        <v>0</v>
      </c>
      <c r="AS634" s="2">
        <f t="shared" si="713"/>
        <v>0.5</v>
      </c>
      <c r="AT634" s="33">
        <f t="shared" si="714"/>
        <v>0</v>
      </c>
      <c r="AU634" s="31">
        <f t="shared" si="715"/>
        <v>0</v>
      </c>
      <c r="AV634" s="2">
        <f t="shared" si="716"/>
        <v>0</v>
      </c>
      <c r="AW634" s="33">
        <f t="shared" si="717"/>
        <v>1</v>
      </c>
      <c r="AX634" s="31">
        <f t="shared" si="718"/>
        <v>1</v>
      </c>
      <c r="AY634" s="33">
        <f t="shared" si="719"/>
        <v>1.2</v>
      </c>
      <c r="AZ634" s="2"/>
      <c r="BA634" s="101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</row>
    <row r="635" spans="1:71" ht="12" customHeight="1">
      <c r="A635" s="2"/>
      <c r="B635" s="107">
        <v>560</v>
      </c>
      <c r="C635" s="31">
        <v>10</v>
      </c>
      <c r="D635" s="111" t="s">
        <v>14</v>
      </c>
      <c r="E635" s="2" t="s">
        <v>170</v>
      </c>
      <c r="F635" s="2" t="s">
        <v>149</v>
      </c>
      <c r="G635" s="2"/>
      <c r="H635" s="33" t="s">
        <v>81</v>
      </c>
      <c r="I635" s="99">
        <f t="shared" si="0"/>
        <v>1233.5798696693371</v>
      </c>
      <c r="J635" s="101">
        <f t="shared" si="1"/>
        <v>11.847587357329509</v>
      </c>
      <c r="K635" s="101">
        <f t="shared" si="2"/>
        <v>88</v>
      </c>
      <c r="L635" s="74">
        <f t="shared" si="535"/>
        <v>77</v>
      </c>
      <c r="M635" s="99">
        <f t="shared" si="191"/>
        <v>34203.671596958608</v>
      </c>
      <c r="N635" s="101">
        <f t="shared" si="690"/>
        <v>10206.081600459143</v>
      </c>
      <c r="O635" s="101">
        <f t="shared" si="691"/>
        <v>10206.081600459143</v>
      </c>
      <c r="P635" s="101">
        <f t="shared" si="692"/>
        <v>13791.508396040323</v>
      </c>
      <c r="Q635" s="101">
        <f t="shared" si="693"/>
        <v>0</v>
      </c>
      <c r="R635" s="109"/>
      <c r="S635" s="99">
        <f t="shared" si="694"/>
        <v>17450.679239139514</v>
      </c>
      <c r="T635" s="101">
        <f t="shared" si="695"/>
        <v>5207.1326843733659</v>
      </c>
      <c r="U635" s="101">
        <f t="shared" si="696"/>
        <v>5207.1326843733659</v>
      </c>
      <c r="V635" s="101">
        <f t="shared" si="697"/>
        <v>7036.4138703927802</v>
      </c>
      <c r="W635" s="101">
        <f t="shared" si="698"/>
        <v>0</v>
      </c>
      <c r="X635" s="74"/>
      <c r="Y635" s="99">
        <f t="shared" si="8"/>
        <v>43626.698097848785</v>
      </c>
      <c r="Z635" s="101">
        <f t="shared" si="699"/>
        <v>13017.831710933415</v>
      </c>
      <c r="AA635" s="101">
        <f t="shared" si="700"/>
        <v>13017.831710933415</v>
      </c>
      <c r="AB635" s="101">
        <f t="shared" si="701"/>
        <v>17591.034675981951</v>
      </c>
      <c r="AC635" s="101">
        <f t="shared" si="702"/>
        <v>0</v>
      </c>
      <c r="AD635" s="74"/>
      <c r="AE635" s="99">
        <f t="shared" si="785"/>
        <v>27.727164197424003</v>
      </c>
      <c r="AF635" s="101">
        <f t="shared" ref="AF635" si="799">AP635</f>
        <v>36</v>
      </c>
      <c r="AG635" s="101">
        <f t="shared" si="704"/>
        <v>44.001300000000001</v>
      </c>
      <c r="AH635" s="101">
        <f t="shared" si="705"/>
        <v>328.5</v>
      </c>
      <c r="AI635" s="101">
        <f t="shared" si="706"/>
        <v>250</v>
      </c>
      <c r="AJ635" s="108">
        <f t="shared" si="707"/>
        <v>3.3333333333333335</v>
      </c>
      <c r="AK635" s="101">
        <f t="shared" si="461"/>
        <v>12118.527249402439</v>
      </c>
      <c r="AL635" s="101">
        <f t="shared" si="708"/>
        <v>3616.0643641481706</v>
      </c>
      <c r="AM635" s="101">
        <f t="shared" si="709"/>
        <v>3616.0643641481706</v>
      </c>
      <c r="AN635" s="101">
        <f t="shared" si="710"/>
        <v>4886.3985211060972</v>
      </c>
      <c r="AO635" s="1">
        <v>36</v>
      </c>
      <c r="AP635" s="2">
        <v>36</v>
      </c>
      <c r="AQ635" s="74">
        <f t="shared" si="711"/>
        <v>657</v>
      </c>
      <c r="AR635" s="31">
        <f t="shared" si="712"/>
        <v>0</v>
      </c>
      <c r="AS635" s="2">
        <f t="shared" si="713"/>
        <v>0.5</v>
      </c>
      <c r="AT635" s="33">
        <f t="shared" si="714"/>
        <v>0</v>
      </c>
      <c r="AU635" s="31">
        <f t="shared" si="715"/>
        <v>25</v>
      </c>
      <c r="AV635" s="2">
        <f t="shared" si="716"/>
        <v>0</v>
      </c>
      <c r="AW635" s="33">
        <f t="shared" si="717"/>
        <v>1</v>
      </c>
      <c r="AX635" s="31">
        <f t="shared" si="718"/>
        <v>1</v>
      </c>
      <c r="AY635" s="33">
        <f t="shared" si="719"/>
        <v>1.2</v>
      </c>
      <c r="AZ635" s="2"/>
      <c r="BA635" s="101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</row>
    <row r="636" spans="1:71" ht="12" customHeight="1">
      <c r="A636" s="2"/>
      <c r="B636" s="107">
        <v>561</v>
      </c>
      <c r="C636" s="31">
        <v>10</v>
      </c>
      <c r="D636" s="111" t="s">
        <v>14</v>
      </c>
      <c r="E636" s="2" t="s">
        <v>108</v>
      </c>
      <c r="F636" s="2" t="s">
        <v>149</v>
      </c>
      <c r="G636" s="2"/>
      <c r="H636" s="33" t="s">
        <v>81</v>
      </c>
      <c r="I636" s="99">
        <f t="shared" si="0"/>
        <v>1086.6430574112094</v>
      </c>
      <c r="J636" s="101">
        <f t="shared" si="1"/>
        <v>11.847587357329509</v>
      </c>
      <c r="K636" s="101">
        <f t="shared" si="2"/>
        <v>124</v>
      </c>
      <c r="L636" s="74">
        <f t="shared" si="535"/>
        <v>102</v>
      </c>
      <c r="M636" s="99">
        <f t="shared" si="191"/>
        <v>30129.530476831438</v>
      </c>
      <c r="N636" s="101">
        <f t="shared" si="690"/>
        <v>8253.4068438191298</v>
      </c>
      <c r="O636" s="101">
        <f t="shared" si="691"/>
        <v>8253.4068438191298</v>
      </c>
      <c r="P636" s="101">
        <f t="shared" si="692"/>
        <v>13622.716789193179</v>
      </c>
      <c r="Q636" s="101">
        <f t="shared" si="693"/>
        <v>0</v>
      </c>
      <c r="R636" s="109"/>
      <c r="S636" s="99">
        <f t="shared" si="694"/>
        <v>17450.679239139514</v>
      </c>
      <c r="T636" s="101">
        <f t="shared" si="695"/>
        <v>5207.1326843733659</v>
      </c>
      <c r="U636" s="101">
        <f t="shared" si="696"/>
        <v>5207.1326843733659</v>
      </c>
      <c r="V636" s="101">
        <f t="shared" si="697"/>
        <v>7036.4138703927802</v>
      </c>
      <c r="W636" s="101">
        <f t="shared" si="698"/>
        <v>0</v>
      </c>
      <c r="X636" s="74"/>
      <c r="Y636" s="99">
        <f t="shared" si="8"/>
        <v>49959.470581202288</v>
      </c>
      <c r="Z636" s="101">
        <f t="shared" si="699"/>
        <v>13017.831710933415</v>
      </c>
      <c r="AA636" s="101">
        <f t="shared" si="700"/>
        <v>13017.831710933415</v>
      </c>
      <c r="AB636" s="101">
        <f t="shared" si="701"/>
        <v>23923.807159335454</v>
      </c>
      <c r="AC636" s="101">
        <f t="shared" si="702"/>
        <v>0</v>
      </c>
      <c r="AD636" s="74"/>
      <c r="AE636" s="99">
        <f t="shared" si="785"/>
        <v>27.727164197424003</v>
      </c>
      <c r="AF636" s="101">
        <f t="shared" ref="AF636" si="800">AP636</f>
        <v>36</v>
      </c>
      <c r="AG636" s="101">
        <f t="shared" si="704"/>
        <v>19.001300000000001</v>
      </c>
      <c r="AH636" s="101">
        <f t="shared" si="705"/>
        <v>328.5</v>
      </c>
      <c r="AI636" s="101">
        <f t="shared" si="706"/>
        <v>250</v>
      </c>
      <c r="AJ636" s="108">
        <f t="shared" si="707"/>
        <v>3.3333333333333335</v>
      </c>
      <c r="AK636" s="101">
        <f t="shared" si="461"/>
        <v>12118.527249402439</v>
      </c>
      <c r="AL636" s="101">
        <f t="shared" si="708"/>
        <v>3616.0643641481706</v>
      </c>
      <c r="AM636" s="101">
        <f t="shared" si="709"/>
        <v>3616.0643641481706</v>
      </c>
      <c r="AN636" s="101">
        <f t="shared" si="710"/>
        <v>4886.3985211060972</v>
      </c>
      <c r="AO636" s="1">
        <v>36</v>
      </c>
      <c r="AP636" s="2">
        <v>36</v>
      </c>
      <c r="AQ636" s="74">
        <f t="shared" si="711"/>
        <v>657</v>
      </c>
      <c r="AR636" s="31">
        <f t="shared" si="712"/>
        <v>0</v>
      </c>
      <c r="AS636" s="2">
        <f t="shared" si="713"/>
        <v>0.5</v>
      </c>
      <c r="AT636" s="33">
        <f t="shared" si="714"/>
        <v>0</v>
      </c>
      <c r="AU636" s="31">
        <f t="shared" si="715"/>
        <v>0</v>
      </c>
      <c r="AV636" s="2">
        <f t="shared" si="716"/>
        <v>0</v>
      </c>
      <c r="AW636" s="33">
        <f t="shared" si="717"/>
        <v>1.36</v>
      </c>
      <c r="AX636" s="31">
        <f t="shared" si="718"/>
        <v>1</v>
      </c>
      <c r="AY636" s="33">
        <f t="shared" si="719"/>
        <v>1.2</v>
      </c>
      <c r="AZ636" s="2"/>
      <c r="BA636" s="101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</row>
    <row r="637" spans="1:71" ht="12" customHeight="1">
      <c r="A637" s="2"/>
      <c r="B637" s="107">
        <v>562</v>
      </c>
      <c r="C637" s="31">
        <v>7</v>
      </c>
      <c r="D637" s="111" t="s">
        <v>14</v>
      </c>
      <c r="E637" s="2" t="s">
        <v>67</v>
      </c>
      <c r="F637" s="2" t="s">
        <v>149</v>
      </c>
      <c r="G637" s="1"/>
      <c r="H637" s="33" t="s">
        <v>81</v>
      </c>
      <c r="I637" s="99">
        <f t="shared" si="0"/>
        <v>697.77063111172617</v>
      </c>
      <c r="J637" s="101">
        <f t="shared" si="1"/>
        <v>16.518097441877977</v>
      </c>
      <c r="K637" s="101">
        <f t="shared" si="2"/>
        <v>359</v>
      </c>
      <c r="L637" s="74">
        <f t="shared" si="535"/>
        <v>230</v>
      </c>
      <c r="M637" s="99">
        <f t="shared" si="191"/>
        <v>19347.200860975005</v>
      </c>
      <c r="N637" s="101">
        <f t="shared" si="690"/>
        <v>5774.3055459795614</v>
      </c>
      <c r="O637" s="101">
        <f t="shared" si="691"/>
        <v>5774.3055459795614</v>
      </c>
      <c r="P637" s="101">
        <f t="shared" si="692"/>
        <v>7798.5897690158799</v>
      </c>
      <c r="Q637" s="101">
        <f t="shared" si="693"/>
        <v>0</v>
      </c>
      <c r="R637" s="109"/>
      <c r="S637" s="99">
        <f t="shared" si="694"/>
        <v>13918.719365196586</v>
      </c>
      <c r="T637" s="101">
        <f t="shared" si="695"/>
        <v>4154.1378001353669</v>
      </c>
      <c r="U637" s="101">
        <f t="shared" si="696"/>
        <v>4154.1378001353669</v>
      </c>
      <c r="V637" s="101">
        <f t="shared" si="697"/>
        <v>5610.4437649258534</v>
      </c>
      <c r="W637" s="101">
        <f t="shared" si="698"/>
        <v>0</v>
      </c>
      <c r="X637" s="74"/>
      <c r="Y637" s="99">
        <f t="shared" si="8"/>
        <v>27837.438730393173</v>
      </c>
      <c r="Z637" s="101">
        <f t="shared" si="699"/>
        <v>8308.2756002707338</v>
      </c>
      <c r="AA637" s="101">
        <f t="shared" si="700"/>
        <v>8308.2756002707338</v>
      </c>
      <c r="AB637" s="101">
        <f t="shared" si="701"/>
        <v>11220.887529851705</v>
      </c>
      <c r="AC637" s="101">
        <f t="shared" si="702"/>
        <v>0</v>
      </c>
      <c r="AD637" s="74"/>
      <c r="AE637" s="99">
        <f t="shared" si="785"/>
        <v>27.727164197424003</v>
      </c>
      <c r="AF637" s="101">
        <f t="shared" ref="AF637" si="801">AP637</f>
        <v>36</v>
      </c>
      <c r="AG637" s="101">
        <f t="shared" si="704"/>
        <v>19.001300000000001</v>
      </c>
      <c r="AH637" s="101">
        <f t="shared" si="705"/>
        <v>458</v>
      </c>
      <c r="AI637" s="101">
        <f t="shared" si="706"/>
        <v>200</v>
      </c>
      <c r="AJ637" s="108">
        <f t="shared" si="707"/>
        <v>3.3333333333333335</v>
      </c>
      <c r="AK637" s="101">
        <f t="shared" si="461"/>
        <v>11598.932804330489</v>
      </c>
      <c r="AL637" s="101">
        <f t="shared" si="708"/>
        <v>3461.7815001128056</v>
      </c>
      <c r="AM637" s="101">
        <f t="shared" si="709"/>
        <v>3461.7815001128056</v>
      </c>
      <c r="AN637" s="101">
        <f t="shared" si="710"/>
        <v>4675.3698041048783</v>
      </c>
      <c r="AO637" s="1">
        <v>36</v>
      </c>
      <c r="AP637" s="2">
        <v>36</v>
      </c>
      <c r="AQ637" s="74">
        <f t="shared" si="711"/>
        <v>458</v>
      </c>
      <c r="AR637" s="31">
        <f t="shared" si="712"/>
        <v>0</v>
      </c>
      <c r="AS637" s="2">
        <f t="shared" si="713"/>
        <v>1</v>
      </c>
      <c r="AT637" s="33">
        <f t="shared" si="714"/>
        <v>0</v>
      </c>
      <c r="AU637" s="31">
        <f t="shared" si="715"/>
        <v>0</v>
      </c>
      <c r="AV637" s="2">
        <f t="shared" si="716"/>
        <v>0</v>
      </c>
      <c r="AW637" s="33">
        <f t="shared" si="717"/>
        <v>1</v>
      </c>
      <c r="AX637" s="31">
        <f t="shared" si="718"/>
        <v>1</v>
      </c>
      <c r="AY637" s="33">
        <f t="shared" si="719"/>
        <v>1</v>
      </c>
      <c r="AZ637" s="2"/>
      <c r="BA637" s="101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</row>
    <row r="638" spans="1:71" ht="12" customHeight="1">
      <c r="A638" s="2"/>
      <c r="B638" s="107">
        <v>563</v>
      </c>
      <c r="C638" s="31">
        <v>7</v>
      </c>
      <c r="D638" s="111" t="s">
        <v>14</v>
      </c>
      <c r="E638" s="2" t="s">
        <v>136</v>
      </c>
      <c r="F638" s="2" t="s">
        <v>149</v>
      </c>
      <c r="G638" s="2"/>
      <c r="H638" s="33" t="s">
        <v>81</v>
      </c>
      <c r="I638" s="99">
        <f t="shared" si="0"/>
        <v>823.26777234560791</v>
      </c>
      <c r="J638" s="101">
        <f t="shared" si="1"/>
        <v>16.518097441877977</v>
      </c>
      <c r="K638" s="101">
        <f t="shared" si="2"/>
        <v>255</v>
      </c>
      <c r="L638" s="74">
        <f t="shared" si="535"/>
        <v>180</v>
      </c>
      <c r="M638" s="99">
        <f t="shared" si="191"/>
        <v>22826.880702274153</v>
      </c>
      <c r="N638" s="101">
        <f t="shared" si="690"/>
        <v>6812.8399960134038</v>
      </c>
      <c r="O638" s="101">
        <f t="shared" si="691"/>
        <v>6812.8399960134038</v>
      </c>
      <c r="P638" s="101">
        <f t="shared" si="692"/>
        <v>9201.2007102473453</v>
      </c>
      <c r="Q638" s="101">
        <f t="shared" si="693"/>
        <v>0</v>
      </c>
      <c r="R638" s="109"/>
      <c r="S638" s="99">
        <f t="shared" si="694"/>
        <v>13918.719365196586</v>
      </c>
      <c r="T638" s="101">
        <f t="shared" si="695"/>
        <v>4154.1378001353669</v>
      </c>
      <c r="U638" s="101">
        <f t="shared" si="696"/>
        <v>4154.1378001353669</v>
      </c>
      <c r="V638" s="101">
        <f t="shared" si="697"/>
        <v>5610.4437649258534</v>
      </c>
      <c r="W638" s="101">
        <f t="shared" si="698"/>
        <v>0</v>
      </c>
      <c r="X638" s="74"/>
      <c r="Y638" s="99">
        <f t="shared" si="8"/>
        <v>27837.438730393173</v>
      </c>
      <c r="Z638" s="101">
        <f t="shared" si="699"/>
        <v>8308.2756002707338</v>
      </c>
      <c r="AA638" s="101">
        <f t="shared" si="700"/>
        <v>8308.2756002707338</v>
      </c>
      <c r="AB638" s="101">
        <f t="shared" si="701"/>
        <v>11220.887529851705</v>
      </c>
      <c r="AC638" s="101">
        <f t="shared" si="702"/>
        <v>0</v>
      </c>
      <c r="AD638" s="74"/>
      <c r="AE638" s="99">
        <f t="shared" si="785"/>
        <v>27.727164197424003</v>
      </c>
      <c r="AF638" s="101">
        <f t="shared" ref="AF638" si="802">AP638</f>
        <v>36</v>
      </c>
      <c r="AG638" s="101">
        <f t="shared" si="704"/>
        <v>44.001300000000001</v>
      </c>
      <c r="AH638" s="101">
        <f t="shared" si="705"/>
        <v>458</v>
      </c>
      <c r="AI638" s="101">
        <f t="shared" si="706"/>
        <v>200</v>
      </c>
      <c r="AJ638" s="108">
        <f t="shared" si="707"/>
        <v>3.3333333333333335</v>
      </c>
      <c r="AK638" s="101">
        <f t="shared" si="461"/>
        <v>11598.932804330489</v>
      </c>
      <c r="AL638" s="101">
        <f t="shared" si="708"/>
        <v>3461.7815001128056</v>
      </c>
      <c r="AM638" s="101">
        <f t="shared" si="709"/>
        <v>3461.7815001128056</v>
      </c>
      <c r="AN638" s="101">
        <f t="shared" si="710"/>
        <v>4675.3698041048783</v>
      </c>
      <c r="AO638" s="1">
        <v>36</v>
      </c>
      <c r="AP638" s="2">
        <v>36</v>
      </c>
      <c r="AQ638" s="74">
        <f t="shared" si="711"/>
        <v>458</v>
      </c>
      <c r="AR638" s="31">
        <f t="shared" si="712"/>
        <v>0</v>
      </c>
      <c r="AS638" s="2">
        <f t="shared" si="713"/>
        <v>1</v>
      </c>
      <c r="AT638" s="33">
        <f t="shared" si="714"/>
        <v>0</v>
      </c>
      <c r="AU638" s="31">
        <f t="shared" si="715"/>
        <v>25</v>
      </c>
      <c r="AV638" s="2">
        <f t="shared" si="716"/>
        <v>0</v>
      </c>
      <c r="AW638" s="33">
        <f t="shared" si="717"/>
        <v>1</v>
      </c>
      <c r="AX638" s="31">
        <f t="shared" si="718"/>
        <v>1</v>
      </c>
      <c r="AY638" s="33">
        <f t="shared" si="719"/>
        <v>1</v>
      </c>
      <c r="AZ638" s="2"/>
      <c r="BA638" s="101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</row>
    <row r="639" spans="1:71" ht="12" customHeight="1">
      <c r="A639" s="2"/>
      <c r="B639" s="107">
        <v>564</v>
      </c>
      <c r="C639" s="31">
        <v>7</v>
      </c>
      <c r="D639" s="111" t="s">
        <v>14</v>
      </c>
      <c r="E639" s="2" t="s">
        <v>91</v>
      </c>
      <c r="F639" s="2" t="s">
        <v>149</v>
      </c>
      <c r="G639" s="2"/>
      <c r="H639" s="33" t="s">
        <v>81</v>
      </c>
      <c r="I639" s="99">
        <f t="shared" si="0"/>
        <v>754.59090713155763</v>
      </c>
      <c r="J639" s="101">
        <f t="shared" si="1"/>
        <v>16.518097441877977</v>
      </c>
      <c r="K639" s="101">
        <f t="shared" si="2"/>
        <v>301</v>
      </c>
      <c r="L639" s="74">
        <f t="shared" si="535"/>
        <v>205</v>
      </c>
      <c r="M639" s="99">
        <f t="shared" si="191"/>
        <v>20922.665983919826</v>
      </c>
      <c r="N639" s="101">
        <f t="shared" si="690"/>
        <v>5774.3055459795614</v>
      </c>
      <c r="O639" s="101">
        <f t="shared" si="691"/>
        <v>5774.3055459795614</v>
      </c>
      <c r="P639" s="101">
        <f t="shared" si="692"/>
        <v>9374.0548919607008</v>
      </c>
      <c r="Q639" s="101">
        <f t="shared" si="693"/>
        <v>0</v>
      </c>
      <c r="R639" s="109"/>
      <c r="S639" s="99">
        <f t="shared" si="694"/>
        <v>13918.719365196586</v>
      </c>
      <c r="T639" s="101">
        <f t="shared" si="695"/>
        <v>4154.1378001353669</v>
      </c>
      <c r="U639" s="101">
        <f t="shared" si="696"/>
        <v>4154.1378001353669</v>
      </c>
      <c r="V639" s="101">
        <f t="shared" si="697"/>
        <v>5610.4437649258534</v>
      </c>
      <c r="W639" s="101">
        <f t="shared" si="698"/>
        <v>0</v>
      </c>
      <c r="X639" s="74"/>
      <c r="Y639" s="99">
        <f t="shared" si="8"/>
        <v>31876.958241139786</v>
      </c>
      <c r="Z639" s="101">
        <f t="shared" si="699"/>
        <v>8308.2756002707338</v>
      </c>
      <c r="AA639" s="101">
        <f t="shared" si="700"/>
        <v>8308.2756002707338</v>
      </c>
      <c r="AB639" s="101">
        <f t="shared" si="701"/>
        <v>15260.40704059832</v>
      </c>
      <c r="AC639" s="101">
        <f t="shared" si="702"/>
        <v>0</v>
      </c>
      <c r="AD639" s="74"/>
      <c r="AE639" s="99">
        <f t="shared" si="785"/>
        <v>27.727164197424003</v>
      </c>
      <c r="AF639" s="101">
        <f t="shared" ref="AF639" si="803">AP639</f>
        <v>36</v>
      </c>
      <c r="AG639" s="101">
        <f t="shared" si="704"/>
        <v>19.001300000000001</v>
      </c>
      <c r="AH639" s="101">
        <f t="shared" si="705"/>
        <v>458</v>
      </c>
      <c r="AI639" s="101">
        <f t="shared" si="706"/>
        <v>200</v>
      </c>
      <c r="AJ639" s="108">
        <f t="shared" si="707"/>
        <v>3.3333333333333335</v>
      </c>
      <c r="AK639" s="101">
        <f t="shared" si="461"/>
        <v>11598.932804330489</v>
      </c>
      <c r="AL639" s="101">
        <f t="shared" si="708"/>
        <v>3461.7815001128056</v>
      </c>
      <c r="AM639" s="101">
        <f t="shared" si="709"/>
        <v>3461.7815001128056</v>
      </c>
      <c r="AN639" s="101">
        <f t="shared" si="710"/>
        <v>4675.3698041048783</v>
      </c>
      <c r="AO639" s="1">
        <v>36</v>
      </c>
      <c r="AP639" s="2">
        <v>36</v>
      </c>
      <c r="AQ639" s="74">
        <f t="shared" si="711"/>
        <v>458</v>
      </c>
      <c r="AR639" s="31">
        <f t="shared" si="712"/>
        <v>0</v>
      </c>
      <c r="AS639" s="2">
        <f t="shared" si="713"/>
        <v>1</v>
      </c>
      <c r="AT639" s="33">
        <f t="shared" si="714"/>
        <v>0</v>
      </c>
      <c r="AU639" s="31">
        <f t="shared" si="715"/>
        <v>0</v>
      </c>
      <c r="AV639" s="2">
        <f t="shared" si="716"/>
        <v>0</v>
      </c>
      <c r="AW639" s="33">
        <f t="shared" si="717"/>
        <v>1.36</v>
      </c>
      <c r="AX639" s="31">
        <f t="shared" si="718"/>
        <v>1</v>
      </c>
      <c r="AY639" s="33">
        <f t="shared" si="719"/>
        <v>1</v>
      </c>
      <c r="AZ639" s="2"/>
      <c r="BA639" s="101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</row>
    <row r="640" spans="1:71" ht="12" customHeight="1">
      <c r="A640" s="2"/>
      <c r="B640" s="107">
        <v>565</v>
      </c>
      <c r="C640" s="31">
        <v>7</v>
      </c>
      <c r="D640" s="111" t="s">
        <v>14</v>
      </c>
      <c r="E640" s="2" t="s">
        <v>148</v>
      </c>
      <c r="F640" s="2" t="s">
        <v>149</v>
      </c>
      <c r="G640" s="2"/>
      <c r="H640" s="33" t="s">
        <v>81</v>
      </c>
      <c r="I640" s="99">
        <f t="shared" si="0"/>
        <v>795.66166419982585</v>
      </c>
      <c r="J640" s="101">
        <f t="shared" si="1"/>
        <v>16.518097441877977</v>
      </c>
      <c r="K640" s="101">
        <f t="shared" si="2"/>
        <v>270</v>
      </c>
      <c r="L640" s="74">
        <f t="shared" si="535"/>
        <v>189</v>
      </c>
      <c r="M640" s="99">
        <f t="shared" si="191"/>
        <v>22061.44160886421</v>
      </c>
      <c r="N640" s="101">
        <f t="shared" si="690"/>
        <v>6584.3894189016592</v>
      </c>
      <c r="O640" s="101">
        <f t="shared" si="691"/>
        <v>6584.3894189016592</v>
      </c>
      <c r="P640" s="101">
        <f t="shared" si="692"/>
        <v>8892.6627710608936</v>
      </c>
      <c r="Q640" s="101">
        <f t="shared" si="693"/>
        <v>0</v>
      </c>
      <c r="R640" s="109"/>
      <c r="S640" s="99">
        <f t="shared" si="694"/>
        <v>13918.719365196586</v>
      </c>
      <c r="T640" s="101">
        <f t="shared" si="695"/>
        <v>4154.1378001353669</v>
      </c>
      <c r="U640" s="101">
        <f t="shared" si="696"/>
        <v>4154.1378001353669</v>
      </c>
      <c r="V640" s="101">
        <f t="shared" si="697"/>
        <v>5610.4437649258534</v>
      </c>
      <c r="W640" s="101">
        <f t="shared" si="698"/>
        <v>0</v>
      </c>
      <c r="X640" s="74"/>
      <c r="Y640" s="99">
        <f t="shared" si="8"/>
        <v>34796.798412991469</v>
      </c>
      <c r="Z640" s="101">
        <f t="shared" si="699"/>
        <v>10385.344500338419</v>
      </c>
      <c r="AA640" s="101">
        <f t="shared" si="700"/>
        <v>10385.344500338419</v>
      </c>
      <c r="AB640" s="101">
        <f t="shared" si="701"/>
        <v>14026.109412314634</v>
      </c>
      <c r="AC640" s="101">
        <f t="shared" si="702"/>
        <v>0</v>
      </c>
      <c r="AD640" s="74"/>
      <c r="AE640" s="99">
        <f t="shared" si="785"/>
        <v>27.727164197424003</v>
      </c>
      <c r="AF640" s="101">
        <f t="shared" ref="AF640" si="804">AP640</f>
        <v>36</v>
      </c>
      <c r="AG640" s="101">
        <f t="shared" si="704"/>
        <v>19.001300000000001</v>
      </c>
      <c r="AH640" s="101">
        <f t="shared" si="705"/>
        <v>458</v>
      </c>
      <c r="AI640" s="101">
        <f t="shared" si="706"/>
        <v>250</v>
      </c>
      <c r="AJ640" s="108">
        <f t="shared" si="707"/>
        <v>3.3333333333333335</v>
      </c>
      <c r="AK640" s="101">
        <f t="shared" si="461"/>
        <v>11598.932804330489</v>
      </c>
      <c r="AL640" s="101">
        <f t="shared" si="708"/>
        <v>3461.7815001128056</v>
      </c>
      <c r="AM640" s="101">
        <f t="shared" si="709"/>
        <v>3461.7815001128056</v>
      </c>
      <c r="AN640" s="101">
        <f t="shared" si="710"/>
        <v>4675.3698041048783</v>
      </c>
      <c r="AO640" s="1">
        <v>36</v>
      </c>
      <c r="AP640" s="2">
        <v>36</v>
      </c>
      <c r="AQ640" s="74">
        <f t="shared" si="711"/>
        <v>458</v>
      </c>
      <c r="AR640" s="31">
        <f t="shared" si="712"/>
        <v>50</v>
      </c>
      <c r="AS640" s="2">
        <f t="shared" si="713"/>
        <v>1</v>
      </c>
      <c r="AT640" s="33">
        <f t="shared" si="714"/>
        <v>0</v>
      </c>
      <c r="AU640" s="31">
        <f t="shared" si="715"/>
        <v>0</v>
      </c>
      <c r="AV640" s="2">
        <f t="shared" si="716"/>
        <v>0</v>
      </c>
      <c r="AW640" s="33">
        <f t="shared" si="717"/>
        <v>1</v>
      </c>
      <c r="AX640" s="31">
        <f t="shared" si="718"/>
        <v>1</v>
      </c>
      <c r="AY640" s="33">
        <f t="shared" si="719"/>
        <v>1</v>
      </c>
      <c r="AZ640" s="2"/>
      <c r="BA640" s="101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</row>
    <row r="641" spans="1:71" ht="12" customHeight="1">
      <c r="A641" s="2"/>
      <c r="B641" s="107">
        <v>566</v>
      </c>
      <c r="C641" s="31">
        <v>7</v>
      </c>
      <c r="D641" s="111" t="s">
        <v>14</v>
      </c>
      <c r="E641" s="2" t="s">
        <v>163</v>
      </c>
      <c r="F641" s="2" t="s">
        <v>149</v>
      </c>
      <c r="G641" s="2"/>
      <c r="H641" s="33" t="s">
        <v>81</v>
      </c>
      <c r="I641" s="99">
        <f t="shared" si="0"/>
        <v>983.90737605064839</v>
      </c>
      <c r="J641" s="101">
        <f t="shared" si="1"/>
        <v>16.518097441877977</v>
      </c>
      <c r="K641" s="101">
        <f t="shared" si="2"/>
        <v>171</v>
      </c>
      <c r="L641" s="74">
        <f t="shared" si="535"/>
        <v>131</v>
      </c>
      <c r="M641" s="99">
        <f t="shared" si="191"/>
        <v>27280.961370812933</v>
      </c>
      <c r="N641" s="101">
        <f t="shared" si="690"/>
        <v>8142.1910939524214</v>
      </c>
      <c r="O641" s="101">
        <f t="shared" si="691"/>
        <v>8142.1910939524214</v>
      </c>
      <c r="P641" s="101">
        <f t="shared" si="692"/>
        <v>10996.579182908088</v>
      </c>
      <c r="Q641" s="101">
        <f t="shared" si="693"/>
        <v>0</v>
      </c>
      <c r="R641" s="109"/>
      <c r="S641" s="99">
        <f t="shared" si="694"/>
        <v>13918.719365196586</v>
      </c>
      <c r="T641" s="101">
        <f t="shared" si="695"/>
        <v>4154.1378001353669</v>
      </c>
      <c r="U641" s="101">
        <f t="shared" si="696"/>
        <v>4154.1378001353669</v>
      </c>
      <c r="V641" s="101">
        <f t="shared" si="697"/>
        <v>5610.4437649258534</v>
      </c>
      <c r="W641" s="101">
        <f t="shared" si="698"/>
        <v>0</v>
      </c>
      <c r="X641" s="74"/>
      <c r="Y641" s="99">
        <f t="shared" si="8"/>
        <v>34796.798412991469</v>
      </c>
      <c r="Z641" s="101">
        <f t="shared" si="699"/>
        <v>10385.344500338419</v>
      </c>
      <c r="AA641" s="101">
        <f t="shared" si="700"/>
        <v>10385.344500338419</v>
      </c>
      <c r="AB641" s="101">
        <f t="shared" si="701"/>
        <v>14026.109412314634</v>
      </c>
      <c r="AC641" s="101">
        <f t="shared" si="702"/>
        <v>0</v>
      </c>
      <c r="AD641" s="74"/>
      <c r="AE641" s="99">
        <f t="shared" si="785"/>
        <v>27.727164197424003</v>
      </c>
      <c r="AF641" s="101">
        <f t="shared" ref="AF641" si="805">AP641</f>
        <v>36</v>
      </c>
      <c r="AG641" s="101">
        <f t="shared" si="704"/>
        <v>44.001300000000001</v>
      </c>
      <c r="AH641" s="101">
        <f t="shared" si="705"/>
        <v>458</v>
      </c>
      <c r="AI641" s="101">
        <f t="shared" si="706"/>
        <v>250</v>
      </c>
      <c r="AJ641" s="108">
        <f t="shared" si="707"/>
        <v>3.3333333333333335</v>
      </c>
      <c r="AK641" s="101">
        <f t="shared" si="461"/>
        <v>11598.932804330489</v>
      </c>
      <c r="AL641" s="101">
        <f t="shared" si="708"/>
        <v>3461.7815001128056</v>
      </c>
      <c r="AM641" s="101">
        <f t="shared" si="709"/>
        <v>3461.7815001128056</v>
      </c>
      <c r="AN641" s="101">
        <f t="shared" si="710"/>
        <v>4675.3698041048783</v>
      </c>
      <c r="AO641" s="1">
        <v>36</v>
      </c>
      <c r="AP641" s="2">
        <v>36</v>
      </c>
      <c r="AQ641" s="74">
        <f t="shared" si="711"/>
        <v>458</v>
      </c>
      <c r="AR641" s="31">
        <f t="shared" si="712"/>
        <v>50</v>
      </c>
      <c r="AS641" s="2">
        <f t="shared" si="713"/>
        <v>1</v>
      </c>
      <c r="AT641" s="33">
        <f t="shared" si="714"/>
        <v>0</v>
      </c>
      <c r="AU641" s="31">
        <f t="shared" si="715"/>
        <v>25</v>
      </c>
      <c r="AV641" s="2">
        <f t="shared" si="716"/>
        <v>0</v>
      </c>
      <c r="AW641" s="33">
        <f t="shared" si="717"/>
        <v>1</v>
      </c>
      <c r="AX641" s="31">
        <f t="shared" si="718"/>
        <v>1</v>
      </c>
      <c r="AY641" s="33">
        <f t="shared" si="719"/>
        <v>1</v>
      </c>
      <c r="AZ641" s="2"/>
      <c r="BA641" s="101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</row>
    <row r="642" spans="1:71" ht="12" customHeight="1">
      <c r="A642" s="2"/>
      <c r="B642" s="107">
        <v>567</v>
      </c>
      <c r="C642" s="31">
        <v>7</v>
      </c>
      <c r="D642" s="111" t="s">
        <v>14</v>
      </c>
      <c r="E642" s="2" t="s">
        <v>155</v>
      </c>
      <c r="F642" s="2" t="s">
        <v>149</v>
      </c>
      <c r="G642" s="2"/>
      <c r="H642" s="33" t="s">
        <v>81</v>
      </c>
      <c r="I642" s="99">
        <f t="shared" si="0"/>
        <v>866.68700922461517</v>
      </c>
      <c r="J642" s="101">
        <f t="shared" si="1"/>
        <v>16.518097441877977</v>
      </c>
      <c r="K642" s="101">
        <f t="shared" si="2"/>
        <v>233</v>
      </c>
      <c r="L642" s="74">
        <f t="shared" si="535"/>
        <v>167</v>
      </c>
      <c r="M642" s="99">
        <f t="shared" si="191"/>
        <v>24030.773012545236</v>
      </c>
      <c r="N642" s="101">
        <f t="shared" si="690"/>
        <v>6584.3894189016592</v>
      </c>
      <c r="O642" s="101">
        <f t="shared" si="691"/>
        <v>6584.3894189016592</v>
      </c>
      <c r="P642" s="101">
        <f t="shared" si="692"/>
        <v>10861.994174741918</v>
      </c>
      <c r="Q642" s="101">
        <f t="shared" si="693"/>
        <v>0</v>
      </c>
      <c r="R642" s="109"/>
      <c r="S642" s="99">
        <f t="shared" si="694"/>
        <v>13918.719365196586</v>
      </c>
      <c r="T642" s="101">
        <f t="shared" si="695"/>
        <v>4154.1378001353669</v>
      </c>
      <c r="U642" s="101">
        <f t="shared" si="696"/>
        <v>4154.1378001353669</v>
      </c>
      <c r="V642" s="101">
        <f t="shared" si="697"/>
        <v>5610.4437649258534</v>
      </c>
      <c r="W642" s="101">
        <f t="shared" si="698"/>
        <v>0</v>
      </c>
      <c r="X642" s="74"/>
      <c r="Y642" s="99">
        <f t="shared" si="8"/>
        <v>39846.197801424743</v>
      </c>
      <c r="Z642" s="101">
        <f t="shared" si="699"/>
        <v>10385.344500338419</v>
      </c>
      <c r="AA642" s="101">
        <f t="shared" si="700"/>
        <v>10385.344500338419</v>
      </c>
      <c r="AB642" s="101">
        <f t="shared" si="701"/>
        <v>19075.508800747903</v>
      </c>
      <c r="AC642" s="101">
        <f t="shared" si="702"/>
        <v>0</v>
      </c>
      <c r="AD642" s="74"/>
      <c r="AE642" s="99">
        <f t="shared" si="785"/>
        <v>27.727164197424003</v>
      </c>
      <c r="AF642" s="101">
        <f t="shared" ref="AF642" si="806">AP642</f>
        <v>36</v>
      </c>
      <c r="AG642" s="101">
        <f t="shared" si="704"/>
        <v>19.001300000000001</v>
      </c>
      <c r="AH642" s="101">
        <f t="shared" si="705"/>
        <v>458</v>
      </c>
      <c r="AI642" s="101">
        <f t="shared" si="706"/>
        <v>250</v>
      </c>
      <c r="AJ642" s="108">
        <f t="shared" si="707"/>
        <v>3.3333333333333335</v>
      </c>
      <c r="AK642" s="101">
        <f t="shared" si="461"/>
        <v>11598.932804330489</v>
      </c>
      <c r="AL642" s="101">
        <f t="shared" si="708"/>
        <v>3461.7815001128056</v>
      </c>
      <c r="AM642" s="101">
        <f t="shared" si="709"/>
        <v>3461.7815001128056</v>
      </c>
      <c r="AN642" s="101">
        <f t="shared" si="710"/>
        <v>4675.3698041048783</v>
      </c>
      <c r="AO642" s="1">
        <v>36</v>
      </c>
      <c r="AP642" s="2">
        <v>36</v>
      </c>
      <c r="AQ642" s="74">
        <f t="shared" si="711"/>
        <v>458</v>
      </c>
      <c r="AR642" s="31">
        <f t="shared" si="712"/>
        <v>50</v>
      </c>
      <c r="AS642" s="2">
        <f t="shared" si="713"/>
        <v>1</v>
      </c>
      <c r="AT642" s="33">
        <f t="shared" si="714"/>
        <v>0</v>
      </c>
      <c r="AU642" s="31">
        <f t="shared" si="715"/>
        <v>0</v>
      </c>
      <c r="AV642" s="2">
        <f t="shared" si="716"/>
        <v>0</v>
      </c>
      <c r="AW642" s="33">
        <f t="shared" si="717"/>
        <v>1.36</v>
      </c>
      <c r="AX642" s="31">
        <f t="shared" si="718"/>
        <v>1</v>
      </c>
      <c r="AY642" s="33">
        <f t="shared" si="719"/>
        <v>1</v>
      </c>
      <c r="AZ642" s="2"/>
      <c r="BA642" s="101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</row>
    <row r="643" spans="1:71" ht="12" customHeight="1">
      <c r="A643" s="2"/>
      <c r="B643" s="107">
        <v>568</v>
      </c>
      <c r="C643" s="31">
        <v>7</v>
      </c>
      <c r="D643" s="111" t="s">
        <v>14</v>
      </c>
      <c r="E643" s="2" t="s">
        <v>79</v>
      </c>
      <c r="F643" s="2" t="s">
        <v>149</v>
      </c>
      <c r="G643" s="2"/>
      <c r="H643" s="33" t="s">
        <v>81</v>
      </c>
      <c r="I643" s="99">
        <f t="shared" si="0"/>
        <v>697.77063111172617</v>
      </c>
      <c r="J643" s="101">
        <f t="shared" si="1"/>
        <v>8.2590487209389885</v>
      </c>
      <c r="K643" s="101">
        <f t="shared" si="2"/>
        <v>359</v>
      </c>
      <c r="L643" s="74">
        <f t="shared" si="535"/>
        <v>230</v>
      </c>
      <c r="M643" s="99">
        <f t="shared" si="191"/>
        <v>19347.200860975005</v>
      </c>
      <c r="N643" s="101">
        <f t="shared" si="690"/>
        <v>5774.3055459795614</v>
      </c>
      <c r="O643" s="101">
        <f t="shared" si="691"/>
        <v>5774.3055459795614</v>
      </c>
      <c r="P643" s="101">
        <f t="shared" si="692"/>
        <v>7798.5897690158799</v>
      </c>
      <c r="Q643" s="101">
        <f t="shared" si="693"/>
        <v>0</v>
      </c>
      <c r="R643" s="109"/>
      <c r="S643" s="99">
        <f t="shared" si="694"/>
        <v>13918.719365196586</v>
      </c>
      <c r="T643" s="101">
        <f t="shared" si="695"/>
        <v>4154.1378001353669</v>
      </c>
      <c r="U643" s="101">
        <f t="shared" si="696"/>
        <v>4154.1378001353669</v>
      </c>
      <c r="V643" s="101">
        <f t="shared" si="697"/>
        <v>5610.4437649258534</v>
      </c>
      <c r="W643" s="101">
        <f t="shared" si="698"/>
        <v>0</v>
      </c>
      <c r="X643" s="74"/>
      <c r="Y643" s="99">
        <f t="shared" si="8"/>
        <v>27837.438730393173</v>
      </c>
      <c r="Z643" s="101">
        <f t="shared" si="699"/>
        <v>8308.2756002707338</v>
      </c>
      <c r="AA643" s="101">
        <f t="shared" si="700"/>
        <v>8308.2756002707338</v>
      </c>
      <c r="AB643" s="101">
        <f t="shared" si="701"/>
        <v>11220.887529851705</v>
      </c>
      <c r="AC643" s="101">
        <f t="shared" si="702"/>
        <v>0</v>
      </c>
      <c r="AD643" s="74"/>
      <c r="AE643" s="99">
        <f t="shared" si="785"/>
        <v>27.727164197424003</v>
      </c>
      <c r="AF643" s="101">
        <f t="shared" ref="AF643" si="807">AP643</f>
        <v>36</v>
      </c>
      <c r="AG643" s="101">
        <f t="shared" si="704"/>
        <v>19.001300000000001</v>
      </c>
      <c r="AH643" s="101">
        <f t="shared" si="705"/>
        <v>229</v>
      </c>
      <c r="AI643" s="101">
        <f t="shared" si="706"/>
        <v>200</v>
      </c>
      <c r="AJ643" s="108">
        <f t="shared" si="707"/>
        <v>3.3333333333333335</v>
      </c>
      <c r="AK643" s="101">
        <f t="shared" si="461"/>
        <v>11598.932804330489</v>
      </c>
      <c r="AL643" s="101">
        <f t="shared" si="708"/>
        <v>3461.7815001128056</v>
      </c>
      <c r="AM643" s="101">
        <f t="shared" si="709"/>
        <v>3461.7815001128056</v>
      </c>
      <c r="AN643" s="101">
        <f t="shared" si="710"/>
        <v>4675.3698041048783</v>
      </c>
      <c r="AO643" s="1">
        <v>36</v>
      </c>
      <c r="AP643" s="2">
        <v>36</v>
      </c>
      <c r="AQ643" s="74">
        <f t="shared" si="711"/>
        <v>458</v>
      </c>
      <c r="AR643" s="31">
        <f t="shared" si="712"/>
        <v>0</v>
      </c>
      <c r="AS643" s="2">
        <f t="shared" si="713"/>
        <v>0.5</v>
      </c>
      <c r="AT643" s="33">
        <f t="shared" si="714"/>
        <v>0</v>
      </c>
      <c r="AU643" s="31">
        <f t="shared" si="715"/>
        <v>0</v>
      </c>
      <c r="AV643" s="2">
        <f t="shared" si="716"/>
        <v>0</v>
      </c>
      <c r="AW643" s="33">
        <f t="shared" si="717"/>
        <v>1</v>
      </c>
      <c r="AX643" s="31">
        <f t="shared" si="718"/>
        <v>1</v>
      </c>
      <c r="AY643" s="33">
        <f t="shared" si="719"/>
        <v>1</v>
      </c>
      <c r="AZ643" s="2"/>
      <c r="BA643" s="101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</row>
    <row r="644" spans="1:71" ht="12" customHeight="1">
      <c r="A644" s="2"/>
      <c r="B644" s="107">
        <v>569</v>
      </c>
      <c r="C644" s="31">
        <v>7</v>
      </c>
      <c r="D644" s="111" t="s">
        <v>14</v>
      </c>
      <c r="E644" s="2" t="s">
        <v>168</v>
      </c>
      <c r="F644" s="2" t="s">
        <v>149</v>
      </c>
      <c r="G644" s="2"/>
      <c r="H644" s="33" t="s">
        <v>81</v>
      </c>
      <c r="I644" s="99">
        <f t="shared" si="0"/>
        <v>823.26777234560791</v>
      </c>
      <c r="J644" s="101">
        <f t="shared" si="1"/>
        <v>8.2590487209389885</v>
      </c>
      <c r="K644" s="101">
        <f t="shared" si="2"/>
        <v>255</v>
      </c>
      <c r="L644" s="74">
        <f t="shared" si="535"/>
        <v>180</v>
      </c>
      <c r="M644" s="99">
        <f t="shared" si="191"/>
        <v>22826.880702274153</v>
      </c>
      <c r="N644" s="101">
        <f t="shared" si="690"/>
        <v>6812.8399960134038</v>
      </c>
      <c r="O644" s="101">
        <f t="shared" si="691"/>
        <v>6812.8399960134038</v>
      </c>
      <c r="P644" s="101">
        <f t="shared" si="692"/>
        <v>9201.2007102473453</v>
      </c>
      <c r="Q644" s="101">
        <f t="shared" si="693"/>
        <v>0</v>
      </c>
      <c r="R644" s="109"/>
      <c r="S644" s="99">
        <f t="shared" si="694"/>
        <v>13918.719365196586</v>
      </c>
      <c r="T644" s="101">
        <f t="shared" si="695"/>
        <v>4154.1378001353669</v>
      </c>
      <c r="U644" s="101">
        <f t="shared" si="696"/>
        <v>4154.1378001353669</v>
      </c>
      <c r="V644" s="101">
        <f t="shared" si="697"/>
        <v>5610.4437649258534</v>
      </c>
      <c r="W644" s="101">
        <f t="shared" si="698"/>
        <v>0</v>
      </c>
      <c r="X644" s="74"/>
      <c r="Y644" s="99">
        <f t="shared" si="8"/>
        <v>27837.438730393173</v>
      </c>
      <c r="Z644" s="101">
        <f t="shared" si="699"/>
        <v>8308.2756002707338</v>
      </c>
      <c r="AA644" s="101">
        <f t="shared" si="700"/>
        <v>8308.2756002707338</v>
      </c>
      <c r="AB644" s="101">
        <f t="shared" si="701"/>
        <v>11220.887529851705</v>
      </c>
      <c r="AC644" s="101">
        <f t="shared" si="702"/>
        <v>0</v>
      </c>
      <c r="AD644" s="74"/>
      <c r="AE644" s="99">
        <f t="shared" si="785"/>
        <v>27.727164197424003</v>
      </c>
      <c r="AF644" s="101">
        <f t="shared" ref="AF644" si="808">AP644</f>
        <v>36</v>
      </c>
      <c r="AG644" s="101">
        <f t="shared" si="704"/>
        <v>44.001300000000001</v>
      </c>
      <c r="AH644" s="101">
        <f t="shared" si="705"/>
        <v>229</v>
      </c>
      <c r="AI644" s="101">
        <f t="shared" si="706"/>
        <v>200</v>
      </c>
      <c r="AJ644" s="108">
        <f t="shared" si="707"/>
        <v>3.3333333333333335</v>
      </c>
      <c r="AK644" s="101">
        <f t="shared" si="461"/>
        <v>11598.932804330489</v>
      </c>
      <c r="AL644" s="101">
        <f t="shared" si="708"/>
        <v>3461.7815001128056</v>
      </c>
      <c r="AM644" s="101">
        <f t="shared" si="709"/>
        <v>3461.7815001128056</v>
      </c>
      <c r="AN644" s="101">
        <f t="shared" si="710"/>
        <v>4675.3698041048783</v>
      </c>
      <c r="AO644" s="1">
        <v>36</v>
      </c>
      <c r="AP644" s="2">
        <v>36</v>
      </c>
      <c r="AQ644" s="74">
        <f t="shared" si="711"/>
        <v>458</v>
      </c>
      <c r="AR644" s="31">
        <f t="shared" si="712"/>
        <v>0</v>
      </c>
      <c r="AS644" s="2">
        <f t="shared" si="713"/>
        <v>0.5</v>
      </c>
      <c r="AT644" s="33">
        <f t="shared" si="714"/>
        <v>0</v>
      </c>
      <c r="AU644" s="31">
        <f t="shared" si="715"/>
        <v>25</v>
      </c>
      <c r="AV644" s="2">
        <f t="shared" si="716"/>
        <v>0</v>
      </c>
      <c r="AW644" s="33">
        <f t="shared" si="717"/>
        <v>1</v>
      </c>
      <c r="AX644" s="31">
        <f t="shared" si="718"/>
        <v>1</v>
      </c>
      <c r="AY644" s="33">
        <f t="shared" si="719"/>
        <v>1</v>
      </c>
      <c r="AZ644" s="2"/>
      <c r="BA644" s="101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</row>
    <row r="645" spans="1:71" ht="12" customHeight="1">
      <c r="A645" s="2"/>
      <c r="B645" s="107">
        <v>570</v>
      </c>
      <c r="C645" s="31">
        <v>7</v>
      </c>
      <c r="D645" s="111" t="s">
        <v>14</v>
      </c>
      <c r="E645" s="2" t="s">
        <v>103</v>
      </c>
      <c r="F645" s="2" t="s">
        <v>149</v>
      </c>
      <c r="G645" s="2"/>
      <c r="H645" s="33" t="s">
        <v>81</v>
      </c>
      <c r="I645" s="99">
        <f t="shared" si="0"/>
        <v>754.59090713155763</v>
      </c>
      <c r="J645" s="101">
        <f t="shared" si="1"/>
        <v>8.2590487209389885</v>
      </c>
      <c r="K645" s="101">
        <f t="shared" si="2"/>
        <v>301</v>
      </c>
      <c r="L645" s="74">
        <f t="shared" si="535"/>
        <v>205</v>
      </c>
      <c r="M645" s="99">
        <f t="shared" si="191"/>
        <v>20922.665983919826</v>
      </c>
      <c r="N645" s="101">
        <f t="shared" si="690"/>
        <v>5774.3055459795614</v>
      </c>
      <c r="O645" s="101">
        <f t="shared" si="691"/>
        <v>5774.3055459795614</v>
      </c>
      <c r="P645" s="101">
        <f t="shared" si="692"/>
        <v>9374.0548919607008</v>
      </c>
      <c r="Q645" s="101">
        <f t="shared" si="693"/>
        <v>0</v>
      </c>
      <c r="R645" s="109"/>
      <c r="S645" s="99">
        <f t="shared" si="694"/>
        <v>13918.719365196586</v>
      </c>
      <c r="T645" s="101">
        <f t="shared" si="695"/>
        <v>4154.1378001353669</v>
      </c>
      <c r="U645" s="101">
        <f t="shared" si="696"/>
        <v>4154.1378001353669</v>
      </c>
      <c r="V645" s="101">
        <f t="shared" si="697"/>
        <v>5610.4437649258534</v>
      </c>
      <c r="W645" s="101">
        <f t="shared" si="698"/>
        <v>0</v>
      </c>
      <c r="X645" s="74"/>
      <c r="Y645" s="99">
        <f t="shared" si="8"/>
        <v>31876.958241139786</v>
      </c>
      <c r="Z645" s="101">
        <f t="shared" si="699"/>
        <v>8308.2756002707338</v>
      </c>
      <c r="AA645" s="101">
        <f t="shared" si="700"/>
        <v>8308.2756002707338</v>
      </c>
      <c r="AB645" s="101">
        <f t="shared" si="701"/>
        <v>15260.40704059832</v>
      </c>
      <c r="AC645" s="101">
        <f t="shared" si="702"/>
        <v>0</v>
      </c>
      <c r="AD645" s="74"/>
      <c r="AE645" s="99">
        <f t="shared" si="785"/>
        <v>27.727164197424003</v>
      </c>
      <c r="AF645" s="101">
        <f t="shared" ref="AF645" si="809">AP645</f>
        <v>36</v>
      </c>
      <c r="AG645" s="101">
        <f t="shared" si="704"/>
        <v>19.001300000000001</v>
      </c>
      <c r="AH645" s="101">
        <f t="shared" si="705"/>
        <v>229</v>
      </c>
      <c r="AI645" s="101">
        <f t="shared" si="706"/>
        <v>200</v>
      </c>
      <c r="AJ645" s="108">
        <f t="shared" si="707"/>
        <v>3.3333333333333335</v>
      </c>
      <c r="AK645" s="101">
        <f t="shared" si="461"/>
        <v>11598.932804330489</v>
      </c>
      <c r="AL645" s="101">
        <f t="shared" si="708"/>
        <v>3461.7815001128056</v>
      </c>
      <c r="AM645" s="101">
        <f t="shared" si="709"/>
        <v>3461.7815001128056</v>
      </c>
      <c r="AN645" s="101">
        <f t="shared" si="710"/>
        <v>4675.3698041048783</v>
      </c>
      <c r="AO645" s="1">
        <v>36</v>
      </c>
      <c r="AP645" s="2">
        <v>36</v>
      </c>
      <c r="AQ645" s="74">
        <f t="shared" si="711"/>
        <v>458</v>
      </c>
      <c r="AR645" s="31">
        <f t="shared" si="712"/>
        <v>0</v>
      </c>
      <c r="AS645" s="2">
        <f t="shared" si="713"/>
        <v>0.5</v>
      </c>
      <c r="AT645" s="33">
        <f t="shared" si="714"/>
        <v>0</v>
      </c>
      <c r="AU645" s="31">
        <f t="shared" si="715"/>
        <v>0</v>
      </c>
      <c r="AV645" s="2">
        <f t="shared" si="716"/>
        <v>0</v>
      </c>
      <c r="AW645" s="33">
        <f t="shared" si="717"/>
        <v>1.36</v>
      </c>
      <c r="AX645" s="31">
        <f t="shared" si="718"/>
        <v>1</v>
      </c>
      <c r="AY645" s="33">
        <f t="shared" si="719"/>
        <v>1</v>
      </c>
      <c r="AZ645" s="2"/>
      <c r="BA645" s="101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</row>
    <row r="646" spans="1:71" ht="12" customHeight="1">
      <c r="A646" s="2"/>
      <c r="B646" s="107">
        <v>571</v>
      </c>
      <c r="C646" s="31">
        <v>4</v>
      </c>
      <c r="D646" s="111" t="s">
        <v>14</v>
      </c>
      <c r="E646" s="2" t="s">
        <v>67</v>
      </c>
      <c r="F646" s="2" t="s">
        <v>149</v>
      </c>
      <c r="G646" s="1"/>
      <c r="H646" s="33" t="s">
        <v>81</v>
      </c>
      <c r="I646" s="99">
        <f t="shared" si="0"/>
        <v>646.6079341952036</v>
      </c>
      <c r="J646" s="101">
        <f t="shared" si="1"/>
        <v>9.0885601645267471</v>
      </c>
      <c r="K646" s="101">
        <f t="shared" si="2"/>
        <v>414</v>
      </c>
      <c r="L646" s="74">
        <f t="shared" si="535"/>
        <v>256</v>
      </c>
      <c r="M646" s="99">
        <f t="shared" si="191"/>
        <v>17928.604362787544</v>
      </c>
      <c r="N646" s="101">
        <f t="shared" si="690"/>
        <v>5350.9678195528822</v>
      </c>
      <c r="O646" s="101">
        <f t="shared" si="691"/>
        <v>5350.9678195528822</v>
      </c>
      <c r="P646" s="101">
        <f t="shared" si="692"/>
        <v>7226.6687236817797</v>
      </c>
      <c r="Q646" s="101">
        <f t="shared" si="693"/>
        <v>0</v>
      </c>
      <c r="R646" s="109"/>
      <c r="S646" s="99">
        <f t="shared" si="694"/>
        <v>12898.155889756099</v>
      </c>
      <c r="T646" s="101">
        <f t="shared" si="695"/>
        <v>3849.5811330921956</v>
      </c>
      <c r="U646" s="101">
        <f t="shared" si="696"/>
        <v>3849.5811330921956</v>
      </c>
      <c r="V646" s="101">
        <f t="shared" si="697"/>
        <v>5198.9936235717078</v>
      </c>
      <c r="W646" s="101">
        <f t="shared" si="698"/>
        <v>0</v>
      </c>
      <c r="X646" s="74"/>
      <c r="Y646" s="99">
        <f t="shared" si="8"/>
        <v>25796.311779512194</v>
      </c>
      <c r="Z646" s="101">
        <f t="shared" si="699"/>
        <v>7699.1622661843903</v>
      </c>
      <c r="AA646" s="101">
        <f t="shared" si="700"/>
        <v>7699.1622661843903</v>
      </c>
      <c r="AB646" s="101">
        <f t="shared" si="701"/>
        <v>10397.987247143416</v>
      </c>
      <c r="AC646" s="101">
        <f t="shared" si="702"/>
        <v>0</v>
      </c>
      <c r="AD646" s="74"/>
      <c r="AE646" s="99">
        <f t="shared" si="785"/>
        <v>27.727164197424003</v>
      </c>
      <c r="AF646" s="101">
        <f t="shared" ref="AF646" si="810">AP646</f>
        <v>36</v>
      </c>
      <c r="AG646" s="101">
        <f t="shared" si="704"/>
        <v>19.001300000000001</v>
      </c>
      <c r="AH646" s="101">
        <f t="shared" si="705"/>
        <v>252</v>
      </c>
      <c r="AI646" s="101">
        <f t="shared" si="706"/>
        <v>200</v>
      </c>
      <c r="AJ646" s="108">
        <f t="shared" si="707"/>
        <v>3.3333333333333335</v>
      </c>
      <c r="AK646" s="101">
        <f t="shared" si="461"/>
        <v>10748.463241463416</v>
      </c>
      <c r="AL646" s="101">
        <f t="shared" si="708"/>
        <v>3207.9842775768298</v>
      </c>
      <c r="AM646" s="101">
        <f t="shared" si="709"/>
        <v>3207.9842775768298</v>
      </c>
      <c r="AN646" s="101">
        <f t="shared" si="710"/>
        <v>4332.4946863097566</v>
      </c>
      <c r="AO646" s="1">
        <v>36</v>
      </c>
      <c r="AP646" s="2">
        <v>36</v>
      </c>
      <c r="AQ646" s="74">
        <f t="shared" si="711"/>
        <v>252</v>
      </c>
      <c r="AR646" s="31">
        <f t="shared" si="712"/>
        <v>0</v>
      </c>
      <c r="AS646" s="2">
        <f t="shared" si="713"/>
        <v>1</v>
      </c>
      <c r="AT646" s="33">
        <f t="shared" si="714"/>
        <v>0</v>
      </c>
      <c r="AU646" s="31">
        <f t="shared" si="715"/>
        <v>0</v>
      </c>
      <c r="AV646" s="2">
        <f t="shared" si="716"/>
        <v>0</v>
      </c>
      <c r="AW646" s="33">
        <f t="shared" si="717"/>
        <v>1</v>
      </c>
      <c r="AX646" s="31">
        <f t="shared" si="718"/>
        <v>1</v>
      </c>
      <c r="AY646" s="33">
        <f t="shared" si="719"/>
        <v>1</v>
      </c>
      <c r="AZ646" s="2"/>
      <c r="BA646" s="101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</row>
    <row r="647" spans="1:71" ht="12" customHeight="1">
      <c r="A647" s="2"/>
      <c r="B647" s="107">
        <v>572</v>
      </c>
      <c r="C647" s="31">
        <v>4</v>
      </c>
      <c r="D647" s="111" t="s">
        <v>14</v>
      </c>
      <c r="E647" s="2" t="s">
        <v>148</v>
      </c>
      <c r="F647" s="2" t="s">
        <v>149</v>
      </c>
      <c r="G647" s="2"/>
      <c r="H647" s="33" t="s">
        <v>81</v>
      </c>
      <c r="I647" s="99">
        <f t="shared" si="0"/>
        <v>737.32129451603305</v>
      </c>
      <c r="J647" s="101">
        <f t="shared" si="1"/>
        <v>9.0885601645267471</v>
      </c>
      <c r="K647" s="101">
        <f t="shared" si="2"/>
        <v>316</v>
      </c>
      <c r="L647" s="74">
        <f t="shared" si="535"/>
        <v>212</v>
      </c>
      <c r="M647" s="99">
        <f t="shared" si="191"/>
        <v>20443.82859930327</v>
      </c>
      <c r="N647" s="101">
        <f t="shared" si="690"/>
        <v>6101.6611627832253</v>
      </c>
      <c r="O647" s="101">
        <f t="shared" si="691"/>
        <v>6101.6611627832253</v>
      </c>
      <c r="P647" s="101">
        <f t="shared" si="692"/>
        <v>8240.5062737368171</v>
      </c>
      <c r="Q647" s="101">
        <f t="shared" si="693"/>
        <v>0</v>
      </c>
      <c r="R647" s="109"/>
      <c r="S647" s="99">
        <f t="shared" si="694"/>
        <v>12898.155889756099</v>
      </c>
      <c r="T647" s="101">
        <f t="shared" si="695"/>
        <v>3849.5811330921956</v>
      </c>
      <c r="U647" s="101">
        <f t="shared" si="696"/>
        <v>3849.5811330921956</v>
      </c>
      <c r="V647" s="101">
        <f t="shared" si="697"/>
        <v>5198.9936235717078</v>
      </c>
      <c r="W647" s="101">
        <f t="shared" si="698"/>
        <v>0</v>
      </c>
      <c r="X647" s="74"/>
      <c r="Y647" s="99">
        <f t="shared" si="8"/>
        <v>32245.389724390247</v>
      </c>
      <c r="Z647" s="101">
        <f t="shared" si="699"/>
        <v>9623.9528327304888</v>
      </c>
      <c r="AA647" s="101">
        <f t="shared" si="700"/>
        <v>9623.9528327304888</v>
      </c>
      <c r="AB647" s="101">
        <f t="shared" si="701"/>
        <v>12997.484058929269</v>
      </c>
      <c r="AC647" s="101">
        <f t="shared" si="702"/>
        <v>0</v>
      </c>
      <c r="AD647" s="74"/>
      <c r="AE647" s="99">
        <f t="shared" si="785"/>
        <v>27.727164197424003</v>
      </c>
      <c r="AF647" s="101">
        <f t="shared" ref="AF647" si="811">AP647</f>
        <v>36</v>
      </c>
      <c r="AG647" s="101">
        <f t="shared" si="704"/>
        <v>19.001300000000001</v>
      </c>
      <c r="AH647" s="101">
        <f t="shared" si="705"/>
        <v>252</v>
      </c>
      <c r="AI647" s="101">
        <f t="shared" si="706"/>
        <v>250</v>
      </c>
      <c r="AJ647" s="108">
        <f t="shared" si="707"/>
        <v>3.3333333333333335</v>
      </c>
      <c r="AK647" s="101">
        <f t="shared" si="461"/>
        <v>10748.463241463416</v>
      </c>
      <c r="AL647" s="101">
        <f t="shared" si="708"/>
        <v>3207.9842775768298</v>
      </c>
      <c r="AM647" s="101">
        <f t="shared" si="709"/>
        <v>3207.9842775768298</v>
      </c>
      <c r="AN647" s="101">
        <f t="shared" si="710"/>
        <v>4332.4946863097566</v>
      </c>
      <c r="AO647" s="1">
        <v>36</v>
      </c>
      <c r="AP647" s="2">
        <v>36</v>
      </c>
      <c r="AQ647" s="74">
        <f t="shared" si="711"/>
        <v>252</v>
      </c>
      <c r="AR647" s="31">
        <f t="shared" si="712"/>
        <v>50</v>
      </c>
      <c r="AS647" s="2">
        <f t="shared" si="713"/>
        <v>1</v>
      </c>
      <c r="AT647" s="33">
        <f t="shared" si="714"/>
        <v>0</v>
      </c>
      <c r="AU647" s="31">
        <f t="shared" si="715"/>
        <v>0</v>
      </c>
      <c r="AV647" s="2">
        <f t="shared" si="716"/>
        <v>0</v>
      </c>
      <c r="AW647" s="33">
        <f t="shared" si="717"/>
        <v>1</v>
      </c>
      <c r="AX647" s="31">
        <f t="shared" si="718"/>
        <v>1</v>
      </c>
      <c r="AY647" s="33">
        <f t="shared" si="719"/>
        <v>1</v>
      </c>
      <c r="AZ647" s="2"/>
      <c r="BA647" s="101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</row>
    <row r="648" spans="1:71" ht="12" customHeight="1">
      <c r="A648" s="2"/>
      <c r="B648" s="107">
        <v>573</v>
      </c>
      <c r="C648" s="31">
        <v>4</v>
      </c>
      <c r="D648" s="111" t="s">
        <v>14</v>
      </c>
      <c r="E648" s="2" t="s">
        <v>79</v>
      </c>
      <c r="F648" s="2" t="s">
        <v>149</v>
      </c>
      <c r="G648" s="2"/>
      <c r="H648" s="33" t="s">
        <v>81</v>
      </c>
      <c r="I648" s="99">
        <f t="shared" si="0"/>
        <v>646.6079341952036</v>
      </c>
      <c r="J648" s="101">
        <f t="shared" si="1"/>
        <v>4.5442800822633735</v>
      </c>
      <c r="K648" s="101">
        <f t="shared" si="2"/>
        <v>414</v>
      </c>
      <c r="L648" s="74">
        <f t="shared" si="535"/>
        <v>256</v>
      </c>
      <c r="M648" s="99">
        <f t="shared" si="191"/>
        <v>17928.604362787544</v>
      </c>
      <c r="N648" s="101">
        <f t="shared" si="690"/>
        <v>5350.9678195528822</v>
      </c>
      <c r="O648" s="101">
        <f t="shared" si="691"/>
        <v>5350.9678195528822</v>
      </c>
      <c r="P648" s="101">
        <f t="shared" si="692"/>
        <v>7226.6687236817797</v>
      </c>
      <c r="Q648" s="101">
        <f t="shared" si="693"/>
        <v>0</v>
      </c>
      <c r="R648" s="109"/>
      <c r="S648" s="99">
        <f t="shared" si="694"/>
        <v>12898.155889756099</v>
      </c>
      <c r="T648" s="101">
        <f t="shared" si="695"/>
        <v>3849.5811330921956</v>
      </c>
      <c r="U648" s="101">
        <f t="shared" si="696"/>
        <v>3849.5811330921956</v>
      </c>
      <c r="V648" s="101">
        <f t="shared" si="697"/>
        <v>5198.9936235717078</v>
      </c>
      <c r="W648" s="101">
        <f t="shared" si="698"/>
        <v>0</v>
      </c>
      <c r="X648" s="74"/>
      <c r="Y648" s="99">
        <f t="shared" si="8"/>
        <v>25796.311779512194</v>
      </c>
      <c r="Z648" s="101">
        <f t="shared" si="699"/>
        <v>7699.1622661843903</v>
      </c>
      <c r="AA648" s="101">
        <f t="shared" si="700"/>
        <v>7699.1622661843903</v>
      </c>
      <c r="AB648" s="101">
        <f t="shared" si="701"/>
        <v>10397.987247143416</v>
      </c>
      <c r="AC648" s="101">
        <f t="shared" si="702"/>
        <v>0</v>
      </c>
      <c r="AD648" s="74"/>
      <c r="AE648" s="99">
        <f t="shared" si="785"/>
        <v>27.727164197424003</v>
      </c>
      <c r="AF648" s="101">
        <f t="shared" ref="AF648" si="812">AP648</f>
        <v>36</v>
      </c>
      <c r="AG648" s="101">
        <f t="shared" si="704"/>
        <v>19.001300000000001</v>
      </c>
      <c r="AH648" s="101">
        <f t="shared" si="705"/>
        <v>126</v>
      </c>
      <c r="AI648" s="101">
        <f t="shared" si="706"/>
        <v>200</v>
      </c>
      <c r="AJ648" s="108">
        <f t="shared" si="707"/>
        <v>3.3333333333333335</v>
      </c>
      <c r="AK648" s="101">
        <f t="shared" si="461"/>
        <v>10748.463241463416</v>
      </c>
      <c r="AL648" s="101">
        <f t="shared" si="708"/>
        <v>3207.9842775768298</v>
      </c>
      <c r="AM648" s="101">
        <f t="shared" si="709"/>
        <v>3207.9842775768298</v>
      </c>
      <c r="AN648" s="101">
        <f t="shared" si="710"/>
        <v>4332.4946863097566</v>
      </c>
      <c r="AO648" s="1">
        <v>36</v>
      </c>
      <c r="AP648" s="2">
        <v>36</v>
      </c>
      <c r="AQ648" s="74">
        <f t="shared" si="711"/>
        <v>252</v>
      </c>
      <c r="AR648" s="31">
        <f t="shared" si="712"/>
        <v>0</v>
      </c>
      <c r="AS648" s="2">
        <f t="shared" si="713"/>
        <v>0.5</v>
      </c>
      <c r="AT648" s="33">
        <f t="shared" si="714"/>
        <v>0</v>
      </c>
      <c r="AU648" s="31">
        <f t="shared" si="715"/>
        <v>0</v>
      </c>
      <c r="AV648" s="2">
        <f t="shared" si="716"/>
        <v>0</v>
      </c>
      <c r="AW648" s="33">
        <f t="shared" si="717"/>
        <v>1</v>
      </c>
      <c r="AX648" s="31">
        <f t="shared" si="718"/>
        <v>1</v>
      </c>
      <c r="AY648" s="33">
        <f t="shared" si="719"/>
        <v>1</v>
      </c>
      <c r="AZ648" s="2"/>
      <c r="BA648" s="101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</row>
    <row r="649" spans="1:71" ht="12" customHeight="1">
      <c r="A649" s="2"/>
      <c r="B649" s="107">
        <v>574</v>
      </c>
      <c r="C649" s="31">
        <v>1</v>
      </c>
      <c r="D649" s="111" t="s">
        <v>14</v>
      </c>
      <c r="E649" s="2" t="s">
        <v>67</v>
      </c>
      <c r="F649" s="2" t="s">
        <v>149</v>
      </c>
      <c r="G649" s="1"/>
      <c r="H649" s="33" t="s">
        <v>81</v>
      </c>
      <c r="I649" s="99">
        <f t="shared" si="0"/>
        <v>501.32618344729229</v>
      </c>
      <c r="J649" s="101">
        <f t="shared" si="1"/>
        <v>4.5803457972019714</v>
      </c>
      <c r="K649" s="101">
        <f t="shared" si="2"/>
        <v>600</v>
      </c>
      <c r="L649" s="74">
        <f t="shared" si="535"/>
        <v>328</v>
      </c>
      <c r="M649" s="99">
        <f t="shared" si="191"/>
        <v>13900.35340491098</v>
      </c>
      <c r="N649" s="101">
        <f t="shared" si="690"/>
        <v>4051.4823836264532</v>
      </c>
      <c r="O649" s="101">
        <f t="shared" si="691"/>
        <v>4051.4823836264532</v>
      </c>
      <c r="P649" s="101">
        <f t="shared" si="692"/>
        <v>5797.3886376580731</v>
      </c>
      <c r="Q649" s="101">
        <f t="shared" si="693"/>
        <v>0</v>
      </c>
      <c r="R649" s="109"/>
      <c r="S649" s="99">
        <f t="shared" si="694"/>
        <v>10000.160721454389</v>
      </c>
      <c r="T649" s="101">
        <f t="shared" si="695"/>
        <v>2914.7082679273167</v>
      </c>
      <c r="U649" s="101">
        <f t="shared" si="696"/>
        <v>2914.7082679273167</v>
      </c>
      <c r="V649" s="101">
        <f t="shared" si="697"/>
        <v>4170.7441855997558</v>
      </c>
      <c r="W649" s="101">
        <f t="shared" si="698"/>
        <v>0</v>
      </c>
      <c r="X649" s="74"/>
      <c r="Y649" s="99">
        <f t="shared" si="8"/>
        <v>20000.321442908778</v>
      </c>
      <c r="Z649" s="101">
        <f t="shared" si="699"/>
        <v>5829.4165358546334</v>
      </c>
      <c r="AA649" s="101">
        <f t="shared" si="700"/>
        <v>5829.4165358546334</v>
      </c>
      <c r="AB649" s="101">
        <f t="shared" si="701"/>
        <v>8341.4883711995117</v>
      </c>
      <c r="AC649" s="101">
        <f t="shared" si="702"/>
        <v>0</v>
      </c>
      <c r="AD649" s="74"/>
      <c r="AE649" s="99">
        <f t="shared" si="785"/>
        <v>27.727164197424003</v>
      </c>
      <c r="AF649" s="101">
        <f t="shared" ref="AF649" si="813">AP649</f>
        <v>36</v>
      </c>
      <c r="AG649" s="101">
        <f t="shared" si="704"/>
        <v>19.001300000000001</v>
      </c>
      <c r="AH649" s="101">
        <f t="shared" si="705"/>
        <v>127</v>
      </c>
      <c r="AI649" s="101">
        <f t="shared" si="706"/>
        <v>200</v>
      </c>
      <c r="AJ649" s="108">
        <f t="shared" si="707"/>
        <v>3.3333333333333335</v>
      </c>
      <c r="AK649" s="101">
        <f t="shared" si="461"/>
        <v>8333.4672678786592</v>
      </c>
      <c r="AL649" s="101">
        <f t="shared" si="708"/>
        <v>2428.9235566060975</v>
      </c>
      <c r="AM649" s="101">
        <f t="shared" si="709"/>
        <v>2428.9235566060975</v>
      </c>
      <c r="AN649" s="101">
        <f t="shared" si="710"/>
        <v>3475.6201546664633</v>
      </c>
      <c r="AO649" s="1">
        <v>36</v>
      </c>
      <c r="AP649" s="2">
        <v>36</v>
      </c>
      <c r="AQ649" s="74">
        <f t="shared" si="711"/>
        <v>127</v>
      </c>
      <c r="AR649" s="31">
        <f t="shared" si="712"/>
        <v>0</v>
      </c>
      <c r="AS649" s="2">
        <f t="shared" si="713"/>
        <v>1</v>
      </c>
      <c r="AT649" s="33">
        <f t="shared" si="714"/>
        <v>0</v>
      </c>
      <c r="AU649" s="31">
        <f t="shared" si="715"/>
        <v>0</v>
      </c>
      <c r="AV649" s="2">
        <f t="shared" si="716"/>
        <v>0</v>
      </c>
      <c r="AW649" s="33">
        <f t="shared" si="717"/>
        <v>1</v>
      </c>
      <c r="AX649" s="31">
        <f t="shared" si="718"/>
        <v>1</v>
      </c>
      <c r="AY649" s="33">
        <f t="shared" si="719"/>
        <v>1</v>
      </c>
      <c r="AZ649" s="2"/>
      <c r="BA649" s="101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</row>
    <row r="650" spans="1:71" ht="12" customHeight="1">
      <c r="A650" s="2"/>
      <c r="B650" s="107">
        <v>575</v>
      </c>
      <c r="C650" s="31">
        <v>10</v>
      </c>
      <c r="D650" s="111" t="s">
        <v>14</v>
      </c>
      <c r="E650" s="2" t="s">
        <v>144</v>
      </c>
      <c r="F650" s="2" t="s">
        <v>149</v>
      </c>
      <c r="G650" s="2"/>
      <c r="H650" s="33" t="s">
        <v>80</v>
      </c>
      <c r="I650" s="99">
        <f t="shared" si="0"/>
        <v>835.95266250365148</v>
      </c>
      <c r="J650" s="101">
        <f t="shared" si="1"/>
        <v>23.695174714659018</v>
      </c>
      <c r="K650" s="101">
        <f t="shared" si="2"/>
        <v>246</v>
      </c>
      <c r="L650" s="74">
        <f t="shared" si="535"/>
        <v>173</v>
      </c>
      <c r="M650" s="99">
        <f t="shared" si="191"/>
        <v>23178.596734512517</v>
      </c>
      <c r="N650" s="101">
        <f t="shared" si="690"/>
        <v>4021.1011800021529</v>
      </c>
      <c r="O650" s="101">
        <f t="shared" si="691"/>
        <v>4021.1011800021529</v>
      </c>
      <c r="P650" s="101">
        <f t="shared" si="692"/>
        <v>5433.7259740146001</v>
      </c>
      <c r="Q650" s="101">
        <f t="shared" si="693"/>
        <v>9702.6684004936105</v>
      </c>
      <c r="R650" s="109"/>
      <c r="S650" s="99">
        <f t="shared" si="694"/>
        <v>16675.093495177756</v>
      </c>
      <c r="T650" s="101">
        <f t="shared" si="695"/>
        <v>2892.8514913185368</v>
      </c>
      <c r="U650" s="101">
        <f t="shared" si="696"/>
        <v>2892.8514913185368</v>
      </c>
      <c r="V650" s="101">
        <f t="shared" si="697"/>
        <v>3909.118816884878</v>
      </c>
      <c r="W650" s="101">
        <f t="shared" si="698"/>
        <v>6980.2716956558043</v>
      </c>
      <c r="X650" s="74"/>
      <c r="Y650" s="99">
        <f t="shared" si="8"/>
        <v>33350.186990355513</v>
      </c>
      <c r="Z650" s="101">
        <f t="shared" si="699"/>
        <v>5785.7029826370735</v>
      </c>
      <c r="AA650" s="101">
        <f t="shared" si="700"/>
        <v>5785.7029826370735</v>
      </c>
      <c r="AB650" s="101">
        <f t="shared" si="701"/>
        <v>7818.2376337697551</v>
      </c>
      <c r="AC650" s="101">
        <f t="shared" si="702"/>
        <v>13960.543391311609</v>
      </c>
      <c r="AD650" s="74"/>
      <c r="AE650" s="99">
        <f t="shared" si="785"/>
        <v>27.727164197424003</v>
      </c>
      <c r="AF650" s="101">
        <f t="shared" ref="AF650" si="814">AP650</f>
        <v>36</v>
      </c>
      <c r="AG650" s="101">
        <f t="shared" si="704"/>
        <v>19.001300000000001</v>
      </c>
      <c r="AH650" s="101">
        <f t="shared" si="705"/>
        <v>657</v>
      </c>
      <c r="AI650" s="101">
        <f t="shared" si="706"/>
        <v>200</v>
      </c>
      <c r="AJ650" s="108">
        <f t="shared" si="707"/>
        <v>3.3333333333333335</v>
      </c>
      <c r="AK650" s="101">
        <f t="shared" si="461"/>
        <v>8079.0181662682935</v>
      </c>
      <c r="AL650" s="101">
        <f t="shared" si="708"/>
        <v>2410.7095760987809</v>
      </c>
      <c r="AM650" s="101">
        <f t="shared" si="709"/>
        <v>2410.7095760987809</v>
      </c>
      <c r="AN650" s="101">
        <f t="shared" si="710"/>
        <v>3257.5990140707318</v>
      </c>
      <c r="AO650" s="1">
        <v>36</v>
      </c>
      <c r="AP650" s="2">
        <v>36</v>
      </c>
      <c r="AQ650" s="74">
        <f t="shared" si="711"/>
        <v>657</v>
      </c>
      <c r="AR650" s="31">
        <f t="shared" si="712"/>
        <v>0</v>
      </c>
      <c r="AS650" s="2">
        <f t="shared" si="713"/>
        <v>1</v>
      </c>
      <c r="AT650" s="33">
        <f t="shared" si="714"/>
        <v>0</v>
      </c>
      <c r="AU650" s="31">
        <f t="shared" si="715"/>
        <v>0</v>
      </c>
      <c r="AV650" s="2">
        <f t="shared" si="716"/>
        <v>0</v>
      </c>
      <c r="AW650" s="33">
        <f t="shared" si="717"/>
        <v>1</v>
      </c>
      <c r="AX650" s="31">
        <f t="shared" si="718"/>
        <v>0.6</v>
      </c>
      <c r="AY650" s="33">
        <f t="shared" si="719"/>
        <v>1</v>
      </c>
      <c r="AZ650" s="2"/>
      <c r="BA650" s="101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</row>
    <row r="651" spans="1:71" ht="12" customHeight="1">
      <c r="A651" s="2"/>
      <c r="B651" s="107">
        <v>576</v>
      </c>
      <c r="C651" s="31">
        <v>10</v>
      </c>
      <c r="D651" s="111" t="s">
        <v>14</v>
      </c>
      <c r="E651" s="2" t="s">
        <v>138</v>
      </c>
      <c r="F651" s="2" t="s">
        <v>149</v>
      </c>
      <c r="G651" s="2"/>
      <c r="H651" s="33" t="s">
        <v>80</v>
      </c>
      <c r="I651" s="99">
        <f t="shared" si="0"/>
        <v>986.30245464654024</v>
      </c>
      <c r="J651" s="101">
        <f t="shared" si="1"/>
        <v>23.695174714659018</v>
      </c>
      <c r="K651" s="101">
        <f t="shared" si="2"/>
        <v>166</v>
      </c>
      <c r="L651" s="74">
        <f t="shared" si="535"/>
        <v>127</v>
      </c>
      <c r="M651" s="99">
        <f t="shared" si="191"/>
        <v>27347.370108306961</v>
      </c>
      <c r="N651" s="101">
        <f t="shared" si="690"/>
        <v>4744.3140528317881</v>
      </c>
      <c r="O651" s="101">
        <f t="shared" si="691"/>
        <v>4744.3140528317881</v>
      </c>
      <c r="P651" s="101">
        <f t="shared" si="692"/>
        <v>6411.0056782358197</v>
      </c>
      <c r="Q651" s="101">
        <f t="shared" si="693"/>
        <v>11447.736324407564</v>
      </c>
      <c r="R651" s="109"/>
      <c r="S651" s="99">
        <f t="shared" si="694"/>
        <v>16675.093495177756</v>
      </c>
      <c r="T651" s="101">
        <f t="shared" si="695"/>
        <v>2892.8514913185368</v>
      </c>
      <c r="U651" s="101">
        <f t="shared" si="696"/>
        <v>2892.8514913185368</v>
      </c>
      <c r="V651" s="101">
        <f t="shared" si="697"/>
        <v>3909.118816884878</v>
      </c>
      <c r="W651" s="101">
        <f t="shared" si="698"/>
        <v>6980.2716956558043</v>
      </c>
      <c r="X651" s="74"/>
      <c r="Y651" s="99">
        <f t="shared" si="8"/>
        <v>33350.186990355513</v>
      </c>
      <c r="Z651" s="101">
        <f t="shared" si="699"/>
        <v>5785.7029826370735</v>
      </c>
      <c r="AA651" s="101">
        <f t="shared" si="700"/>
        <v>5785.7029826370735</v>
      </c>
      <c r="AB651" s="101">
        <f t="shared" si="701"/>
        <v>7818.2376337697551</v>
      </c>
      <c r="AC651" s="101">
        <f t="shared" si="702"/>
        <v>13960.543391311609</v>
      </c>
      <c r="AD651" s="74"/>
      <c r="AE651" s="99">
        <f t="shared" si="785"/>
        <v>27.727164197424003</v>
      </c>
      <c r="AF651" s="101">
        <f t="shared" ref="AF651" si="815">AP651</f>
        <v>36</v>
      </c>
      <c r="AG651" s="101">
        <f t="shared" si="704"/>
        <v>44.001300000000001</v>
      </c>
      <c r="AH651" s="101">
        <f t="shared" si="705"/>
        <v>657</v>
      </c>
      <c r="AI651" s="101">
        <f t="shared" si="706"/>
        <v>200</v>
      </c>
      <c r="AJ651" s="108">
        <f t="shared" si="707"/>
        <v>3.3333333333333335</v>
      </c>
      <c r="AK651" s="101">
        <f t="shared" si="461"/>
        <v>8079.0181662682935</v>
      </c>
      <c r="AL651" s="101">
        <f t="shared" si="708"/>
        <v>2410.7095760987809</v>
      </c>
      <c r="AM651" s="101">
        <f t="shared" si="709"/>
        <v>2410.7095760987809</v>
      </c>
      <c r="AN651" s="101">
        <f t="shared" si="710"/>
        <v>3257.5990140707318</v>
      </c>
      <c r="AO651" s="1">
        <v>36</v>
      </c>
      <c r="AP651" s="2">
        <v>36</v>
      </c>
      <c r="AQ651" s="74">
        <f t="shared" si="711"/>
        <v>657</v>
      </c>
      <c r="AR651" s="31">
        <f t="shared" si="712"/>
        <v>0</v>
      </c>
      <c r="AS651" s="2">
        <f t="shared" si="713"/>
        <v>1</v>
      </c>
      <c r="AT651" s="33">
        <f t="shared" si="714"/>
        <v>0</v>
      </c>
      <c r="AU651" s="31">
        <f t="shared" si="715"/>
        <v>25</v>
      </c>
      <c r="AV651" s="2">
        <f t="shared" si="716"/>
        <v>0</v>
      </c>
      <c r="AW651" s="33">
        <f t="shared" si="717"/>
        <v>1</v>
      </c>
      <c r="AX651" s="31">
        <f t="shared" si="718"/>
        <v>0.6</v>
      </c>
      <c r="AY651" s="33">
        <f t="shared" si="719"/>
        <v>1</v>
      </c>
      <c r="AZ651" s="2"/>
      <c r="BA651" s="101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</row>
    <row r="652" spans="1:71" ht="12" customHeight="1">
      <c r="A652" s="2"/>
      <c r="B652" s="107">
        <v>577</v>
      </c>
      <c r="C652" s="31">
        <v>10</v>
      </c>
      <c r="D652" s="111" t="s">
        <v>14</v>
      </c>
      <c r="E652" s="2" t="s">
        <v>141</v>
      </c>
      <c r="F652" s="2" t="s">
        <v>149</v>
      </c>
      <c r="G652" s="2"/>
      <c r="H652" s="33" t="s">
        <v>80</v>
      </c>
      <c r="I652" s="99">
        <f t="shared" si="0"/>
        <v>906.64599462830233</v>
      </c>
      <c r="J652" s="101">
        <f t="shared" si="1"/>
        <v>23.695174714659018</v>
      </c>
      <c r="K652" s="101">
        <f t="shared" si="2"/>
        <v>199</v>
      </c>
      <c r="L652" s="74">
        <f t="shared" si="535"/>
        <v>146</v>
      </c>
      <c r="M652" s="99">
        <f t="shared" si="191"/>
        <v>25138.72236199574</v>
      </c>
      <c r="N652" s="101">
        <f t="shared" si="690"/>
        <v>4021.1011800021529</v>
      </c>
      <c r="O652" s="101">
        <f t="shared" si="691"/>
        <v>4021.1011800021529</v>
      </c>
      <c r="P652" s="101">
        <f t="shared" si="692"/>
        <v>5433.7259740146001</v>
      </c>
      <c r="Q652" s="101">
        <f t="shared" si="693"/>
        <v>11662.794027976834</v>
      </c>
      <c r="R652" s="109"/>
      <c r="S652" s="99">
        <f t="shared" si="694"/>
        <v>16675.093495177756</v>
      </c>
      <c r="T652" s="101">
        <f t="shared" si="695"/>
        <v>2892.8514913185368</v>
      </c>
      <c r="U652" s="101">
        <f t="shared" si="696"/>
        <v>2892.8514913185368</v>
      </c>
      <c r="V652" s="101">
        <f t="shared" si="697"/>
        <v>3909.118816884878</v>
      </c>
      <c r="W652" s="101">
        <f t="shared" si="698"/>
        <v>6980.2716956558043</v>
      </c>
      <c r="X652" s="74"/>
      <c r="Y652" s="99">
        <f t="shared" si="8"/>
        <v>38375.982611227693</v>
      </c>
      <c r="Z652" s="101">
        <f t="shared" si="699"/>
        <v>5785.7029826370735</v>
      </c>
      <c r="AA652" s="101">
        <f t="shared" si="700"/>
        <v>5785.7029826370735</v>
      </c>
      <c r="AB652" s="101">
        <f t="shared" si="701"/>
        <v>7818.2376337697551</v>
      </c>
      <c r="AC652" s="101">
        <f t="shared" si="702"/>
        <v>18986.339012183787</v>
      </c>
      <c r="AD652" s="74"/>
      <c r="AE652" s="99">
        <f t="shared" si="785"/>
        <v>27.727164197424003</v>
      </c>
      <c r="AF652" s="101">
        <f t="shared" ref="AF652" si="816">AP652</f>
        <v>36</v>
      </c>
      <c r="AG652" s="101">
        <f t="shared" si="704"/>
        <v>19.001300000000001</v>
      </c>
      <c r="AH652" s="101">
        <f t="shared" si="705"/>
        <v>657</v>
      </c>
      <c r="AI652" s="101">
        <f t="shared" si="706"/>
        <v>200</v>
      </c>
      <c r="AJ652" s="108">
        <f t="shared" si="707"/>
        <v>3.3333333333333335</v>
      </c>
      <c r="AK652" s="101">
        <f t="shared" si="461"/>
        <v>8079.0181662682935</v>
      </c>
      <c r="AL652" s="101">
        <f t="shared" si="708"/>
        <v>2410.7095760987809</v>
      </c>
      <c r="AM652" s="101">
        <f t="shared" si="709"/>
        <v>2410.7095760987809</v>
      </c>
      <c r="AN652" s="101">
        <f t="shared" si="710"/>
        <v>3257.5990140707318</v>
      </c>
      <c r="AO652" s="1">
        <v>36</v>
      </c>
      <c r="AP652" s="2">
        <v>36</v>
      </c>
      <c r="AQ652" s="74">
        <f t="shared" si="711"/>
        <v>657</v>
      </c>
      <c r="AR652" s="31">
        <f t="shared" si="712"/>
        <v>0</v>
      </c>
      <c r="AS652" s="2">
        <f t="shared" si="713"/>
        <v>1</v>
      </c>
      <c r="AT652" s="33">
        <f t="shared" si="714"/>
        <v>0</v>
      </c>
      <c r="AU652" s="31">
        <f t="shared" si="715"/>
        <v>0</v>
      </c>
      <c r="AV652" s="2">
        <f t="shared" si="716"/>
        <v>0</v>
      </c>
      <c r="AW652" s="33">
        <f t="shared" si="717"/>
        <v>1.36</v>
      </c>
      <c r="AX652" s="31">
        <f t="shared" si="718"/>
        <v>0.6</v>
      </c>
      <c r="AY652" s="33">
        <f t="shared" si="719"/>
        <v>1</v>
      </c>
      <c r="AZ652" s="2"/>
      <c r="BA652" s="101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</row>
    <row r="653" spans="1:71" ht="12" customHeight="1">
      <c r="A653" s="2"/>
      <c r="B653" s="107">
        <v>578</v>
      </c>
      <c r="C653" s="31">
        <v>10</v>
      </c>
      <c r="D653" s="111" t="s">
        <v>14</v>
      </c>
      <c r="E653" s="2" t="s">
        <v>150</v>
      </c>
      <c r="F653" s="2" t="s">
        <v>149</v>
      </c>
      <c r="G653" s="2"/>
      <c r="H653" s="33" t="s">
        <v>80</v>
      </c>
      <c r="I653" s="99">
        <f t="shared" si="0"/>
        <v>835.95266250365148</v>
      </c>
      <c r="J653" s="101">
        <f t="shared" si="1"/>
        <v>23.695174714659018</v>
      </c>
      <c r="K653" s="101">
        <f t="shared" si="2"/>
        <v>246</v>
      </c>
      <c r="L653" s="74">
        <f t="shared" si="535"/>
        <v>173</v>
      </c>
      <c r="M653" s="99">
        <f t="shared" si="191"/>
        <v>23178.596734512517</v>
      </c>
      <c r="N653" s="101">
        <f t="shared" si="690"/>
        <v>4021.1011800021529</v>
      </c>
      <c r="O653" s="101">
        <f t="shared" si="691"/>
        <v>4021.1011800021529</v>
      </c>
      <c r="P653" s="101">
        <f t="shared" si="692"/>
        <v>5433.7259740146001</v>
      </c>
      <c r="Q653" s="101">
        <f t="shared" si="693"/>
        <v>9702.6684004936105</v>
      </c>
      <c r="R653" s="109"/>
      <c r="S653" s="99">
        <f t="shared" si="694"/>
        <v>16675.093495177756</v>
      </c>
      <c r="T653" s="101">
        <f t="shared" si="695"/>
        <v>2892.8514913185368</v>
      </c>
      <c r="U653" s="101">
        <f t="shared" si="696"/>
        <v>2892.8514913185368</v>
      </c>
      <c r="V653" s="101">
        <f t="shared" si="697"/>
        <v>3909.118816884878</v>
      </c>
      <c r="W653" s="101">
        <f t="shared" si="698"/>
        <v>6980.2716956558043</v>
      </c>
      <c r="X653" s="74"/>
      <c r="Y653" s="99">
        <f t="shared" si="8"/>
        <v>33350.186990355513</v>
      </c>
      <c r="Z653" s="101">
        <f t="shared" si="699"/>
        <v>5785.7029826370735</v>
      </c>
      <c r="AA653" s="101">
        <f t="shared" si="700"/>
        <v>5785.7029826370735</v>
      </c>
      <c r="AB653" s="101">
        <f t="shared" si="701"/>
        <v>7818.2376337697551</v>
      </c>
      <c r="AC653" s="101">
        <f t="shared" si="702"/>
        <v>13960.543391311609</v>
      </c>
      <c r="AD653" s="74"/>
      <c r="AE653" s="99">
        <f t="shared" si="785"/>
        <v>27.727164197424003</v>
      </c>
      <c r="AF653" s="101">
        <f t="shared" ref="AF653" si="817">AP653</f>
        <v>36</v>
      </c>
      <c r="AG653" s="101">
        <f t="shared" si="704"/>
        <v>19.001300000000001</v>
      </c>
      <c r="AH653" s="101">
        <f t="shared" si="705"/>
        <v>657</v>
      </c>
      <c r="AI653" s="101">
        <f t="shared" si="706"/>
        <v>200</v>
      </c>
      <c r="AJ653" s="108">
        <f t="shared" si="707"/>
        <v>3.3333333333333335</v>
      </c>
      <c r="AK653" s="101">
        <f t="shared" si="461"/>
        <v>8079.0181662682935</v>
      </c>
      <c r="AL653" s="101">
        <f t="shared" si="708"/>
        <v>2410.7095760987809</v>
      </c>
      <c r="AM653" s="101">
        <f t="shared" si="709"/>
        <v>2410.7095760987809</v>
      </c>
      <c r="AN653" s="101">
        <f t="shared" si="710"/>
        <v>3257.5990140707318</v>
      </c>
      <c r="AO653" s="1">
        <v>36</v>
      </c>
      <c r="AP653" s="2">
        <v>36</v>
      </c>
      <c r="AQ653" s="74">
        <f t="shared" si="711"/>
        <v>657</v>
      </c>
      <c r="AR653" s="31">
        <f t="shared" si="712"/>
        <v>50</v>
      </c>
      <c r="AS653" s="2">
        <f t="shared" si="713"/>
        <v>1</v>
      </c>
      <c r="AT653" s="33">
        <f t="shared" si="714"/>
        <v>0</v>
      </c>
      <c r="AU653" s="31">
        <f t="shared" si="715"/>
        <v>0</v>
      </c>
      <c r="AV653" s="2">
        <f t="shared" si="716"/>
        <v>0</v>
      </c>
      <c r="AW653" s="33">
        <f t="shared" si="717"/>
        <v>1</v>
      </c>
      <c r="AX653" s="31">
        <f t="shared" si="718"/>
        <v>0.6</v>
      </c>
      <c r="AY653" s="33">
        <f t="shared" si="719"/>
        <v>1</v>
      </c>
      <c r="AZ653" s="2"/>
      <c r="BA653" s="101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</row>
    <row r="654" spans="1:71" ht="12" customHeight="1">
      <c r="A654" s="2"/>
      <c r="B654" s="107">
        <v>579</v>
      </c>
      <c r="C654" s="31">
        <v>10</v>
      </c>
      <c r="D654" s="111" t="s">
        <v>14</v>
      </c>
      <c r="E654" s="2" t="s">
        <v>164</v>
      </c>
      <c r="F654" s="2" t="s">
        <v>149</v>
      </c>
      <c r="G654" s="2"/>
      <c r="H654" s="33" t="s">
        <v>80</v>
      </c>
      <c r="I654" s="99">
        <f t="shared" si="0"/>
        <v>986.30245464654024</v>
      </c>
      <c r="J654" s="101">
        <f t="shared" si="1"/>
        <v>23.695174714659018</v>
      </c>
      <c r="K654" s="101">
        <f t="shared" si="2"/>
        <v>166</v>
      </c>
      <c r="L654" s="74">
        <f t="shared" si="535"/>
        <v>127</v>
      </c>
      <c r="M654" s="99">
        <f t="shared" si="191"/>
        <v>27347.370108306961</v>
      </c>
      <c r="N654" s="101">
        <f t="shared" si="690"/>
        <v>4744.3140528317881</v>
      </c>
      <c r="O654" s="101">
        <f t="shared" si="691"/>
        <v>4744.3140528317881</v>
      </c>
      <c r="P654" s="101">
        <f t="shared" si="692"/>
        <v>6411.0056782358197</v>
      </c>
      <c r="Q654" s="101">
        <f t="shared" si="693"/>
        <v>11447.736324407564</v>
      </c>
      <c r="R654" s="109"/>
      <c r="S654" s="99">
        <f t="shared" si="694"/>
        <v>16675.093495177756</v>
      </c>
      <c r="T654" s="101">
        <f t="shared" si="695"/>
        <v>2892.8514913185368</v>
      </c>
      <c r="U654" s="101">
        <f t="shared" si="696"/>
        <v>2892.8514913185368</v>
      </c>
      <c r="V654" s="101">
        <f t="shared" si="697"/>
        <v>3909.118816884878</v>
      </c>
      <c r="W654" s="101">
        <f t="shared" si="698"/>
        <v>6980.2716956558043</v>
      </c>
      <c r="X654" s="74"/>
      <c r="Y654" s="99">
        <f t="shared" si="8"/>
        <v>33350.186990355513</v>
      </c>
      <c r="Z654" s="101">
        <f t="shared" si="699"/>
        <v>5785.7029826370735</v>
      </c>
      <c r="AA654" s="101">
        <f t="shared" si="700"/>
        <v>5785.7029826370735</v>
      </c>
      <c r="AB654" s="101">
        <f t="shared" si="701"/>
        <v>7818.2376337697551</v>
      </c>
      <c r="AC654" s="101">
        <f t="shared" si="702"/>
        <v>13960.543391311609</v>
      </c>
      <c r="AD654" s="74"/>
      <c r="AE654" s="99">
        <f t="shared" si="785"/>
        <v>27.727164197424003</v>
      </c>
      <c r="AF654" s="101">
        <f t="shared" ref="AF654" si="818">AP654</f>
        <v>36</v>
      </c>
      <c r="AG654" s="101">
        <f t="shared" si="704"/>
        <v>44.001300000000001</v>
      </c>
      <c r="AH654" s="101">
        <f t="shared" si="705"/>
        <v>657</v>
      </c>
      <c r="AI654" s="101">
        <f t="shared" si="706"/>
        <v>200</v>
      </c>
      <c r="AJ654" s="108">
        <f t="shared" si="707"/>
        <v>3.3333333333333335</v>
      </c>
      <c r="AK654" s="101">
        <f t="shared" si="461"/>
        <v>8079.0181662682935</v>
      </c>
      <c r="AL654" s="101">
        <f t="shared" si="708"/>
        <v>2410.7095760987809</v>
      </c>
      <c r="AM654" s="101">
        <f t="shared" si="709"/>
        <v>2410.7095760987809</v>
      </c>
      <c r="AN654" s="101">
        <f t="shared" si="710"/>
        <v>3257.5990140707318</v>
      </c>
      <c r="AO654" s="1">
        <v>36</v>
      </c>
      <c r="AP654" s="2">
        <v>36</v>
      </c>
      <c r="AQ654" s="74">
        <f t="shared" si="711"/>
        <v>657</v>
      </c>
      <c r="AR654" s="31">
        <f t="shared" si="712"/>
        <v>50</v>
      </c>
      <c r="AS654" s="2">
        <f t="shared" si="713"/>
        <v>1</v>
      </c>
      <c r="AT654" s="33">
        <f t="shared" si="714"/>
        <v>0</v>
      </c>
      <c r="AU654" s="31">
        <f t="shared" si="715"/>
        <v>25</v>
      </c>
      <c r="AV654" s="2">
        <f t="shared" si="716"/>
        <v>0</v>
      </c>
      <c r="AW654" s="33">
        <f t="shared" si="717"/>
        <v>1</v>
      </c>
      <c r="AX654" s="31">
        <f t="shared" si="718"/>
        <v>0.6</v>
      </c>
      <c r="AY654" s="33">
        <f t="shared" si="719"/>
        <v>1</v>
      </c>
      <c r="AZ654" s="2"/>
      <c r="BA654" s="101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</row>
    <row r="655" spans="1:71" ht="12" customHeight="1">
      <c r="A655" s="2"/>
      <c r="B655" s="107">
        <v>580</v>
      </c>
      <c r="C655" s="31">
        <v>10</v>
      </c>
      <c r="D655" s="111" t="s">
        <v>14</v>
      </c>
      <c r="E655" s="2" t="s">
        <v>156</v>
      </c>
      <c r="F655" s="2" t="s">
        <v>149</v>
      </c>
      <c r="G655" s="2"/>
      <c r="H655" s="33" t="s">
        <v>80</v>
      </c>
      <c r="I655" s="99">
        <f t="shared" si="0"/>
        <v>906.64599462830233</v>
      </c>
      <c r="J655" s="101">
        <f t="shared" si="1"/>
        <v>23.695174714659018</v>
      </c>
      <c r="K655" s="101">
        <f t="shared" si="2"/>
        <v>199</v>
      </c>
      <c r="L655" s="74">
        <f t="shared" si="535"/>
        <v>146</v>
      </c>
      <c r="M655" s="99">
        <f t="shared" si="191"/>
        <v>25138.72236199574</v>
      </c>
      <c r="N655" s="101">
        <f t="shared" si="690"/>
        <v>4021.1011800021529</v>
      </c>
      <c r="O655" s="101">
        <f t="shared" si="691"/>
        <v>4021.1011800021529</v>
      </c>
      <c r="P655" s="101">
        <f t="shared" si="692"/>
        <v>5433.7259740146001</v>
      </c>
      <c r="Q655" s="101">
        <f t="shared" si="693"/>
        <v>11662.794027976834</v>
      </c>
      <c r="R655" s="109"/>
      <c r="S655" s="99">
        <f t="shared" si="694"/>
        <v>16675.093495177756</v>
      </c>
      <c r="T655" s="101">
        <f t="shared" si="695"/>
        <v>2892.8514913185368</v>
      </c>
      <c r="U655" s="101">
        <f t="shared" si="696"/>
        <v>2892.8514913185368</v>
      </c>
      <c r="V655" s="101">
        <f t="shared" si="697"/>
        <v>3909.118816884878</v>
      </c>
      <c r="W655" s="101">
        <f t="shared" si="698"/>
        <v>6980.2716956558043</v>
      </c>
      <c r="X655" s="74"/>
      <c r="Y655" s="99">
        <f t="shared" si="8"/>
        <v>38375.982611227693</v>
      </c>
      <c r="Z655" s="101">
        <f t="shared" si="699"/>
        <v>5785.7029826370735</v>
      </c>
      <c r="AA655" s="101">
        <f t="shared" si="700"/>
        <v>5785.7029826370735</v>
      </c>
      <c r="AB655" s="101">
        <f t="shared" si="701"/>
        <v>7818.2376337697551</v>
      </c>
      <c r="AC655" s="101">
        <f t="shared" si="702"/>
        <v>18986.339012183787</v>
      </c>
      <c r="AD655" s="74"/>
      <c r="AE655" s="99">
        <f t="shared" si="785"/>
        <v>27.727164197424003</v>
      </c>
      <c r="AF655" s="101">
        <f t="shared" ref="AF655" si="819">AP655</f>
        <v>36</v>
      </c>
      <c r="AG655" s="101">
        <f t="shared" si="704"/>
        <v>19.001300000000001</v>
      </c>
      <c r="AH655" s="101">
        <f t="shared" si="705"/>
        <v>657</v>
      </c>
      <c r="AI655" s="101">
        <f t="shared" si="706"/>
        <v>200</v>
      </c>
      <c r="AJ655" s="108">
        <f t="shared" si="707"/>
        <v>3.3333333333333335</v>
      </c>
      <c r="AK655" s="101">
        <f t="shared" si="461"/>
        <v>8079.0181662682935</v>
      </c>
      <c r="AL655" s="101">
        <f t="shared" si="708"/>
        <v>2410.7095760987809</v>
      </c>
      <c r="AM655" s="101">
        <f t="shared" si="709"/>
        <v>2410.7095760987809</v>
      </c>
      <c r="AN655" s="101">
        <f t="shared" si="710"/>
        <v>3257.5990140707318</v>
      </c>
      <c r="AO655" s="1">
        <v>36</v>
      </c>
      <c r="AP655" s="2">
        <v>36</v>
      </c>
      <c r="AQ655" s="74">
        <f t="shared" si="711"/>
        <v>657</v>
      </c>
      <c r="AR655" s="31">
        <f t="shared" si="712"/>
        <v>50</v>
      </c>
      <c r="AS655" s="2">
        <f t="shared" si="713"/>
        <v>1</v>
      </c>
      <c r="AT655" s="33">
        <f t="shared" si="714"/>
        <v>0</v>
      </c>
      <c r="AU655" s="31">
        <f t="shared" si="715"/>
        <v>0</v>
      </c>
      <c r="AV655" s="2">
        <f t="shared" si="716"/>
        <v>0</v>
      </c>
      <c r="AW655" s="33">
        <f t="shared" si="717"/>
        <v>1.36</v>
      </c>
      <c r="AX655" s="31">
        <f t="shared" si="718"/>
        <v>0.6</v>
      </c>
      <c r="AY655" s="33">
        <f t="shared" si="719"/>
        <v>1</v>
      </c>
      <c r="AZ655" s="2"/>
      <c r="BA655" s="101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</row>
    <row r="656" spans="1:71" ht="12" customHeight="1">
      <c r="A656" s="2"/>
      <c r="B656" s="107">
        <v>581</v>
      </c>
      <c r="C656" s="31">
        <v>10</v>
      </c>
      <c r="D656" s="111" t="s">
        <v>14</v>
      </c>
      <c r="E656" s="2" t="s">
        <v>161</v>
      </c>
      <c r="F656" s="2" t="s">
        <v>149</v>
      </c>
      <c r="G656" s="2"/>
      <c r="H656" s="33" t="s">
        <v>80</v>
      </c>
      <c r="I656" s="99">
        <f t="shared" si="0"/>
        <v>835.95266250365148</v>
      </c>
      <c r="J656" s="101">
        <f t="shared" si="1"/>
        <v>11.847587357329509</v>
      </c>
      <c r="K656" s="101">
        <f t="shared" si="2"/>
        <v>246</v>
      </c>
      <c r="L656" s="74">
        <f t="shared" si="535"/>
        <v>173</v>
      </c>
      <c r="M656" s="99">
        <f t="shared" si="191"/>
        <v>23178.596734512517</v>
      </c>
      <c r="N656" s="101">
        <f t="shared" si="690"/>
        <v>4021.1011800021529</v>
      </c>
      <c r="O656" s="101">
        <f t="shared" si="691"/>
        <v>4021.1011800021529</v>
      </c>
      <c r="P656" s="101">
        <f t="shared" si="692"/>
        <v>5433.7259740146001</v>
      </c>
      <c r="Q656" s="101">
        <f t="shared" si="693"/>
        <v>9702.6684004936105</v>
      </c>
      <c r="R656" s="109"/>
      <c r="S656" s="99">
        <f t="shared" si="694"/>
        <v>16675.093495177756</v>
      </c>
      <c r="T656" s="101">
        <f t="shared" si="695"/>
        <v>2892.8514913185368</v>
      </c>
      <c r="U656" s="101">
        <f t="shared" si="696"/>
        <v>2892.8514913185368</v>
      </c>
      <c r="V656" s="101">
        <f t="shared" si="697"/>
        <v>3909.118816884878</v>
      </c>
      <c r="W656" s="101">
        <f t="shared" si="698"/>
        <v>6980.2716956558043</v>
      </c>
      <c r="X656" s="74"/>
      <c r="Y656" s="99">
        <f t="shared" si="8"/>
        <v>33350.186990355513</v>
      </c>
      <c r="Z656" s="101">
        <f t="shared" si="699"/>
        <v>5785.7029826370735</v>
      </c>
      <c r="AA656" s="101">
        <f t="shared" si="700"/>
        <v>5785.7029826370735</v>
      </c>
      <c r="AB656" s="101">
        <f t="shared" si="701"/>
        <v>7818.2376337697551</v>
      </c>
      <c r="AC656" s="101">
        <f t="shared" si="702"/>
        <v>13960.543391311609</v>
      </c>
      <c r="AD656" s="74"/>
      <c r="AE656" s="99">
        <f t="shared" si="785"/>
        <v>27.727164197424003</v>
      </c>
      <c r="AF656" s="101">
        <f t="shared" ref="AF656" si="820">AP656</f>
        <v>36</v>
      </c>
      <c r="AG656" s="101">
        <f t="shared" si="704"/>
        <v>19.001300000000001</v>
      </c>
      <c r="AH656" s="101">
        <f t="shared" si="705"/>
        <v>328.5</v>
      </c>
      <c r="AI656" s="101">
        <f t="shared" si="706"/>
        <v>200</v>
      </c>
      <c r="AJ656" s="108">
        <f t="shared" si="707"/>
        <v>3.3333333333333335</v>
      </c>
      <c r="AK656" s="101">
        <f t="shared" si="461"/>
        <v>8079.0181662682935</v>
      </c>
      <c r="AL656" s="101">
        <f t="shared" si="708"/>
        <v>2410.7095760987809</v>
      </c>
      <c r="AM656" s="101">
        <f t="shared" si="709"/>
        <v>2410.7095760987809</v>
      </c>
      <c r="AN656" s="101">
        <f t="shared" si="710"/>
        <v>3257.5990140707318</v>
      </c>
      <c r="AO656" s="1">
        <v>36</v>
      </c>
      <c r="AP656" s="2">
        <v>36</v>
      </c>
      <c r="AQ656" s="74">
        <f t="shared" si="711"/>
        <v>657</v>
      </c>
      <c r="AR656" s="31">
        <f t="shared" si="712"/>
        <v>0</v>
      </c>
      <c r="AS656" s="2">
        <f t="shared" si="713"/>
        <v>0.5</v>
      </c>
      <c r="AT656" s="33">
        <f t="shared" si="714"/>
        <v>0</v>
      </c>
      <c r="AU656" s="31">
        <f t="shared" si="715"/>
        <v>0</v>
      </c>
      <c r="AV656" s="2">
        <f t="shared" si="716"/>
        <v>0</v>
      </c>
      <c r="AW656" s="33">
        <f t="shared" si="717"/>
        <v>1</v>
      </c>
      <c r="AX656" s="31">
        <f t="shared" si="718"/>
        <v>0.6</v>
      </c>
      <c r="AY656" s="33">
        <f t="shared" si="719"/>
        <v>1</v>
      </c>
      <c r="AZ656" s="2"/>
      <c r="BA656" s="101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</row>
    <row r="657" spans="1:71" ht="12" customHeight="1">
      <c r="A657" s="2"/>
      <c r="B657" s="107">
        <v>582</v>
      </c>
      <c r="C657" s="31">
        <v>10</v>
      </c>
      <c r="D657" s="111" t="s">
        <v>14</v>
      </c>
      <c r="E657" s="2" t="s">
        <v>169</v>
      </c>
      <c r="F657" s="2" t="s">
        <v>149</v>
      </c>
      <c r="G657" s="2"/>
      <c r="H657" s="33" t="s">
        <v>80</v>
      </c>
      <c r="I657" s="99">
        <f t="shared" si="0"/>
        <v>986.30245464654024</v>
      </c>
      <c r="J657" s="101">
        <f t="shared" si="1"/>
        <v>11.847587357329509</v>
      </c>
      <c r="K657" s="101">
        <f t="shared" si="2"/>
        <v>166</v>
      </c>
      <c r="L657" s="74">
        <f t="shared" si="535"/>
        <v>127</v>
      </c>
      <c r="M657" s="99">
        <f t="shared" si="191"/>
        <v>27347.370108306961</v>
      </c>
      <c r="N657" s="101">
        <f t="shared" si="690"/>
        <v>4744.3140528317881</v>
      </c>
      <c r="O657" s="101">
        <f t="shared" si="691"/>
        <v>4744.3140528317881</v>
      </c>
      <c r="P657" s="101">
        <f t="shared" si="692"/>
        <v>6411.0056782358197</v>
      </c>
      <c r="Q657" s="101">
        <f t="shared" si="693"/>
        <v>11447.736324407564</v>
      </c>
      <c r="R657" s="109"/>
      <c r="S657" s="99">
        <f t="shared" si="694"/>
        <v>16675.093495177756</v>
      </c>
      <c r="T657" s="101">
        <f t="shared" si="695"/>
        <v>2892.8514913185368</v>
      </c>
      <c r="U657" s="101">
        <f t="shared" si="696"/>
        <v>2892.8514913185368</v>
      </c>
      <c r="V657" s="101">
        <f t="shared" si="697"/>
        <v>3909.118816884878</v>
      </c>
      <c r="W657" s="101">
        <f t="shared" si="698"/>
        <v>6980.2716956558043</v>
      </c>
      <c r="X657" s="74"/>
      <c r="Y657" s="99">
        <f t="shared" si="8"/>
        <v>33350.186990355513</v>
      </c>
      <c r="Z657" s="101">
        <f t="shared" si="699"/>
        <v>5785.7029826370735</v>
      </c>
      <c r="AA657" s="101">
        <f t="shared" si="700"/>
        <v>5785.7029826370735</v>
      </c>
      <c r="AB657" s="101">
        <f t="shared" si="701"/>
        <v>7818.2376337697551</v>
      </c>
      <c r="AC657" s="101">
        <f t="shared" si="702"/>
        <v>13960.543391311609</v>
      </c>
      <c r="AD657" s="74"/>
      <c r="AE657" s="99">
        <f t="shared" si="785"/>
        <v>27.727164197424003</v>
      </c>
      <c r="AF657" s="101">
        <f t="shared" ref="AF657" si="821">AP657</f>
        <v>36</v>
      </c>
      <c r="AG657" s="101">
        <f t="shared" si="704"/>
        <v>44.001300000000001</v>
      </c>
      <c r="AH657" s="101">
        <f t="shared" si="705"/>
        <v>328.5</v>
      </c>
      <c r="AI657" s="101">
        <f t="shared" si="706"/>
        <v>200</v>
      </c>
      <c r="AJ657" s="108">
        <f t="shared" si="707"/>
        <v>3.3333333333333335</v>
      </c>
      <c r="AK657" s="101">
        <f t="shared" si="461"/>
        <v>8079.0181662682935</v>
      </c>
      <c r="AL657" s="101">
        <f t="shared" si="708"/>
        <v>2410.7095760987809</v>
      </c>
      <c r="AM657" s="101">
        <f t="shared" si="709"/>
        <v>2410.7095760987809</v>
      </c>
      <c r="AN657" s="101">
        <f t="shared" si="710"/>
        <v>3257.5990140707318</v>
      </c>
      <c r="AO657" s="1">
        <v>36</v>
      </c>
      <c r="AP657" s="2">
        <v>36</v>
      </c>
      <c r="AQ657" s="74">
        <f t="shared" si="711"/>
        <v>657</v>
      </c>
      <c r="AR657" s="31">
        <f t="shared" si="712"/>
        <v>0</v>
      </c>
      <c r="AS657" s="2">
        <f t="shared" si="713"/>
        <v>0.5</v>
      </c>
      <c r="AT657" s="33">
        <f t="shared" si="714"/>
        <v>0</v>
      </c>
      <c r="AU657" s="31">
        <f t="shared" si="715"/>
        <v>25</v>
      </c>
      <c r="AV657" s="2">
        <f t="shared" si="716"/>
        <v>0</v>
      </c>
      <c r="AW657" s="33">
        <f t="shared" si="717"/>
        <v>1</v>
      </c>
      <c r="AX657" s="31">
        <f t="shared" si="718"/>
        <v>0.6</v>
      </c>
      <c r="AY657" s="33">
        <f t="shared" si="719"/>
        <v>1</v>
      </c>
      <c r="AZ657" s="2"/>
      <c r="BA657" s="101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</row>
    <row r="658" spans="1:71" ht="12" customHeight="1">
      <c r="A658" s="2"/>
      <c r="B658" s="107">
        <v>583</v>
      </c>
      <c r="C658" s="31">
        <v>10</v>
      </c>
      <c r="D658" s="111" t="s">
        <v>14</v>
      </c>
      <c r="E658" s="2" t="s">
        <v>171</v>
      </c>
      <c r="F658" s="2" t="s">
        <v>149</v>
      </c>
      <c r="G658" s="2"/>
      <c r="H658" s="33" t="s">
        <v>80</v>
      </c>
      <c r="I658" s="99">
        <f t="shared" si="0"/>
        <v>906.64599462830233</v>
      </c>
      <c r="J658" s="101">
        <f t="shared" si="1"/>
        <v>11.847587357329509</v>
      </c>
      <c r="K658" s="101">
        <f t="shared" si="2"/>
        <v>199</v>
      </c>
      <c r="L658" s="74">
        <f t="shared" si="535"/>
        <v>146</v>
      </c>
      <c r="M658" s="99">
        <f t="shared" si="191"/>
        <v>25138.72236199574</v>
      </c>
      <c r="N658" s="101">
        <f t="shared" si="690"/>
        <v>4021.1011800021529</v>
      </c>
      <c r="O658" s="101">
        <f t="shared" si="691"/>
        <v>4021.1011800021529</v>
      </c>
      <c r="P658" s="101">
        <f t="shared" si="692"/>
        <v>5433.7259740146001</v>
      </c>
      <c r="Q658" s="101">
        <f t="shared" si="693"/>
        <v>11662.794027976834</v>
      </c>
      <c r="R658" s="109"/>
      <c r="S658" s="99">
        <f t="shared" si="694"/>
        <v>16675.093495177756</v>
      </c>
      <c r="T658" s="101">
        <f t="shared" si="695"/>
        <v>2892.8514913185368</v>
      </c>
      <c r="U658" s="101">
        <f t="shared" si="696"/>
        <v>2892.8514913185368</v>
      </c>
      <c r="V658" s="101">
        <f t="shared" si="697"/>
        <v>3909.118816884878</v>
      </c>
      <c r="W658" s="101">
        <f t="shared" si="698"/>
        <v>6980.2716956558043</v>
      </c>
      <c r="X658" s="74"/>
      <c r="Y658" s="99">
        <f t="shared" si="8"/>
        <v>38375.982611227693</v>
      </c>
      <c r="Z658" s="101">
        <f t="shared" si="699"/>
        <v>5785.7029826370735</v>
      </c>
      <c r="AA658" s="101">
        <f t="shared" si="700"/>
        <v>5785.7029826370735</v>
      </c>
      <c r="AB658" s="101">
        <f t="shared" si="701"/>
        <v>7818.2376337697551</v>
      </c>
      <c r="AC658" s="101">
        <f t="shared" si="702"/>
        <v>18986.339012183787</v>
      </c>
      <c r="AD658" s="74"/>
      <c r="AE658" s="99">
        <f t="shared" si="785"/>
        <v>27.727164197424003</v>
      </c>
      <c r="AF658" s="101">
        <f t="shared" ref="AF658" si="822">AP658</f>
        <v>36</v>
      </c>
      <c r="AG658" s="101">
        <f t="shared" si="704"/>
        <v>19.001300000000001</v>
      </c>
      <c r="AH658" s="101">
        <f t="shared" si="705"/>
        <v>328.5</v>
      </c>
      <c r="AI658" s="101">
        <f t="shared" si="706"/>
        <v>200</v>
      </c>
      <c r="AJ658" s="108">
        <f t="shared" si="707"/>
        <v>3.3333333333333335</v>
      </c>
      <c r="AK658" s="101">
        <f t="shared" si="461"/>
        <v>8079.0181662682935</v>
      </c>
      <c r="AL658" s="101">
        <f t="shared" si="708"/>
        <v>2410.7095760987809</v>
      </c>
      <c r="AM658" s="101">
        <f t="shared" si="709"/>
        <v>2410.7095760987809</v>
      </c>
      <c r="AN658" s="101">
        <f t="shared" si="710"/>
        <v>3257.5990140707318</v>
      </c>
      <c r="AO658" s="1">
        <v>36</v>
      </c>
      <c r="AP658" s="2">
        <v>36</v>
      </c>
      <c r="AQ658" s="74">
        <f t="shared" si="711"/>
        <v>657</v>
      </c>
      <c r="AR658" s="31">
        <f t="shared" si="712"/>
        <v>0</v>
      </c>
      <c r="AS658" s="2">
        <f t="shared" si="713"/>
        <v>0.5</v>
      </c>
      <c r="AT658" s="33">
        <f t="shared" si="714"/>
        <v>0</v>
      </c>
      <c r="AU658" s="31">
        <f t="shared" si="715"/>
        <v>0</v>
      </c>
      <c r="AV658" s="2">
        <f t="shared" si="716"/>
        <v>0</v>
      </c>
      <c r="AW658" s="33">
        <f t="shared" si="717"/>
        <v>1.36</v>
      </c>
      <c r="AX658" s="31">
        <f t="shared" si="718"/>
        <v>0.6</v>
      </c>
      <c r="AY658" s="33">
        <f t="shared" si="719"/>
        <v>1</v>
      </c>
      <c r="AZ658" s="2"/>
      <c r="BA658" s="101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</row>
    <row r="659" spans="1:71" ht="12" customHeight="1">
      <c r="A659" s="2"/>
      <c r="B659" s="107">
        <v>584</v>
      </c>
      <c r="C659" s="31">
        <v>10</v>
      </c>
      <c r="D659" s="111" t="s">
        <v>14</v>
      </c>
      <c r="E659" s="2" t="s">
        <v>92</v>
      </c>
      <c r="F659" s="2" t="s">
        <v>149</v>
      </c>
      <c r="G659" s="2"/>
      <c r="H659" s="33" t="s">
        <v>80</v>
      </c>
      <c r="I659" s="99">
        <f t="shared" si="0"/>
        <v>665.04377404862817</v>
      </c>
      <c r="J659" s="101">
        <f t="shared" si="1"/>
        <v>23.695174714659018</v>
      </c>
      <c r="K659" s="101">
        <f t="shared" si="2"/>
        <v>392</v>
      </c>
      <c r="L659" s="74">
        <f t="shared" si="535"/>
        <v>248</v>
      </c>
      <c r="M659" s="99">
        <f t="shared" si="191"/>
        <v>18439.777921520861</v>
      </c>
      <c r="N659" s="101">
        <f t="shared" si="690"/>
        <v>5502.2712292127535</v>
      </c>
      <c r="O659" s="101">
        <f t="shared" si="691"/>
        <v>5502.2712292127535</v>
      </c>
      <c r="P659" s="101">
        <f t="shared" si="692"/>
        <v>7435.2354630953532</v>
      </c>
      <c r="Q659" s="101">
        <f t="shared" si="693"/>
        <v>0</v>
      </c>
      <c r="R659" s="109"/>
      <c r="S659" s="99">
        <f t="shared" si="694"/>
        <v>11633.786159426341</v>
      </c>
      <c r="T659" s="101">
        <f t="shared" si="695"/>
        <v>3471.4217895822439</v>
      </c>
      <c r="U659" s="101">
        <f t="shared" si="696"/>
        <v>3471.4217895822439</v>
      </c>
      <c r="V659" s="101">
        <f t="shared" si="697"/>
        <v>4690.9425802618534</v>
      </c>
      <c r="W659" s="101">
        <f t="shared" si="698"/>
        <v>0</v>
      </c>
      <c r="X659" s="74"/>
      <c r="Y659" s="99">
        <f t="shared" si="8"/>
        <v>29084.465398565852</v>
      </c>
      <c r="Z659" s="101">
        <f t="shared" si="699"/>
        <v>8678.5544739556099</v>
      </c>
      <c r="AA659" s="101">
        <f t="shared" si="700"/>
        <v>8678.5544739556099</v>
      </c>
      <c r="AB659" s="101">
        <f t="shared" si="701"/>
        <v>11727.356450654634</v>
      </c>
      <c r="AC659" s="101">
        <f t="shared" si="702"/>
        <v>0</v>
      </c>
      <c r="AD659" s="74"/>
      <c r="AE659" s="99">
        <f t="shared" si="785"/>
        <v>27.727164197424003</v>
      </c>
      <c r="AF659" s="101">
        <f t="shared" ref="AF659" si="823">AP659</f>
        <v>36</v>
      </c>
      <c r="AG659" s="101">
        <f t="shared" si="704"/>
        <v>19.001300000000001</v>
      </c>
      <c r="AH659" s="101">
        <f t="shared" si="705"/>
        <v>657</v>
      </c>
      <c r="AI659" s="101">
        <f t="shared" si="706"/>
        <v>250</v>
      </c>
      <c r="AJ659" s="108">
        <f t="shared" si="707"/>
        <v>3.3333333333333335</v>
      </c>
      <c r="AK659" s="101">
        <f t="shared" si="461"/>
        <v>8079.0181662682935</v>
      </c>
      <c r="AL659" s="101">
        <f t="shared" si="708"/>
        <v>2410.7095760987809</v>
      </c>
      <c r="AM659" s="101">
        <f t="shared" si="709"/>
        <v>2410.7095760987809</v>
      </c>
      <c r="AN659" s="101">
        <f t="shared" si="710"/>
        <v>3257.5990140707318</v>
      </c>
      <c r="AO659" s="1">
        <v>36</v>
      </c>
      <c r="AP659" s="2">
        <v>36</v>
      </c>
      <c r="AQ659" s="74">
        <f t="shared" si="711"/>
        <v>657</v>
      </c>
      <c r="AR659" s="31">
        <f t="shared" si="712"/>
        <v>0</v>
      </c>
      <c r="AS659" s="2">
        <f t="shared" si="713"/>
        <v>1</v>
      </c>
      <c r="AT659" s="33">
        <f t="shared" si="714"/>
        <v>0</v>
      </c>
      <c r="AU659" s="31">
        <f t="shared" si="715"/>
        <v>0</v>
      </c>
      <c r="AV659" s="2">
        <f t="shared" si="716"/>
        <v>0</v>
      </c>
      <c r="AW659" s="33">
        <f t="shared" si="717"/>
        <v>1</v>
      </c>
      <c r="AX659" s="31">
        <f t="shared" si="718"/>
        <v>1</v>
      </c>
      <c r="AY659" s="33">
        <f t="shared" si="719"/>
        <v>1.2</v>
      </c>
      <c r="AZ659" s="2"/>
      <c r="BA659" s="101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</row>
    <row r="660" spans="1:71" ht="12" customHeight="1">
      <c r="A660" s="2"/>
      <c r="B660" s="107">
        <v>585</v>
      </c>
      <c r="C660" s="31">
        <v>10</v>
      </c>
      <c r="D660" s="111" t="s">
        <v>14</v>
      </c>
      <c r="E660" s="2" t="s">
        <v>139</v>
      </c>
      <c r="F660" s="2" t="s">
        <v>149</v>
      </c>
      <c r="G660" s="2"/>
      <c r="H660" s="33" t="s">
        <v>80</v>
      </c>
      <c r="I660" s="99">
        <f t="shared" si="0"/>
        <v>822.38657977955791</v>
      </c>
      <c r="J660" s="101">
        <f t="shared" si="1"/>
        <v>23.695174714659018</v>
      </c>
      <c r="K660" s="101">
        <f t="shared" si="2"/>
        <v>257</v>
      </c>
      <c r="L660" s="74">
        <f t="shared" si="535"/>
        <v>182</v>
      </c>
      <c r="M660" s="99">
        <f t="shared" si="191"/>
        <v>22802.447731305736</v>
      </c>
      <c r="N660" s="101">
        <f t="shared" si="690"/>
        <v>6804.054400306095</v>
      </c>
      <c r="O660" s="101">
        <f t="shared" si="691"/>
        <v>6804.054400306095</v>
      </c>
      <c r="P660" s="101">
        <f t="shared" si="692"/>
        <v>9194.3389306935478</v>
      </c>
      <c r="Q660" s="101">
        <f t="shared" si="693"/>
        <v>0</v>
      </c>
      <c r="R660" s="109"/>
      <c r="S660" s="99">
        <f t="shared" si="694"/>
        <v>11633.786159426341</v>
      </c>
      <c r="T660" s="101">
        <f t="shared" si="695"/>
        <v>3471.4217895822439</v>
      </c>
      <c r="U660" s="101">
        <f t="shared" si="696"/>
        <v>3471.4217895822439</v>
      </c>
      <c r="V660" s="101">
        <f t="shared" si="697"/>
        <v>4690.9425802618534</v>
      </c>
      <c r="W660" s="101">
        <f t="shared" si="698"/>
        <v>0</v>
      </c>
      <c r="X660" s="74"/>
      <c r="Y660" s="99">
        <f t="shared" si="8"/>
        <v>29084.465398565852</v>
      </c>
      <c r="Z660" s="101">
        <f t="shared" si="699"/>
        <v>8678.5544739556099</v>
      </c>
      <c r="AA660" s="101">
        <f t="shared" si="700"/>
        <v>8678.5544739556099</v>
      </c>
      <c r="AB660" s="101">
        <f t="shared" si="701"/>
        <v>11727.356450654634</v>
      </c>
      <c r="AC660" s="101">
        <f t="shared" si="702"/>
        <v>0</v>
      </c>
      <c r="AD660" s="74"/>
      <c r="AE660" s="99">
        <f t="shared" si="785"/>
        <v>27.727164197424003</v>
      </c>
      <c r="AF660" s="101">
        <f t="shared" ref="AF660" si="824">AP660</f>
        <v>36</v>
      </c>
      <c r="AG660" s="101">
        <f t="shared" si="704"/>
        <v>44.001300000000001</v>
      </c>
      <c r="AH660" s="101">
        <f t="shared" si="705"/>
        <v>657</v>
      </c>
      <c r="AI660" s="101">
        <f t="shared" si="706"/>
        <v>250</v>
      </c>
      <c r="AJ660" s="108">
        <f t="shared" si="707"/>
        <v>3.3333333333333335</v>
      </c>
      <c r="AK660" s="101">
        <f t="shared" si="461"/>
        <v>8079.0181662682935</v>
      </c>
      <c r="AL660" s="101">
        <f t="shared" si="708"/>
        <v>2410.7095760987809</v>
      </c>
      <c r="AM660" s="101">
        <f t="shared" si="709"/>
        <v>2410.7095760987809</v>
      </c>
      <c r="AN660" s="101">
        <f t="shared" si="710"/>
        <v>3257.5990140707318</v>
      </c>
      <c r="AO660" s="1">
        <v>36</v>
      </c>
      <c r="AP660" s="2">
        <v>36</v>
      </c>
      <c r="AQ660" s="74">
        <f t="shared" si="711"/>
        <v>657</v>
      </c>
      <c r="AR660" s="31">
        <f t="shared" si="712"/>
        <v>0</v>
      </c>
      <c r="AS660" s="2">
        <f t="shared" si="713"/>
        <v>1</v>
      </c>
      <c r="AT660" s="33">
        <f t="shared" si="714"/>
        <v>0</v>
      </c>
      <c r="AU660" s="31">
        <f t="shared" si="715"/>
        <v>25</v>
      </c>
      <c r="AV660" s="2">
        <f t="shared" si="716"/>
        <v>0</v>
      </c>
      <c r="AW660" s="33">
        <f t="shared" si="717"/>
        <v>1</v>
      </c>
      <c r="AX660" s="31">
        <f t="shared" si="718"/>
        <v>1</v>
      </c>
      <c r="AY660" s="33">
        <f t="shared" si="719"/>
        <v>1.2</v>
      </c>
      <c r="AZ660" s="2"/>
      <c r="BA660" s="101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</row>
    <row r="661" spans="1:71" ht="12" customHeight="1">
      <c r="A661" s="2"/>
      <c r="B661" s="107">
        <v>586</v>
      </c>
      <c r="C661" s="31">
        <v>10</v>
      </c>
      <c r="D661" s="111" t="s">
        <v>14</v>
      </c>
      <c r="E661" s="2" t="s">
        <v>98</v>
      </c>
      <c r="F661" s="2" t="s">
        <v>149</v>
      </c>
      <c r="G661" s="2"/>
      <c r="H661" s="33" t="s">
        <v>80</v>
      </c>
      <c r="I661" s="99">
        <f t="shared" si="0"/>
        <v>724.42870494080626</v>
      </c>
      <c r="J661" s="101">
        <f t="shared" si="1"/>
        <v>23.695174714659018</v>
      </c>
      <c r="K661" s="101">
        <f t="shared" si="2"/>
        <v>325</v>
      </c>
      <c r="L661" s="74">
        <f t="shared" si="535"/>
        <v>217</v>
      </c>
      <c r="M661" s="99">
        <f t="shared" si="191"/>
        <v>20086.353651220961</v>
      </c>
      <c r="N661" s="101">
        <f t="shared" si="690"/>
        <v>5502.2712292127535</v>
      </c>
      <c r="O661" s="101">
        <f t="shared" si="691"/>
        <v>5502.2712292127535</v>
      </c>
      <c r="P661" s="101">
        <f t="shared" si="692"/>
        <v>9081.8111927954524</v>
      </c>
      <c r="Q661" s="101">
        <f t="shared" si="693"/>
        <v>0</v>
      </c>
      <c r="R661" s="109"/>
      <c r="S661" s="99">
        <f t="shared" si="694"/>
        <v>11633.786159426341</v>
      </c>
      <c r="T661" s="101">
        <f t="shared" si="695"/>
        <v>3471.4217895822439</v>
      </c>
      <c r="U661" s="101">
        <f t="shared" si="696"/>
        <v>3471.4217895822439</v>
      </c>
      <c r="V661" s="101">
        <f t="shared" si="697"/>
        <v>4690.9425802618534</v>
      </c>
      <c r="W661" s="101">
        <f t="shared" si="698"/>
        <v>0</v>
      </c>
      <c r="X661" s="74"/>
      <c r="Y661" s="99">
        <f t="shared" si="8"/>
        <v>33306.313720801525</v>
      </c>
      <c r="Z661" s="101">
        <f t="shared" si="699"/>
        <v>8678.5544739556099</v>
      </c>
      <c r="AA661" s="101">
        <f t="shared" si="700"/>
        <v>8678.5544739556099</v>
      </c>
      <c r="AB661" s="101">
        <f t="shared" si="701"/>
        <v>15949.204772890304</v>
      </c>
      <c r="AC661" s="101">
        <f t="shared" si="702"/>
        <v>0</v>
      </c>
      <c r="AD661" s="74"/>
      <c r="AE661" s="99">
        <f t="shared" si="785"/>
        <v>27.727164197424003</v>
      </c>
      <c r="AF661" s="101">
        <f t="shared" ref="AF661" si="825">AP661</f>
        <v>36</v>
      </c>
      <c r="AG661" s="101">
        <f t="shared" si="704"/>
        <v>19.001300000000001</v>
      </c>
      <c r="AH661" s="101">
        <f t="shared" si="705"/>
        <v>657</v>
      </c>
      <c r="AI661" s="101">
        <f t="shared" si="706"/>
        <v>250</v>
      </c>
      <c r="AJ661" s="108">
        <f t="shared" si="707"/>
        <v>3.3333333333333335</v>
      </c>
      <c r="AK661" s="101">
        <f t="shared" si="461"/>
        <v>8079.0181662682935</v>
      </c>
      <c r="AL661" s="101">
        <f t="shared" si="708"/>
        <v>2410.7095760987809</v>
      </c>
      <c r="AM661" s="101">
        <f t="shared" si="709"/>
        <v>2410.7095760987809</v>
      </c>
      <c r="AN661" s="101">
        <f t="shared" si="710"/>
        <v>3257.5990140707318</v>
      </c>
      <c r="AO661" s="1">
        <v>36</v>
      </c>
      <c r="AP661" s="2">
        <v>36</v>
      </c>
      <c r="AQ661" s="74">
        <f t="shared" si="711"/>
        <v>657</v>
      </c>
      <c r="AR661" s="31">
        <f t="shared" si="712"/>
        <v>0</v>
      </c>
      <c r="AS661" s="2">
        <f t="shared" si="713"/>
        <v>1</v>
      </c>
      <c r="AT661" s="33">
        <f t="shared" si="714"/>
        <v>0</v>
      </c>
      <c r="AU661" s="31">
        <f t="shared" si="715"/>
        <v>0</v>
      </c>
      <c r="AV661" s="2">
        <f t="shared" si="716"/>
        <v>0</v>
      </c>
      <c r="AW661" s="33">
        <f t="shared" si="717"/>
        <v>1.36</v>
      </c>
      <c r="AX661" s="31">
        <f t="shared" si="718"/>
        <v>1</v>
      </c>
      <c r="AY661" s="33">
        <f t="shared" si="719"/>
        <v>1.2</v>
      </c>
      <c r="AZ661" s="2"/>
      <c r="BA661" s="101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</row>
    <row r="662" spans="1:71" ht="12" customHeight="1">
      <c r="A662" s="2"/>
      <c r="B662" s="107">
        <v>587</v>
      </c>
      <c r="C662" s="31">
        <v>10</v>
      </c>
      <c r="D662" s="111" t="s">
        <v>14</v>
      </c>
      <c r="E662" s="2" t="s">
        <v>151</v>
      </c>
      <c r="F662" s="2" t="s">
        <v>149</v>
      </c>
      <c r="G662" s="2"/>
      <c r="H662" s="33" t="s">
        <v>80</v>
      </c>
      <c r="I662" s="99">
        <f t="shared" si="0"/>
        <v>665.04377404862817</v>
      </c>
      <c r="J662" s="101">
        <f t="shared" si="1"/>
        <v>23.695174714659018</v>
      </c>
      <c r="K662" s="101">
        <f t="shared" si="2"/>
        <v>392</v>
      </c>
      <c r="L662" s="74">
        <f t="shared" si="535"/>
        <v>248</v>
      </c>
      <c r="M662" s="99">
        <f t="shared" si="191"/>
        <v>18439.777921520861</v>
      </c>
      <c r="N662" s="101">
        <f t="shared" si="690"/>
        <v>5502.2712292127535</v>
      </c>
      <c r="O662" s="101">
        <f t="shared" si="691"/>
        <v>5502.2712292127535</v>
      </c>
      <c r="P662" s="101">
        <f t="shared" si="692"/>
        <v>7435.2354630953532</v>
      </c>
      <c r="Q662" s="101">
        <f t="shared" si="693"/>
        <v>0</v>
      </c>
      <c r="R662" s="109"/>
      <c r="S662" s="99">
        <f t="shared" si="694"/>
        <v>11633.786159426341</v>
      </c>
      <c r="T662" s="101">
        <f t="shared" si="695"/>
        <v>3471.4217895822439</v>
      </c>
      <c r="U662" s="101">
        <f t="shared" si="696"/>
        <v>3471.4217895822439</v>
      </c>
      <c r="V662" s="101">
        <f t="shared" si="697"/>
        <v>4690.9425802618534</v>
      </c>
      <c r="W662" s="101">
        <f t="shared" si="698"/>
        <v>0</v>
      </c>
      <c r="X662" s="74"/>
      <c r="Y662" s="99">
        <f t="shared" si="8"/>
        <v>29084.465398565852</v>
      </c>
      <c r="Z662" s="101">
        <f t="shared" si="699"/>
        <v>8678.5544739556099</v>
      </c>
      <c r="AA662" s="101">
        <f t="shared" si="700"/>
        <v>8678.5544739556099</v>
      </c>
      <c r="AB662" s="101">
        <f t="shared" si="701"/>
        <v>11727.356450654634</v>
      </c>
      <c r="AC662" s="101">
        <f t="shared" si="702"/>
        <v>0</v>
      </c>
      <c r="AD662" s="74"/>
      <c r="AE662" s="99">
        <f t="shared" si="785"/>
        <v>27.727164197424003</v>
      </c>
      <c r="AF662" s="101">
        <f t="shared" ref="AF662" si="826">AP662</f>
        <v>36</v>
      </c>
      <c r="AG662" s="101">
        <f t="shared" si="704"/>
        <v>19.001300000000001</v>
      </c>
      <c r="AH662" s="101">
        <f t="shared" si="705"/>
        <v>657</v>
      </c>
      <c r="AI662" s="101">
        <f t="shared" si="706"/>
        <v>250</v>
      </c>
      <c r="AJ662" s="108">
        <f t="shared" si="707"/>
        <v>3.3333333333333335</v>
      </c>
      <c r="AK662" s="101">
        <f t="shared" si="461"/>
        <v>8079.0181662682935</v>
      </c>
      <c r="AL662" s="101">
        <f t="shared" si="708"/>
        <v>2410.7095760987809</v>
      </c>
      <c r="AM662" s="101">
        <f t="shared" si="709"/>
        <v>2410.7095760987809</v>
      </c>
      <c r="AN662" s="101">
        <f t="shared" si="710"/>
        <v>3257.5990140707318</v>
      </c>
      <c r="AO662" s="1">
        <v>36</v>
      </c>
      <c r="AP662" s="2">
        <v>36</v>
      </c>
      <c r="AQ662" s="74">
        <f t="shared" si="711"/>
        <v>657</v>
      </c>
      <c r="AR662" s="31">
        <f t="shared" si="712"/>
        <v>50</v>
      </c>
      <c r="AS662" s="2">
        <f t="shared" si="713"/>
        <v>1</v>
      </c>
      <c r="AT662" s="33">
        <f t="shared" si="714"/>
        <v>0</v>
      </c>
      <c r="AU662" s="31">
        <f t="shared" si="715"/>
        <v>0</v>
      </c>
      <c r="AV662" s="2">
        <f t="shared" si="716"/>
        <v>0</v>
      </c>
      <c r="AW662" s="33">
        <f t="shared" si="717"/>
        <v>1</v>
      </c>
      <c r="AX662" s="31">
        <f t="shared" si="718"/>
        <v>1</v>
      </c>
      <c r="AY662" s="33">
        <f t="shared" si="719"/>
        <v>1.2</v>
      </c>
      <c r="AZ662" s="2"/>
      <c r="BA662" s="101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</row>
    <row r="663" spans="1:71" ht="12" customHeight="1">
      <c r="A663" s="2"/>
      <c r="B663" s="107">
        <v>588</v>
      </c>
      <c r="C663" s="31">
        <v>10</v>
      </c>
      <c r="D663" s="111" t="s">
        <v>14</v>
      </c>
      <c r="E663" s="2" t="s">
        <v>165</v>
      </c>
      <c r="F663" s="2" t="s">
        <v>149</v>
      </c>
      <c r="G663" s="2"/>
      <c r="H663" s="33" t="s">
        <v>80</v>
      </c>
      <c r="I663" s="99">
        <f t="shared" si="0"/>
        <v>822.38657977955791</v>
      </c>
      <c r="J663" s="101">
        <f t="shared" si="1"/>
        <v>23.695174714659018</v>
      </c>
      <c r="K663" s="101">
        <f t="shared" si="2"/>
        <v>257</v>
      </c>
      <c r="L663" s="74">
        <f t="shared" si="535"/>
        <v>182</v>
      </c>
      <c r="M663" s="99">
        <f t="shared" si="191"/>
        <v>22802.447731305736</v>
      </c>
      <c r="N663" s="101">
        <f t="shared" si="690"/>
        <v>6804.054400306095</v>
      </c>
      <c r="O663" s="101">
        <f t="shared" si="691"/>
        <v>6804.054400306095</v>
      </c>
      <c r="P663" s="101">
        <f t="shared" si="692"/>
        <v>9194.3389306935478</v>
      </c>
      <c r="Q663" s="101">
        <f t="shared" si="693"/>
        <v>0</v>
      </c>
      <c r="R663" s="109"/>
      <c r="S663" s="99">
        <f t="shared" si="694"/>
        <v>11633.786159426341</v>
      </c>
      <c r="T663" s="101">
        <f t="shared" si="695"/>
        <v>3471.4217895822439</v>
      </c>
      <c r="U663" s="101">
        <f t="shared" si="696"/>
        <v>3471.4217895822439</v>
      </c>
      <c r="V663" s="101">
        <f t="shared" si="697"/>
        <v>4690.9425802618534</v>
      </c>
      <c r="W663" s="101">
        <f t="shared" si="698"/>
        <v>0</v>
      </c>
      <c r="X663" s="74"/>
      <c r="Y663" s="99">
        <f t="shared" si="8"/>
        <v>29084.465398565852</v>
      </c>
      <c r="Z663" s="101">
        <f t="shared" si="699"/>
        <v>8678.5544739556099</v>
      </c>
      <c r="AA663" s="101">
        <f t="shared" si="700"/>
        <v>8678.5544739556099</v>
      </c>
      <c r="AB663" s="101">
        <f t="shared" si="701"/>
        <v>11727.356450654634</v>
      </c>
      <c r="AC663" s="101">
        <f t="shared" si="702"/>
        <v>0</v>
      </c>
      <c r="AD663" s="74"/>
      <c r="AE663" s="99">
        <f t="shared" si="785"/>
        <v>27.727164197424003</v>
      </c>
      <c r="AF663" s="101">
        <f t="shared" ref="AF663" si="827">AP663</f>
        <v>36</v>
      </c>
      <c r="AG663" s="101">
        <f t="shared" si="704"/>
        <v>44.001300000000001</v>
      </c>
      <c r="AH663" s="101">
        <f t="shared" si="705"/>
        <v>657</v>
      </c>
      <c r="AI663" s="101">
        <f t="shared" si="706"/>
        <v>250</v>
      </c>
      <c r="AJ663" s="108">
        <f t="shared" si="707"/>
        <v>3.3333333333333335</v>
      </c>
      <c r="AK663" s="101">
        <f t="shared" si="461"/>
        <v>8079.0181662682935</v>
      </c>
      <c r="AL663" s="101">
        <f t="shared" si="708"/>
        <v>2410.7095760987809</v>
      </c>
      <c r="AM663" s="101">
        <f t="shared" si="709"/>
        <v>2410.7095760987809</v>
      </c>
      <c r="AN663" s="101">
        <f t="shared" si="710"/>
        <v>3257.5990140707318</v>
      </c>
      <c r="AO663" s="1">
        <v>36</v>
      </c>
      <c r="AP663" s="2">
        <v>36</v>
      </c>
      <c r="AQ663" s="74">
        <f t="shared" si="711"/>
        <v>657</v>
      </c>
      <c r="AR663" s="31">
        <f t="shared" si="712"/>
        <v>50</v>
      </c>
      <c r="AS663" s="2">
        <f t="shared" si="713"/>
        <v>1</v>
      </c>
      <c r="AT663" s="33">
        <f t="shared" si="714"/>
        <v>0</v>
      </c>
      <c r="AU663" s="31">
        <f t="shared" si="715"/>
        <v>25</v>
      </c>
      <c r="AV663" s="2">
        <f t="shared" si="716"/>
        <v>0</v>
      </c>
      <c r="AW663" s="33">
        <f t="shared" si="717"/>
        <v>1</v>
      </c>
      <c r="AX663" s="31">
        <f t="shared" si="718"/>
        <v>1</v>
      </c>
      <c r="AY663" s="33">
        <f t="shared" si="719"/>
        <v>1.2</v>
      </c>
      <c r="AZ663" s="2"/>
      <c r="BA663" s="101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</row>
    <row r="664" spans="1:71" ht="12" customHeight="1">
      <c r="A664" s="2"/>
      <c r="B664" s="107">
        <v>589</v>
      </c>
      <c r="C664" s="31">
        <v>10</v>
      </c>
      <c r="D664" s="111" t="s">
        <v>14</v>
      </c>
      <c r="E664" s="2" t="s">
        <v>157</v>
      </c>
      <c r="F664" s="2" t="s">
        <v>149</v>
      </c>
      <c r="G664" s="2"/>
      <c r="H664" s="33" t="s">
        <v>80</v>
      </c>
      <c r="I664" s="99">
        <f t="shared" si="0"/>
        <v>724.42870494080626</v>
      </c>
      <c r="J664" s="101">
        <f t="shared" si="1"/>
        <v>23.695174714659018</v>
      </c>
      <c r="K664" s="101">
        <f t="shared" si="2"/>
        <v>325</v>
      </c>
      <c r="L664" s="74">
        <f t="shared" si="535"/>
        <v>217</v>
      </c>
      <c r="M664" s="99">
        <f t="shared" si="191"/>
        <v>20086.353651220961</v>
      </c>
      <c r="N664" s="101">
        <f t="shared" si="690"/>
        <v>5502.2712292127535</v>
      </c>
      <c r="O664" s="101">
        <f t="shared" si="691"/>
        <v>5502.2712292127535</v>
      </c>
      <c r="P664" s="101">
        <f t="shared" si="692"/>
        <v>9081.8111927954524</v>
      </c>
      <c r="Q664" s="101">
        <f t="shared" si="693"/>
        <v>0</v>
      </c>
      <c r="R664" s="109"/>
      <c r="S664" s="99">
        <f t="shared" si="694"/>
        <v>11633.786159426341</v>
      </c>
      <c r="T664" s="101">
        <f t="shared" si="695"/>
        <v>3471.4217895822439</v>
      </c>
      <c r="U664" s="101">
        <f t="shared" si="696"/>
        <v>3471.4217895822439</v>
      </c>
      <c r="V664" s="101">
        <f t="shared" si="697"/>
        <v>4690.9425802618534</v>
      </c>
      <c r="W664" s="101">
        <f t="shared" si="698"/>
        <v>0</v>
      </c>
      <c r="X664" s="74"/>
      <c r="Y664" s="99">
        <f t="shared" si="8"/>
        <v>33306.313720801525</v>
      </c>
      <c r="Z664" s="101">
        <f t="shared" si="699"/>
        <v>8678.5544739556099</v>
      </c>
      <c r="AA664" s="101">
        <f t="shared" si="700"/>
        <v>8678.5544739556099</v>
      </c>
      <c r="AB664" s="101">
        <f t="shared" si="701"/>
        <v>15949.204772890304</v>
      </c>
      <c r="AC664" s="101">
        <f t="shared" si="702"/>
        <v>0</v>
      </c>
      <c r="AD664" s="74"/>
      <c r="AE664" s="99">
        <f t="shared" si="785"/>
        <v>27.727164197424003</v>
      </c>
      <c r="AF664" s="101">
        <f t="shared" ref="AF664" si="828">AP664</f>
        <v>36</v>
      </c>
      <c r="AG664" s="101">
        <f t="shared" si="704"/>
        <v>19.001300000000001</v>
      </c>
      <c r="AH664" s="101">
        <f t="shared" si="705"/>
        <v>657</v>
      </c>
      <c r="AI664" s="101">
        <f t="shared" si="706"/>
        <v>250</v>
      </c>
      <c r="AJ664" s="108">
        <f t="shared" si="707"/>
        <v>3.3333333333333335</v>
      </c>
      <c r="AK664" s="101">
        <f t="shared" si="461"/>
        <v>8079.0181662682935</v>
      </c>
      <c r="AL664" s="101">
        <f t="shared" si="708"/>
        <v>2410.7095760987809</v>
      </c>
      <c r="AM664" s="101">
        <f t="shared" si="709"/>
        <v>2410.7095760987809</v>
      </c>
      <c r="AN664" s="101">
        <f t="shared" si="710"/>
        <v>3257.5990140707318</v>
      </c>
      <c r="AO664" s="1">
        <v>36</v>
      </c>
      <c r="AP664" s="2">
        <v>36</v>
      </c>
      <c r="AQ664" s="74">
        <f t="shared" si="711"/>
        <v>657</v>
      </c>
      <c r="AR664" s="31">
        <f t="shared" si="712"/>
        <v>50</v>
      </c>
      <c r="AS664" s="2">
        <f t="shared" si="713"/>
        <v>1</v>
      </c>
      <c r="AT664" s="33">
        <f t="shared" si="714"/>
        <v>0</v>
      </c>
      <c r="AU664" s="31">
        <f t="shared" si="715"/>
        <v>0</v>
      </c>
      <c r="AV664" s="2">
        <f t="shared" si="716"/>
        <v>0</v>
      </c>
      <c r="AW664" s="33">
        <f t="shared" si="717"/>
        <v>1.36</v>
      </c>
      <c r="AX664" s="31">
        <f t="shared" si="718"/>
        <v>1</v>
      </c>
      <c r="AY664" s="33">
        <f t="shared" si="719"/>
        <v>1.2</v>
      </c>
      <c r="AZ664" s="2"/>
      <c r="BA664" s="101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</row>
    <row r="665" spans="1:71" ht="12" customHeight="1">
      <c r="A665" s="2"/>
      <c r="B665" s="107">
        <v>590</v>
      </c>
      <c r="C665" s="31">
        <v>10</v>
      </c>
      <c r="D665" s="111" t="s">
        <v>14</v>
      </c>
      <c r="E665" s="2" t="s">
        <v>99</v>
      </c>
      <c r="F665" s="2" t="s">
        <v>149</v>
      </c>
      <c r="G665" s="2"/>
      <c r="H665" s="33" t="s">
        <v>80</v>
      </c>
      <c r="I665" s="99">
        <f t="shared" si="0"/>
        <v>665.04377404862817</v>
      </c>
      <c r="J665" s="101">
        <f t="shared" si="1"/>
        <v>11.847587357329509</v>
      </c>
      <c r="K665" s="101">
        <f t="shared" si="2"/>
        <v>392</v>
      </c>
      <c r="L665" s="74">
        <f t="shared" si="535"/>
        <v>248</v>
      </c>
      <c r="M665" s="99">
        <f t="shared" si="191"/>
        <v>18439.777921520861</v>
      </c>
      <c r="N665" s="101">
        <f t="shared" si="690"/>
        <v>5502.2712292127535</v>
      </c>
      <c r="O665" s="101">
        <f t="shared" si="691"/>
        <v>5502.2712292127535</v>
      </c>
      <c r="P665" s="101">
        <f t="shared" si="692"/>
        <v>7435.2354630953532</v>
      </c>
      <c r="Q665" s="101">
        <f t="shared" si="693"/>
        <v>0</v>
      </c>
      <c r="R665" s="109"/>
      <c r="S665" s="99">
        <f t="shared" si="694"/>
        <v>11633.786159426341</v>
      </c>
      <c r="T665" s="101">
        <f t="shared" si="695"/>
        <v>3471.4217895822439</v>
      </c>
      <c r="U665" s="101">
        <f t="shared" si="696"/>
        <v>3471.4217895822439</v>
      </c>
      <c r="V665" s="101">
        <f t="shared" si="697"/>
        <v>4690.9425802618534</v>
      </c>
      <c r="W665" s="101">
        <f t="shared" si="698"/>
        <v>0</v>
      </c>
      <c r="X665" s="74"/>
      <c r="Y665" s="99">
        <f t="shared" si="8"/>
        <v>29084.465398565852</v>
      </c>
      <c r="Z665" s="101">
        <f t="shared" si="699"/>
        <v>8678.5544739556099</v>
      </c>
      <c r="AA665" s="101">
        <f t="shared" si="700"/>
        <v>8678.5544739556099</v>
      </c>
      <c r="AB665" s="101">
        <f t="shared" si="701"/>
        <v>11727.356450654634</v>
      </c>
      <c r="AC665" s="101">
        <f t="shared" si="702"/>
        <v>0</v>
      </c>
      <c r="AD665" s="74"/>
      <c r="AE665" s="99">
        <f t="shared" si="785"/>
        <v>27.727164197424003</v>
      </c>
      <c r="AF665" s="101">
        <f t="shared" ref="AF665" si="829">AP665</f>
        <v>36</v>
      </c>
      <c r="AG665" s="101">
        <f t="shared" si="704"/>
        <v>19.001300000000001</v>
      </c>
      <c r="AH665" s="101">
        <f t="shared" si="705"/>
        <v>328.5</v>
      </c>
      <c r="AI665" s="101">
        <f t="shared" si="706"/>
        <v>250</v>
      </c>
      <c r="AJ665" s="108">
        <f t="shared" si="707"/>
        <v>3.3333333333333335</v>
      </c>
      <c r="AK665" s="101">
        <f t="shared" si="461"/>
        <v>8079.0181662682935</v>
      </c>
      <c r="AL665" s="101">
        <f t="shared" si="708"/>
        <v>2410.7095760987809</v>
      </c>
      <c r="AM665" s="101">
        <f t="shared" si="709"/>
        <v>2410.7095760987809</v>
      </c>
      <c r="AN665" s="101">
        <f t="shared" si="710"/>
        <v>3257.5990140707318</v>
      </c>
      <c r="AO665" s="1">
        <v>36</v>
      </c>
      <c r="AP665" s="2">
        <v>36</v>
      </c>
      <c r="AQ665" s="74">
        <f t="shared" si="711"/>
        <v>657</v>
      </c>
      <c r="AR665" s="31">
        <f t="shared" si="712"/>
        <v>0</v>
      </c>
      <c r="AS665" s="2">
        <f t="shared" si="713"/>
        <v>0.5</v>
      </c>
      <c r="AT665" s="33">
        <f t="shared" si="714"/>
        <v>0</v>
      </c>
      <c r="AU665" s="31">
        <f t="shared" si="715"/>
        <v>0</v>
      </c>
      <c r="AV665" s="2">
        <f t="shared" si="716"/>
        <v>0</v>
      </c>
      <c r="AW665" s="33">
        <f t="shared" si="717"/>
        <v>1</v>
      </c>
      <c r="AX665" s="31">
        <f t="shared" si="718"/>
        <v>1</v>
      </c>
      <c r="AY665" s="33">
        <f t="shared" si="719"/>
        <v>1.2</v>
      </c>
      <c r="AZ665" s="2"/>
      <c r="BA665" s="101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</row>
    <row r="666" spans="1:71" ht="12" customHeight="1">
      <c r="A666" s="2"/>
      <c r="B666" s="107">
        <v>591</v>
      </c>
      <c r="C666" s="31">
        <v>10</v>
      </c>
      <c r="D666" s="111" t="s">
        <v>14</v>
      </c>
      <c r="E666" s="2" t="s">
        <v>170</v>
      </c>
      <c r="F666" s="2" t="s">
        <v>149</v>
      </c>
      <c r="G666" s="2"/>
      <c r="H666" s="33" t="s">
        <v>80</v>
      </c>
      <c r="I666" s="99">
        <f t="shared" si="0"/>
        <v>822.38657977955791</v>
      </c>
      <c r="J666" s="101">
        <f t="shared" si="1"/>
        <v>11.847587357329509</v>
      </c>
      <c r="K666" s="101">
        <f t="shared" si="2"/>
        <v>257</v>
      </c>
      <c r="L666" s="74">
        <f t="shared" si="535"/>
        <v>182</v>
      </c>
      <c r="M666" s="99">
        <f t="shared" si="191"/>
        <v>22802.447731305736</v>
      </c>
      <c r="N666" s="101">
        <f t="shared" si="690"/>
        <v>6804.054400306095</v>
      </c>
      <c r="O666" s="101">
        <f t="shared" si="691"/>
        <v>6804.054400306095</v>
      </c>
      <c r="P666" s="101">
        <f t="shared" si="692"/>
        <v>9194.3389306935478</v>
      </c>
      <c r="Q666" s="101">
        <f t="shared" si="693"/>
        <v>0</v>
      </c>
      <c r="R666" s="109"/>
      <c r="S666" s="99">
        <f t="shared" si="694"/>
        <v>11633.786159426341</v>
      </c>
      <c r="T666" s="101">
        <f t="shared" si="695"/>
        <v>3471.4217895822439</v>
      </c>
      <c r="U666" s="101">
        <f t="shared" si="696"/>
        <v>3471.4217895822439</v>
      </c>
      <c r="V666" s="101">
        <f t="shared" si="697"/>
        <v>4690.9425802618534</v>
      </c>
      <c r="W666" s="101">
        <f t="shared" si="698"/>
        <v>0</v>
      </c>
      <c r="X666" s="74"/>
      <c r="Y666" s="99">
        <f t="shared" si="8"/>
        <v>29084.465398565852</v>
      </c>
      <c r="Z666" s="101">
        <f t="shared" si="699"/>
        <v>8678.5544739556099</v>
      </c>
      <c r="AA666" s="101">
        <f t="shared" si="700"/>
        <v>8678.5544739556099</v>
      </c>
      <c r="AB666" s="101">
        <f t="shared" si="701"/>
        <v>11727.356450654634</v>
      </c>
      <c r="AC666" s="101">
        <f t="shared" si="702"/>
        <v>0</v>
      </c>
      <c r="AD666" s="74"/>
      <c r="AE666" s="99">
        <f t="shared" si="785"/>
        <v>27.727164197424003</v>
      </c>
      <c r="AF666" s="101">
        <f t="shared" ref="AF666" si="830">AP666</f>
        <v>36</v>
      </c>
      <c r="AG666" s="101">
        <f t="shared" si="704"/>
        <v>44.001300000000001</v>
      </c>
      <c r="AH666" s="101">
        <f t="shared" si="705"/>
        <v>328.5</v>
      </c>
      <c r="AI666" s="101">
        <f t="shared" si="706"/>
        <v>250</v>
      </c>
      <c r="AJ666" s="108">
        <f t="shared" si="707"/>
        <v>3.3333333333333335</v>
      </c>
      <c r="AK666" s="101">
        <f t="shared" si="461"/>
        <v>8079.0181662682935</v>
      </c>
      <c r="AL666" s="101">
        <f t="shared" si="708"/>
        <v>2410.7095760987809</v>
      </c>
      <c r="AM666" s="101">
        <f t="shared" si="709"/>
        <v>2410.7095760987809</v>
      </c>
      <c r="AN666" s="101">
        <f t="shared" si="710"/>
        <v>3257.5990140707318</v>
      </c>
      <c r="AO666" s="1">
        <v>36</v>
      </c>
      <c r="AP666" s="2">
        <v>36</v>
      </c>
      <c r="AQ666" s="74">
        <f t="shared" si="711"/>
        <v>657</v>
      </c>
      <c r="AR666" s="31">
        <f t="shared" si="712"/>
        <v>0</v>
      </c>
      <c r="AS666" s="2">
        <f t="shared" si="713"/>
        <v>0.5</v>
      </c>
      <c r="AT666" s="33">
        <f t="shared" si="714"/>
        <v>0</v>
      </c>
      <c r="AU666" s="31">
        <f t="shared" si="715"/>
        <v>25</v>
      </c>
      <c r="AV666" s="2">
        <f t="shared" si="716"/>
        <v>0</v>
      </c>
      <c r="AW666" s="33">
        <f t="shared" si="717"/>
        <v>1</v>
      </c>
      <c r="AX666" s="31">
        <f t="shared" si="718"/>
        <v>1</v>
      </c>
      <c r="AY666" s="33">
        <f t="shared" si="719"/>
        <v>1.2</v>
      </c>
      <c r="AZ666" s="2"/>
      <c r="BA666" s="101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</row>
    <row r="667" spans="1:71" ht="12" customHeight="1">
      <c r="A667" s="2"/>
      <c r="B667" s="107">
        <v>592</v>
      </c>
      <c r="C667" s="31">
        <v>10</v>
      </c>
      <c r="D667" s="111" t="s">
        <v>14</v>
      </c>
      <c r="E667" s="2" t="s">
        <v>108</v>
      </c>
      <c r="F667" s="2" t="s">
        <v>149</v>
      </c>
      <c r="G667" s="2"/>
      <c r="H667" s="33" t="s">
        <v>80</v>
      </c>
      <c r="I667" s="99">
        <f t="shared" si="0"/>
        <v>724.42870494080626</v>
      </c>
      <c r="J667" s="101">
        <f t="shared" si="1"/>
        <v>11.847587357329509</v>
      </c>
      <c r="K667" s="101">
        <f t="shared" si="2"/>
        <v>325</v>
      </c>
      <c r="L667" s="74">
        <f t="shared" si="535"/>
        <v>217</v>
      </c>
      <c r="M667" s="99">
        <f t="shared" si="191"/>
        <v>20086.353651220961</v>
      </c>
      <c r="N667" s="101">
        <f t="shared" si="690"/>
        <v>5502.2712292127535</v>
      </c>
      <c r="O667" s="101">
        <f t="shared" si="691"/>
        <v>5502.2712292127535</v>
      </c>
      <c r="P667" s="101">
        <f t="shared" si="692"/>
        <v>9081.8111927954524</v>
      </c>
      <c r="Q667" s="101">
        <f t="shared" si="693"/>
        <v>0</v>
      </c>
      <c r="R667" s="109"/>
      <c r="S667" s="99">
        <f t="shared" si="694"/>
        <v>11633.786159426341</v>
      </c>
      <c r="T667" s="101">
        <f t="shared" si="695"/>
        <v>3471.4217895822439</v>
      </c>
      <c r="U667" s="101">
        <f t="shared" si="696"/>
        <v>3471.4217895822439</v>
      </c>
      <c r="V667" s="101">
        <f t="shared" si="697"/>
        <v>4690.9425802618534</v>
      </c>
      <c r="W667" s="101">
        <f t="shared" si="698"/>
        <v>0</v>
      </c>
      <c r="X667" s="74"/>
      <c r="Y667" s="99">
        <f t="shared" si="8"/>
        <v>33306.313720801525</v>
      </c>
      <c r="Z667" s="101">
        <f t="shared" si="699"/>
        <v>8678.5544739556099</v>
      </c>
      <c r="AA667" s="101">
        <f t="shared" si="700"/>
        <v>8678.5544739556099</v>
      </c>
      <c r="AB667" s="101">
        <f t="shared" si="701"/>
        <v>15949.204772890304</v>
      </c>
      <c r="AC667" s="101">
        <f t="shared" si="702"/>
        <v>0</v>
      </c>
      <c r="AD667" s="74"/>
      <c r="AE667" s="99">
        <f t="shared" si="785"/>
        <v>27.727164197424003</v>
      </c>
      <c r="AF667" s="101">
        <f t="shared" ref="AF667" si="831">AP667</f>
        <v>36</v>
      </c>
      <c r="AG667" s="101">
        <f t="shared" si="704"/>
        <v>19.001300000000001</v>
      </c>
      <c r="AH667" s="101">
        <f t="shared" si="705"/>
        <v>328.5</v>
      </c>
      <c r="AI667" s="101">
        <f t="shared" si="706"/>
        <v>250</v>
      </c>
      <c r="AJ667" s="108">
        <f t="shared" si="707"/>
        <v>3.3333333333333335</v>
      </c>
      <c r="AK667" s="101">
        <f t="shared" si="461"/>
        <v>8079.0181662682935</v>
      </c>
      <c r="AL667" s="101">
        <f t="shared" si="708"/>
        <v>2410.7095760987809</v>
      </c>
      <c r="AM667" s="101">
        <f t="shared" si="709"/>
        <v>2410.7095760987809</v>
      </c>
      <c r="AN667" s="101">
        <f t="shared" si="710"/>
        <v>3257.5990140707318</v>
      </c>
      <c r="AO667" s="1">
        <v>36</v>
      </c>
      <c r="AP667" s="2">
        <v>36</v>
      </c>
      <c r="AQ667" s="74">
        <f t="shared" si="711"/>
        <v>657</v>
      </c>
      <c r="AR667" s="31">
        <f t="shared" si="712"/>
        <v>0</v>
      </c>
      <c r="AS667" s="2">
        <f t="shared" si="713"/>
        <v>0.5</v>
      </c>
      <c r="AT667" s="33">
        <f t="shared" si="714"/>
        <v>0</v>
      </c>
      <c r="AU667" s="31">
        <f t="shared" si="715"/>
        <v>0</v>
      </c>
      <c r="AV667" s="2">
        <f t="shared" si="716"/>
        <v>0</v>
      </c>
      <c r="AW667" s="33">
        <f t="shared" si="717"/>
        <v>1.36</v>
      </c>
      <c r="AX667" s="31">
        <f t="shared" si="718"/>
        <v>1</v>
      </c>
      <c r="AY667" s="33">
        <f t="shared" si="719"/>
        <v>1.2</v>
      </c>
      <c r="AZ667" s="2"/>
      <c r="BA667" s="101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</row>
    <row r="668" spans="1:71" ht="12" customHeight="1">
      <c r="A668" s="2"/>
      <c r="B668" s="107">
        <v>593</v>
      </c>
      <c r="C668" s="31">
        <v>7</v>
      </c>
      <c r="D668" s="111" t="s">
        <v>14</v>
      </c>
      <c r="E668" s="2" t="s">
        <v>67</v>
      </c>
      <c r="F668" s="2" t="s">
        <v>149</v>
      </c>
      <c r="G668" s="1"/>
      <c r="H668" s="33" t="s">
        <v>80</v>
      </c>
      <c r="I668" s="99">
        <f t="shared" si="0"/>
        <v>465.18042074115067</v>
      </c>
      <c r="J668" s="101">
        <f t="shared" si="1"/>
        <v>16.518097441877977</v>
      </c>
      <c r="K668" s="101">
        <f t="shared" si="2"/>
        <v>649</v>
      </c>
      <c r="L668" s="74">
        <f t="shared" si="535"/>
        <v>347</v>
      </c>
      <c r="M668" s="99">
        <f t="shared" si="191"/>
        <v>12898.133907316667</v>
      </c>
      <c r="N668" s="101">
        <f t="shared" si="690"/>
        <v>3849.5370306530399</v>
      </c>
      <c r="O668" s="101">
        <f t="shared" si="691"/>
        <v>3849.5370306530399</v>
      </c>
      <c r="P668" s="101">
        <f t="shared" si="692"/>
        <v>5199.0598460105866</v>
      </c>
      <c r="Q668" s="101">
        <f t="shared" si="693"/>
        <v>0</v>
      </c>
      <c r="R668" s="109"/>
      <c r="S668" s="99">
        <f t="shared" si="694"/>
        <v>9279.1462434643909</v>
      </c>
      <c r="T668" s="101">
        <f t="shared" si="695"/>
        <v>2769.4252000902438</v>
      </c>
      <c r="U668" s="101">
        <f t="shared" si="696"/>
        <v>2769.4252000902438</v>
      </c>
      <c r="V668" s="101">
        <f t="shared" si="697"/>
        <v>3740.2958432839023</v>
      </c>
      <c r="W668" s="101">
        <f t="shared" si="698"/>
        <v>0</v>
      </c>
      <c r="X668" s="74"/>
      <c r="Y668" s="99">
        <f t="shared" si="8"/>
        <v>18558.292486928778</v>
      </c>
      <c r="Z668" s="101">
        <f t="shared" si="699"/>
        <v>5538.8504001804868</v>
      </c>
      <c r="AA668" s="101">
        <f t="shared" si="700"/>
        <v>5538.8504001804868</v>
      </c>
      <c r="AB668" s="101">
        <f t="shared" si="701"/>
        <v>7480.5916865678046</v>
      </c>
      <c r="AC668" s="101">
        <f t="shared" si="702"/>
        <v>0</v>
      </c>
      <c r="AD668" s="74"/>
      <c r="AE668" s="99">
        <f t="shared" si="785"/>
        <v>27.727164197424003</v>
      </c>
      <c r="AF668" s="101">
        <f t="shared" ref="AF668" si="832">AP668</f>
        <v>36</v>
      </c>
      <c r="AG668" s="101">
        <f t="shared" si="704"/>
        <v>19.001300000000001</v>
      </c>
      <c r="AH668" s="101">
        <f t="shared" si="705"/>
        <v>458</v>
      </c>
      <c r="AI668" s="101">
        <f t="shared" si="706"/>
        <v>200</v>
      </c>
      <c r="AJ668" s="108">
        <f t="shared" si="707"/>
        <v>3.3333333333333335</v>
      </c>
      <c r="AK668" s="101">
        <f t="shared" si="461"/>
        <v>7732.6218695536591</v>
      </c>
      <c r="AL668" s="101">
        <f t="shared" si="708"/>
        <v>2307.8543334085366</v>
      </c>
      <c r="AM668" s="101">
        <f t="shared" si="709"/>
        <v>2307.8543334085366</v>
      </c>
      <c r="AN668" s="101">
        <f t="shared" si="710"/>
        <v>3116.9132027365854</v>
      </c>
      <c r="AO668" s="1">
        <v>36</v>
      </c>
      <c r="AP668" s="2">
        <v>36</v>
      </c>
      <c r="AQ668" s="74">
        <f t="shared" si="711"/>
        <v>458</v>
      </c>
      <c r="AR668" s="31">
        <f t="shared" si="712"/>
        <v>0</v>
      </c>
      <c r="AS668" s="2">
        <f t="shared" si="713"/>
        <v>1</v>
      </c>
      <c r="AT668" s="33">
        <f t="shared" si="714"/>
        <v>0</v>
      </c>
      <c r="AU668" s="31">
        <f t="shared" si="715"/>
        <v>0</v>
      </c>
      <c r="AV668" s="2">
        <f t="shared" si="716"/>
        <v>0</v>
      </c>
      <c r="AW668" s="33">
        <f t="shared" si="717"/>
        <v>1</v>
      </c>
      <c r="AX668" s="31">
        <f t="shared" si="718"/>
        <v>1</v>
      </c>
      <c r="AY668" s="33">
        <f t="shared" si="719"/>
        <v>1</v>
      </c>
      <c r="AZ668" s="2"/>
      <c r="BA668" s="101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</row>
    <row r="669" spans="1:71" ht="12" customHeight="1">
      <c r="A669" s="2"/>
      <c r="B669" s="107">
        <v>594</v>
      </c>
      <c r="C669" s="31">
        <v>7</v>
      </c>
      <c r="D669" s="111" t="s">
        <v>14</v>
      </c>
      <c r="E669" s="2" t="s">
        <v>136</v>
      </c>
      <c r="F669" s="2" t="s">
        <v>149</v>
      </c>
      <c r="G669" s="2"/>
      <c r="H669" s="33" t="s">
        <v>80</v>
      </c>
      <c r="I669" s="99">
        <f t="shared" si="0"/>
        <v>548.84518156373849</v>
      </c>
      <c r="J669" s="101">
        <f t="shared" si="1"/>
        <v>16.518097441877977</v>
      </c>
      <c r="K669" s="101">
        <f t="shared" si="2"/>
        <v>537</v>
      </c>
      <c r="L669" s="74">
        <f t="shared" si="535"/>
        <v>301</v>
      </c>
      <c r="M669" s="99">
        <f t="shared" si="191"/>
        <v>15217.920468182765</v>
      </c>
      <c r="N669" s="101">
        <f t="shared" si="690"/>
        <v>4541.8933306756016</v>
      </c>
      <c r="O669" s="101">
        <f t="shared" si="691"/>
        <v>4541.8933306756016</v>
      </c>
      <c r="P669" s="101">
        <f t="shared" si="692"/>
        <v>6134.1338068315627</v>
      </c>
      <c r="Q669" s="101">
        <f t="shared" si="693"/>
        <v>0</v>
      </c>
      <c r="R669" s="109"/>
      <c r="S669" s="99">
        <f t="shared" si="694"/>
        <v>9279.1462434643909</v>
      </c>
      <c r="T669" s="101">
        <f t="shared" si="695"/>
        <v>2769.4252000902438</v>
      </c>
      <c r="U669" s="101">
        <f t="shared" si="696"/>
        <v>2769.4252000902438</v>
      </c>
      <c r="V669" s="101">
        <f t="shared" si="697"/>
        <v>3740.2958432839023</v>
      </c>
      <c r="W669" s="101">
        <f t="shared" si="698"/>
        <v>0</v>
      </c>
      <c r="X669" s="74"/>
      <c r="Y669" s="99">
        <f t="shared" si="8"/>
        <v>18558.292486928778</v>
      </c>
      <c r="Z669" s="101">
        <f t="shared" si="699"/>
        <v>5538.8504001804868</v>
      </c>
      <c r="AA669" s="101">
        <f t="shared" si="700"/>
        <v>5538.8504001804868</v>
      </c>
      <c r="AB669" s="101">
        <f t="shared" si="701"/>
        <v>7480.5916865678046</v>
      </c>
      <c r="AC669" s="101">
        <f t="shared" si="702"/>
        <v>0</v>
      </c>
      <c r="AD669" s="74"/>
      <c r="AE669" s="99">
        <f t="shared" si="785"/>
        <v>27.727164197424003</v>
      </c>
      <c r="AF669" s="101">
        <f t="shared" ref="AF669" si="833">AP669</f>
        <v>36</v>
      </c>
      <c r="AG669" s="101">
        <f t="shared" si="704"/>
        <v>44.001300000000001</v>
      </c>
      <c r="AH669" s="101">
        <f t="shared" si="705"/>
        <v>458</v>
      </c>
      <c r="AI669" s="101">
        <f t="shared" si="706"/>
        <v>200</v>
      </c>
      <c r="AJ669" s="108">
        <f t="shared" si="707"/>
        <v>3.3333333333333335</v>
      </c>
      <c r="AK669" s="101">
        <f t="shared" si="461"/>
        <v>7732.6218695536591</v>
      </c>
      <c r="AL669" s="101">
        <f t="shared" si="708"/>
        <v>2307.8543334085366</v>
      </c>
      <c r="AM669" s="101">
        <f t="shared" si="709"/>
        <v>2307.8543334085366</v>
      </c>
      <c r="AN669" s="101">
        <f t="shared" si="710"/>
        <v>3116.9132027365854</v>
      </c>
      <c r="AO669" s="1">
        <v>36</v>
      </c>
      <c r="AP669" s="2">
        <v>36</v>
      </c>
      <c r="AQ669" s="74">
        <f t="shared" si="711"/>
        <v>458</v>
      </c>
      <c r="AR669" s="31">
        <f t="shared" si="712"/>
        <v>0</v>
      </c>
      <c r="AS669" s="2">
        <f t="shared" si="713"/>
        <v>1</v>
      </c>
      <c r="AT669" s="33">
        <f t="shared" si="714"/>
        <v>0</v>
      </c>
      <c r="AU669" s="31">
        <f t="shared" si="715"/>
        <v>25</v>
      </c>
      <c r="AV669" s="2">
        <f t="shared" si="716"/>
        <v>0</v>
      </c>
      <c r="AW669" s="33">
        <f t="shared" si="717"/>
        <v>1</v>
      </c>
      <c r="AX669" s="31">
        <f t="shared" si="718"/>
        <v>1</v>
      </c>
      <c r="AY669" s="33">
        <f t="shared" si="719"/>
        <v>1</v>
      </c>
      <c r="AZ669" s="2"/>
      <c r="BA669" s="101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</row>
    <row r="670" spans="1:71" ht="12" customHeight="1">
      <c r="A670" s="2"/>
      <c r="B670" s="107">
        <v>595</v>
      </c>
      <c r="C670" s="31">
        <v>7</v>
      </c>
      <c r="D670" s="111" t="s">
        <v>14</v>
      </c>
      <c r="E670" s="2" t="s">
        <v>91</v>
      </c>
      <c r="F670" s="2" t="s">
        <v>149</v>
      </c>
      <c r="G670" s="2"/>
      <c r="H670" s="33" t="s">
        <v>80</v>
      </c>
      <c r="I670" s="99">
        <f t="shared" si="0"/>
        <v>503.06060475437164</v>
      </c>
      <c r="J670" s="101">
        <f t="shared" si="1"/>
        <v>16.518097441877977</v>
      </c>
      <c r="K670" s="101">
        <f t="shared" si="2"/>
        <v>596</v>
      </c>
      <c r="L670" s="74">
        <f t="shared" si="535"/>
        <v>325</v>
      </c>
      <c r="M670" s="99">
        <f t="shared" si="191"/>
        <v>13948.44398927988</v>
      </c>
      <c r="N670" s="101">
        <f t="shared" si="690"/>
        <v>3849.5370306530399</v>
      </c>
      <c r="O670" s="101">
        <f t="shared" si="691"/>
        <v>3849.5370306530399</v>
      </c>
      <c r="P670" s="101">
        <f t="shared" si="692"/>
        <v>6249.3699279738003</v>
      </c>
      <c r="Q670" s="101">
        <f t="shared" si="693"/>
        <v>0</v>
      </c>
      <c r="R670" s="109"/>
      <c r="S670" s="99">
        <f t="shared" si="694"/>
        <v>9279.1462434643909</v>
      </c>
      <c r="T670" s="101">
        <f t="shared" si="695"/>
        <v>2769.4252000902438</v>
      </c>
      <c r="U670" s="101">
        <f t="shared" si="696"/>
        <v>2769.4252000902438</v>
      </c>
      <c r="V670" s="101">
        <f t="shared" si="697"/>
        <v>3740.2958432839023</v>
      </c>
      <c r="W670" s="101">
        <f t="shared" si="698"/>
        <v>0</v>
      </c>
      <c r="X670" s="74"/>
      <c r="Y670" s="99">
        <f t="shared" si="8"/>
        <v>21251.305494093191</v>
      </c>
      <c r="Z670" s="101">
        <f t="shared" si="699"/>
        <v>5538.8504001804868</v>
      </c>
      <c r="AA670" s="101">
        <f t="shared" si="700"/>
        <v>5538.8504001804868</v>
      </c>
      <c r="AB670" s="101">
        <f t="shared" si="701"/>
        <v>10173.604693732215</v>
      </c>
      <c r="AC670" s="101">
        <f t="shared" si="702"/>
        <v>0</v>
      </c>
      <c r="AD670" s="74"/>
      <c r="AE670" s="99">
        <f t="shared" si="785"/>
        <v>27.727164197424003</v>
      </c>
      <c r="AF670" s="101">
        <f t="shared" ref="AF670" si="834">AP670</f>
        <v>36</v>
      </c>
      <c r="AG670" s="101">
        <f t="shared" si="704"/>
        <v>19.001300000000001</v>
      </c>
      <c r="AH670" s="101">
        <f t="shared" si="705"/>
        <v>458</v>
      </c>
      <c r="AI670" s="101">
        <f t="shared" si="706"/>
        <v>200</v>
      </c>
      <c r="AJ670" s="108">
        <f t="shared" si="707"/>
        <v>3.3333333333333335</v>
      </c>
      <c r="AK670" s="101">
        <f t="shared" si="461"/>
        <v>7732.6218695536591</v>
      </c>
      <c r="AL670" s="101">
        <f t="shared" si="708"/>
        <v>2307.8543334085366</v>
      </c>
      <c r="AM670" s="101">
        <f t="shared" si="709"/>
        <v>2307.8543334085366</v>
      </c>
      <c r="AN670" s="101">
        <f t="shared" si="710"/>
        <v>3116.9132027365854</v>
      </c>
      <c r="AO670" s="1">
        <v>36</v>
      </c>
      <c r="AP670" s="2">
        <v>36</v>
      </c>
      <c r="AQ670" s="74">
        <f t="shared" si="711"/>
        <v>458</v>
      </c>
      <c r="AR670" s="31">
        <f t="shared" si="712"/>
        <v>0</v>
      </c>
      <c r="AS670" s="2">
        <f t="shared" si="713"/>
        <v>1</v>
      </c>
      <c r="AT670" s="33">
        <f t="shared" si="714"/>
        <v>0</v>
      </c>
      <c r="AU670" s="31">
        <f t="shared" si="715"/>
        <v>0</v>
      </c>
      <c r="AV670" s="2">
        <f t="shared" si="716"/>
        <v>0</v>
      </c>
      <c r="AW670" s="33">
        <f t="shared" si="717"/>
        <v>1.36</v>
      </c>
      <c r="AX670" s="31">
        <f t="shared" si="718"/>
        <v>1</v>
      </c>
      <c r="AY670" s="33">
        <f t="shared" si="719"/>
        <v>1</v>
      </c>
      <c r="AZ670" s="2"/>
      <c r="BA670" s="101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</row>
    <row r="671" spans="1:71" ht="12" customHeight="1">
      <c r="A671" s="2"/>
      <c r="B671" s="107">
        <v>596</v>
      </c>
      <c r="C671" s="31">
        <v>7</v>
      </c>
      <c r="D671" s="111" t="s">
        <v>14</v>
      </c>
      <c r="E671" s="2" t="s">
        <v>148</v>
      </c>
      <c r="F671" s="2" t="s">
        <v>149</v>
      </c>
      <c r="G671" s="2"/>
      <c r="H671" s="33" t="s">
        <v>80</v>
      </c>
      <c r="I671" s="99">
        <f t="shared" si="0"/>
        <v>465.18042074115067</v>
      </c>
      <c r="J671" s="101">
        <f t="shared" si="1"/>
        <v>16.518097441877977</v>
      </c>
      <c r="K671" s="101">
        <f t="shared" si="2"/>
        <v>649</v>
      </c>
      <c r="L671" s="74">
        <f t="shared" si="535"/>
        <v>347</v>
      </c>
      <c r="M671" s="99">
        <f t="shared" si="191"/>
        <v>12898.133907316667</v>
      </c>
      <c r="N671" s="101">
        <f t="shared" si="690"/>
        <v>3849.5370306530399</v>
      </c>
      <c r="O671" s="101">
        <f t="shared" si="691"/>
        <v>3849.5370306530399</v>
      </c>
      <c r="P671" s="101">
        <f t="shared" si="692"/>
        <v>5199.0598460105866</v>
      </c>
      <c r="Q671" s="101">
        <f t="shared" si="693"/>
        <v>0</v>
      </c>
      <c r="R671" s="109"/>
      <c r="S671" s="99">
        <f t="shared" si="694"/>
        <v>9279.1462434643909</v>
      </c>
      <c r="T671" s="101">
        <f t="shared" si="695"/>
        <v>2769.4252000902438</v>
      </c>
      <c r="U671" s="101">
        <f t="shared" si="696"/>
        <v>2769.4252000902438</v>
      </c>
      <c r="V671" s="101">
        <f t="shared" si="697"/>
        <v>3740.2958432839023</v>
      </c>
      <c r="W671" s="101">
        <f t="shared" si="698"/>
        <v>0</v>
      </c>
      <c r="X671" s="74"/>
      <c r="Y671" s="99">
        <f t="shared" si="8"/>
        <v>18558.292486928778</v>
      </c>
      <c r="Z671" s="101">
        <f t="shared" si="699"/>
        <v>5538.8504001804868</v>
      </c>
      <c r="AA671" s="101">
        <f t="shared" si="700"/>
        <v>5538.8504001804868</v>
      </c>
      <c r="AB671" s="101">
        <f t="shared" si="701"/>
        <v>7480.5916865678046</v>
      </c>
      <c r="AC671" s="101">
        <f t="shared" si="702"/>
        <v>0</v>
      </c>
      <c r="AD671" s="74"/>
      <c r="AE671" s="99">
        <f t="shared" si="785"/>
        <v>27.727164197424003</v>
      </c>
      <c r="AF671" s="101">
        <f t="shared" ref="AF671" si="835">AP671</f>
        <v>36</v>
      </c>
      <c r="AG671" s="101">
        <f t="shared" si="704"/>
        <v>19.001300000000001</v>
      </c>
      <c r="AH671" s="101">
        <f t="shared" si="705"/>
        <v>458</v>
      </c>
      <c r="AI671" s="101">
        <f t="shared" si="706"/>
        <v>200</v>
      </c>
      <c r="AJ671" s="108">
        <f t="shared" si="707"/>
        <v>3.3333333333333335</v>
      </c>
      <c r="AK671" s="101">
        <f t="shared" si="461"/>
        <v>7732.6218695536591</v>
      </c>
      <c r="AL671" s="101">
        <f t="shared" si="708"/>
        <v>2307.8543334085366</v>
      </c>
      <c r="AM671" s="101">
        <f t="shared" si="709"/>
        <v>2307.8543334085366</v>
      </c>
      <c r="AN671" s="101">
        <f t="shared" si="710"/>
        <v>3116.9132027365854</v>
      </c>
      <c r="AO671" s="1">
        <v>36</v>
      </c>
      <c r="AP671" s="2">
        <v>36</v>
      </c>
      <c r="AQ671" s="74">
        <f t="shared" si="711"/>
        <v>458</v>
      </c>
      <c r="AR671" s="31">
        <f t="shared" si="712"/>
        <v>50</v>
      </c>
      <c r="AS671" s="2">
        <f t="shared" si="713"/>
        <v>1</v>
      </c>
      <c r="AT671" s="33">
        <f t="shared" si="714"/>
        <v>0</v>
      </c>
      <c r="AU671" s="31">
        <f t="shared" si="715"/>
        <v>0</v>
      </c>
      <c r="AV671" s="2">
        <f t="shared" si="716"/>
        <v>0</v>
      </c>
      <c r="AW671" s="33">
        <f t="shared" si="717"/>
        <v>1</v>
      </c>
      <c r="AX671" s="31">
        <f t="shared" si="718"/>
        <v>1</v>
      </c>
      <c r="AY671" s="33">
        <f t="shared" si="719"/>
        <v>1</v>
      </c>
      <c r="AZ671" s="2"/>
      <c r="BA671" s="101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</row>
    <row r="672" spans="1:71" ht="12" customHeight="1">
      <c r="A672" s="2"/>
      <c r="B672" s="107">
        <v>597</v>
      </c>
      <c r="C672" s="31">
        <v>7</v>
      </c>
      <c r="D672" s="111" t="s">
        <v>14</v>
      </c>
      <c r="E672" s="2" t="s">
        <v>163</v>
      </c>
      <c r="F672" s="2" t="s">
        <v>149</v>
      </c>
      <c r="G672" s="2"/>
      <c r="H672" s="33" t="s">
        <v>80</v>
      </c>
      <c r="I672" s="99">
        <f t="shared" si="0"/>
        <v>548.84518156373849</v>
      </c>
      <c r="J672" s="101">
        <f t="shared" si="1"/>
        <v>16.518097441877977</v>
      </c>
      <c r="K672" s="101">
        <f t="shared" si="2"/>
        <v>537</v>
      </c>
      <c r="L672" s="74">
        <f t="shared" si="535"/>
        <v>301</v>
      </c>
      <c r="M672" s="99">
        <f t="shared" si="191"/>
        <v>15217.920468182765</v>
      </c>
      <c r="N672" s="101">
        <f t="shared" si="690"/>
        <v>4541.8933306756016</v>
      </c>
      <c r="O672" s="101">
        <f t="shared" si="691"/>
        <v>4541.8933306756016</v>
      </c>
      <c r="P672" s="101">
        <f t="shared" si="692"/>
        <v>6134.1338068315627</v>
      </c>
      <c r="Q672" s="101">
        <f t="shared" si="693"/>
        <v>0</v>
      </c>
      <c r="R672" s="109"/>
      <c r="S672" s="99">
        <f t="shared" si="694"/>
        <v>9279.1462434643909</v>
      </c>
      <c r="T672" s="101">
        <f t="shared" si="695"/>
        <v>2769.4252000902438</v>
      </c>
      <c r="U672" s="101">
        <f t="shared" si="696"/>
        <v>2769.4252000902438</v>
      </c>
      <c r="V672" s="101">
        <f t="shared" si="697"/>
        <v>3740.2958432839023</v>
      </c>
      <c r="W672" s="101">
        <f t="shared" si="698"/>
        <v>0</v>
      </c>
      <c r="X672" s="74"/>
      <c r="Y672" s="99">
        <f t="shared" si="8"/>
        <v>18558.292486928778</v>
      </c>
      <c r="Z672" s="101">
        <f t="shared" si="699"/>
        <v>5538.8504001804868</v>
      </c>
      <c r="AA672" s="101">
        <f t="shared" si="700"/>
        <v>5538.8504001804868</v>
      </c>
      <c r="AB672" s="101">
        <f t="shared" si="701"/>
        <v>7480.5916865678046</v>
      </c>
      <c r="AC672" s="101">
        <f t="shared" si="702"/>
        <v>0</v>
      </c>
      <c r="AD672" s="74"/>
      <c r="AE672" s="99">
        <f t="shared" si="785"/>
        <v>27.727164197424003</v>
      </c>
      <c r="AF672" s="101">
        <f t="shared" ref="AF672" si="836">AP672</f>
        <v>36</v>
      </c>
      <c r="AG672" s="101">
        <f t="shared" si="704"/>
        <v>44.001300000000001</v>
      </c>
      <c r="AH672" s="101">
        <f t="shared" si="705"/>
        <v>458</v>
      </c>
      <c r="AI672" s="101">
        <f t="shared" si="706"/>
        <v>200</v>
      </c>
      <c r="AJ672" s="108">
        <f t="shared" si="707"/>
        <v>3.3333333333333335</v>
      </c>
      <c r="AK672" s="101">
        <f t="shared" si="461"/>
        <v>7732.6218695536591</v>
      </c>
      <c r="AL672" s="101">
        <f t="shared" si="708"/>
        <v>2307.8543334085366</v>
      </c>
      <c r="AM672" s="101">
        <f t="shared" si="709"/>
        <v>2307.8543334085366</v>
      </c>
      <c r="AN672" s="101">
        <f t="shared" si="710"/>
        <v>3116.9132027365854</v>
      </c>
      <c r="AO672" s="1">
        <v>36</v>
      </c>
      <c r="AP672" s="2">
        <v>36</v>
      </c>
      <c r="AQ672" s="74">
        <f t="shared" si="711"/>
        <v>458</v>
      </c>
      <c r="AR672" s="31">
        <f t="shared" si="712"/>
        <v>50</v>
      </c>
      <c r="AS672" s="2">
        <f t="shared" si="713"/>
        <v>1</v>
      </c>
      <c r="AT672" s="33">
        <f t="shared" si="714"/>
        <v>0</v>
      </c>
      <c r="AU672" s="31">
        <f t="shared" si="715"/>
        <v>25</v>
      </c>
      <c r="AV672" s="2">
        <f t="shared" si="716"/>
        <v>0</v>
      </c>
      <c r="AW672" s="33">
        <f t="shared" si="717"/>
        <v>1</v>
      </c>
      <c r="AX672" s="31">
        <f t="shared" si="718"/>
        <v>1</v>
      </c>
      <c r="AY672" s="33">
        <f t="shared" si="719"/>
        <v>1</v>
      </c>
      <c r="AZ672" s="2"/>
      <c r="BA672" s="101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</row>
    <row r="673" spans="1:71" ht="12" customHeight="1">
      <c r="A673" s="2"/>
      <c r="B673" s="107">
        <v>598</v>
      </c>
      <c r="C673" s="31">
        <v>7</v>
      </c>
      <c r="D673" s="111" t="s">
        <v>14</v>
      </c>
      <c r="E673" s="2" t="s">
        <v>155</v>
      </c>
      <c r="F673" s="2" t="s">
        <v>149</v>
      </c>
      <c r="G673" s="2"/>
      <c r="H673" s="33" t="s">
        <v>80</v>
      </c>
      <c r="I673" s="99">
        <f t="shared" si="0"/>
        <v>503.06060475437164</v>
      </c>
      <c r="J673" s="101">
        <f t="shared" si="1"/>
        <v>16.518097441877977</v>
      </c>
      <c r="K673" s="101">
        <f t="shared" si="2"/>
        <v>596</v>
      </c>
      <c r="L673" s="74">
        <f t="shared" si="535"/>
        <v>325</v>
      </c>
      <c r="M673" s="99">
        <f t="shared" si="191"/>
        <v>13948.44398927988</v>
      </c>
      <c r="N673" s="101">
        <f t="shared" si="690"/>
        <v>3849.5370306530399</v>
      </c>
      <c r="O673" s="101">
        <f t="shared" si="691"/>
        <v>3849.5370306530399</v>
      </c>
      <c r="P673" s="101">
        <f t="shared" si="692"/>
        <v>6249.3699279738003</v>
      </c>
      <c r="Q673" s="101">
        <f t="shared" si="693"/>
        <v>0</v>
      </c>
      <c r="R673" s="109"/>
      <c r="S673" s="99">
        <f t="shared" si="694"/>
        <v>9279.1462434643909</v>
      </c>
      <c r="T673" s="101">
        <f t="shared" si="695"/>
        <v>2769.4252000902438</v>
      </c>
      <c r="U673" s="101">
        <f t="shared" si="696"/>
        <v>2769.4252000902438</v>
      </c>
      <c r="V673" s="101">
        <f t="shared" si="697"/>
        <v>3740.2958432839023</v>
      </c>
      <c r="W673" s="101">
        <f t="shared" si="698"/>
        <v>0</v>
      </c>
      <c r="X673" s="74"/>
      <c r="Y673" s="99">
        <f t="shared" si="8"/>
        <v>21251.305494093191</v>
      </c>
      <c r="Z673" s="101">
        <f t="shared" si="699"/>
        <v>5538.8504001804868</v>
      </c>
      <c r="AA673" s="101">
        <f t="shared" si="700"/>
        <v>5538.8504001804868</v>
      </c>
      <c r="AB673" s="101">
        <f t="shared" si="701"/>
        <v>10173.604693732215</v>
      </c>
      <c r="AC673" s="101">
        <f t="shared" si="702"/>
        <v>0</v>
      </c>
      <c r="AD673" s="74"/>
      <c r="AE673" s="99">
        <f t="shared" si="785"/>
        <v>27.727164197424003</v>
      </c>
      <c r="AF673" s="101">
        <f t="shared" ref="AF673" si="837">AP673</f>
        <v>36</v>
      </c>
      <c r="AG673" s="101">
        <f t="shared" si="704"/>
        <v>19.001300000000001</v>
      </c>
      <c r="AH673" s="101">
        <f t="shared" si="705"/>
        <v>458</v>
      </c>
      <c r="AI673" s="101">
        <f t="shared" si="706"/>
        <v>200</v>
      </c>
      <c r="AJ673" s="108">
        <f t="shared" si="707"/>
        <v>3.3333333333333335</v>
      </c>
      <c r="AK673" s="101">
        <f t="shared" si="461"/>
        <v>7732.6218695536591</v>
      </c>
      <c r="AL673" s="101">
        <f t="shared" si="708"/>
        <v>2307.8543334085366</v>
      </c>
      <c r="AM673" s="101">
        <f t="shared" si="709"/>
        <v>2307.8543334085366</v>
      </c>
      <c r="AN673" s="101">
        <f t="shared" si="710"/>
        <v>3116.9132027365854</v>
      </c>
      <c r="AO673" s="1">
        <v>36</v>
      </c>
      <c r="AP673" s="2">
        <v>36</v>
      </c>
      <c r="AQ673" s="74">
        <f t="shared" si="711"/>
        <v>458</v>
      </c>
      <c r="AR673" s="31">
        <f t="shared" si="712"/>
        <v>50</v>
      </c>
      <c r="AS673" s="2">
        <f t="shared" si="713"/>
        <v>1</v>
      </c>
      <c r="AT673" s="33">
        <f t="shared" si="714"/>
        <v>0</v>
      </c>
      <c r="AU673" s="31">
        <f t="shared" si="715"/>
        <v>0</v>
      </c>
      <c r="AV673" s="2">
        <f t="shared" si="716"/>
        <v>0</v>
      </c>
      <c r="AW673" s="33">
        <f t="shared" si="717"/>
        <v>1.36</v>
      </c>
      <c r="AX673" s="31">
        <f t="shared" si="718"/>
        <v>1</v>
      </c>
      <c r="AY673" s="33">
        <f t="shared" si="719"/>
        <v>1</v>
      </c>
      <c r="AZ673" s="2"/>
      <c r="BA673" s="101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</row>
    <row r="674" spans="1:71" ht="12" customHeight="1">
      <c r="A674" s="2"/>
      <c r="B674" s="107">
        <v>599</v>
      </c>
      <c r="C674" s="31">
        <v>7</v>
      </c>
      <c r="D674" s="111" t="s">
        <v>14</v>
      </c>
      <c r="E674" s="2" t="s">
        <v>79</v>
      </c>
      <c r="F674" s="2" t="s">
        <v>149</v>
      </c>
      <c r="G674" s="2"/>
      <c r="H674" s="33" t="s">
        <v>80</v>
      </c>
      <c r="I674" s="99">
        <f t="shared" si="0"/>
        <v>465.18042074115067</v>
      </c>
      <c r="J674" s="101">
        <f t="shared" si="1"/>
        <v>8.2590487209389885</v>
      </c>
      <c r="K674" s="101">
        <f t="shared" si="2"/>
        <v>649</v>
      </c>
      <c r="L674" s="74">
        <f t="shared" si="535"/>
        <v>347</v>
      </c>
      <c r="M674" s="99">
        <f t="shared" si="191"/>
        <v>12898.133907316667</v>
      </c>
      <c r="N674" s="101">
        <f t="shared" si="690"/>
        <v>3849.5370306530399</v>
      </c>
      <c r="O674" s="101">
        <f t="shared" si="691"/>
        <v>3849.5370306530399</v>
      </c>
      <c r="P674" s="101">
        <f t="shared" si="692"/>
        <v>5199.0598460105866</v>
      </c>
      <c r="Q674" s="101">
        <f t="shared" si="693"/>
        <v>0</v>
      </c>
      <c r="R674" s="109"/>
      <c r="S674" s="99">
        <f t="shared" si="694"/>
        <v>9279.1462434643909</v>
      </c>
      <c r="T674" s="101">
        <f t="shared" si="695"/>
        <v>2769.4252000902438</v>
      </c>
      <c r="U674" s="101">
        <f t="shared" si="696"/>
        <v>2769.4252000902438</v>
      </c>
      <c r="V674" s="101">
        <f t="shared" si="697"/>
        <v>3740.2958432839023</v>
      </c>
      <c r="W674" s="101">
        <f t="shared" si="698"/>
        <v>0</v>
      </c>
      <c r="X674" s="74"/>
      <c r="Y674" s="99">
        <f t="shared" si="8"/>
        <v>18558.292486928778</v>
      </c>
      <c r="Z674" s="101">
        <f t="shared" si="699"/>
        <v>5538.8504001804868</v>
      </c>
      <c r="AA674" s="101">
        <f t="shared" si="700"/>
        <v>5538.8504001804868</v>
      </c>
      <c r="AB674" s="101">
        <f t="shared" si="701"/>
        <v>7480.5916865678046</v>
      </c>
      <c r="AC674" s="101">
        <f t="shared" si="702"/>
        <v>0</v>
      </c>
      <c r="AD674" s="74"/>
      <c r="AE674" s="99">
        <f t="shared" si="785"/>
        <v>27.727164197424003</v>
      </c>
      <c r="AF674" s="101">
        <f t="shared" ref="AF674" si="838">AP674</f>
        <v>36</v>
      </c>
      <c r="AG674" s="101">
        <f t="shared" si="704"/>
        <v>19.001300000000001</v>
      </c>
      <c r="AH674" s="101">
        <f t="shared" si="705"/>
        <v>229</v>
      </c>
      <c r="AI674" s="101">
        <f t="shared" si="706"/>
        <v>200</v>
      </c>
      <c r="AJ674" s="108">
        <f t="shared" si="707"/>
        <v>3.3333333333333335</v>
      </c>
      <c r="AK674" s="101">
        <f t="shared" si="461"/>
        <v>7732.6218695536591</v>
      </c>
      <c r="AL674" s="101">
        <f t="shared" si="708"/>
        <v>2307.8543334085366</v>
      </c>
      <c r="AM674" s="101">
        <f t="shared" si="709"/>
        <v>2307.8543334085366</v>
      </c>
      <c r="AN674" s="101">
        <f t="shared" si="710"/>
        <v>3116.9132027365854</v>
      </c>
      <c r="AO674" s="1">
        <v>36</v>
      </c>
      <c r="AP674" s="2">
        <v>36</v>
      </c>
      <c r="AQ674" s="74">
        <f t="shared" si="711"/>
        <v>458</v>
      </c>
      <c r="AR674" s="31">
        <f t="shared" si="712"/>
        <v>0</v>
      </c>
      <c r="AS674" s="2">
        <f t="shared" si="713"/>
        <v>0.5</v>
      </c>
      <c r="AT674" s="33">
        <f t="shared" si="714"/>
        <v>0</v>
      </c>
      <c r="AU674" s="31">
        <f t="shared" si="715"/>
        <v>0</v>
      </c>
      <c r="AV674" s="2">
        <f t="shared" si="716"/>
        <v>0</v>
      </c>
      <c r="AW674" s="33">
        <f t="shared" si="717"/>
        <v>1</v>
      </c>
      <c r="AX674" s="31">
        <f t="shared" si="718"/>
        <v>1</v>
      </c>
      <c r="AY674" s="33">
        <f t="shared" si="719"/>
        <v>1</v>
      </c>
      <c r="AZ674" s="2"/>
      <c r="BA674" s="101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</row>
    <row r="675" spans="1:71" ht="12" customHeight="1">
      <c r="A675" s="2"/>
      <c r="B675" s="107">
        <v>600</v>
      </c>
      <c r="C675" s="31">
        <v>7</v>
      </c>
      <c r="D675" s="111" t="s">
        <v>14</v>
      </c>
      <c r="E675" s="2" t="s">
        <v>168</v>
      </c>
      <c r="F675" s="2" t="s">
        <v>149</v>
      </c>
      <c r="G675" s="2"/>
      <c r="H675" s="33" t="s">
        <v>80</v>
      </c>
      <c r="I675" s="99">
        <f t="shared" si="0"/>
        <v>548.84518156373849</v>
      </c>
      <c r="J675" s="101">
        <f t="shared" si="1"/>
        <v>8.2590487209389885</v>
      </c>
      <c r="K675" s="101">
        <f t="shared" si="2"/>
        <v>537</v>
      </c>
      <c r="L675" s="74">
        <f t="shared" si="535"/>
        <v>301</v>
      </c>
      <c r="M675" s="99">
        <f t="shared" si="191"/>
        <v>15217.920468182765</v>
      </c>
      <c r="N675" s="101">
        <f t="shared" si="690"/>
        <v>4541.8933306756016</v>
      </c>
      <c r="O675" s="101">
        <f t="shared" si="691"/>
        <v>4541.8933306756016</v>
      </c>
      <c r="P675" s="101">
        <f t="shared" si="692"/>
        <v>6134.1338068315627</v>
      </c>
      <c r="Q675" s="101">
        <f t="shared" si="693"/>
        <v>0</v>
      </c>
      <c r="R675" s="109"/>
      <c r="S675" s="99">
        <f t="shared" si="694"/>
        <v>9279.1462434643909</v>
      </c>
      <c r="T675" s="101">
        <f t="shared" si="695"/>
        <v>2769.4252000902438</v>
      </c>
      <c r="U675" s="101">
        <f t="shared" si="696"/>
        <v>2769.4252000902438</v>
      </c>
      <c r="V675" s="101">
        <f t="shared" si="697"/>
        <v>3740.2958432839023</v>
      </c>
      <c r="W675" s="101">
        <f t="shared" si="698"/>
        <v>0</v>
      </c>
      <c r="X675" s="74"/>
      <c r="Y675" s="99">
        <f t="shared" si="8"/>
        <v>18558.292486928778</v>
      </c>
      <c r="Z675" s="101">
        <f t="shared" si="699"/>
        <v>5538.8504001804868</v>
      </c>
      <c r="AA675" s="101">
        <f t="shared" si="700"/>
        <v>5538.8504001804868</v>
      </c>
      <c r="AB675" s="101">
        <f t="shared" si="701"/>
        <v>7480.5916865678046</v>
      </c>
      <c r="AC675" s="101">
        <f t="shared" si="702"/>
        <v>0</v>
      </c>
      <c r="AD675" s="74"/>
      <c r="AE675" s="99">
        <f t="shared" si="785"/>
        <v>27.727164197424003</v>
      </c>
      <c r="AF675" s="101">
        <f t="shared" ref="AF675" si="839">AP675</f>
        <v>36</v>
      </c>
      <c r="AG675" s="101">
        <f t="shared" si="704"/>
        <v>44.001300000000001</v>
      </c>
      <c r="AH675" s="101">
        <f t="shared" si="705"/>
        <v>229</v>
      </c>
      <c r="AI675" s="101">
        <f t="shared" si="706"/>
        <v>200</v>
      </c>
      <c r="AJ675" s="108">
        <f t="shared" si="707"/>
        <v>3.3333333333333335</v>
      </c>
      <c r="AK675" s="101">
        <f t="shared" si="461"/>
        <v>7732.6218695536591</v>
      </c>
      <c r="AL675" s="101">
        <f t="shared" si="708"/>
        <v>2307.8543334085366</v>
      </c>
      <c r="AM675" s="101">
        <f t="shared" si="709"/>
        <v>2307.8543334085366</v>
      </c>
      <c r="AN675" s="101">
        <f t="shared" si="710"/>
        <v>3116.9132027365854</v>
      </c>
      <c r="AO675" s="1">
        <v>36</v>
      </c>
      <c r="AP675" s="2">
        <v>36</v>
      </c>
      <c r="AQ675" s="74">
        <f t="shared" si="711"/>
        <v>458</v>
      </c>
      <c r="AR675" s="31">
        <f t="shared" si="712"/>
        <v>0</v>
      </c>
      <c r="AS675" s="2">
        <f t="shared" si="713"/>
        <v>0.5</v>
      </c>
      <c r="AT675" s="33">
        <f t="shared" si="714"/>
        <v>0</v>
      </c>
      <c r="AU675" s="31">
        <f t="shared" si="715"/>
        <v>25</v>
      </c>
      <c r="AV675" s="2">
        <f t="shared" si="716"/>
        <v>0</v>
      </c>
      <c r="AW675" s="33">
        <f t="shared" si="717"/>
        <v>1</v>
      </c>
      <c r="AX675" s="31">
        <f t="shared" si="718"/>
        <v>1</v>
      </c>
      <c r="AY675" s="33">
        <f t="shared" si="719"/>
        <v>1</v>
      </c>
      <c r="AZ675" s="2"/>
      <c r="BA675" s="101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</row>
    <row r="676" spans="1:71" ht="12" customHeight="1">
      <c r="A676" s="2"/>
      <c r="B676" s="107">
        <v>601</v>
      </c>
      <c r="C676" s="31">
        <v>7</v>
      </c>
      <c r="D676" s="111" t="s">
        <v>14</v>
      </c>
      <c r="E676" s="2" t="s">
        <v>103</v>
      </c>
      <c r="F676" s="2" t="s">
        <v>149</v>
      </c>
      <c r="G676" s="2"/>
      <c r="H676" s="33" t="s">
        <v>80</v>
      </c>
      <c r="I676" s="99">
        <f t="shared" si="0"/>
        <v>503.06060475437164</v>
      </c>
      <c r="J676" s="101">
        <f t="shared" si="1"/>
        <v>8.2590487209389885</v>
      </c>
      <c r="K676" s="101">
        <f t="shared" si="2"/>
        <v>596</v>
      </c>
      <c r="L676" s="74">
        <f t="shared" si="535"/>
        <v>325</v>
      </c>
      <c r="M676" s="99">
        <f t="shared" si="191"/>
        <v>13948.44398927988</v>
      </c>
      <c r="N676" s="101">
        <f t="shared" si="690"/>
        <v>3849.5370306530399</v>
      </c>
      <c r="O676" s="101">
        <f t="shared" si="691"/>
        <v>3849.5370306530399</v>
      </c>
      <c r="P676" s="101">
        <f t="shared" si="692"/>
        <v>6249.3699279738003</v>
      </c>
      <c r="Q676" s="101">
        <f t="shared" si="693"/>
        <v>0</v>
      </c>
      <c r="R676" s="109"/>
      <c r="S676" s="99">
        <f t="shared" si="694"/>
        <v>9279.1462434643909</v>
      </c>
      <c r="T676" s="101">
        <f t="shared" si="695"/>
        <v>2769.4252000902438</v>
      </c>
      <c r="U676" s="101">
        <f t="shared" si="696"/>
        <v>2769.4252000902438</v>
      </c>
      <c r="V676" s="101">
        <f t="shared" si="697"/>
        <v>3740.2958432839023</v>
      </c>
      <c r="W676" s="101">
        <f t="shared" si="698"/>
        <v>0</v>
      </c>
      <c r="X676" s="74"/>
      <c r="Y676" s="99">
        <f t="shared" si="8"/>
        <v>21251.305494093191</v>
      </c>
      <c r="Z676" s="101">
        <f t="shared" si="699"/>
        <v>5538.8504001804868</v>
      </c>
      <c r="AA676" s="101">
        <f t="shared" si="700"/>
        <v>5538.8504001804868</v>
      </c>
      <c r="AB676" s="101">
        <f t="shared" si="701"/>
        <v>10173.604693732215</v>
      </c>
      <c r="AC676" s="101">
        <f t="shared" si="702"/>
        <v>0</v>
      </c>
      <c r="AD676" s="74"/>
      <c r="AE676" s="99">
        <f t="shared" si="785"/>
        <v>27.727164197424003</v>
      </c>
      <c r="AF676" s="101">
        <f t="shared" ref="AF676" si="840">AP676</f>
        <v>36</v>
      </c>
      <c r="AG676" s="101">
        <f t="shared" si="704"/>
        <v>19.001300000000001</v>
      </c>
      <c r="AH676" s="101">
        <f t="shared" si="705"/>
        <v>229</v>
      </c>
      <c r="AI676" s="101">
        <f t="shared" si="706"/>
        <v>200</v>
      </c>
      <c r="AJ676" s="108">
        <f t="shared" si="707"/>
        <v>3.3333333333333335</v>
      </c>
      <c r="AK676" s="101">
        <f t="shared" si="461"/>
        <v>7732.6218695536591</v>
      </c>
      <c r="AL676" s="101">
        <f t="shared" si="708"/>
        <v>2307.8543334085366</v>
      </c>
      <c r="AM676" s="101">
        <f t="shared" si="709"/>
        <v>2307.8543334085366</v>
      </c>
      <c r="AN676" s="101">
        <f t="shared" si="710"/>
        <v>3116.9132027365854</v>
      </c>
      <c r="AO676" s="1">
        <v>36</v>
      </c>
      <c r="AP676" s="2">
        <v>36</v>
      </c>
      <c r="AQ676" s="74">
        <f t="shared" si="711"/>
        <v>458</v>
      </c>
      <c r="AR676" s="31">
        <f t="shared" si="712"/>
        <v>0</v>
      </c>
      <c r="AS676" s="2">
        <f t="shared" si="713"/>
        <v>0.5</v>
      </c>
      <c r="AT676" s="33">
        <f t="shared" si="714"/>
        <v>0</v>
      </c>
      <c r="AU676" s="31">
        <f t="shared" si="715"/>
        <v>0</v>
      </c>
      <c r="AV676" s="2">
        <f t="shared" si="716"/>
        <v>0</v>
      </c>
      <c r="AW676" s="33">
        <f t="shared" si="717"/>
        <v>1.36</v>
      </c>
      <c r="AX676" s="31">
        <f t="shared" si="718"/>
        <v>1</v>
      </c>
      <c r="AY676" s="33">
        <f t="shared" si="719"/>
        <v>1</v>
      </c>
      <c r="AZ676" s="2"/>
      <c r="BA676" s="101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</row>
    <row r="677" spans="1:71" ht="12" customHeight="1">
      <c r="A677" s="2"/>
      <c r="B677" s="107">
        <v>602</v>
      </c>
      <c r="C677" s="31">
        <v>4</v>
      </c>
      <c r="D677" s="111" t="s">
        <v>14</v>
      </c>
      <c r="E677" s="2" t="s">
        <v>67</v>
      </c>
      <c r="F677" s="2" t="s">
        <v>149</v>
      </c>
      <c r="G677" s="1"/>
      <c r="H677" s="33" t="s">
        <v>80</v>
      </c>
      <c r="I677" s="99">
        <f t="shared" si="0"/>
        <v>431.07195613013573</v>
      </c>
      <c r="J677" s="101">
        <f t="shared" si="1"/>
        <v>9.0885601645267471</v>
      </c>
      <c r="K677" s="101">
        <f t="shared" si="2"/>
        <v>697</v>
      </c>
      <c r="L677" s="74">
        <f t="shared" si="535"/>
        <v>365</v>
      </c>
      <c r="M677" s="99">
        <f t="shared" si="191"/>
        <v>11952.402908525029</v>
      </c>
      <c r="N677" s="101">
        <f t="shared" si="690"/>
        <v>3567.3118797019215</v>
      </c>
      <c r="O677" s="101">
        <f t="shared" si="691"/>
        <v>3567.3118797019215</v>
      </c>
      <c r="P677" s="101">
        <f t="shared" si="692"/>
        <v>4817.7791491211865</v>
      </c>
      <c r="Q677" s="101">
        <f t="shared" si="693"/>
        <v>0</v>
      </c>
      <c r="R677" s="109"/>
      <c r="S677" s="99">
        <f t="shared" si="694"/>
        <v>8598.7705931707333</v>
      </c>
      <c r="T677" s="101">
        <f t="shared" si="695"/>
        <v>2566.3874220614639</v>
      </c>
      <c r="U677" s="101">
        <f t="shared" si="696"/>
        <v>2566.3874220614639</v>
      </c>
      <c r="V677" s="101">
        <f t="shared" si="697"/>
        <v>3465.995749047805</v>
      </c>
      <c r="W677" s="101">
        <f t="shared" si="698"/>
        <v>0</v>
      </c>
      <c r="X677" s="74"/>
      <c r="Y677" s="99">
        <f t="shared" si="8"/>
        <v>17197.541186341467</v>
      </c>
      <c r="Z677" s="101">
        <f t="shared" si="699"/>
        <v>5132.7748441229278</v>
      </c>
      <c r="AA677" s="101">
        <f t="shared" si="700"/>
        <v>5132.7748441229278</v>
      </c>
      <c r="AB677" s="101">
        <f t="shared" si="701"/>
        <v>6931.99149809561</v>
      </c>
      <c r="AC677" s="101">
        <f t="shared" si="702"/>
        <v>0</v>
      </c>
      <c r="AD677" s="74"/>
      <c r="AE677" s="99">
        <f t="shared" si="785"/>
        <v>27.727164197424003</v>
      </c>
      <c r="AF677" s="101">
        <f t="shared" ref="AF677" si="841">AP677</f>
        <v>36</v>
      </c>
      <c r="AG677" s="101">
        <f t="shared" si="704"/>
        <v>19.001300000000001</v>
      </c>
      <c r="AH677" s="101">
        <f t="shared" si="705"/>
        <v>252</v>
      </c>
      <c r="AI677" s="101">
        <f t="shared" si="706"/>
        <v>200</v>
      </c>
      <c r="AJ677" s="108">
        <f t="shared" si="707"/>
        <v>3.3333333333333335</v>
      </c>
      <c r="AK677" s="101">
        <f t="shared" si="461"/>
        <v>7165.6421609756108</v>
      </c>
      <c r="AL677" s="101">
        <f t="shared" si="708"/>
        <v>2138.6561850512198</v>
      </c>
      <c r="AM677" s="101">
        <f t="shared" si="709"/>
        <v>2138.6561850512198</v>
      </c>
      <c r="AN677" s="101">
        <f t="shared" si="710"/>
        <v>2888.3297908731711</v>
      </c>
      <c r="AO677" s="1">
        <v>36</v>
      </c>
      <c r="AP677" s="2">
        <v>36</v>
      </c>
      <c r="AQ677" s="74">
        <f t="shared" si="711"/>
        <v>252</v>
      </c>
      <c r="AR677" s="31">
        <f t="shared" si="712"/>
        <v>0</v>
      </c>
      <c r="AS677" s="2">
        <f t="shared" si="713"/>
        <v>1</v>
      </c>
      <c r="AT677" s="33">
        <f t="shared" si="714"/>
        <v>0</v>
      </c>
      <c r="AU677" s="31">
        <f t="shared" si="715"/>
        <v>0</v>
      </c>
      <c r="AV677" s="2">
        <f t="shared" si="716"/>
        <v>0</v>
      </c>
      <c r="AW677" s="33">
        <f t="shared" si="717"/>
        <v>1</v>
      </c>
      <c r="AX677" s="31">
        <f t="shared" si="718"/>
        <v>1</v>
      </c>
      <c r="AY677" s="33">
        <f t="shared" si="719"/>
        <v>1</v>
      </c>
      <c r="AZ677" s="2"/>
      <c r="BA677" s="101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</row>
    <row r="678" spans="1:71" ht="12" customHeight="1">
      <c r="A678" s="2"/>
      <c r="B678" s="107">
        <v>603</v>
      </c>
      <c r="C678" s="31">
        <v>4</v>
      </c>
      <c r="D678" s="111" t="s">
        <v>14</v>
      </c>
      <c r="E678" s="2" t="s">
        <v>148</v>
      </c>
      <c r="F678" s="2" t="s">
        <v>149</v>
      </c>
      <c r="G678" s="2"/>
      <c r="H678" s="33" t="s">
        <v>80</v>
      </c>
      <c r="I678" s="99">
        <f t="shared" si="0"/>
        <v>431.07195613013573</v>
      </c>
      <c r="J678" s="101">
        <f t="shared" si="1"/>
        <v>9.0885601645267471</v>
      </c>
      <c r="K678" s="101">
        <f t="shared" si="2"/>
        <v>697</v>
      </c>
      <c r="L678" s="74">
        <f t="shared" si="535"/>
        <v>365</v>
      </c>
      <c r="M678" s="99">
        <f t="shared" si="191"/>
        <v>11952.402908525029</v>
      </c>
      <c r="N678" s="101">
        <f t="shared" si="690"/>
        <v>3567.3118797019215</v>
      </c>
      <c r="O678" s="101">
        <f t="shared" si="691"/>
        <v>3567.3118797019215</v>
      </c>
      <c r="P678" s="101">
        <f t="shared" si="692"/>
        <v>4817.7791491211865</v>
      </c>
      <c r="Q678" s="101">
        <f t="shared" si="693"/>
        <v>0</v>
      </c>
      <c r="R678" s="109"/>
      <c r="S678" s="99">
        <f t="shared" si="694"/>
        <v>8598.7705931707333</v>
      </c>
      <c r="T678" s="101">
        <f t="shared" si="695"/>
        <v>2566.3874220614639</v>
      </c>
      <c r="U678" s="101">
        <f t="shared" si="696"/>
        <v>2566.3874220614639</v>
      </c>
      <c r="V678" s="101">
        <f t="shared" si="697"/>
        <v>3465.995749047805</v>
      </c>
      <c r="W678" s="101">
        <f t="shared" si="698"/>
        <v>0</v>
      </c>
      <c r="X678" s="74"/>
      <c r="Y678" s="99">
        <f t="shared" si="8"/>
        <v>17197.541186341467</v>
      </c>
      <c r="Z678" s="101">
        <f t="shared" si="699"/>
        <v>5132.7748441229278</v>
      </c>
      <c r="AA678" s="101">
        <f t="shared" si="700"/>
        <v>5132.7748441229278</v>
      </c>
      <c r="AB678" s="101">
        <f t="shared" si="701"/>
        <v>6931.99149809561</v>
      </c>
      <c r="AC678" s="101">
        <f t="shared" si="702"/>
        <v>0</v>
      </c>
      <c r="AD678" s="74"/>
      <c r="AE678" s="99">
        <f t="shared" si="785"/>
        <v>27.727164197424003</v>
      </c>
      <c r="AF678" s="101">
        <f t="shared" ref="AF678" si="842">AP678</f>
        <v>36</v>
      </c>
      <c r="AG678" s="101">
        <f t="shared" si="704"/>
        <v>19.001300000000001</v>
      </c>
      <c r="AH678" s="101">
        <f t="shared" si="705"/>
        <v>252</v>
      </c>
      <c r="AI678" s="101">
        <f t="shared" si="706"/>
        <v>200</v>
      </c>
      <c r="AJ678" s="108">
        <f t="shared" si="707"/>
        <v>3.3333333333333335</v>
      </c>
      <c r="AK678" s="101">
        <f t="shared" si="461"/>
        <v>7165.6421609756108</v>
      </c>
      <c r="AL678" s="101">
        <f t="shared" si="708"/>
        <v>2138.6561850512198</v>
      </c>
      <c r="AM678" s="101">
        <f t="shared" si="709"/>
        <v>2138.6561850512198</v>
      </c>
      <c r="AN678" s="101">
        <f t="shared" si="710"/>
        <v>2888.3297908731711</v>
      </c>
      <c r="AO678" s="1">
        <v>36</v>
      </c>
      <c r="AP678" s="2">
        <v>36</v>
      </c>
      <c r="AQ678" s="74">
        <f t="shared" si="711"/>
        <v>252</v>
      </c>
      <c r="AR678" s="31">
        <f t="shared" si="712"/>
        <v>50</v>
      </c>
      <c r="AS678" s="2">
        <f t="shared" si="713"/>
        <v>1</v>
      </c>
      <c r="AT678" s="33">
        <f t="shared" si="714"/>
        <v>0</v>
      </c>
      <c r="AU678" s="31">
        <f t="shared" si="715"/>
        <v>0</v>
      </c>
      <c r="AV678" s="2">
        <f t="shared" si="716"/>
        <v>0</v>
      </c>
      <c r="AW678" s="33">
        <f t="shared" si="717"/>
        <v>1</v>
      </c>
      <c r="AX678" s="31">
        <f t="shared" si="718"/>
        <v>1</v>
      </c>
      <c r="AY678" s="33">
        <f t="shared" si="719"/>
        <v>1</v>
      </c>
      <c r="AZ678" s="2"/>
      <c r="BA678" s="101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</row>
    <row r="679" spans="1:71" ht="12" customHeight="1">
      <c r="A679" s="2"/>
      <c r="B679" s="107">
        <v>604</v>
      </c>
      <c r="C679" s="31">
        <v>4</v>
      </c>
      <c r="D679" s="111" t="s">
        <v>14</v>
      </c>
      <c r="E679" s="2" t="s">
        <v>79</v>
      </c>
      <c r="F679" s="2" t="s">
        <v>149</v>
      </c>
      <c r="G679" s="2"/>
      <c r="H679" s="33" t="s">
        <v>80</v>
      </c>
      <c r="I679" s="99">
        <f t="shared" si="0"/>
        <v>431.07195613013573</v>
      </c>
      <c r="J679" s="101">
        <f t="shared" si="1"/>
        <v>4.5442800822633735</v>
      </c>
      <c r="K679" s="101">
        <f t="shared" si="2"/>
        <v>697</v>
      </c>
      <c r="L679" s="74">
        <f t="shared" si="535"/>
        <v>365</v>
      </c>
      <c r="M679" s="99">
        <f t="shared" si="191"/>
        <v>11952.402908525029</v>
      </c>
      <c r="N679" s="101">
        <f t="shared" si="690"/>
        <v>3567.3118797019215</v>
      </c>
      <c r="O679" s="101">
        <f t="shared" si="691"/>
        <v>3567.3118797019215</v>
      </c>
      <c r="P679" s="101">
        <f t="shared" si="692"/>
        <v>4817.7791491211865</v>
      </c>
      <c r="Q679" s="101">
        <f t="shared" si="693"/>
        <v>0</v>
      </c>
      <c r="R679" s="109"/>
      <c r="S679" s="99">
        <f t="shared" si="694"/>
        <v>8598.7705931707333</v>
      </c>
      <c r="T679" s="101">
        <f t="shared" si="695"/>
        <v>2566.3874220614639</v>
      </c>
      <c r="U679" s="101">
        <f t="shared" si="696"/>
        <v>2566.3874220614639</v>
      </c>
      <c r="V679" s="101">
        <f t="shared" si="697"/>
        <v>3465.995749047805</v>
      </c>
      <c r="W679" s="101">
        <f t="shared" si="698"/>
        <v>0</v>
      </c>
      <c r="X679" s="74"/>
      <c r="Y679" s="99">
        <f t="shared" si="8"/>
        <v>17197.541186341467</v>
      </c>
      <c r="Z679" s="101">
        <f t="shared" si="699"/>
        <v>5132.7748441229278</v>
      </c>
      <c r="AA679" s="101">
        <f t="shared" si="700"/>
        <v>5132.7748441229278</v>
      </c>
      <c r="AB679" s="101">
        <f t="shared" si="701"/>
        <v>6931.99149809561</v>
      </c>
      <c r="AC679" s="101">
        <f t="shared" si="702"/>
        <v>0</v>
      </c>
      <c r="AD679" s="74"/>
      <c r="AE679" s="99">
        <f t="shared" si="785"/>
        <v>27.727164197424003</v>
      </c>
      <c r="AF679" s="101">
        <f t="shared" ref="AF679" si="843">AP679</f>
        <v>36</v>
      </c>
      <c r="AG679" s="101">
        <f t="shared" si="704"/>
        <v>19.001300000000001</v>
      </c>
      <c r="AH679" s="101">
        <f t="shared" si="705"/>
        <v>126</v>
      </c>
      <c r="AI679" s="101">
        <f t="shared" si="706"/>
        <v>200</v>
      </c>
      <c r="AJ679" s="108">
        <f t="shared" si="707"/>
        <v>3.3333333333333335</v>
      </c>
      <c r="AK679" s="101">
        <f t="shared" si="461"/>
        <v>7165.6421609756108</v>
      </c>
      <c r="AL679" s="101">
        <f t="shared" si="708"/>
        <v>2138.6561850512198</v>
      </c>
      <c r="AM679" s="101">
        <f t="shared" si="709"/>
        <v>2138.6561850512198</v>
      </c>
      <c r="AN679" s="101">
        <f t="shared" si="710"/>
        <v>2888.3297908731711</v>
      </c>
      <c r="AO679" s="1">
        <v>36</v>
      </c>
      <c r="AP679" s="2">
        <v>36</v>
      </c>
      <c r="AQ679" s="74">
        <f t="shared" si="711"/>
        <v>252</v>
      </c>
      <c r="AR679" s="31">
        <f t="shared" si="712"/>
        <v>0</v>
      </c>
      <c r="AS679" s="2">
        <f t="shared" si="713"/>
        <v>0.5</v>
      </c>
      <c r="AT679" s="33">
        <f t="shared" si="714"/>
        <v>0</v>
      </c>
      <c r="AU679" s="31">
        <f t="shared" si="715"/>
        <v>0</v>
      </c>
      <c r="AV679" s="2">
        <f t="shared" si="716"/>
        <v>0</v>
      </c>
      <c r="AW679" s="33">
        <f t="shared" si="717"/>
        <v>1</v>
      </c>
      <c r="AX679" s="31">
        <f t="shared" si="718"/>
        <v>1</v>
      </c>
      <c r="AY679" s="33">
        <f t="shared" si="719"/>
        <v>1</v>
      </c>
      <c r="AZ679" s="2"/>
      <c r="BA679" s="101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</row>
    <row r="680" spans="1:71" ht="12" customHeight="1">
      <c r="A680" s="2"/>
      <c r="B680" s="107">
        <v>605</v>
      </c>
      <c r="C680" s="31">
        <v>1</v>
      </c>
      <c r="D680" s="111" t="s">
        <v>14</v>
      </c>
      <c r="E680" s="2" t="s">
        <v>67</v>
      </c>
      <c r="F680" s="2" t="s">
        <v>149</v>
      </c>
      <c r="G680" s="1"/>
      <c r="H680" s="33" t="s">
        <v>80</v>
      </c>
      <c r="I680" s="99">
        <f t="shared" si="0"/>
        <v>334.21745563152825</v>
      </c>
      <c r="J680" s="101">
        <f t="shared" si="1"/>
        <v>4.5803457972019714</v>
      </c>
      <c r="K680" s="101">
        <f t="shared" si="2"/>
        <v>796</v>
      </c>
      <c r="L680" s="74">
        <f t="shared" si="535"/>
        <v>396</v>
      </c>
      <c r="M680" s="99">
        <f t="shared" si="191"/>
        <v>9266.902269940656</v>
      </c>
      <c r="N680" s="101">
        <f t="shared" si="690"/>
        <v>2700.9882557509695</v>
      </c>
      <c r="O680" s="101">
        <f t="shared" si="691"/>
        <v>2700.9882557509695</v>
      </c>
      <c r="P680" s="101">
        <f t="shared" si="692"/>
        <v>3864.925758438716</v>
      </c>
      <c r="Q680" s="101">
        <f t="shared" si="693"/>
        <v>0</v>
      </c>
      <c r="R680" s="109"/>
      <c r="S680" s="99">
        <f t="shared" si="694"/>
        <v>6666.7738143029273</v>
      </c>
      <c r="T680" s="101">
        <f t="shared" si="695"/>
        <v>1943.1388452848782</v>
      </c>
      <c r="U680" s="101">
        <f t="shared" si="696"/>
        <v>1943.1388452848782</v>
      </c>
      <c r="V680" s="101">
        <f t="shared" si="697"/>
        <v>2780.4961237331709</v>
      </c>
      <c r="W680" s="101">
        <f t="shared" si="698"/>
        <v>0</v>
      </c>
      <c r="X680" s="74"/>
      <c r="Y680" s="99">
        <f t="shared" si="8"/>
        <v>13333.547628605855</v>
      </c>
      <c r="Z680" s="101">
        <f t="shared" si="699"/>
        <v>3886.2776905697565</v>
      </c>
      <c r="AA680" s="101">
        <f t="shared" si="700"/>
        <v>3886.2776905697565</v>
      </c>
      <c r="AB680" s="101">
        <f t="shared" si="701"/>
        <v>5560.9922474663417</v>
      </c>
      <c r="AC680" s="101">
        <f t="shared" si="702"/>
        <v>0</v>
      </c>
      <c r="AD680" s="74"/>
      <c r="AE680" s="99">
        <f t="shared" si="785"/>
        <v>27.727164197424003</v>
      </c>
      <c r="AF680" s="101">
        <f t="shared" ref="AF680" si="844">AP680</f>
        <v>36</v>
      </c>
      <c r="AG680" s="101">
        <f t="shared" si="704"/>
        <v>19.001300000000001</v>
      </c>
      <c r="AH680" s="101">
        <f t="shared" si="705"/>
        <v>127</v>
      </c>
      <c r="AI680" s="101">
        <f t="shared" si="706"/>
        <v>200</v>
      </c>
      <c r="AJ680" s="108">
        <f t="shared" si="707"/>
        <v>3.3333333333333335</v>
      </c>
      <c r="AK680" s="101">
        <f t="shared" si="461"/>
        <v>5555.6448452524401</v>
      </c>
      <c r="AL680" s="101">
        <f t="shared" si="708"/>
        <v>1619.2823710707319</v>
      </c>
      <c r="AM680" s="101">
        <f t="shared" si="709"/>
        <v>1619.2823710707319</v>
      </c>
      <c r="AN680" s="101">
        <f t="shared" si="710"/>
        <v>2317.0801031109759</v>
      </c>
      <c r="AO680" s="1">
        <v>36</v>
      </c>
      <c r="AP680" s="2">
        <v>36</v>
      </c>
      <c r="AQ680" s="74">
        <f t="shared" si="711"/>
        <v>127</v>
      </c>
      <c r="AR680" s="31">
        <f t="shared" si="712"/>
        <v>0</v>
      </c>
      <c r="AS680" s="2">
        <f t="shared" si="713"/>
        <v>1</v>
      </c>
      <c r="AT680" s="33">
        <f t="shared" si="714"/>
        <v>0</v>
      </c>
      <c r="AU680" s="31">
        <f t="shared" si="715"/>
        <v>0</v>
      </c>
      <c r="AV680" s="2">
        <f t="shared" si="716"/>
        <v>0</v>
      </c>
      <c r="AW680" s="33">
        <f t="shared" si="717"/>
        <v>1</v>
      </c>
      <c r="AX680" s="31">
        <f t="shared" si="718"/>
        <v>1</v>
      </c>
      <c r="AY680" s="33">
        <f t="shared" si="719"/>
        <v>1</v>
      </c>
      <c r="AZ680" s="2"/>
      <c r="BA680" s="101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</row>
    <row r="681" spans="1:71" ht="12" customHeight="1">
      <c r="A681" s="2"/>
      <c r="B681" s="107">
        <v>606</v>
      </c>
      <c r="C681" s="31">
        <v>10</v>
      </c>
      <c r="D681" s="111" t="s">
        <v>18</v>
      </c>
      <c r="E681" s="2" t="s">
        <v>164</v>
      </c>
      <c r="F681" s="2"/>
      <c r="G681" s="2"/>
      <c r="H681" s="33" t="s">
        <v>81</v>
      </c>
      <c r="I681" s="99">
        <f t="shared" si="0"/>
        <v>1504.3338829689048</v>
      </c>
      <c r="J681" s="101">
        <f t="shared" si="1"/>
        <v>35.968798914524506</v>
      </c>
      <c r="K681" s="101">
        <f t="shared" si="2"/>
        <v>41</v>
      </c>
      <c r="L681" s="74">
        <f t="shared" si="535"/>
        <v>40</v>
      </c>
      <c r="M681" s="99">
        <f t="shared" si="191"/>
        <v>21789.939522009208</v>
      </c>
      <c r="N681" s="108">
        <f t="shared" si="690"/>
        <v>21789.939522009208</v>
      </c>
      <c r="O681" s="108">
        <f t="shared" ref="O681:O804" si="845">U681*(1+(($D$57+IF(F681="백어택",20,0))/100)*(AI681/100-1))</f>
        <v>0</v>
      </c>
      <c r="P681" s="108"/>
      <c r="Q681" s="108"/>
      <c r="R681" s="109"/>
      <c r="S681" s="99">
        <f t="shared" si="694"/>
        <v>13704.252431904148</v>
      </c>
      <c r="T681" s="108">
        <f t="shared" ref="T681:T804" si="846">AL681*IF(H681="근접",AT681,IF(AV681=1,AT681,1))*AX681*IF(F681="백어택",1.2,1)</f>
        <v>13704.252431904148</v>
      </c>
      <c r="U681" s="108">
        <f t="shared" ref="U681:U804" si="847">IF(AX681=1,AM681*IF(H681="근접",AT681,IF(AV681=1,AT681,1)),0)*AY681*IF(AX681=1,1,0)*IF(F681="백어택",1.2,1)</f>
        <v>0</v>
      </c>
      <c r="V681" s="108"/>
      <c r="W681" s="108"/>
      <c r="X681" s="109"/>
      <c r="Y681" s="99">
        <f t="shared" si="8"/>
        <v>27408.504863808295</v>
      </c>
      <c r="Z681" s="108">
        <f t="shared" ref="Z681:AA681" si="848">T681*$D$58/100</f>
        <v>27408.504863808295</v>
      </c>
      <c r="AA681" s="108">
        <f t="shared" si="848"/>
        <v>0</v>
      </c>
      <c r="AB681" s="108"/>
      <c r="AC681" s="108"/>
      <c r="AD681" s="109"/>
      <c r="AE681" s="99">
        <f>(AO681*(1-$D$20/100)*(1-$D$17/100)-AR681)*IF(AW681="보스대상",1,POWER(0.85,AW681))</f>
        <v>14.484776131615998</v>
      </c>
      <c r="AF681" s="101">
        <f t="shared" ref="AF681:AF866" si="849">AP681</f>
        <v>36</v>
      </c>
      <c r="AG681" s="101">
        <f t="shared" ref="AG681:AG804" si="850">IF($D$57&gt;100,100,$D$57)+AU681</f>
        <v>59.001300000000001</v>
      </c>
      <c r="AH681" s="101">
        <f t="shared" ref="AH681:AH956" si="851">AQ681</f>
        <v>521</v>
      </c>
      <c r="AI681" s="101">
        <f t="shared" ref="AI681:AI977" si="852">$D$58</f>
        <v>200</v>
      </c>
      <c r="AJ681" s="112">
        <f t="shared" ref="AJ681:AJ804" si="853">10*AS681/IF(AX681=1,IF(AY681=1,4.5,4),4)</f>
        <v>2.5</v>
      </c>
      <c r="AK681" s="101">
        <f t="shared" si="461"/>
        <v>8196.5010303036597</v>
      </c>
      <c r="AL681" s="101">
        <f t="shared" ref="AL681:AL804" si="854">IF(AV681=1,$D$61*(VLOOKUP(C681,$B$36:$AG$39,25,FALSE)+VLOOKUP(C681,$B$40:$AG$43,25,FALSE)*$D$54),(IF(H681="근접",$D$61*(VLOOKUP(C681,$B$36:$AG$39,25,FALSE)+VLOOKUP(C681,$B$40:$AG$43,25,FALSE)*$D$54),$D$60*(VLOOKUP(C681,$B$36:$AG$39,25,FALSE)+VLOOKUP(C681,$B$40:$AG$43,25,FALSE)*$D$54))))*$D$59/100</f>
        <v>4894.3758685371959</v>
      </c>
      <c r="AM681" s="101">
        <f t="shared" ref="AM681:AM804" si="855">(IF(AV681=1,$D$61*(VLOOKUP(C681,$B$36:$AG$39,26,FALSE)+VLOOKUP(C681,$B$40:$AG$43,26,FALSE)*$D$54),IF(H681="근접",$D$61*(VLOOKUP(C681,$B$36:$AG$39,26,FALSE)+VLOOKUP(C681,$B$40:$AG$43,26,FALSE)*$D$54),$D$60*(VLOOKUP(C681,$B$36:$AG$39,26,FALSE)+VLOOKUP(C681,$B$40:$AG$43,26,FALSE)*$D$54))))*$D$59/100</f>
        <v>3302.1251617664634</v>
      </c>
      <c r="AN681" s="101"/>
      <c r="AO681" s="1">
        <v>24</v>
      </c>
      <c r="AP681" s="2">
        <v>36</v>
      </c>
      <c r="AQ681" s="74">
        <f t="shared" ref="AQ681:AQ804" si="856">VLOOKUP(C681,$B$45:$AA$48,25,FALSE)</f>
        <v>521</v>
      </c>
      <c r="AR681" s="31">
        <f t="shared" ref="AR681:AR804" si="857">IF(LEFT(E681,1)*1=1,$S$68,$R$68)</f>
        <v>4</v>
      </c>
      <c r="AS681" s="2">
        <f t="shared" ref="AS681:AS804" si="858">IF(LEFT(E681,1)*1=2,$U$68,$T$68)</f>
        <v>1</v>
      </c>
      <c r="AT681" s="33">
        <f t="shared" ref="AT681:AT804" si="859">IF(LEFT(E681,1)*1=3,$W$68,$V$68)</f>
        <v>1</v>
      </c>
      <c r="AU681" s="31">
        <f t="shared" ref="AU681:AU804" si="860">IF(MID(E681,3,1)*1=1,$Y$68,$X$68)</f>
        <v>40</v>
      </c>
      <c r="AV681" s="2">
        <f t="shared" ref="AV681:AV804" si="861">IF(MID(E681,3,1)*1=2,$AA$68,$Z$68)</f>
        <v>0</v>
      </c>
      <c r="AW681" s="33" t="str">
        <f t="shared" ref="AW681:AW804" si="862">IF(MID(E681,3,1)*1=3,$AC$68,$AB$68)</f>
        <v>보스대상</v>
      </c>
      <c r="AX681" s="31">
        <f t="shared" ref="AX681:AX804" si="863">IF(MID(E681,5,1)*1=1,$AE$68,$AD$68)</f>
        <v>2.8</v>
      </c>
      <c r="AY681" s="33">
        <f t="shared" ref="AY681:AY804" si="864">IF(MID(E681,5,1)*1=2,$AG$68,$AF$68)</f>
        <v>1</v>
      </c>
      <c r="AZ681" s="2"/>
      <c r="BA681" s="101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</row>
    <row r="682" spans="1:71" ht="12" customHeight="1">
      <c r="A682" s="2"/>
      <c r="B682" s="107">
        <v>607</v>
      </c>
      <c r="C682" s="31">
        <v>10</v>
      </c>
      <c r="D682" s="111" t="s">
        <v>18</v>
      </c>
      <c r="E682" s="2" t="s">
        <v>153</v>
      </c>
      <c r="F682" s="2"/>
      <c r="G682" s="2"/>
      <c r="H682" s="33" t="s">
        <v>81</v>
      </c>
      <c r="I682" s="99">
        <f t="shared" si="0"/>
        <v>1125.8882015892168</v>
      </c>
      <c r="J682" s="101">
        <f t="shared" si="1"/>
        <v>35.968798914524506</v>
      </c>
      <c r="K682" s="101">
        <f t="shared" si="2"/>
        <v>113</v>
      </c>
      <c r="L682" s="74">
        <f t="shared" si="535"/>
        <v>95</v>
      </c>
      <c r="M682" s="99">
        <f t="shared" si="191"/>
        <v>16308.23854924755</v>
      </c>
      <c r="N682" s="108">
        <f t="shared" si="690"/>
        <v>16308.23854924755</v>
      </c>
      <c r="O682" s="108">
        <f t="shared" si="845"/>
        <v>0</v>
      </c>
      <c r="P682" s="108"/>
      <c r="Q682" s="108"/>
      <c r="R682" s="109"/>
      <c r="S682" s="99">
        <f t="shared" si="694"/>
        <v>13704.252431904148</v>
      </c>
      <c r="T682" s="108">
        <f t="shared" si="846"/>
        <v>13704.252431904148</v>
      </c>
      <c r="U682" s="108">
        <f t="shared" si="847"/>
        <v>0</v>
      </c>
      <c r="V682" s="108"/>
      <c r="W682" s="108"/>
      <c r="X682" s="109"/>
      <c r="Y682" s="99">
        <f t="shared" si="8"/>
        <v>27408.504863808295</v>
      </c>
      <c r="Z682" s="108">
        <f t="shared" ref="Z682:AA682" si="865">T682*$D$58/100</f>
        <v>27408.504863808295</v>
      </c>
      <c r="AA682" s="108">
        <f t="shared" si="865"/>
        <v>0</v>
      </c>
      <c r="AB682" s="108"/>
      <c r="AC682" s="108"/>
      <c r="AD682" s="109"/>
      <c r="AE682" s="99">
        <f t="shared" ref="AE682:AE745" si="866">(AO682*(1-$D$20/100)*(1-$D$17/100)-AR682)*IF(AW682="보스대상",1,POWER(0.85,AW682))</f>
        <v>14.484776131615998</v>
      </c>
      <c r="AF682" s="101">
        <f t="shared" si="849"/>
        <v>36</v>
      </c>
      <c r="AG682" s="101">
        <f t="shared" si="850"/>
        <v>19.001300000000001</v>
      </c>
      <c r="AH682" s="101">
        <f t="shared" si="851"/>
        <v>521</v>
      </c>
      <c r="AI682" s="101">
        <f t="shared" si="852"/>
        <v>200</v>
      </c>
      <c r="AJ682" s="112">
        <f t="shared" si="853"/>
        <v>2.5</v>
      </c>
      <c r="AK682" s="101">
        <f t="shared" si="461"/>
        <v>8196.5010303036597</v>
      </c>
      <c r="AL682" s="101">
        <f t="shared" si="854"/>
        <v>4894.3758685371959</v>
      </c>
      <c r="AM682" s="101">
        <f t="shared" si="855"/>
        <v>3302.1251617664634</v>
      </c>
      <c r="AN682" s="101"/>
      <c r="AO682" s="1">
        <v>24</v>
      </c>
      <c r="AP682" s="2">
        <v>36</v>
      </c>
      <c r="AQ682" s="74">
        <f t="shared" si="856"/>
        <v>521</v>
      </c>
      <c r="AR682" s="31">
        <f t="shared" si="857"/>
        <v>4</v>
      </c>
      <c r="AS682" s="2">
        <f t="shared" si="858"/>
        <v>1</v>
      </c>
      <c r="AT682" s="33">
        <f t="shared" si="859"/>
        <v>1</v>
      </c>
      <c r="AU682" s="31">
        <f t="shared" si="860"/>
        <v>0</v>
      </c>
      <c r="AV682" s="2">
        <f t="shared" si="861"/>
        <v>1</v>
      </c>
      <c r="AW682" s="33" t="str">
        <f t="shared" si="862"/>
        <v>보스대상</v>
      </c>
      <c r="AX682" s="31">
        <f t="shared" si="863"/>
        <v>2.8</v>
      </c>
      <c r="AY682" s="33">
        <f t="shared" si="864"/>
        <v>1</v>
      </c>
      <c r="AZ682" s="2"/>
      <c r="BA682" s="101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</row>
    <row r="683" spans="1:71" ht="12" customHeight="1">
      <c r="A683" s="2"/>
      <c r="B683" s="107">
        <v>608</v>
      </c>
      <c r="C683" s="31">
        <v>10</v>
      </c>
      <c r="D683" s="111" t="s">
        <v>18</v>
      </c>
      <c r="E683" s="2" t="s">
        <v>156</v>
      </c>
      <c r="F683" s="2"/>
      <c r="G683" s="2" t="s">
        <v>186</v>
      </c>
      <c r="H683" s="33" t="s">
        <v>81</v>
      </c>
      <c r="I683" s="99">
        <f t="shared" si="0"/>
        <v>2537.4683824395661</v>
      </c>
      <c r="J683" s="101">
        <f t="shared" si="1"/>
        <v>81.064611807018906</v>
      </c>
      <c r="K683" s="101">
        <f t="shared" si="2"/>
        <v>10</v>
      </c>
      <c r="L683" s="74">
        <f t="shared" si="535"/>
        <v>10</v>
      </c>
      <c r="M683" s="99">
        <f t="shared" si="191"/>
        <v>16308.23854924755</v>
      </c>
      <c r="N683" s="108">
        <f t="shared" si="690"/>
        <v>16308.23854924755</v>
      </c>
      <c r="O683" s="108">
        <f t="shared" si="845"/>
        <v>0</v>
      </c>
      <c r="P683" s="108"/>
      <c r="Q683" s="108"/>
      <c r="R683" s="109"/>
      <c r="S683" s="99">
        <f t="shared" si="694"/>
        <v>13704.252431904148</v>
      </c>
      <c r="T683" s="108">
        <f t="shared" si="846"/>
        <v>13704.252431904148</v>
      </c>
      <c r="U683" s="108">
        <f t="shared" si="847"/>
        <v>0</v>
      </c>
      <c r="V683" s="108"/>
      <c r="W683" s="108"/>
      <c r="X683" s="109"/>
      <c r="Y683" s="99">
        <f t="shared" si="8"/>
        <v>27408.504863808295</v>
      </c>
      <c r="Z683" s="108">
        <f t="shared" ref="Z683:AA683" si="867">T683*$D$58/100</f>
        <v>27408.504863808295</v>
      </c>
      <c r="AA683" s="108">
        <f t="shared" si="867"/>
        <v>0</v>
      </c>
      <c r="AB683" s="108"/>
      <c r="AC683" s="108"/>
      <c r="AD683" s="109"/>
      <c r="AE683" s="99">
        <f t="shared" si="866"/>
        <v>6.4269721199712162</v>
      </c>
      <c r="AF683" s="101">
        <f t="shared" si="849"/>
        <v>36</v>
      </c>
      <c r="AG683" s="101">
        <f t="shared" si="850"/>
        <v>19.001300000000001</v>
      </c>
      <c r="AH683" s="101">
        <f t="shared" si="851"/>
        <v>521</v>
      </c>
      <c r="AI683" s="101">
        <f t="shared" si="852"/>
        <v>200</v>
      </c>
      <c r="AJ683" s="112">
        <f t="shared" si="853"/>
        <v>2.5</v>
      </c>
      <c r="AK683" s="101">
        <f t="shared" si="461"/>
        <v>8196.5010303036597</v>
      </c>
      <c r="AL683" s="101">
        <f t="shared" si="854"/>
        <v>4894.3758685371959</v>
      </c>
      <c r="AM683" s="101">
        <f t="shared" si="855"/>
        <v>3302.1251617664634</v>
      </c>
      <c r="AN683" s="101"/>
      <c r="AO683" s="1">
        <v>24</v>
      </c>
      <c r="AP683" s="2">
        <v>36</v>
      </c>
      <c r="AQ683" s="74">
        <f t="shared" si="856"/>
        <v>521</v>
      </c>
      <c r="AR683" s="31">
        <f t="shared" si="857"/>
        <v>4</v>
      </c>
      <c r="AS683" s="2">
        <f t="shared" si="858"/>
        <v>1</v>
      </c>
      <c r="AT683" s="33">
        <f t="shared" si="859"/>
        <v>1</v>
      </c>
      <c r="AU683" s="31">
        <f t="shared" si="860"/>
        <v>0</v>
      </c>
      <c r="AV683" s="2">
        <f t="shared" si="861"/>
        <v>0</v>
      </c>
      <c r="AW683" s="33">
        <f t="shared" si="862"/>
        <v>5</v>
      </c>
      <c r="AX683" s="31">
        <f t="shared" si="863"/>
        <v>2.8</v>
      </c>
      <c r="AY683" s="33">
        <f t="shared" si="864"/>
        <v>1</v>
      </c>
      <c r="AZ683" s="2"/>
      <c r="BA683" s="101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</row>
    <row r="684" spans="1:71" ht="12" customHeight="1">
      <c r="A684" s="2"/>
      <c r="B684" s="107">
        <v>609</v>
      </c>
      <c r="C684" s="31">
        <v>10</v>
      </c>
      <c r="D684" s="111" t="s">
        <v>18</v>
      </c>
      <c r="E684" s="2" t="s">
        <v>169</v>
      </c>
      <c r="F684" s="2"/>
      <c r="G684" s="2"/>
      <c r="H684" s="33" t="s">
        <v>81</v>
      </c>
      <c r="I684" s="99">
        <f t="shared" si="0"/>
        <v>1178.8046209951185</v>
      </c>
      <c r="J684" s="101">
        <f t="shared" si="1"/>
        <v>28.185356224514496</v>
      </c>
      <c r="K684" s="101">
        <f t="shared" si="2"/>
        <v>100</v>
      </c>
      <c r="L684" s="74">
        <f t="shared" si="535"/>
        <v>85</v>
      </c>
      <c r="M684" s="99">
        <f t="shared" si="191"/>
        <v>21789.939522009208</v>
      </c>
      <c r="N684" s="108">
        <f t="shared" si="690"/>
        <v>21789.939522009208</v>
      </c>
      <c r="O684" s="108">
        <f t="shared" si="845"/>
        <v>0</v>
      </c>
      <c r="P684" s="108"/>
      <c r="Q684" s="108"/>
      <c r="R684" s="109"/>
      <c r="S684" s="99">
        <f t="shared" si="694"/>
        <v>13704.252431904148</v>
      </c>
      <c r="T684" s="108">
        <f t="shared" si="846"/>
        <v>13704.252431904148</v>
      </c>
      <c r="U684" s="108">
        <f t="shared" si="847"/>
        <v>0</v>
      </c>
      <c r="V684" s="108"/>
      <c r="W684" s="108"/>
      <c r="X684" s="109"/>
      <c r="Y684" s="99">
        <f t="shared" si="8"/>
        <v>27408.504863808295</v>
      </c>
      <c r="Z684" s="108">
        <f t="shared" ref="Z684:AA684" si="868">T684*$D$58/100</f>
        <v>27408.504863808295</v>
      </c>
      <c r="AA684" s="108">
        <f t="shared" si="868"/>
        <v>0</v>
      </c>
      <c r="AB684" s="108"/>
      <c r="AC684" s="108"/>
      <c r="AD684" s="109"/>
      <c r="AE684" s="99">
        <f t="shared" si="866"/>
        <v>18.484776131615998</v>
      </c>
      <c r="AF684" s="101">
        <f t="shared" si="849"/>
        <v>36</v>
      </c>
      <c r="AG684" s="101">
        <f t="shared" si="850"/>
        <v>59.001300000000001</v>
      </c>
      <c r="AH684" s="101">
        <f t="shared" si="851"/>
        <v>521</v>
      </c>
      <c r="AI684" s="101">
        <f t="shared" si="852"/>
        <v>200</v>
      </c>
      <c r="AJ684" s="112">
        <f t="shared" si="853"/>
        <v>2</v>
      </c>
      <c r="AK684" s="101">
        <f t="shared" si="461"/>
        <v>8196.5010303036597</v>
      </c>
      <c r="AL684" s="101">
        <f t="shared" si="854"/>
        <v>4894.3758685371959</v>
      </c>
      <c r="AM684" s="101">
        <f t="shared" si="855"/>
        <v>3302.1251617664634</v>
      </c>
      <c r="AN684" s="101"/>
      <c r="AO684" s="1">
        <v>24</v>
      </c>
      <c r="AP684" s="2">
        <v>36</v>
      </c>
      <c r="AQ684" s="74">
        <f t="shared" si="856"/>
        <v>521</v>
      </c>
      <c r="AR684" s="31">
        <f t="shared" si="857"/>
        <v>0</v>
      </c>
      <c r="AS684" s="2">
        <f t="shared" si="858"/>
        <v>0.8</v>
      </c>
      <c r="AT684" s="33">
        <f t="shared" si="859"/>
        <v>1</v>
      </c>
      <c r="AU684" s="31">
        <f t="shared" si="860"/>
        <v>40</v>
      </c>
      <c r="AV684" s="2">
        <f t="shared" si="861"/>
        <v>0</v>
      </c>
      <c r="AW684" s="33" t="str">
        <f t="shared" si="862"/>
        <v>보스대상</v>
      </c>
      <c r="AX684" s="31">
        <f t="shared" si="863"/>
        <v>2.8</v>
      </c>
      <c r="AY684" s="33">
        <f t="shared" si="864"/>
        <v>1</v>
      </c>
      <c r="AZ684" s="2"/>
      <c r="BA684" s="101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</row>
    <row r="685" spans="1:71" ht="12" customHeight="1">
      <c r="A685" s="2"/>
      <c r="B685" s="107">
        <v>610</v>
      </c>
      <c r="C685" s="31">
        <v>10</v>
      </c>
      <c r="D685" s="111" t="s">
        <v>18</v>
      </c>
      <c r="E685" s="2" t="s">
        <v>162</v>
      </c>
      <c r="F685" s="2"/>
      <c r="G685" s="2"/>
      <c r="H685" s="33" t="s">
        <v>81</v>
      </c>
      <c r="I685" s="99">
        <f t="shared" si="0"/>
        <v>882.25242400173067</v>
      </c>
      <c r="J685" s="101">
        <f t="shared" si="1"/>
        <v>28.185356224514496</v>
      </c>
      <c r="K685" s="101">
        <f t="shared" si="2"/>
        <v>224</v>
      </c>
      <c r="L685" s="74">
        <f t="shared" si="535"/>
        <v>159</v>
      </c>
      <c r="M685" s="99">
        <f t="shared" si="191"/>
        <v>16308.23854924755</v>
      </c>
      <c r="N685" s="108">
        <f t="shared" si="690"/>
        <v>16308.23854924755</v>
      </c>
      <c r="O685" s="108">
        <f t="shared" si="845"/>
        <v>0</v>
      </c>
      <c r="P685" s="108"/>
      <c r="Q685" s="108"/>
      <c r="R685" s="109"/>
      <c r="S685" s="99">
        <f t="shared" si="694"/>
        <v>13704.252431904148</v>
      </c>
      <c r="T685" s="108">
        <f t="shared" si="846"/>
        <v>13704.252431904148</v>
      </c>
      <c r="U685" s="108">
        <f t="shared" si="847"/>
        <v>0</v>
      </c>
      <c r="V685" s="108"/>
      <c r="W685" s="108"/>
      <c r="X685" s="109"/>
      <c r="Y685" s="99">
        <f t="shared" si="8"/>
        <v>27408.504863808295</v>
      </c>
      <c r="Z685" s="108">
        <f t="shared" ref="Z685:AA685" si="869">T685*$D$58/100</f>
        <v>27408.504863808295</v>
      </c>
      <c r="AA685" s="108">
        <f t="shared" si="869"/>
        <v>0</v>
      </c>
      <c r="AB685" s="108"/>
      <c r="AC685" s="108"/>
      <c r="AD685" s="109"/>
      <c r="AE685" s="99">
        <f t="shared" si="866"/>
        <v>18.484776131615998</v>
      </c>
      <c r="AF685" s="101">
        <f t="shared" si="849"/>
        <v>36</v>
      </c>
      <c r="AG685" s="101">
        <f t="shared" si="850"/>
        <v>19.001300000000001</v>
      </c>
      <c r="AH685" s="101">
        <f t="shared" si="851"/>
        <v>521</v>
      </c>
      <c r="AI685" s="101">
        <f t="shared" si="852"/>
        <v>200</v>
      </c>
      <c r="AJ685" s="112">
        <f t="shared" si="853"/>
        <v>2</v>
      </c>
      <c r="AK685" s="101">
        <f t="shared" si="461"/>
        <v>8196.5010303036597</v>
      </c>
      <c r="AL685" s="101">
        <f t="shared" si="854"/>
        <v>4894.3758685371959</v>
      </c>
      <c r="AM685" s="101">
        <f t="shared" si="855"/>
        <v>3302.1251617664634</v>
      </c>
      <c r="AN685" s="101"/>
      <c r="AO685" s="1">
        <v>24</v>
      </c>
      <c r="AP685" s="2">
        <v>36</v>
      </c>
      <c r="AQ685" s="74">
        <f t="shared" si="856"/>
        <v>521</v>
      </c>
      <c r="AR685" s="31">
        <f t="shared" si="857"/>
        <v>0</v>
      </c>
      <c r="AS685" s="2">
        <f t="shared" si="858"/>
        <v>0.8</v>
      </c>
      <c r="AT685" s="33">
        <f t="shared" si="859"/>
        <v>1</v>
      </c>
      <c r="AU685" s="31">
        <f t="shared" si="860"/>
        <v>0</v>
      </c>
      <c r="AV685" s="2">
        <f t="shared" si="861"/>
        <v>1</v>
      </c>
      <c r="AW685" s="33" t="str">
        <f t="shared" si="862"/>
        <v>보스대상</v>
      </c>
      <c r="AX685" s="31">
        <f t="shared" si="863"/>
        <v>2.8</v>
      </c>
      <c r="AY685" s="33">
        <f t="shared" si="864"/>
        <v>1</v>
      </c>
      <c r="AZ685" s="2"/>
      <c r="BA685" s="101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</row>
    <row r="686" spans="1:71" ht="12" customHeight="1">
      <c r="A686" s="2"/>
      <c r="B686" s="107">
        <v>611</v>
      </c>
      <c r="C686" s="31">
        <v>10</v>
      </c>
      <c r="D686" s="111" t="s">
        <v>18</v>
      </c>
      <c r="E686" s="2" t="s">
        <v>171</v>
      </c>
      <c r="F686" s="2"/>
      <c r="G686" s="2" t="s">
        <v>186</v>
      </c>
      <c r="H686" s="33" t="s">
        <v>81</v>
      </c>
      <c r="I686" s="99">
        <f t="shared" si="0"/>
        <v>1988.3747143589385</v>
      </c>
      <c r="J686" s="101">
        <f t="shared" si="1"/>
        <v>63.522692720778515</v>
      </c>
      <c r="K686" s="101">
        <f t="shared" si="2"/>
        <v>18</v>
      </c>
      <c r="L686" s="74">
        <f t="shared" si="535"/>
        <v>18</v>
      </c>
      <c r="M686" s="99">
        <f t="shared" si="191"/>
        <v>16308.23854924755</v>
      </c>
      <c r="N686" s="108">
        <f t="shared" si="690"/>
        <v>16308.23854924755</v>
      </c>
      <c r="O686" s="108">
        <f t="shared" si="845"/>
        <v>0</v>
      </c>
      <c r="P686" s="108"/>
      <c r="Q686" s="108"/>
      <c r="R686" s="109"/>
      <c r="S686" s="99">
        <f t="shared" si="694"/>
        <v>13704.252431904148</v>
      </c>
      <c r="T686" s="108">
        <f t="shared" si="846"/>
        <v>13704.252431904148</v>
      </c>
      <c r="U686" s="108">
        <f t="shared" si="847"/>
        <v>0</v>
      </c>
      <c r="V686" s="108"/>
      <c r="W686" s="108"/>
      <c r="X686" s="109"/>
      <c r="Y686" s="99">
        <f t="shared" si="8"/>
        <v>27408.504863808295</v>
      </c>
      <c r="Z686" s="108">
        <f t="shared" ref="Z686:AA686" si="870">T686*$D$58/100</f>
        <v>27408.504863808295</v>
      </c>
      <c r="AA686" s="108">
        <f t="shared" si="870"/>
        <v>0</v>
      </c>
      <c r="AB686" s="108"/>
      <c r="AC686" s="108"/>
      <c r="AD686" s="109"/>
      <c r="AE686" s="99">
        <f t="shared" si="866"/>
        <v>8.2017933699712149</v>
      </c>
      <c r="AF686" s="101">
        <f t="shared" si="849"/>
        <v>36</v>
      </c>
      <c r="AG686" s="101">
        <f t="shared" si="850"/>
        <v>19.001300000000001</v>
      </c>
      <c r="AH686" s="101">
        <f t="shared" si="851"/>
        <v>521</v>
      </c>
      <c r="AI686" s="101">
        <f t="shared" si="852"/>
        <v>200</v>
      </c>
      <c r="AJ686" s="112">
        <f t="shared" si="853"/>
        <v>2</v>
      </c>
      <c r="AK686" s="101">
        <f t="shared" si="461"/>
        <v>8196.5010303036597</v>
      </c>
      <c r="AL686" s="101">
        <f t="shared" si="854"/>
        <v>4894.3758685371959</v>
      </c>
      <c r="AM686" s="101">
        <f t="shared" si="855"/>
        <v>3302.1251617664634</v>
      </c>
      <c r="AN686" s="101"/>
      <c r="AO686" s="1">
        <v>24</v>
      </c>
      <c r="AP686" s="2">
        <v>36</v>
      </c>
      <c r="AQ686" s="74">
        <f t="shared" si="856"/>
        <v>521</v>
      </c>
      <c r="AR686" s="31">
        <f t="shared" si="857"/>
        <v>0</v>
      </c>
      <c r="AS686" s="2">
        <f t="shared" si="858"/>
        <v>0.8</v>
      </c>
      <c r="AT686" s="33">
        <f t="shared" si="859"/>
        <v>1</v>
      </c>
      <c r="AU686" s="31">
        <f t="shared" si="860"/>
        <v>0</v>
      </c>
      <c r="AV686" s="2">
        <f t="shared" si="861"/>
        <v>0</v>
      </c>
      <c r="AW686" s="33">
        <f t="shared" si="862"/>
        <v>5</v>
      </c>
      <c r="AX686" s="31">
        <f t="shared" si="863"/>
        <v>2.8</v>
      </c>
      <c r="AY686" s="33">
        <f t="shared" si="864"/>
        <v>1</v>
      </c>
      <c r="AZ686" s="2"/>
      <c r="BA686" s="101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</row>
    <row r="687" spans="1:71" ht="12" customHeight="1">
      <c r="A687" s="2"/>
      <c r="B687" s="107">
        <v>612</v>
      </c>
      <c r="C687" s="31">
        <v>10</v>
      </c>
      <c r="D687" s="111" t="s">
        <v>18</v>
      </c>
      <c r="E687" s="2" t="s">
        <v>182</v>
      </c>
      <c r="F687" s="2"/>
      <c r="G687" s="2"/>
      <c r="H687" s="33" t="s">
        <v>81</v>
      </c>
      <c r="I687" s="99">
        <f t="shared" si="0"/>
        <v>1414.565545194142</v>
      </c>
      <c r="J687" s="101">
        <f t="shared" si="1"/>
        <v>28.185356224514496</v>
      </c>
      <c r="K687" s="101">
        <f t="shared" si="2"/>
        <v>57</v>
      </c>
      <c r="L687" s="74">
        <f t="shared" si="535"/>
        <v>53</v>
      </c>
      <c r="M687" s="99">
        <f t="shared" si="191"/>
        <v>26147.92742641105</v>
      </c>
      <c r="N687" s="108">
        <f t="shared" si="690"/>
        <v>26147.92742641105</v>
      </c>
      <c r="O687" s="108">
        <f t="shared" si="845"/>
        <v>0</v>
      </c>
      <c r="P687" s="108"/>
      <c r="Q687" s="108"/>
      <c r="R687" s="109"/>
      <c r="S687" s="99">
        <f t="shared" si="694"/>
        <v>16445.102918284978</v>
      </c>
      <c r="T687" s="108">
        <f t="shared" si="846"/>
        <v>16445.102918284978</v>
      </c>
      <c r="U687" s="108">
        <f t="shared" si="847"/>
        <v>0</v>
      </c>
      <c r="V687" s="108"/>
      <c r="W687" s="108"/>
      <c r="X687" s="109"/>
      <c r="Y687" s="99">
        <f t="shared" si="8"/>
        <v>32890.205836569956</v>
      </c>
      <c r="Z687" s="108">
        <f t="shared" ref="Z687:AA687" si="871">T687*$D$58/100</f>
        <v>32890.205836569956</v>
      </c>
      <c r="AA687" s="108">
        <f t="shared" si="871"/>
        <v>0</v>
      </c>
      <c r="AB687" s="108"/>
      <c r="AC687" s="108"/>
      <c r="AD687" s="109"/>
      <c r="AE687" s="99">
        <f t="shared" si="866"/>
        <v>18.484776131615998</v>
      </c>
      <c r="AF687" s="101">
        <f t="shared" si="849"/>
        <v>36</v>
      </c>
      <c r="AG687" s="101">
        <f t="shared" si="850"/>
        <v>59.001300000000001</v>
      </c>
      <c r="AH687" s="101">
        <f t="shared" si="851"/>
        <v>521</v>
      </c>
      <c r="AI687" s="101">
        <f t="shared" si="852"/>
        <v>200</v>
      </c>
      <c r="AJ687" s="112">
        <f t="shared" si="853"/>
        <v>2.5</v>
      </c>
      <c r="AK687" s="101">
        <f t="shared" si="461"/>
        <v>8196.5010303036597</v>
      </c>
      <c r="AL687" s="101">
        <f t="shared" si="854"/>
        <v>4894.3758685371959</v>
      </c>
      <c r="AM687" s="101">
        <f t="shared" si="855"/>
        <v>3302.1251617664634</v>
      </c>
      <c r="AN687" s="101"/>
      <c r="AO687" s="1">
        <v>24</v>
      </c>
      <c r="AP687" s="2">
        <v>36</v>
      </c>
      <c r="AQ687" s="74">
        <f t="shared" si="856"/>
        <v>521</v>
      </c>
      <c r="AR687" s="31">
        <f t="shared" si="857"/>
        <v>0</v>
      </c>
      <c r="AS687" s="2">
        <f t="shared" si="858"/>
        <v>1</v>
      </c>
      <c r="AT687" s="33">
        <f t="shared" si="859"/>
        <v>1.2</v>
      </c>
      <c r="AU687" s="31">
        <f t="shared" si="860"/>
        <v>40</v>
      </c>
      <c r="AV687" s="2">
        <f t="shared" si="861"/>
        <v>0</v>
      </c>
      <c r="AW687" s="33" t="str">
        <f t="shared" si="862"/>
        <v>보스대상</v>
      </c>
      <c r="AX687" s="31">
        <f t="shared" si="863"/>
        <v>2.8</v>
      </c>
      <c r="AY687" s="33">
        <f t="shared" si="864"/>
        <v>1</v>
      </c>
      <c r="AZ687" s="2"/>
      <c r="BA687" s="101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</row>
    <row r="688" spans="1:71" ht="12" customHeight="1">
      <c r="A688" s="2"/>
      <c r="B688" s="107">
        <v>613</v>
      </c>
      <c r="C688" s="31">
        <v>10</v>
      </c>
      <c r="D688" s="111" t="s">
        <v>18</v>
      </c>
      <c r="E688" s="2" t="s">
        <v>159</v>
      </c>
      <c r="F688" s="2"/>
      <c r="G688" s="2"/>
      <c r="H688" s="33" t="s">
        <v>81</v>
      </c>
      <c r="I688" s="99">
        <f t="shared" si="0"/>
        <v>1058.702908802077</v>
      </c>
      <c r="J688" s="101">
        <f t="shared" si="1"/>
        <v>28.185356224514496</v>
      </c>
      <c r="K688" s="101">
        <f t="shared" si="2"/>
        <v>143</v>
      </c>
      <c r="L688" s="74">
        <f t="shared" si="535"/>
        <v>114</v>
      </c>
      <c r="M688" s="99">
        <f t="shared" si="191"/>
        <v>19569.88625909706</v>
      </c>
      <c r="N688" s="108">
        <f t="shared" si="690"/>
        <v>19569.88625909706</v>
      </c>
      <c r="O688" s="108">
        <f t="shared" si="845"/>
        <v>0</v>
      </c>
      <c r="P688" s="108"/>
      <c r="Q688" s="108"/>
      <c r="R688" s="109"/>
      <c r="S688" s="99">
        <f t="shared" si="694"/>
        <v>16445.102918284978</v>
      </c>
      <c r="T688" s="108">
        <f t="shared" si="846"/>
        <v>16445.102918284978</v>
      </c>
      <c r="U688" s="108">
        <f t="shared" si="847"/>
        <v>0</v>
      </c>
      <c r="V688" s="108"/>
      <c r="W688" s="108"/>
      <c r="X688" s="109"/>
      <c r="Y688" s="99">
        <f t="shared" si="8"/>
        <v>32890.205836569956</v>
      </c>
      <c r="Z688" s="108">
        <f t="shared" ref="Z688:AA688" si="872">T688*$D$58/100</f>
        <v>32890.205836569956</v>
      </c>
      <c r="AA688" s="108">
        <f t="shared" si="872"/>
        <v>0</v>
      </c>
      <c r="AB688" s="108"/>
      <c r="AC688" s="108"/>
      <c r="AD688" s="109"/>
      <c r="AE688" s="99">
        <f t="shared" si="866"/>
        <v>18.484776131615998</v>
      </c>
      <c r="AF688" s="101">
        <f t="shared" si="849"/>
        <v>36</v>
      </c>
      <c r="AG688" s="101">
        <f t="shared" si="850"/>
        <v>19.001300000000001</v>
      </c>
      <c r="AH688" s="101">
        <f t="shared" si="851"/>
        <v>521</v>
      </c>
      <c r="AI688" s="101">
        <f t="shared" si="852"/>
        <v>200</v>
      </c>
      <c r="AJ688" s="112">
        <f t="shared" si="853"/>
        <v>2.5</v>
      </c>
      <c r="AK688" s="101">
        <f t="shared" si="461"/>
        <v>8196.5010303036597</v>
      </c>
      <c r="AL688" s="101">
        <f t="shared" si="854"/>
        <v>4894.3758685371959</v>
      </c>
      <c r="AM688" s="101">
        <f t="shared" si="855"/>
        <v>3302.1251617664634</v>
      </c>
      <c r="AN688" s="101"/>
      <c r="AO688" s="1">
        <v>24</v>
      </c>
      <c r="AP688" s="2">
        <v>36</v>
      </c>
      <c r="AQ688" s="74">
        <f t="shared" si="856"/>
        <v>521</v>
      </c>
      <c r="AR688" s="31">
        <f t="shared" si="857"/>
        <v>0</v>
      </c>
      <c r="AS688" s="2">
        <f t="shared" si="858"/>
        <v>1</v>
      </c>
      <c r="AT688" s="33">
        <f t="shared" si="859"/>
        <v>1.2</v>
      </c>
      <c r="AU688" s="31">
        <f t="shared" si="860"/>
        <v>0</v>
      </c>
      <c r="AV688" s="2">
        <f t="shared" si="861"/>
        <v>1</v>
      </c>
      <c r="AW688" s="33" t="str">
        <f t="shared" si="862"/>
        <v>보스대상</v>
      </c>
      <c r="AX688" s="31">
        <f t="shared" si="863"/>
        <v>2.8</v>
      </c>
      <c r="AY688" s="33">
        <f t="shared" si="864"/>
        <v>1</v>
      </c>
      <c r="AZ688" s="2"/>
      <c r="BA688" s="101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</row>
    <row r="689" spans="1:71" ht="12" customHeight="1">
      <c r="A689" s="2"/>
      <c r="B689" s="107">
        <v>614</v>
      </c>
      <c r="C689" s="31">
        <v>10</v>
      </c>
      <c r="D689" s="111" t="s">
        <v>18</v>
      </c>
      <c r="E689" s="2" t="s">
        <v>147</v>
      </c>
      <c r="F689" s="2"/>
      <c r="G689" s="2" t="s">
        <v>186</v>
      </c>
      <c r="H689" s="33" t="s">
        <v>81</v>
      </c>
      <c r="I689" s="99">
        <f t="shared" si="0"/>
        <v>2386.0496572307261</v>
      </c>
      <c r="J689" s="101">
        <f t="shared" si="1"/>
        <v>63.522692720778515</v>
      </c>
      <c r="K689" s="101">
        <f t="shared" si="2"/>
        <v>11</v>
      </c>
      <c r="L689" s="74">
        <f t="shared" si="535"/>
        <v>11</v>
      </c>
      <c r="M689" s="99">
        <f t="shared" si="191"/>
        <v>19569.88625909706</v>
      </c>
      <c r="N689" s="108">
        <f t="shared" si="690"/>
        <v>19569.88625909706</v>
      </c>
      <c r="O689" s="108">
        <f t="shared" si="845"/>
        <v>0</v>
      </c>
      <c r="P689" s="108"/>
      <c r="Q689" s="108"/>
      <c r="R689" s="109"/>
      <c r="S689" s="99">
        <f t="shared" si="694"/>
        <v>16445.102918284978</v>
      </c>
      <c r="T689" s="108">
        <f t="shared" si="846"/>
        <v>16445.102918284978</v>
      </c>
      <c r="U689" s="108">
        <f t="shared" si="847"/>
        <v>0</v>
      </c>
      <c r="V689" s="108"/>
      <c r="W689" s="108"/>
      <c r="X689" s="109"/>
      <c r="Y689" s="99">
        <f t="shared" si="8"/>
        <v>32890.205836569956</v>
      </c>
      <c r="Z689" s="108">
        <f t="shared" ref="Z689:AA689" si="873">T689*$D$58/100</f>
        <v>32890.205836569956</v>
      </c>
      <c r="AA689" s="108">
        <f t="shared" si="873"/>
        <v>0</v>
      </c>
      <c r="AB689" s="108"/>
      <c r="AC689" s="108"/>
      <c r="AD689" s="109"/>
      <c r="AE689" s="99">
        <f t="shared" si="866"/>
        <v>8.2017933699712149</v>
      </c>
      <c r="AF689" s="101">
        <f t="shared" si="849"/>
        <v>36</v>
      </c>
      <c r="AG689" s="101">
        <f t="shared" si="850"/>
        <v>19.001300000000001</v>
      </c>
      <c r="AH689" s="101">
        <f t="shared" si="851"/>
        <v>521</v>
      </c>
      <c r="AI689" s="101">
        <f t="shared" si="852"/>
        <v>200</v>
      </c>
      <c r="AJ689" s="112">
        <f t="shared" si="853"/>
        <v>2.5</v>
      </c>
      <c r="AK689" s="101">
        <f t="shared" si="461"/>
        <v>8196.5010303036597</v>
      </c>
      <c r="AL689" s="101">
        <f t="shared" si="854"/>
        <v>4894.3758685371959</v>
      </c>
      <c r="AM689" s="101">
        <f t="shared" si="855"/>
        <v>3302.1251617664634</v>
      </c>
      <c r="AN689" s="101"/>
      <c r="AO689" s="1">
        <v>24</v>
      </c>
      <c r="AP689" s="2">
        <v>36</v>
      </c>
      <c r="AQ689" s="74">
        <f t="shared" si="856"/>
        <v>521</v>
      </c>
      <c r="AR689" s="31">
        <f t="shared" si="857"/>
        <v>0</v>
      </c>
      <c r="AS689" s="2">
        <f t="shared" si="858"/>
        <v>1</v>
      </c>
      <c r="AT689" s="33">
        <f t="shared" si="859"/>
        <v>1.2</v>
      </c>
      <c r="AU689" s="31">
        <f t="shared" si="860"/>
        <v>0</v>
      </c>
      <c r="AV689" s="2">
        <f t="shared" si="861"/>
        <v>0</v>
      </c>
      <c r="AW689" s="33">
        <f t="shared" si="862"/>
        <v>5</v>
      </c>
      <c r="AX689" s="31">
        <f t="shared" si="863"/>
        <v>2.8</v>
      </c>
      <c r="AY689" s="33">
        <f t="shared" si="864"/>
        <v>1</v>
      </c>
      <c r="AZ689" s="2"/>
      <c r="BA689" s="101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</row>
    <row r="690" spans="1:71" ht="12" customHeight="1">
      <c r="A690" s="2"/>
      <c r="B690" s="107">
        <v>615</v>
      </c>
      <c r="C690" s="31">
        <v>10</v>
      </c>
      <c r="D690" s="111" t="s">
        <v>18</v>
      </c>
      <c r="E690" s="2" t="s">
        <v>165</v>
      </c>
      <c r="F690" s="2"/>
      <c r="G690" s="2"/>
      <c r="H690" s="33" t="s">
        <v>81</v>
      </c>
      <c r="I690" s="99">
        <f t="shared" si="0"/>
        <v>1351.1314700632925</v>
      </c>
      <c r="J690" s="101">
        <f t="shared" si="1"/>
        <v>35.968798914524506</v>
      </c>
      <c r="K690" s="101">
        <f t="shared" si="2"/>
        <v>66</v>
      </c>
      <c r="L690" s="74">
        <f t="shared" si="535"/>
        <v>62</v>
      </c>
      <c r="M690" s="99">
        <f t="shared" si="191"/>
        <v>19570.836868248014</v>
      </c>
      <c r="N690" s="108">
        <f t="shared" si="690"/>
        <v>7782.1212578604318</v>
      </c>
      <c r="O690" s="108">
        <f t="shared" si="845"/>
        <v>11788.715610387582</v>
      </c>
      <c r="P690" s="108"/>
      <c r="Q690" s="108"/>
      <c r="R690" s="109"/>
      <c r="S690" s="99">
        <f t="shared" si="694"/>
        <v>14800.751353836586</v>
      </c>
      <c r="T690" s="108">
        <f t="shared" si="846"/>
        <v>4894.3758685371959</v>
      </c>
      <c r="U690" s="108">
        <f t="shared" si="847"/>
        <v>9906.3754852993898</v>
      </c>
      <c r="V690" s="108"/>
      <c r="W690" s="108"/>
      <c r="X690" s="109"/>
      <c r="Y690" s="99">
        <f t="shared" si="8"/>
        <v>29601.502707673171</v>
      </c>
      <c r="Z690" s="108">
        <f t="shared" ref="Z690:AA690" si="874">T690*$D$58/100</f>
        <v>9788.7517370743917</v>
      </c>
      <c r="AA690" s="108">
        <f t="shared" si="874"/>
        <v>19812.75097059878</v>
      </c>
      <c r="AB690" s="108"/>
      <c r="AC690" s="108"/>
      <c r="AD690" s="109"/>
      <c r="AE690" s="99">
        <f t="shared" si="866"/>
        <v>14.484776131615998</v>
      </c>
      <c r="AF690" s="101">
        <f t="shared" si="849"/>
        <v>36</v>
      </c>
      <c r="AG690" s="101">
        <f t="shared" si="850"/>
        <v>59.001300000000001</v>
      </c>
      <c r="AH690" s="101">
        <f t="shared" si="851"/>
        <v>521</v>
      </c>
      <c r="AI690" s="101">
        <f t="shared" si="852"/>
        <v>200</v>
      </c>
      <c r="AJ690" s="112">
        <f t="shared" si="853"/>
        <v>2.5</v>
      </c>
      <c r="AK690" s="101">
        <f t="shared" si="461"/>
        <v>8196.5010303036597</v>
      </c>
      <c r="AL690" s="101">
        <f t="shared" si="854"/>
        <v>4894.3758685371959</v>
      </c>
      <c r="AM690" s="101">
        <f t="shared" si="855"/>
        <v>3302.1251617664634</v>
      </c>
      <c r="AN690" s="101"/>
      <c r="AO690" s="1">
        <v>24</v>
      </c>
      <c r="AP690" s="2">
        <v>36</v>
      </c>
      <c r="AQ690" s="74">
        <f t="shared" si="856"/>
        <v>521</v>
      </c>
      <c r="AR690" s="31">
        <f t="shared" si="857"/>
        <v>4</v>
      </c>
      <c r="AS690" s="2">
        <f t="shared" si="858"/>
        <v>1</v>
      </c>
      <c r="AT690" s="33">
        <f t="shared" si="859"/>
        <v>1</v>
      </c>
      <c r="AU690" s="31">
        <f t="shared" si="860"/>
        <v>40</v>
      </c>
      <c r="AV690" s="2">
        <f t="shared" si="861"/>
        <v>0</v>
      </c>
      <c r="AW690" s="33" t="str">
        <f t="shared" si="862"/>
        <v>보스대상</v>
      </c>
      <c r="AX690" s="31">
        <f t="shared" si="863"/>
        <v>1</v>
      </c>
      <c r="AY690" s="33">
        <f t="shared" si="864"/>
        <v>3</v>
      </c>
      <c r="AZ690" s="2"/>
      <c r="BA690" s="101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</row>
    <row r="691" spans="1:71" ht="12" customHeight="1">
      <c r="A691" s="2"/>
      <c r="B691" s="107">
        <v>616</v>
      </c>
      <c r="C691" s="31">
        <v>10</v>
      </c>
      <c r="D691" s="111" t="s">
        <v>18</v>
      </c>
      <c r="E691" s="2" t="s">
        <v>154</v>
      </c>
      <c r="F691" s="2"/>
      <c r="G691" s="2"/>
      <c r="H691" s="33" t="s">
        <v>81</v>
      </c>
      <c r="I691" s="99">
        <f t="shared" si="0"/>
        <v>1215.9722981419754</v>
      </c>
      <c r="J691" s="101">
        <f t="shared" si="1"/>
        <v>35.968798914524506</v>
      </c>
      <c r="K691" s="101">
        <f t="shared" si="2"/>
        <v>93</v>
      </c>
      <c r="L691" s="74">
        <f t="shared" si="535"/>
        <v>82</v>
      </c>
      <c r="M691" s="99">
        <f t="shared" si="191"/>
        <v>17613.086520833138</v>
      </c>
      <c r="N691" s="108">
        <f t="shared" si="690"/>
        <v>5824.3709104455538</v>
      </c>
      <c r="O691" s="108">
        <f t="shared" si="845"/>
        <v>11788.715610387582</v>
      </c>
      <c r="P691" s="108"/>
      <c r="Q691" s="108"/>
      <c r="R691" s="109"/>
      <c r="S691" s="99">
        <f t="shared" si="694"/>
        <v>14800.751353836586</v>
      </c>
      <c r="T691" s="108">
        <f t="shared" si="846"/>
        <v>4894.3758685371959</v>
      </c>
      <c r="U691" s="108">
        <f t="shared" si="847"/>
        <v>9906.3754852993898</v>
      </c>
      <c r="V691" s="108"/>
      <c r="W691" s="108"/>
      <c r="X691" s="109"/>
      <c r="Y691" s="99">
        <f t="shared" si="8"/>
        <v>29601.502707673171</v>
      </c>
      <c r="Z691" s="108">
        <f t="shared" ref="Z691:AA691" si="875">T691*$D$58/100</f>
        <v>9788.7517370743917</v>
      </c>
      <c r="AA691" s="108">
        <f t="shared" si="875"/>
        <v>19812.75097059878</v>
      </c>
      <c r="AB691" s="108"/>
      <c r="AC691" s="108"/>
      <c r="AD691" s="109"/>
      <c r="AE691" s="99">
        <f t="shared" si="866"/>
        <v>14.484776131615998</v>
      </c>
      <c r="AF691" s="101">
        <f t="shared" si="849"/>
        <v>36</v>
      </c>
      <c r="AG691" s="101">
        <f t="shared" si="850"/>
        <v>19.001300000000001</v>
      </c>
      <c r="AH691" s="101">
        <f t="shared" si="851"/>
        <v>521</v>
      </c>
      <c r="AI691" s="101">
        <f t="shared" si="852"/>
        <v>200</v>
      </c>
      <c r="AJ691" s="112">
        <f t="shared" si="853"/>
        <v>2.5</v>
      </c>
      <c r="AK691" s="101">
        <f t="shared" si="461"/>
        <v>8196.5010303036597</v>
      </c>
      <c r="AL691" s="101">
        <f t="shared" si="854"/>
        <v>4894.3758685371959</v>
      </c>
      <c r="AM691" s="101">
        <f t="shared" si="855"/>
        <v>3302.1251617664634</v>
      </c>
      <c r="AN691" s="101"/>
      <c r="AO691" s="1">
        <v>24</v>
      </c>
      <c r="AP691" s="2">
        <v>36</v>
      </c>
      <c r="AQ691" s="74">
        <f t="shared" si="856"/>
        <v>521</v>
      </c>
      <c r="AR691" s="31">
        <f t="shared" si="857"/>
        <v>4</v>
      </c>
      <c r="AS691" s="2">
        <f t="shared" si="858"/>
        <v>1</v>
      </c>
      <c r="AT691" s="33">
        <f t="shared" si="859"/>
        <v>1</v>
      </c>
      <c r="AU691" s="31">
        <f t="shared" si="860"/>
        <v>0</v>
      </c>
      <c r="AV691" s="2">
        <f t="shared" si="861"/>
        <v>1</v>
      </c>
      <c r="AW691" s="33" t="str">
        <f t="shared" si="862"/>
        <v>보스대상</v>
      </c>
      <c r="AX691" s="31">
        <f t="shared" si="863"/>
        <v>1</v>
      </c>
      <c r="AY691" s="33">
        <f t="shared" si="864"/>
        <v>3</v>
      </c>
      <c r="AZ691" s="2"/>
      <c r="BA691" s="101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</row>
    <row r="692" spans="1:71" ht="12" customHeight="1">
      <c r="A692" s="2"/>
      <c r="B692" s="107">
        <v>617</v>
      </c>
      <c r="C692" s="31">
        <v>10</v>
      </c>
      <c r="D692" s="111" t="s">
        <v>18</v>
      </c>
      <c r="E692" s="2" t="s">
        <v>157</v>
      </c>
      <c r="F692" s="2"/>
      <c r="G692" s="2" t="s">
        <v>186</v>
      </c>
      <c r="H692" s="33" t="s">
        <v>81</v>
      </c>
      <c r="I692" s="99">
        <f t="shared" si="0"/>
        <v>2740.4952428690513</v>
      </c>
      <c r="J692" s="101">
        <f t="shared" si="1"/>
        <v>81.064611807018906</v>
      </c>
      <c r="K692" s="101">
        <f t="shared" si="2"/>
        <v>7</v>
      </c>
      <c r="L692" s="74">
        <f t="shared" si="535"/>
        <v>7</v>
      </c>
      <c r="M692" s="99">
        <f t="shared" si="191"/>
        <v>17613.086520833138</v>
      </c>
      <c r="N692" s="108">
        <f t="shared" si="690"/>
        <v>5824.3709104455538</v>
      </c>
      <c r="O692" s="108">
        <f t="shared" si="845"/>
        <v>11788.715610387582</v>
      </c>
      <c r="P692" s="108"/>
      <c r="Q692" s="108"/>
      <c r="R692" s="109"/>
      <c r="S692" s="99">
        <f t="shared" si="694"/>
        <v>14800.751353836586</v>
      </c>
      <c r="T692" s="108">
        <f t="shared" si="846"/>
        <v>4894.3758685371959</v>
      </c>
      <c r="U692" s="108">
        <f t="shared" si="847"/>
        <v>9906.3754852993898</v>
      </c>
      <c r="V692" s="108"/>
      <c r="W692" s="108"/>
      <c r="X692" s="109"/>
      <c r="Y692" s="99">
        <f t="shared" si="8"/>
        <v>29601.502707673171</v>
      </c>
      <c r="Z692" s="108">
        <f t="shared" ref="Z692:AA692" si="876">T692*$D$58/100</f>
        <v>9788.7517370743917</v>
      </c>
      <c r="AA692" s="108">
        <f t="shared" si="876"/>
        <v>19812.75097059878</v>
      </c>
      <c r="AB692" s="108"/>
      <c r="AC692" s="108"/>
      <c r="AD692" s="109"/>
      <c r="AE692" s="99">
        <f t="shared" si="866"/>
        <v>6.4269721199712162</v>
      </c>
      <c r="AF692" s="101">
        <f t="shared" si="849"/>
        <v>36</v>
      </c>
      <c r="AG692" s="101">
        <f t="shared" si="850"/>
        <v>19.001300000000001</v>
      </c>
      <c r="AH692" s="101">
        <f t="shared" si="851"/>
        <v>521</v>
      </c>
      <c r="AI692" s="101">
        <f t="shared" si="852"/>
        <v>200</v>
      </c>
      <c r="AJ692" s="112">
        <f t="shared" si="853"/>
        <v>2.5</v>
      </c>
      <c r="AK692" s="101">
        <f t="shared" si="461"/>
        <v>8196.5010303036597</v>
      </c>
      <c r="AL692" s="101">
        <f t="shared" si="854"/>
        <v>4894.3758685371959</v>
      </c>
      <c r="AM692" s="101">
        <f t="shared" si="855"/>
        <v>3302.1251617664634</v>
      </c>
      <c r="AN692" s="101"/>
      <c r="AO692" s="1">
        <v>24</v>
      </c>
      <c r="AP692" s="2">
        <v>36</v>
      </c>
      <c r="AQ692" s="74">
        <f t="shared" si="856"/>
        <v>521</v>
      </c>
      <c r="AR692" s="31">
        <f t="shared" si="857"/>
        <v>4</v>
      </c>
      <c r="AS692" s="2">
        <f t="shared" si="858"/>
        <v>1</v>
      </c>
      <c r="AT692" s="33">
        <f t="shared" si="859"/>
        <v>1</v>
      </c>
      <c r="AU692" s="31">
        <f t="shared" si="860"/>
        <v>0</v>
      </c>
      <c r="AV692" s="2">
        <f t="shared" si="861"/>
        <v>0</v>
      </c>
      <c r="AW692" s="33">
        <f t="shared" si="862"/>
        <v>5</v>
      </c>
      <c r="AX692" s="31">
        <f t="shared" si="863"/>
        <v>1</v>
      </c>
      <c r="AY692" s="33">
        <f t="shared" si="864"/>
        <v>3</v>
      </c>
      <c r="AZ692" s="2"/>
      <c r="BA692" s="101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</row>
    <row r="693" spans="1:71" ht="12" customHeight="1">
      <c r="A693" s="2"/>
      <c r="B693" s="107">
        <v>618</v>
      </c>
      <c r="C693" s="31">
        <v>10</v>
      </c>
      <c r="D693" s="111" t="s">
        <v>18</v>
      </c>
      <c r="E693" s="2" t="s">
        <v>170</v>
      </c>
      <c r="F693" s="2"/>
      <c r="G693" s="2"/>
      <c r="H693" s="33" t="s">
        <v>81</v>
      </c>
      <c r="I693" s="99">
        <f t="shared" si="0"/>
        <v>1058.7543354000613</v>
      </c>
      <c r="J693" s="101">
        <f t="shared" si="1"/>
        <v>28.185356224514496</v>
      </c>
      <c r="K693" s="101">
        <f t="shared" si="2"/>
        <v>142</v>
      </c>
      <c r="L693" s="74">
        <f t="shared" si="535"/>
        <v>113</v>
      </c>
      <c r="M693" s="99">
        <f t="shared" si="191"/>
        <v>19570.836868248014</v>
      </c>
      <c r="N693" s="108">
        <f t="shared" si="690"/>
        <v>7782.1212578604318</v>
      </c>
      <c r="O693" s="108">
        <f t="shared" si="845"/>
        <v>11788.715610387582</v>
      </c>
      <c r="P693" s="108"/>
      <c r="Q693" s="108"/>
      <c r="R693" s="109"/>
      <c r="S693" s="99">
        <f t="shared" si="694"/>
        <v>14800.751353836586</v>
      </c>
      <c r="T693" s="108">
        <f t="shared" si="846"/>
        <v>4894.3758685371959</v>
      </c>
      <c r="U693" s="108">
        <f t="shared" si="847"/>
        <v>9906.3754852993898</v>
      </c>
      <c r="V693" s="108"/>
      <c r="W693" s="108"/>
      <c r="X693" s="109"/>
      <c r="Y693" s="99">
        <f t="shared" si="8"/>
        <v>29601.502707673171</v>
      </c>
      <c r="Z693" s="108">
        <f t="shared" ref="Z693:AA693" si="877">T693*$D$58/100</f>
        <v>9788.7517370743917</v>
      </c>
      <c r="AA693" s="108">
        <f t="shared" si="877"/>
        <v>19812.75097059878</v>
      </c>
      <c r="AB693" s="108"/>
      <c r="AC693" s="108"/>
      <c r="AD693" s="109"/>
      <c r="AE693" s="99">
        <f t="shared" si="866"/>
        <v>18.484776131615998</v>
      </c>
      <c r="AF693" s="101">
        <f t="shared" si="849"/>
        <v>36</v>
      </c>
      <c r="AG693" s="101">
        <f t="shared" si="850"/>
        <v>59.001300000000001</v>
      </c>
      <c r="AH693" s="101">
        <f t="shared" si="851"/>
        <v>521</v>
      </c>
      <c r="AI693" s="101">
        <f t="shared" si="852"/>
        <v>200</v>
      </c>
      <c r="AJ693" s="112">
        <f t="shared" si="853"/>
        <v>2</v>
      </c>
      <c r="AK693" s="101">
        <f t="shared" si="461"/>
        <v>8196.5010303036597</v>
      </c>
      <c r="AL693" s="101">
        <f t="shared" si="854"/>
        <v>4894.3758685371959</v>
      </c>
      <c r="AM693" s="101">
        <f t="shared" si="855"/>
        <v>3302.1251617664634</v>
      </c>
      <c r="AN693" s="101"/>
      <c r="AO693" s="1">
        <v>24</v>
      </c>
      <c r="AP693" s="2">
        <v>36</v>
      </c>
      <c r="AQ693" s="74">
        <f t="shared" si="856"/>
        <v>521</v>
      </c>
      <c r="AR693" s="31">
        <f t="shared" si="857"/>
        <v>0</v>
      </c>
      <c r="AS693" s="2">
        <f t="shared" si="858"/>
        <v>0.8</v>
      </c>
      <c r="AT693" s="33">
        <f t="shared" si="859"/>
        <v>1</v>
      </c>
      <c r="AU693" s="31">
        <f t="shared" si="860"/>
        <v>40</v>
      </c>
      <c r="AV693" s="2">
        <f t="shared" si="861"/>
        <v>0</v>
      </c>
      <c r="AW693" s="33" t="str">
        <f t="shared" si="862"/>
        <v>보스대상</v>
      </c>
      <c r="AX693" s="31">
        <f t="shared" si="863"/>
        <v>1</v>
      </c>
      <c r="AY693" s="33">
        <f t="shared" si="864"/>
        <v>3</v>
      </c>
      <c r="AZ693" s="2"/>
      <c r="BA693" s="101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</row>
    <row r="694" spans="1:71" ht="12" customHeight="1">
      <c r="A694" s="2"/>
      <c r="B694" s="107">
        <v>619</v>
      </c>
      <c r="C694" s="31">
        <v>10</v>
      </c>
      <c r="D694" s="111" t="s">
        <v>18</v>
      </c>
      <c r="E694" s="2" t="s">
        <v>102</v>
      </c>
      <c r="F694" s="2"/>
      <c r="G694" s="2"/>
      <c r="H694" s="33" t="s">
        <v>81</v>
      </c>
      <c r="I694" s="99">
        <f t="shared" si="0"/>
        <v>952.84283647385166</v>
      </c>
      <c r="J694" s="101">
        <f t="shared" si="1"/>
        <v>28.185356224514496</v>
      </c>
      <c r="K694" s="101">
        <f t="shared" si="2"/>
        <v>182</v>
      </c>
      <c r="L694" s="74">
        <f t="shared" si="535"/>
        <v>138</v>
      </c>
      <c r="M694" s="99">
        <f t="shared" si="191"/>
        <v>17613.086520833138</v>
      </c>
      <c r="N694" s="108">
        <f t="shared" si="690"/>
        <v>5824.3709104455538</v>
      </c>
      <c r="O694" s="108">
        <f t="shared" si="845"/>
        <v>11788.715610387582</v>
      </c>
      <c r="P694" s="108"/>
      <c r="Q694" s="108"/>
      <c r="R694" s="109"/>
      <c r="S694" s="99">
        <f t="shared" si="694"/>
        <v>14800.751353836586</v>
      </c>
      <c r="T694" s="108">
        <f t="shared" si="846"/>
        <v>4894.3758685371959</v>
      </c>
      <c r="U694" s="108">
        <f t="shared" si="847"/>
        <v>9906.3754852993898</v>
      </c>
      <c r="V694" s="108"/>
      <c r="W694" s="108"/>
      <c r="X694" s="109"/>
      <c r="Y694" s="99">
        <f t="shared" si="8"/>
        <v>29601.502707673171</v>
      </c>
      <c r="Z694" s="108">
        <f t="shared" ref="Z694:AA694" si="878">T694*$D$58/100</f>
        <v>9788.7517370743917</v>
      </c>
      <c r="AA694" s="108">
        <f t="shared" si="878"/>
        <v>19812.75097059878</v>
      </c>
      <c r="AB694" s="108"/>
      <c r="AC694" s="108"/>
      <c r="AD694" s="109"/>
      <c r="AE694" s="99">
        <f t="shared" si="866"/>
        <v>18.484776131615998</v>
      </c>
      <c r="AF694" s="101">
        <f t="shared" si="849"/>
        <v>36</v>
      </c>
      <c r="AG694" s="101">
        <f t="shared" si="850"/>
        <v>19.001300000000001</v>
      </c>
      <c r="AH694" s="101">
        <f t="shared" si="851"/>
        <v>521</v>
      </c>
      <c r="AI694" s="101">
        <f t="shared" si="852"/>
        <v>200</v>
      </c>
      <c r="AJ694" s="112">
        <f t="shared" si="853"/>
        <v>2</v>
      </c>
      <c r="AK694" s="101">
        <f t="shared" si="461"/>
        <v>8196.5010303036597</v>
      </c>
      <c r="AL694" s="101">
        <f t="shared" si="854"/>
        <v>4894.3758685371959</v>
      </c>
      <c r="AM694" s="101">
        <f t="shared" si="855"/>
        <v>3302.1251617664634</v>
      </c>
      <c r="AN694" s="101"/>
      <c r="AO694" s="1">
        <v>24</v>
      </c>
      <c r="AP694" s="2">
        <v>36</v>
      </c>
      <c r="AQ694" s="74">
        <f t="shared" si="856"/>
        <v>521</v>
      </c>
      <c r="AR694" s="31">
        <f t="shared" si="857"/>
        <v>0</v>
      </c>
      <c r="AS694" s="2">
        <f t="shared" si="858"/>
        <v>0.8</v>
      </c>
      <c r="AT694" s="33">
        <f t="shared" si="859"/>
        <v>1</v>
      </c>
      <c r="AU694" s="31">
        <f t="shared" si="860"/>
        <v>0</v>
      </c>
      <c r="AV694" s="2">
        <f t="shared" si="861"/>
        <v>1</v>
      </c>
      <c r="AW694" s="33" t="str">
        <f t="shared" si="862"/>
        <v>보스대상</v>
      </c>
      <c r="AX694" s="31">
        <f t="shared" si="863"/>
        <v>1</v>
      </c>
      <c r="AY694" s="33">
        <f t="shared" si="864"/>
        <v>3</v>
      </c>
      <c r="AZ694" s="2"/>
      <c r="BA694" s="101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</row>
    <row r="695" spans="1:71" ht="12" customHeight="1">
      <c r="A695" s="2"/>
      <c r="B695" s="107">
        <v>620</v>
      </c>
      <c r="C695" s="31">
        <v>10</v>
      </c>
      <c r="D695" s="111" t="s">
        <v>18</v>
      </c>
      <c r="E695" s="2" t="s">
        <v>108</v>
      </c>
      <c r="F695" s="2"/>
      <c r="G695" s="2" t="s">
        <v>186</v>
      </c>
      <c r="H695" s="33" t="s">
        <v>81</v>
      </c>
      <c r="I695" s="99">
        <f t="shared" si="0"/>
        <v>2147.4677215496536</v>
      </c>
      <c r="J695" s="101">
        <f t="shared" si="1"/>
        <v>63.522692720778515</v>
      </c>
      <c r="K695" s="101">
        <f t="shared" si="2"/>
        <v>13</v>
      </c>
      <c r="L695" s="74">
        <f t="shared" si="535"/>
        <v>13</v>
      </c>
      <c r="M695" s="99">
        <f t="shared" si="191"/>
        <v>17613.086520833138</v>
      </c>
      <c r="N695" s="108">
        <f t="shared" si="690"/>
        <v>5824.3709104455538</v>
      </c>
      <c r="O695" s="108">
        <f t="shared" si="845"/>
        <v>11788.715610387582</v>
      </c>
      <c r="P695" s="108"/>
      <c r="Q695" s="108"/>
      <c r="R695" s="109"/>
      <c r="S695" s="99">
        <f t="shared" si="694"/>
        <v>14800.751353836586</v>
      </c>
      <c r="T695" s="108">
        <f t="shared" si="846"/>
        <v>4894.3758685371959</v>
      </c>
      <c r="U695" s="108">
        <f t="shared" si="847"/>
        <v>9906.3754852993898</v>
      </c>
      <c r="V695" s="108"/>
      <c r="W695" s="108"/>
      <c r="X695" s="109"/>
      <c r="Y695" s="99">
        <f t="shared" si="8"/>
        <v>29601.502707673171</v>
      </c>
      <c r="Z695" s="108">
        <f t="shared" ref="Z695:AA695" si="879">T695*$D$58/100</f>
        <v>9788.7517370743917</v>
      </c>
      <c r="AA695" s="108">
        <f t="shared" si="879"/>
        <v>19812.75097059878</v>
      </c>
      <c r="AB695" s="108"/>
      <c r="AC695" s="108"/>
      <c r="AD695" s="109"/>
      <c r="AE695" s="99">
        <f t="shared" si="866"/>
        <v>8.2017933699712149</v>
      </c>
      <c r="AF695" s="101">
        <f t="shared" si="849"/>
        <v>36</v>
      </c>
      <c r="AG695" s="101">
        <f t="shared" si="850"/>
        <v>19.001300000000001</v>
      </c>
      <c r="AH695" s="101">
        <f t="shared" si="851"/>
        <v>521</v>
      </c>
      <c r="AI695" s="101">
        <f t="shared" si="852"/>
        <v>200</v>
      </c>
      <c r="AJ695" s="112">
        <f t="shared" si="853"/>
        <v>2</v>
      </c>
      <c r="AK695" s="101">
        <f t="shared" si="461"/>
        <v>8196.5010303036597</v>
      </c>
      <c r="AL695" s="101">
        <f t="shared" si="854"/>
        <v>4894.3758685371959</v>
      </c>
      <c r="AM695" s="101">
        <f t="shared" si="855"/>
        <v>3302.1251617664634</v>
      </c>
      <c r="AN695" s="101"/>
      <c r="AO695" s="1">
        <v>24</v>
      </c>
      <c r="AP695" s="2">
        <v>36</v>
      </c>
      <c r="AQ695" s="74">
        <f t="shared" si="856"/>
        <v>521</v>
      </c>
      <c r="AR695" s="31">
        <f t="shared" si="857"/>
        <v>0</v>
      </c>
      <c r="AS695" s="2">
        <f t="shared" si="858"/>
        <v>0.8</v>
      </c>
      <c r="AT695" s="33">
        <f t="shared" si="859"/>
        <v>1</v>
      </c>
      <c r="AU695" s="31">
        <f t="shared" si="860"/>
        <v>0</v>
      </c>
      <c r="AV695" s="2">
        <f t="shared" si="861"/>
        <v>0</v>
      </c>
      <c r="AW695" s="33">
        <f t="shared" si="862"/>
        <v>5</v>
      </c>
      <c r="AX695" s="31">
        <f t="shared" si="863"/>
        <v>1</v>
      </c>
      <c r="AY695" s="33">
        <f t="shared" si="864"/>
        <v>3</v>
      </c>
      <c r="AZ695" s="2"/>
      <c r="BA695" s="101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</row>
    <row r="696" spans="1:71" ht="12" customHeight="1">
      <c r="A696" s="2"/>
      <c r="B696" s="107">
        <v>621</v>
      </c>
      <c r="C696" s="31">
        <v>10</v>
      </c>
      <c r="D696" s="111" t="s">
        <v>18</v>
      </c>
      <c r="E696" s="2" t="s">
        <v>145</v>
      </c>
      <c r="F696" s="2"/>
      <c r="G696" s="2"/>
      <c r="H696" s="33" t="s">
        <v>81</v>
      </c>
      <c r="I696" s="99">
        <f t="shared" si="0"/>
        <v>1270.5052024800736</v>
      </c>
      <c r="J696" s="101">
        <f t="shared" si="1"/>
        <v>28.185356224514496</v>
      </c>
      <c r="K696" s="101">
        <f t="shared" si="2"/>
        <v>77</v>
      </c>
      <c r="L696" s="74">
        <f t="shared" si="535"/>
        <v>70</v>
      </c>
      <c r="M696" s="99">
        <f t="shared" si="191"/>
        <v>23485.004241897615</v>
      </c>
      <c r="N696" s="108">
        <f t="shared" si="690"/>
        <v>9338.5455094325189</v>
      </c>
      <c r="O696" s="108">
        <f t="shared" si="845"/>
        <v>14146.458732465098</v>
      </c>
      <c r="P696" s="108"/>
      <c r="Q696" s="108"/>
      <c r="R696" s="109"/>
      <c r="S696" s="99">
        <f t="shared" si="694"/>
        <v>17760.901624603903</v>
      </c>
      <c r="T696" s="108">
        <f t="shared" si="846"/>
        <v>5873.2510422446348</v>
      </c>
      <c r="U696" s="108">
        <f t="shared" si="847"/>
        <v>11887.650582359267</v>
      </c>
      <c r="V696" s="108"/>
      <c r="W696" s="108"/>
      <c r="X696" s="109"/>
      <c r="Y696" s="99">
        <f t="shared" si="8"/>
        <v>35521.803249207805</v>
      </c>
      <c r="Z696" s="108">
        <f t="shared" ref="Z696:AA696" si="880">T696*$D$58/100</f>
        <v>11746.50208448927</v>
      </c>
      <c r="AA696" s="108">
        <f t="shared" si="880"/>
        <v>23775.301164718534</v>
      </c>
      <c r="AB696" s="108"/>
      <c r="AC696" s="108"/>
      <c r="AD696" s="109"/>
      <c r="AE696" s="99">
        <f t="shared" si="866"/>
        <v>18.484776131615998</v>
      </c>
      <c r="AF696" s="101">
        <f t="shared" si="849"/>
        <v>36</v>
      </c>
      <c r="AG696" s="101">
        <f t="shared" si="850"/>
        <v>59.001300000000001</v>
      </c>
      <c r="AH696" s="101">
        <f t="shared" si="851"/>
        <v>521</v>
      </c>
      <c r="AI696" s="101">
        <f t="shared" si="852"/>
        <v>200</v>
      </c>
      <c r="AJ696" s="112">
        <f t="shared" si="853"/>
        <v>2.5</v>
      </c>
      <c r="AK696" s="101">
        <f t="shared" si="461"/>
        <v>8196.5010303036597</v>
      </c>
      <c r="AL696" s="101">
        <f t="shared" si="854"/>
        <v>4894.3758685371959</v>
      </c>
      <c r="AM696" s="101">
        <f t="shared" si="855"/>
        <v>3302.1251617664634</v>
      </c>
      <c r="AN696" s="101"/>
      <c r="AO696" s="1">
        <v>24</v>
      </c>
      <c r="AP696" s="2">
        <v>36</v>
      </c>
      <c r="AQ696" s="74">
        <f t="shared" si="856"/>
        <v>521</v>
      </c>
      <c r="AR696" s="31">
        <f t="shared" si="857"/>
        <v>0</v>
      </c>
      <c r="AS696" s="2">
        <f t="shared" si="858"/>
        <v>1</v>
      </c>
      <c r="AT696" s="33">
        <f t="shared" si="859"/>
        <v>1.2</v>
      </c>
      <c r="AU696" s="31">
        <f t="shared" si="860"/>
        <v>40</v>
      </c>
      <c r="AV696" s="2">
        <f t="shared" si="861"/>
        <v>0</v>
      </c>
      <c r="AW696" s="33" t="str">
        <f t="shared" si="862"/>
        <v>보스대상</v>
      </c>
      <c r="AX696" s="31">
        <f t="shared" si="863"/>
        <v>1</v>
      </c>
      <c r="AY696" s="33">
        <f t="shared" si="864"/>
        <v>3</v>
      </c>
      <c r="AZ696" s="2"/>
      <c r="BA696" s="101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</row>
    <row r="697" spans="1:71" ht="12" customHeight="1">
      <c r="A697" s="2"/>
      <c r="B697" s="107">
        <v>622</v>
      </c>
      <c r="C697" s="31">
        <v>10</v>
      </c>
      <c r="D697" s="111" t="s">
        <v>18</v>
      </c>
      <c r="E697" s="2" t="s">
        <v>132</v>
      </c>
      <c r="F697" s="2"/>
      <c r="G697" s="2"/>
      <c r="H697" s="33" t="s">
        <v>81</v>
      </c>
      <c r="I697" s="99">
        <f t="shared" si="0"/>
        <v>1143.4114037686218</v>
      </c>
      <c r="J697" s="101">
        <f t="shared" si="1"/>
        <v>28.185356224514496</v>
      </c>
      <c r="K697" s="101">
        <f t="shared" si="2"/>
        <v>106</v>
      </c>
      <c r="L697" s="74">
        <f t="shared" si="535"/>
        <v>90</v>
      </c>
      <c r="M697" s="99">
        <f t="shared" si="191"/>
        <v>21135.703824999764</v>
      </c>
      <c r="N697" s="108">
        <f t="shared" si="690"/>
        <v>6989.2450925346648</v>
      </c>
      <c r="O697" s="108">
        <f t="shared" si="845"/>
        <v>14146.458732465098</v>
      </c>
      <c r="P697" s="108"/>
      <c r="Q697" s="108"/>
      <c r="R697" s="109"/>
      <c r="S697" s="99">
        <f t="shared" si="694"/>
        <v>17760.901624603903</v>
      </c>
      <c r="T697" s="108">
        <f t="shared" si="846"/>
        <v>5873.2510422446348</v>
      </c>
      <c r="U697" s="108">
        <f t="shared" si="847"/>
        <v>11887.650582359267</v>
      </c>
      <c r="V697" s="108"/>
      <c r="W697" s="108"/>
      <c r="X697" s="109"/>
      <c r="Y697" s="99">
        <f t="shared" si="8"/>
        <v>35521.803249207805</v>
      </c>
      <c r="Z697" s="108">
        <f t="shared" ref="Z697:AA697" si="881">T697*$D$58/100</f>
        <v>11746.50208448927</v>
      </c>
      <c r="AA697" s="108">
        <f t="shared" si="881"/>
        <v>23775.301164718534</v>
      </c>
      <c r="AB697" s="108"/>
      <c r="AC697" s="108"/>
      <c r="AD697" s="109"/>
      <c r="AE697" s="99">
        <f t="shared" si="866"/>
        <v>18.484776131615998</v>
      </c>
      <c r="AF697" s="101">
        <f t="shared" si="849"/>
        <v>36</v>
      </c>
      <c r="AG697" s="101">
        <f t="shared" si="850"/>
        <v>19.001300000000001</v>
      </c>
      <c r="AH697" s="101">
        <f t="shared" si="851"/>
        <v>521</v>
      </c>
      <c r="AI697" s="101">
        <f t="shared" si="852"/>
        <v>200</v>
      </c>
      <c r="AJ697" s="112">
        <f t="shared" si="853"/>
        <v>2.5</v>
      </c>
      <c r="AK697" s="101">
        <f t="shared" si="461"/>
        <v>8196.5010303036597</v>
      </c>
      <c r="AL697" s="101">
        <f t="shared" si="854"/>
        <v>4894.3758685371959</v>
      </c>
      <c r="AM697" s="101">
        <f t="shared" si="855"/>
        <v>3302.1251617664634</v>
      </c>
      <c r="AN697" s="101"/>
      <c r="AO697" s="1">
        <v>24</v>
      </c>
      <c r="AP697" s="2">
        <v>36</v>
      </c>
      <c r="AQ697" s="74">
        <f t="shared" si="856"/>
        <v>521</v>
      </c>
      <c r="AR697" s="31">
        <f t="shared" si="857"/>
        <v>0</v>
      </c>
      <c r="AS697" s="2">
        <f t="shared" si="858"/>
        <v>1</v>
      </c>
      <c r="AT697" s="33">
        <f t="shared" si="859"/>
        <v>1.2</v>
      </c>
      <c r="AU697" s="31">
        <f t="shared" si="860"/>
        <v>0</v>
      </c>
      <c r="AV697" s="2">
        <f t="shared" si="861"/>
        <v>1</v>
      </c>
      <c r="AW697" s="33" t="str">
        <f t="shared" si="862"/>
        <v>보스대상</v>
      </c>
      <c r="AX697" s="31">
        <f t="shared" si="863"/>
        <v>1</v>
      </c>
      <c r="AY697" s="33">
        <f t="shared" si="864"/>
        <v>3</v>
      </c>
      <c r="AZ697" s="2"/>
      <c r="BA697" s="101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</row>
    <row r="698" spans="1:71" ht="12" customHeight="1">
      <c r="A698" s="2"/>
      <c r="B698" s="107">
        <v>623</v>
      </c>
      <c r="C698" s="31">
        <v>10</v>
      </c>
      <c r="D698" s="111" t="s">
        <v>18</v>
      </c>
      <c r="E698" s="2" t="s">
        <v>135</v>
      </c>
      <c r="F698" s="2"/>
      <c r="G698" s="2" t="s">
        <v>186</v>
      </c>
      <c r="H698" s="33" t="s">
        <v>81</v>
      </c>
      <c r="I698" s="99">
        <f t="shared" si="0"/>
        <v>2576.9612658595838</v>
      </c>
      <c r="J698" s="101">
        <f t="shared" si="1"/>
        <v>63.522692720778515</v>
      </c>
      <c r="K698" s="101">
        <f t="shared" si="2"/>
        <v>8</v>
      </c>
      <c r="L698" s="74">
        <f t="shared" si="535"/>
        <v>8</v>
      </c>
      <c r="M698" s="99">
        <f t="shared" si="191"/>
        <v>21135.703824999764</v>
      </c>
      <c r="N698" s="108">
        <f t="shared" si="690"/>
        <v>6989.2450925346648</v>
      </c>
      <c r="O698" s="108">
        <f t="shared" si="845"/>
        <v>14146.458732465098</v>
      </c>
      <c r="P698" s="108"/>
      <c r="Q698" s="108"/>
      <c r="R698" s="109"/>
      <c r="S698" s="99">
        <f t="shared" si="694"/>
        <v>17760.901624603903</v>
      </c>
      <c r="T698" s="108">
        <f t="shared" si="846"/>
        <v>5873.2510422446348</v>
      </c>
      <c r="U698" s="108">
        <f t="shared" si="847"/>
        <v>11887.650582359267</v>
      </c>
      <c r="V698" s="108"/>
      <c r="W698" s="108"/>
      <c r="X698" s="109"/>
      <c r="Y698" s="99">
        <f t="shared" si="8"/>
        <v>35521.803249207805</v>
      </c>
      <c r="Z698" s="108">
        <f t="shared" ref="Z698:AA698" si="882">T698*$D$58/100</f>
        <v>11746.50208448927</v>
      </c>
      <c r="AA698" s="108">
        <f t="shared" si="882"/>
        <v>23775.301164718534</v>
      </c>
      <c r="AB698" s="108"/>
      <c r="AC698" s="108"/>
      <c r="AD698" s="109"/>
      <c r="AE698" s="99">
        <f t="shared" si="866"/>
        <v>8.2017933699712149</v>
      </c>
      <c r="AF698" s="101">
        <f t="shared" si="849"/>
        <v>36</v>
      </c>
      <c r="AG698" s="101">
        <f t="shared" si="850"/>
        <v>19.001300000000001</v>
      </c>
      <c r="AH698" s="101">
        <f t="shared" si="851"/>
        <v>521</v>
      </c>
      <c r="AI698" s="101">
        <f t="shared" si="852"/>
        <v>200</v>
      </c>
      <c r="AJ698" s="112">
        <f t="shared" si="853"/>
        <v>2.5</v>
      </c>
      <c r="AK698" s="101">
        <f t="shared" si="461"/>
        <v>8196.5010303036597</v>
      </c>
      <c r="AL698" s="101">
        <f t="shared" si="854"/>
        <v>4894.3758685371959</v>
      </c>
      <c r="AM698" s="101">
        <f t="shared" si="855"/>
        <v>3302.1251617664634</v>
      </c>
      <c r="AN698" s="101"/>
      <c r="AO698" s="1">
        <v>24</v>
      </c>
      <c r="AP698" s="2">
        <v>36</v>
      </c>
      <c r="AQ698" s="74">
        <f t="shared" si="856"/>
        <v>521</v>
      </c>
      <c r="AR698" s="31">
        <f t="shared" si="857"/>
        <v>0</v>
      </c>
      <c r="AS698" s="2">
        <f t="shared" si="858"/>
        <v>1</v>
      </c>
      <c r="AT698" s="33">
        <f t="shared" si="859"/>
        <v>1.2</v>
      </c>
      <c r="AU698" s="31">
        <f t="shared" si="860"/>
        <v>0</v>
      </c>
      <c r="AV698" s="2">
        <f t="shared" si="861"/>
        <v>0</v>
      </c>
      <c r="AW698" s="33">
        <f t="shared" si="862"/>
        <v>5</v>
      </c>
      <c r="AX698" s="31">
        <f t="shared" si="863"/>
        <v>1</v>
      </c>
      <c r="AY698" s="33">
        <f t="shared" si="864"/>
        <v>3</v>
      </c>
      <c r="AZ698" s="2"/>
      <c r="BA698" s="101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</row>
    <row r="699" spans="1:71" ht="12" customHeight="1">
      <c r="A699" s="2"/>
      <c r="B699" s="107">
        <v>624</v>
      </c>
      <c r="C699" s="31">
        <v>7</v>
      </c>
      <c r="D699" s="111" t="s">
        <v>18</v>
      </c>
      <c r="E699" s="2" t="s">
        <v>163</v>
      </c>
      <c r="F699" s="2"/>
      <c r="G699" s="2"/>
      <c r="H699" s="33" t="s">
        <v>81</v>
      </c>
      <c r="I699" s="99">
        <f t="shared" si="0"/>
        <v>773.73316418567674</v>
      </c>
      <c r="J699" s="101">
        <f t="shared" si="1"/>
        <v>25.060794637183101</v>
      </c>
      <c r="K699" s="101">
        <f t="shared" si="2"/>
        <v>282</v>
      </c>
      <c r="L699" s="74">
        <f t="shared" si="535"/>
        <v>196</v>
      </c>
      <c r="M699" s="99">
        <f t="shared" si="191"/>
        <v>11207.351668836413</v>
      </c>
      <c r="N699" s="108">
        <f t="shared" si="690"/>
        <v>7444.6748388551714</v>
      </c>
      <c r="O699" s="108">
        <f t="shared" si="845"/>
        <v>3762.6768299812406</v>
      </c>
      <c r="P699" s="108"/>
      <c r="Q699" s="108"/>
      <c r="R699" s="109"/>
      <c r="S699" s="99">
        <f t="shared" si="694"/>
        <v>7844.0259125085377</v>
      </c>
      <c r="T699" s="108">
        <f t="shared" si="846"/>
        <v>4682.1471515359763</v>
      </c>
      <c r="U699" s="108">
        <f t="shared" si="847"/>
        <v>3161.8787609725614</v>
      </c>
      <c r="V699" s="108"/>
      <c r="W699" s="108"/>
      <c r="X699" s="109"/>
      <c r="Y699" s="99">
        <f t="shared" si="8"/>
        <v>15688.051825017075</v>
      </c>
      <c r="Z699" s="108">
        <f t="shared" ref="Z699:AA699" si="883">T699*$D$58/100</f>
        <v>9364.2943030719525</v>
      </c>
      <c r="AA699" s="108">
        <f t="shared" si="883"/>
        <v>6323.7575219451228</v>
      </c>
      <c r="AB699" s="108"/>
      <c r="AC699" s="108"/>
      <c r="AD699" s="109"/>
      <c r="AE699" s="99">
        <f t="shared" si="866"/>
        <v>14.484776131615998</v>
      </c>
      <c r="AF699" s="101">
        <f t="shared" si="849"/>
        <v>36</v>
      </c>
      <c r="AG699" s="101">
        <f t="shared" si="850"/>
        <v>59.001300000000001</v>
      </c>
      <c r="AH699" s="101">
        <f t="shared" si="851"/>
        <v>363</v>
      </c>
      <c r="AI699" s="101">
        <f t="shared" si="852"/>
        <v>200</v>
      </c>
      <c r="AJ699" s="112">
        <f t="shared" si="853"/>
        <v>2.2222222222222223</v>
      </c>
      <c r="AK699" s="101">
        <f t="shared" si="461"/>
        <v>7844.0259125085377</v>
      </c>
      <c r="AL699" s="101">
        <f t="shared" si="854"/>
        <v>4682.1471515359763</v>
      </c>
      <c r="AM699" s="101">
        <f t="shared" si="855"/>
        <v>3161.8787609725614</v>
      </c>
      <c r="AN699" s="101"/>
      <c r="AO699" s="1">
        <v>24</v>
      </c>
      <c r="AP699" s="2">
        <v>36</v>
      </c>
      <c r="AQ699" s="74">
        <f t="shared" si="856"/>
        <v>363</v>
      </c>
      <c r="AR699" s="31">
        <f t="shared" si="857"/>
        <v>4</v>
      </c>
      <c r="AS699" s="2">
        <f t="shared" si="858"/>
        <v>1</v>
      </c>
      <c r="AT699" s="33">
        <f t="shared" si="859"/>
        <v>1</v>
      </c>
      <c r="AU699" s="31">
        <f t="shared" si="860"/>
        <v>40</v>
      </c>
      <c r="AV699" s="2">
        <f t="shared" si="861"/>
        <v>0</v>
      </c>
      <c r="AW699" s="33" t="str">
        <f t="shared" si="862"/>
        <v>보스대상</v>
      </c>
      <c r="AX699" s="31">
        <f t="shared" si="863"/>
        <v>1</v>
      </c>
      <c r="AY699" s="33">
        <f t="shared" si="864"/>
        <v>1</v>
      </c>
      <c r="AZ699" s="2"/>
      <c r="BA699" s="101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</row>
    <row r="700" spans="1:71" ht="12" customHeight="1">
      <c r="A700" s="2"/>
      <c r="B700" s="107">
        <v>625</v>
      </c>
      <c r="C700" s="31">
        <v>7</v>
      </c>
      <c r="D700" s="111" t="s">
        <v>18</v>
      </c>
      <c r="E700" s="2" t="s">
        <v>152</v>
      </c>
      <c r="F700" s="2"/>
      <c r="G700" s="2"/>
      <c r="H700" s="33" t="s">
        <v>81</v>
      </c>
      <c r="I700" s="99">
        <f t="shared" si="0"/>
        <v>644.43473087910388</v>
      </c>
      <c r="J700" s="101">
        <f t="shared" si="1"/>
        <v>25.060794637183101</v>
      </c>
      <c r="K700" s="101">
        <f t="shared" si="2"/>
        <v>416</v>
      </c>
      <c r="L700" s="74">
        <f t="shared" si="535"/>
        <v>258</v>
      </c>
      <c r="M700" s="99">
        <f t="shared" si="191"/>
        <v>9334.4928082220231</v>
      </c>
      <c r="N700" s="108">
        <f t="shared" si="690"/>
        <v>5571.815978240782</v>
      </c>
      <c r="O700" s="108">
        <f t="shared" si="845"/>
        <v>3762.6768299812406</v>
      </c>
      <c r="P700" s="108"/>
      <c r="Q700" s="108"/>
      <c r="R700" s="109"/>
      <c r="S700" s="99">
        <f t="shared" si="694"/>
        <v>7844.0259125085377</v>
      </c>
      <c r="T700" s="108">
        <f t="shared" si="846"/>
        <v>4682.1471515359763</v>
      </c>
      <c r="U700" s="108">
        <f t="shared" si="847"/>
        <v>3161.8787609725614</v>
      </c>
      <c r="V700" s="108"/>
      <c r="W700" s="108"/>
      <c r="X700" s="109"/>
      <c r="Y700" s="99">
        <f t="shared" si="8"/>
        <v>15688.051825017075</v>
      </c>
      <c r="Z700" s="108">
        <f t="shared" ref="Z700:AA700" si="884">T700*$D$58/100</f>
        <v>9364.2943030719525</v>
      </c>
      <c r="AA700" s="108">
        <f t="shared" si="884"/>
        <v>6323.7575219451228</v>
      </c>
      <c r="AB700" s="108"/>
      <c r="AC700" s="108"/>
      <c r="AD700" s="109"/>
      <c r="AE700" s="99">
        <f t="shared" si="866"/>
        <v>14.484776131615998</v>
      </c>
      <c r="AF700" s="101">
        <f t="shared" si="849"/>
        <v>36</v>
      </c>
      <c r="AG700" s="101">
        <f t="shared" si="850"/>
        <v>19.001300000000001</v>
      </c>
      <c r="AH700" s="101">
        <f t="shared" si="851"/>
        <v>363</v>
      </c>
      <c r="AI700" s="101">
        <f t="shared" si="852"/>
        <v>200</v>
      </c>
      <c r="AJ700" s="112">
        <f t="shared" si="853"/>
        <v>2.2222222222222223</v>
      </c>
      <c r="AK700" s="101">
        <f t="shared" si="461"/>
        <v>7844.0259125085377</v>
      </c>
      <c r="AL700" s="101">
        <f t="shared" si="854"/>
        <v>4682.1471515359763</v>
      </c>
      <c r="AM700" s="101">
        <f t="shared" si="855"/>
        <v>3161.8787609725614</v>
      </c>
      <c r="AN700" s="101"/>
      <c r="AO700" s="1">
        <v>24</v>
      </c>
      <c r="AP700" s="2">
        <v>36</v>
      </c>
      <c r="AQ700" s="74">
        <f t="shared" si="856"/>
        <v>363</v>
      </c>
      <c r="AR700" s="31">
        <f t="shared" si="857"/>
        <v>4</v>
      </c>
      <c r="AS700" s="2">
        <f t="shared" si="858"/>
        <v>1</v>
      </c>
      <c r="AT700" s="33">
        <f t="shared" si="859"/>
        <v>1</v>
      </c>
      <c r="AU700" s="31">
        <f t="shared" si="860"/>
        <v>0</v>
      </c>
      <c r="AV700" s="2">
        <f t="shared" si="861"/>
        <v>1</v>
      </c>
      <c r="AW700" s="33" t="str">
        <f t="shared" si="862"/>
        <v>보스대상</v>
      </c>
      <c r="AX700" s="31">
        <f t="shared" si="863"/>
        <v>1</v>
      </c>
      <c r="AY700" s="33">
        <f t="shared" si="864"/>
        <v>1</v>
      </c>
      <c r="AZ700" s="2"/>
      <c r="BA700" s="101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</row>
    <row r="701" spans="1:71" ht="12" customHeight="1">
      <c r="A701" s="2"/>
      <c r="B701" s="107">
        <v>626</v>
      </c>
      <c r="C701" s="31">
        <v>7</v>
      </c>
      <c r="D701" s="111" t="s">
        <v>18</v>
      </c>
      <c r="E701" s="2" t="s">
        <v>155</v>
      </c>
      <c r="F701" s="2"/>
      <c r="G701" s="2" t="s">
        <v>186</v>
      </c>
      <c r="H701" s="33" t="s">
        <v>81</v>
      </c>
      <c r="I701" s="99">
        <f t="shared" si="0"/>
        <v>1452.3935430209754</v>
      </c>
      <c r="J701" s="101">
        <f t="shared" si="1"/>
        <v>56.480718015255015</v>
      </c>
      <c r="K701" s="101">
        <f t="shared" si="2"/>
        <v>50</v>
      </c>
      <c r="L701" s="74">
        <f t="shared" si="535"/>
        <v>47</v>
      </c>
      <c r="M701" s="99">
        <f t="shared" si="191"/>
        <v>9334.4928082220231</v>
      </c>
      <c r="N701" s="108">
        <f t="shared" si="690"/>
        <v>5571.815978240782</v>
      </c>
      <c r="O701" s="108">
        <f t="shared" si="845"/>
        <v>3762.6768299812406</v>
      </c>
      <c r="P701" s="108"/>
      <c r="Q701" s="108"/>
      <c r="R701" s="109"/>
      <c r="S701" s="99">
        <f t="shared" si="694"/>
        <v>7844.0259125085377</v>
      </c>
      <c r="T701" s="108">
        <f t="shared" si="846"/>
        <v>4682.1471515359763</v>
      </c>
      <c r="U701" s="108">
        <f t="shared" si="847"/>
        <v>3161.8787609725614</v>
      </c>
      <c r="V701" s="108"/>
      <c r="W701" s="108"/>
      <c r="X701" s="109"/>
      <c r="Y701" s="99">
        <f t="shared" si="8"/>
        <v>15688.051825017075</v>
      </c>
      <c r="Z701" s="108">
        <f t="shared" ref="Z701:AA701" si="885">T701*$D$58/100</f>
        <v>9364.2943030719525</v>
      </c>
      <c r="AA701" s="108">
        <f t="shared" si="885"/>
        <v>6323.7575219451228</v>
      </c>
      <c r="AB701" s="108"/>
      <c r="AC701" s="108"/>
      <c r="AD701" s="109"/>
      <c r="AE701" s="99">
        <f t="shared" si="866"/>
        <v>6.4269721199712162</v>
      </c>
      <c r="AF701" s="101">
        <f t="shared" si="849"/>
        <v>36</v>
      </c>
      <c r="AG701" s="101">
        <f t="shared" si="850"/>
        <v>19.001300000000001</v>
      </c>
      <c r="AH701" s="101">
        <f t="shared" si="851"/>
        <v>363</v>
      </c>
      <c r="AI701" s="101">
        <f t="shared" si="852"/>
        <v>200</v>
      </c>
      <c r="AJ701" s="112">
        <f t="shared" si="853"/>
        <v>2.2222222222222223</v>
      </c>
      <c r="AK701" s="101">
        <f t="shared" si="461"/>
        <v>7844.0259125085377</v>
      </c>
      <c r="AL701" s="101">
        <f t="shared" si="854"/>
        <v>4682.1471515359763</v>
      </c>
      <c r="AM701" s="101">
        <f t="shared" si="855"/>
        <v>3161.8787609725614</v>
      </c>
      <c r="AN701" s="101"/>
      <c r="AO701" s="1">
        <v>24</v>
      </c>
      <c r="AP701" s="2">
        <v>36</v>
      </c>
      <c r="AQ701" s="74">
        <f t="shared" si="856"/>
        <v>363</v>
      </c>
      <c r="AR701" s="31">
        <f t="shared" si="857"/>
        <v>4</v>
      </c>
      <c r="AS701" s="2">
        <f t="shared" si="858"/>
        <v>1</v>
      </c>
      <c r="AT701" s="33">
        <f t="shared" si="859"/>
        <v>1</v>
      </c>
      <c r="AU701" s="31">
        <f t="shared" si="860"/>
        <v>0</v>
      </c>
      <c r="AV701" s="2">
        <f t="shared" si="861"/>
        <v>0</v>
      </c>
      <c r="AW701" s="33">
        <f t="shared" si="862"/>
        <v>5</v>
      </c>
      <c r="AX701" s="31">
        <f t="shared" si="863"/>
        <v>1</v>
      </c>
      <c r="AY701" s="33">
        <f t="shared" si="864"/>
        <v>1</v>
      </c>
      <c r="AZ701" s="2"/>
      <c r="BA701" s="101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</row>
    <row r="702" spans="1:71" ht="12" customHeight="1">
      <c r="A702" s="2"/>
      <c r="B702" s="107">
        <v>627</v>
      </c>
      <c r="C702" s="31">
        <v>7</v>
      </c>
      <c r="D702" s="111" t="s">
        <v>18</v>
      </c>
      <c r="E702" s="2" t="s">
        <v>168</v>
      </c>
      <c r="F702" s="2"/>
      <c r="G702" s="2"/>
      <c r="H702" s="33" t="s">
        <v>81</v>
      </c>
      <c r="I702" s="99">
        <f t="shared" si="0"/>
        <v>606.30172575731535</v>
      </c>
      <c r="J702" s="101">
        <f t="shared" si="1"/>
        <v>19.637781784066725</v>
      </c>
      <c r="K702" s="101">
        <f t="shared" si="2"/>
        <v>455</v>
      </c>
      <c r="L702" s="74">
        <f t="shared" si="535"/>
        <v>266</v>
      </c>
      <c r="M702" s="99">
        <f t="shared" si="191"/>
        <v>11207.351668836413</v>
      </c>
      <c r="N702" s="108">
        <f t="shared" si="690"/>
        <v>7444.6748388551714</v>
      </c>
      <c r="O702" s="108">
        <f t="shared" si="845"/>
        <v>3762.6768299812406</v>
      </c>
      <c r="P702" s="108"/>
      <c r="Q702" s="108"/>
      <c r="R702" s="109"/>
      <c r="S702" s="99">
        <f t="shared" si="694"/>
        <v>7844.0259125085377</v>
      </c>
      <c r="T702" s="108">
        <f t="shared" si="846"/>
        <v>4682.1471515359763</v>
      </c>
      <c r="U702" s="108">
        <f t="shared" si="847"/>
        <v>3161.8787609725614</v>
      </c>
      <c r="V702" s="108"/>
      <c r="W702" s="108"/>
      <c r="X702" s="109"/>
      <c r="Y702" s="99">
        <f t="shared" si="8"/>
        <v>15688.051825017075</v>
      </c>
      <c r="Z702" s="108">
        <f t="shared" ref="Z702:AA702" si="886">T702*$D$58/100</f>
        <v>9364.2943030719525</v>
      </c>
      <c r="AA702" s="108">
        <f t="shared" si="886"/>
        <v>6323.7575219451228</v>
      </c>
      <c r="AB702" s="108"/>
      <c r="AC702" s="108"/>
      <c r="AD702" s="109"/>
      <c r="AE702" s="99">
        <f t="shared" si="866"/>
        <v>18.484776131615998</v>
      </c>
      <c r="AF702" s="101">
        <f t="shared" si="849"/>
        <v>36</v>
      </c>
      <c r="AG702" s="101">
        <f t="shared" si="850"/>
        <v>59.001300000000001</v>
      </c>
      <c r="AH702" s="101">
        <f t="shared" si="851"/>
        <v>363</v>
      </c>
      <c r="AI702" s="101">
        <f t="shared" si="852"/>
        <v>200</v>
      </c>
      <c r="AJ702" s="112">
        <f t="shared" si="853"/>
        <v>1.7777777777777777</v>
      </c>
      <c r="AK702" s="101">
        <f t="shared" si="461"/>
        <v>7844.0259125085377</v>
      </c>
      <c r="AL702" s="101">
        <f t="shared" si="854"/>
        <v>4682.1471515359763</v>
      </c>
      <c r="AM702" s="101">
        <f t="shared" si="855"/>
        <v>3161.8787609725614</v>
      </c>
      <c r="AN702" s="101"/>
      <c r="AO702" s="1">
        <v>24</v>
      </c>
      <c r="AP702" s="2">
        <v>36</v>
      </c>
      <c r="AQ702" s="74">
        <f t="shared" si="856"/>
        <v>363</v>
      </c>
      <c r="AR702" s="31">
        <f t="shared" si="857"/>
        <v>0</v>
      </c>
      <c r="AS702" s="2">
        <f t="shared" si="858"/>
        <v>0.8</v>
      </c>
      <c r="AT702" s="33">
        <f t="shared" si="859"/>
        <v>1</v>
      </c>
      <c r="AU702" s="31">
        <f t="shared" si="860"/>
        <v>40</v>
      </c>
      <c r="AV702" s="2">
        <f t="shared" si="861"/>
        <v>0</v>
      </c>
      <c r="AW702" s="33" t="str">
        <f t="shared" si="862"/>
        <v>보스대상</v>
      </c>
      <c r="AX702" s="31">
        <f t="shared" si="863"/>
        <v>1</v>
      </c>
      <c r="AY702" s="33">
        <f t="shared" si="864"/>
        <v>1</v>
      </c>
      <c r="AZ702" s="2"/>
      <c r="BA702" s="101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</row>
    <row r="703" spans="1:71" ht="12" customHeight="1">
      <c r="A703" s="2"/>
      <c r="B703" s="107">
        <v>628</v>
      </c>
      <c r="C703" s="31">
        <v>7</v>
      </c>
      <c r="D703" s="111" t="s">
        <v>18</v>
      </c>
      <c r="E703" s="2" t="s">
        <v>101</v>
      </c>
      <c r="F703" s="2"/>
      <c r="G703" s="2"/>
      <c r="H703" s="33" t="s">
        <v>81</v>
      </c>
      <c r="I703" s="99">
        <f t="shared" si="0"/>
        <v>504.98273507659582</v>
      </c>
      <c r="J703" s="101">
        <f t="shared" si="1"/>
        <v>19.637781784066725</v>
      </c>
      <c r="K703" s="101">
        <f t="shared" si="2"/>
        <v>589</v>
      </c>
      <c r="L703" s="74">
        <f t="shared" si="535"/>
        <v>323</v>
      </c>
      <c r="M703" s="99">
        <f t="shared" si="191"/>
        <v>9334.4928082220231</v>
      </c>
      <c r="N703" s="108">
        <f t="shared" si="690"/>
        <v>5571.815978240782</v>
      </c>
      <c r="O703" s="108">
        <f t="shared" si="845"/>
        <v>3762.6768299812406</v>
      </c>
      <c r="P703" s="108"/>
      <c r="Q703" s="108"/>
      <c r="R703" s="109"/>
      <c r="S703" s="99">
        <f t="shared" si="694"/>
        <v>7844.0259125085377</v>
      </c>
      <c r="T703" s="108">
        <f t="shared" si="846"/>
        <v>4682.1471515359763</v>
      </c>
      <c r="U703" s="108">
        <f t="shared" si="847"/>
        <v>3161.8787609725614</v>
      </c>
      <c r="V703" s="108"/>
      <c r="W703" s="108"/>
      <c r="X703" s="109"/>
      <c r="Y703" s="99">
        <f t="shared" si="8"/>
        <v>15688.051825017075</v>
      </c>
      <c r="Z703" s="108">
        <f t="shared" ref="Z703:AA703" si="887">T703*$D$58/100</f>
        <v>9364.2943030719525</v>
      </c>
      <c r="AA703" s="108">
        <f t="shared" si="887"/>
        <v>6323.7575219451228</v>
      </c>
      <c r="AB703" s="108"/>
      <c r="AC703" s="108"/>
      <c r="AD703" s="109"/>
      <c r="AE703" s="99">
        <f t="shared" si="866"/>
        <v>18.484776131615998</v>
      </c>
      <c r="AF703" s="101">
        <f t="shared" si="849"/>
        <v>36</v>
      </c>
      <c r="AG703" s="101">
        <f t="shared" si="850"/>
        <v>19.001300000000001</v>
      </c>
      <c r="AH703" s="101">
        <f t="shared" si="851"/>
        <v>363</v>
      </c>
      <c r="AI703" s="101">
        <f t="shared" si="852"/>
        <v>200</v>
      </c>
      <c r="AJ703" s="112">
        <f t="shared" si="853"/>
        <v>1.7777777777777777</v>
      </c>
      <c r="AK703" s="101">
        <f t="shared" si="461"/>
        <v>7844.0259125085377</v>
      </c>
      <c r="AL703" s="101">
        <f t="shared" si="854"/>
        <v>4682.1471515359763</v>
      </c>
      <c r="AM703" s="101">
        <f t="shared" si="855"/>
        <v>3161.8787609725614</v>
      </c>
      <c r="AN703" s="101"/>
      <c r="AO703" s="1">
        <v>24</v>
      </c>
      <c r="AP703" s="2">
        <v>36</v>
      </c>
      <c r="AQ703" s="74">
        <f t="shared" si="856"/>
        <v>363</v>
      </c>
      <c r="AR703" s="31">
        <f t="shared" si="857"/>
        <v>0</v>
      </c>
      <c r="AS703" s="2">
        <f t="shared" si="858"/>
        <v>0.8</v>
      </c>
      <c r="AT703" s="33">
        <f t="shared" si="859"/>
        <v>1</v>
      </c>
      <c r="AU703" s="31">
        <f t="shared" si="860"/>
        <v>0</v>
      </c>
      <c r="AV703" s="2">
        <f t="shared" si="861"/>
        <v>1</v>
      </c>
      <c r="AW703" s="33" t="str">
        <f t="shared" si="862"/>
        <v>보스대상</v>
      </c>
      <c r="AX703" s="31">
        <f t="shared" si="863"/>
        <v>1</v>
      </c>
      <c r="AY703" s="33">
        <f t="shared" si="864"/>
        <v>1</v>
      </c>
      <c r="AZ703" s="2"/>
      <c r="BA703" s="101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</row>
    <row r="704" spans="1:71" ht="12" customHeight="1">
      <c r="A704" s="2"/>
      <c r="B704" s="107">
        <v>629</v>
      </c>
      <c r="C704" s="31">
        <v>7</v>
      </c>
      <c r="D704" s="111" t="s">
        <v>18</v>
      </c>
      <c r="E704" s="2" t="s">
        <v>103</v>
      </c>
      <c r="F704" s="2"/>
      <c r="G704" s="2" t="s">
        <v>186</v>
      </c>
      <c r="H704" s="33" t="s">
        <v>81</v>
      </c>
      <c r="I704" s="99">
        <f t="shared" si="0"/>
        <v>1138.1038740134443</v>
      </c>
      <c r="J704" s="101">
        <f t="shared" si="1"/>
        <v>44.258613162461806</v>
      </c>
      <c r="K704" s="101">
        <f t="shared" si="2"/>
        <v>110</v>
      </c>
      <c r="L704" s="74">
        <f t="shared" si="535"/>
        <v>93</v>
      </c>
      <c r="M704" s="99">
        <f t="shared" si="191"/>
        <v>9334.4928082220231</v>
      </c>
      <c r="N704" s="108">
        <f t="shared" si="690"/>
        <v>5571.815978240782</v>
      </c>
      <c r="O704" s="108">
        <f t="shared" si="845"/>
        <v>3762.6768299812406</v>
      </c>
      <c r="P704" s="108"/>
      <c r="Q704" s="108"/>
      <c r="R704" s="109"/>
      <c r="S704" s="99">
        <f t="shared" si="694"/>
        <v>7844.0259125085377</v>
      </c>
      <c r="T704" s="108">
        <f t="shared" si="846"/>
        <v>4682.1471515359763</v>
      </c>
      <c r="U704" s="108">
        <f t="shared" si="847"/>
        <v>3161.8787609725614</v>
      </c>
      <c r="V704" s="108"/>
      <c r="W704" s="108"/>
      <c r="X704" s="109"/>
      <c r="Y704" s="99">
        <f t="shared" si="8"/>
        <v>15688.051825017075</v>
      </c>
      <c r="Z704" s="108">
        <f t="shared" ref="Z704:AA704" si="888">T704*$D$58/100</f>
        <v>9364.2943030719525</v>
      </c>
      <c r="AA704" s="108">
        <f t="shared" si="888"/>
        <v>6323.7575219451228</v>
      </c>
      <c r="AB704" s="108"/>
      <c r="AC704" s="108"/>
      <c r="AD704" s="109"/>
      <c r="AE704" s="99">
        <f t="shared" si="866"/>
        <v>8.2017933699712149</v>
      </c>
      <c r="AF704" s="101">
        <f t="shared" si="849"/>
        <v>36</v>
      </c>
      <c r="AG704" s="101">
        <f t="shared" si="850"/>
        <v>19.001300000000001</v>
      </c>
      <c r="AH704" s="101">
        <f t="shared" si="851"/>
        <v>363</v>
      </c>
      <c r="AI704" s="101">
        <f t="shared" si="852"/>
        <v>200</v>
      </c>
      <c r="AJ704" s="112">
        <f t="shared" si="853"/>
        <v>1.7777777777777777</v>
      </c>
      <c r="AK704" s="101">
        <f t="shared" si="461"/>
        <v>7844.0259125085377</v>
      </c>
      <c r="AL704" s="101">
        <f t="shared" si="854"/>
        <v>4682.1471515359763</v>
      </c>
      <c r="AM704" s="101">
        <f t="shared" si="855"/>
        <v>3161.8787609725614</v>
      </c>
      <c r="AN704" s="101"/>
      <c r="AO704" s="1">
        <v>24</v>
      </c>
      <c r="AP704" s="2">
        <v>36</v>
      </c>
      <c r="AQ704" s="74">
        <f t="shared" si="856"/>
        <v>363</v>
      </c>
      <c r="AR704" s="31">
        <f t="shared" si="857"/>
        <v>0</v>
      </c>
      <c r="AS704" s="2">
        <f t="shared" si="858"/>
        <v>0.8</v>
      </c>
      <c r="AT704" s="33">
        <f t="shared" si="859"/>
        <v>1</v>
      </c>
      <c r="AU704" s="31">
        <f t="shared" si="860"/>
        <v>0</v>
      </c>
      <c r="AV704" s="2">
        <f t="shared" si="861"/>
        <v>0</v>
      </c>
      <c r="AW704" s="33">
        <f t="shared" si="862"/>
        <v>5</v>
      </c>
      <c r="AX704" s="31">
        <f t="shared" si="863"/>
        <v>1</v>
      </c>
      <c r="AY704" s="33">
        <f t="shared" si="864"/>
        <v>1</v>
      </c>
      <c r="AZ704" s="2"/>
      <c r="BA704" s="101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</row>
    <row r="705" spans="1:71" ht="12" customHeight="1">
      <c r="A705" s="2"/>
      <c r="B705" s="107">
        <v>630</v>
      </c>
      <c r="C705" s="31">
        <v>7</v>
      </c>
      <c r="D705" s="111" t="s">
        <v>18</v>
      </c>
      <c r="E705" s="2" t="s">
        <v>179</v>
      </c>
      <c r="F705" s="2"/>
      <c r="G705" s="2"/>
      <c r="H705" s="33" t="s">
        <v>81</v>
      </c>
      <c r="I705" s="99">
        <f t="shared" si="0"/>
        <v>727.56207090877842</v>
      </c>
      <c r="J705" s="101">
        <f t="shared" si="1"/>
        <v>19.637781784066725</v>
      </c>
      <c r="K705" s="101">
        <f t="shared" si="2"/>
        <v>323</v>
      </c>
      <c r="L705" s="74">
        <f t="shared" si="535"/>
        <v>216</v>
      </c>
      <c r="M705" s="99">
        <f t="shared" si="191"/>
        <v>13448.822002603694</v>
      </c>
      <c r="N705" s="108">
        <f t="shared" si="690"/>
        <v>8933.6098066262057</v>
      </c>
      <c r="O705" s="108">
        <f t="shared" si="845"/>
        <v>4515.2121959774886</v>
      </c>
      <c r="P705" s="108"/>
      <c r="Q705" s="108"/>
      <c r="R705" s="109"/>
      <c r="S705" s="99">
        <f t="shared" si="694"/>
        <v>9412.8310950102441</v>
      </c>
      <c r="T705" s="108">
        <f t="shared" si="846"/>
        <v>5618.576581843171</v>
      </c>
      <c r="U705" s="108">
        <f t="shared" si="847"/>
        <v>3794.2545131670736</v>
      </c>
      <c r="V705" s="108"/>
      <c r="W705" s="108"/>
      <c r="X705" s="109"/>
      <c r="Y705" s="99">
        <f t="shared" si="8"/>
        <v>18825.662190020488</v>
      </c>
      <c r="Z705" s="108">
        <f t="shared" ref="Z705:AA705" si="889">T705*$D$58/100</f>
        <v>11237.153163686342</v>
      </c>
      <c r="AA705" s="108">
        <f t="shared" si="889"/>
        <v>7588.5090263341472</v>
      </c>
      <c r="AB705" s="108"/>
      <c r="AC705" s="108"/>
      <c r="AD705" s="109"/>
      <c r="AE705" s="99">
        <f t="shared" si="866"/>
        <v>18.484776131615998</v>
      </c>
      <c r="AF705" s="101">
        <f t="shared" si="849"/>
        <v>36</v>
      </c>
      <c r="AG705" s="101">
        <f t="shared" si="850"/>
        <v>59.001300000000001</v>
      </c>
      <c r="AH705" s="101">
        <f t="shared" si="851"/>
        <v>363</v>
      </c>
      <c r="AI705" s="101">
        <f t="shared" si="852"/>
        <v>200</v>
      </c>
      <c r="AJ705" s="112">
        <f t="shared" si="853"/>
        <v>2.2222222222222223</v>
      </c>
      <c r="AK705" s="101">
        <f t="shared" si="461"/>
        <v>7844.0259125085377</v>
      </c>
      <c r="AL705" s="101">
        <f t="shared" si="854"/>
        <v>4682.1471515359763</v>
      </c>
      <c r="AM705" s="101">
        <f t="shared" si="855"/>
        <v>3161.8787609725614</v>
      </c>
      <c r="AN705" s="101"/>
      <c r="AO705" s="1">
        <v>24</v>
      </c>
      <c r="AP705" s="2">
        <v>36</v>
      </c>
      <c r="AQ705" s="74">
        <f t="shared" si="856"/>
        <v>363</v>
      </c>
      <c r="AR705" s="31">
        <f t="shared" si="857"/>
        <v>0</v>
      </c>
      <c r="AS705" s="2">
        <f t="shared" si="858"/>
        <v>1</v>
      </c>
      <c r="AT705" s="33">
        <f t="shared" si="859"/>
        <v>1.2</v>
      </c>
      <c r="AU705" s="31">
        <f t="shared" si="860"/>
        <v>40</v>
      </c>
      <c r="AV705" s="2">
        <f t="shared" si="861"/>
        <v>0</v>
      </c>
      <c r="AW705" s="33" t="str">
        <f t="shared" si="862"/>
        <v>보스대상</v>
      </c>
      <c r="AX705" s="31">
        <f t="shared" si="863"/>
        <v>1</v>
      </c>
      <c r="AY705" s="33">
        <f t="shared" si="864"/>
        <v>1</v>
      </c>
      <c r="AZ705" s="2"/>
      <c r="BA705" s="101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</row>
    <row r="706" spans="1:71" ht="12" customHeight="1">
      <c r="A706" s="2"/>
      <c r="B706" s="107">
        <v>631</v>
      </c>
      <c r="C706" s="31">
        <v>7</v>
      </c>
      <c r="D706" s="111" t="s">
        <v>18</v>
      </c>
      <c r="E706" s="2" t="s">
        <v>117</v>
      </c>
      <c r="F706" s="2"/>
      <c r="G706" s="2"/>
      <c r="H706" s="33" t="s">
        <v>81</v>
      </c>
      <c r="I706" s="99">
        <f t="shared" si="0"/>
        <v>605.9792820919148</v>
      </c>
      <c r="J706" s="101">
        <f t="shared" si="1"/>
        <v>19.637781784066725</v>
      </c>
      <c r="K706" s="101">
        <f t="shared" si="2"/>
        <v>456</v>
      </c>
      <c r="L706" s="74">
        <f t="shared" si="535"/>
        <v>267</v>
      </c>
      <c r="M706" s="99">
        <f t="shared" si="191"/>
        <v>11201.391369866426</v>
      </c>
      <c r="N706" s="108">
        <f t="shared" si="690"/>
        <v>6686.1791738889369</v>
      </c>
      <c r="O706" s="108">
        <f t="shared" si="845"/>
        <v>4515.2121959774886</v>
      </c>
      <c r="P706" s="108"/>
      <c r="Q706" s="108"/>
      <c r="R706" s="109"/>
      <c r="S706" s="99">
        <f t="shared" si="694"/>
        <v>9412.8310950102441</v>
      </c>
      <c r="T706" s="108">
        <f t="shared" si="846"/>
        <v>5618.576581843171</v>
      </c>
      <c r="U706" s="108">
        <f t="shared" si="847"/>
        <v>3794.2545131670736</v>
      </c>
      <c r="V706" s="108"/>
      <c r="W706" s="108"/>
      <c r="X706" s="109"/>
      <c r="Y706" s="99">
        <f t="shared" si="8"/>
        <v>18825.662190020488</v>
      </c>
      <c r="Z706" s="108">
        <f t="shared" ref="Z706:AA706" si="890">T706*$D$58/100</f>
        <v>11237.153163686342</v>
      </c>
      <c r="AA706" s="108">
        <f t="shared" si="890"/>
        <v>7588.5090263341472</v>
      </c>
      <c r="AB706" s="108"/>
      <c r="AC706" s="108"/>
      <c r="AD706" s="109"/>
      <c r="AE706" s="99">
        <f t="shared" si="866"/>
        <v>18.484776131615998</v>
      </c>
      <c r="AF706" s="101">
        <f t="shared" si="849"/>
        <v>36</v>
      </c>
      <c r="AG706" s="101">
        <f t="shared" si="850"/>
        <v>19.001300000000001</v>
      </c>
      <c r="AH706" s="101">
        <f t="shared" si="851"/>
        <v>363</v>
      </c>
      <c r="AI706" s="101">
        <f t="shared" si="852"/>
        <v>200</v>
      </c>
      <c r="AJ706" s="112">
        <f t="shared" si="853"/>
        <v>2.2222222222222223</v>
      </c>
      <c r="AK706" s="101">
        <f t="shared" si="461"/>
        <v>7844.0259125085377</v>
      </c>
      <c r="AL706" s="101">
        <f t="shared" si="854"/>
        <v>4682.1471515359763</v>
      </c>
      <c r="AM706" s="101">
        <f t="shared" si="855"/>
        <v>3161.8787609725614</v>
      </c>
      <c r="AN706" s="101"/>
      <c r="AO706" s="1">
        <v>24</v>
      </c>
      <c r="AP706" s="2">
        <v>36</v>
      </c>
      <c r="AQ706" s="74">
        <f t="shared" si="856"/>
        <v>363</v>
      </c>
      <c r="AR706" s="31">
        <f t="shared" si="857"/>
        <v>0</v>
      </c>
      <c r="AS706" s="2">
        <f t="shared" si="858"/>
        <v>1</v>
      </c>
      <c r="AT706" s="33">
        <f t="shared" si="859"/>
        <v>1.2</v>
      </c>
      <c r="AU706" s="31">
        <f t="shared" si="860"/>
        <v>0</v>
      </c>
      <c r="AV706" s="2">
        <f t="shared" si="861"/>
        <v>1</v>
      </c>
      <c r="AW706" s="33" t="str">
        <f t="shared" si="862"/>
        <v>보스대상</v>
      </c>
      <c r="AX706" s="31">
        <f t="shared" si="863"/>
        <v>1</v>
      </c>
      <c r="AY706" s="33">
        <f t="shared" si="864"/>
        <v>1</v>
      </c>
      <c r="AZ706" s="2"/>
      <c r="BA706" s="101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</row>
    <row r="707" spans="1:71" ht="12" customHeight="1">
      <c r="A707" s="2"/>
      <c r="B707" s="107">
        <v>632</v>
      </c>
      <c r="C707" s="31">
        <v>7</v>
      </c>
      <c r="D707" s="111" t="s">
        <v>18</v>
      </c>
      <c r="E707" s="2" t="s">
        <v>134</v>
      </c>
      <c r="F707" s="2"/>
      <c r="G707" s="2" t="s">
        <v>186</v>
      </c>
      <c r="H707" s="33" t="s">
        <v>81</v>
      </c>
      <c r="I707" s="99">
        <f t="shared" si="0"/>
        <v>1365.7246488161329</v>
      </c>
      <c r="J707" s="101">
        <f t="shared" si="1"/>
        <v>44.258613162461806</v>
      </c>
      <c r="K707" s="101">
        <f t="shared" si="2"/>
        <v>60</v>
      </c>
      <c r="L707" s="74">
        <f t="shared" si="535"/>
        <v>56</v>
      </c>
      <c r="M707" s="99">
        <f t="shared" si="191"/>
        <v>11201.391369866426</v>
      </c>
      <c r="N707" s="108">
        <f t="shared" si="690"/>
        <v>6686.1791738889369</v>
      </c>
      <c r="O707" s="108">
        <f t="shared" si="845"/>
        <v>4515.2121959774886</v>
      </c>
      <c r="P707" s="108"/>
      <c r="Q707" s="108"/>
      <c r="R707" s="109"/>
      <c r="S707" s="99">
        <f t="shared" si="694"/>
        <v>9412.8310950102441</v>
      </c>
      <c r="T707" s="108">
        <f t="shared" si="846"/>
        <v>5618.576581843171</v>
      </c>
      <c r="U707" s="108">
        <f t="shared" si="847"/>
        <v>3794.2545131670736</v>
      </c>
      <c r="V707" s="108"/>
      <c r="W707" s="108"/>
      <c r="X707" s="109"/>
      <c r="Y707" s="99">
        <f t="shared" si="8"/>
        <v>18825.662190020488</v>
      </c>
      <c r="Z707" s="108">
        <f t="shared" ref="Z707:AA707" si="891">T707*$D$58/100</f>
        <v>11237.153163686342</v>
      </c>
      <c r="AA707" s="108">
        <f t="shared" si="891"/>
        <v>7588.5090263341472</v>
      </c>
      <c r="AB707" s="108"/>
      <c r="AC707" s="108"/>
      <c r="AD707" s="109"/>
      <c r="AE707" s="99">
        <f t="shared" si="866"/>
        <v>8.2017933699712149</v>
      </c>
      <c r="AF707" s="101">
        <f t="shared" si="849"/>
        <v>36</v>
      </c>
      <c r="AG707" s="101">
        <f t="shared" si="850"/>
        <v>19.001300000000001</v>
      </c>
      <c r="AH707" s="101">
        <f t="shared" si="851"/>
        <v>363</v>
      </c>
      <c r="AI707" s="101">
        <f t="shared" si="852"/>
        <v>200</v>
      </c>
      <c r="AJ707" s="112">
        <f t="shared" si="853"/>
        <v>2.2222222222222223</v>
      </c>
      <c r="AK707" s="101">
        <f t="shared" si="461"/>
        <v>7844.0259125085377</v>
      </c>
      <c r="AL707" s="101">
        <f t="shared" si="854"/>
        <v>4682.1471515359763</v>
      </c>
      <c r="AM707" s="101">
        <f t="shared" si="855"/>
        <v>3161.8787609725614</v>
      </c>
      <c r="AN707" s="101"/>
      <c r="AO707" s="1">
        <v>24</v>
      </c>
      <c r="AP707" s="2">
        <v>36</v>
      </c>
      <c r="AQ707" s="74">
        <f t="shared" si="856"/>
        <v>363</v>
      </c>
      <c r="AR707" s="31">
        <f t="shared" si="857"/>
        <v>0</v>
      </c>
      <c r="AS707" s="2">
        <f t="shared" si="858"/>
        <v>1</v>
      </c>
      <c r="AT707" s="33">
        <f t="shared" si="859"/>
        <v>1.2</v>
      </c>
      <c r="AU707" s="31">
        <f t="shared" si="860"/>
        <v>0</v>
      </c>
      <c r="AV707" s="2">
        <f t="shared" si="861"/>
        <v>0</v>
      </c>
      <c r="AW707" s="33">
        <f t="shared" si="862"/>
        <v>5</v>
      </c>
      <c r="AX707" s="31">
        <f t="shared" si="863"/>
        <v>1</v>
      </c>
      <c r="AY707" s="33">
        <f t="shared" si="864"/>
        <v>1</v>
      </c>
      <c r="AZ707" s="2"/>
      <c r="BA707" s="101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</row>
    <row r="708" spans="1:71" ht="12" customHeight="1">
      <c r="A708" s="2"/>
      <c r="B708" s="107">
        <v>633</v>
      </c>
      <c r="C708" s="31">
        <v>4</v>
      </c>
      <c r="D708" s="111" t="s">
        <v>18</v>
      </c>
      <c r="E708" s="2" t="s">
        <v>148</v>
      </c>
      <c r="F708" s="2"/>
      <c r="G708" s="2"/>
      <c r="H708" s="33" t="s">
        <v>81</v>
      </c>
      <c r="I708" s="99">
        <f t="shared" si="0"/>
        <v>596.91754051549697</v>
      </c>
      <c r="J708" s="101">
        <f t="shared" si="1"/>
        <v>13.738562349309744</v>
      </c>
      <c r="K708" s="101">
        <f t="shared" si="2"/>
        <v>474</v>
      </c>
      <c r="L708" s="74">
        <f t="shared" si="535"/>
        <v>276</v>
      </c>
      <c r="M708" s="99">
        <f t="shared" si="191"/>
        <v>8646.216943401796</v>
      </c>
      <c r="N708" s="108">
        <f t="shared" si="690"/>
        <v>5160.8637509052132</v>
      </c>
      <c r="O708" s="108">
        <f t="shared" si="845"/>
        <v>3485.3531924965819</v>
      </c>
      <c r="P708" s="108"/>
      <c r="Q708" s="108"/>
      <c r="R708" s="109"/>
      <c r="S708" s="99">
        <f t="shared" si="694"/>
        <v>7265.6491512292687</v>
      </c>
      <c r="T708" s="108">
        <f t="shared" si="846"/>
        <v>4336.8129179304879</v>
      </c>
      <c r="U708" s="108">
        <f t="shared" si="847"/>
        <v>2928.8362332987808</v>
      </c>
      <c r="V708" s="108"/>
      <c r="W708" s="108"/>
      <c r="X708" s="109"/>
      <c r="Y708" s="99">
        <f t="shared" si="8"/>
        <v>14531.298302458537</v>
      </c>
      <c r="Z708" s="108">
        <f t="shared" ref="Z708:AA708" si="892">T708*$D$58/100</f>
        <v>8673.6258358609757</v>
      </c>
      <c r="AA708" s="108">
        <f t="shared" si="892"/>
        <v>5857.6724665975617</v>
      </c>
      <c r="AB708" s="108"/>
      <c r="AC708" s="108"/>
      <c r="AD708" s="109"/>
      <c r="AE708" s="99">
        <f t="shared" si="866"/>
        <v>14.484776131615998</v>
      </c>
      <c r="AF708" s="101">
        <f t="shared" si="849"/>
        <v>36</v>
      </c>
      <c r="AG708" s="101">
        <f t="shared" si="850"/>
        <v>19.001300000000001</v>
      </c>
      <c r="AH708" s="101">
        <f t="shared" si="851"/>
        <v>199</v>
      </c>
      <c r="AI708" s="101">
        <f t="shared" si="852"/>
        <v>200</v>
      </c>
      <c r="AJ708" s="112">
        <f t="shared" si="853"/>
        <v>2.2222222222222223</v>
      </c>
      <c r="AK708" s="101">
        <f t="shared" si="461"/>
        <v>7265.6491512292687</v>
      </c>
      <c r="AL708" s="101">
        <f t="shared" si="854"/>
        <v>4336.8129179304879</v>
      </c>
      <c r="AM708" s="101">
        <f t="shared" si="855"/>
        <v>2928.8362332987808</v>
      </c>
      <c r="AN708" s="101"/>
      <c r="AO708" s="1">
        <v>24</v>
      </c>
      <c r="AP708" s="2">
        <v>36</v>
      </c>
      <c r="AQ708" s="74">
        <f t="shared" si="856"/>
        <v>199</v>
      </c>
      <c r="AR708" s="31">
        <f t="shared" si="857"/>
        <v>4</v>
      </c>
      <c r="AS708" s="2">
        <f t="shared" si="858"/>
        <v>1</v>
      </c>
      <c r="AT708" s="33">
        <f t="shared" si="859"/>
        <v>1</v>
      </c>
      <c r="AU708" s="31">
        <f t="shared" si="860"/>
        <v>0</v>
      </c>
      <c r="AV708" s="2">
        <f t="shared" si="861"/>
        <v>0</v>
      </c>
      <c r="AW708" s="33" t="str">
        <f t="shared" si="862"/>
        <v>보스대상</v>
      </c>
      <c r="AX708" s="31">
        <f t="shared" si="863"/>
        <v>1</v>
      </c>
      <c r="AY708" s="33">
        <f t="shared" si="864"/>
        <v>1</v>
      </c>
      <c r="AZ708" s="2"/>
      <c r="BA708" s="101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</row>
    <row r="709" spans="1:71" ht="12" customHeight="1">
      <c r="A709" s="2"/>
      <c r="B709" s="107">
        <v>634</v>
      </c>
      <c r="C709" s="31">
        <v>4</v>
      </c>
      <c r="D709" s="111" t="s">
        <v>18</v>
      </c>
      <c r="E709" s="2" t="s">
        <v>79</v>
      </c>
      <c r="F709" s="2"/>
      <c r="G709" s="2"/>
      <c r="H709" s="33" t="s">
        <v>81</v>
      </c>
      <c r="I709" s="99">
        <f t="shared" si="0"/>
        <v>467.74799336701062</v>
      </c>
      <c r="J709" s="101">
        <f t="shared" si="1"/>
        <v>10.765615909171565</v>
      </c>
      <c r="K709" s="101">
        <f t="shared" si="2"/>
        <v>648</v>
      </c>
      <c r="L709" s="74">
        <f t="shared" si="535"/>
        <v>346</v>
      </c>
      <c r="M709" s="99">
        <f t="shared" si="191"/>
        <v>8646.216943401796</v>
      </c>
      <c r="N709" s="108">
        <f t="shared" si="690"/>
        <v>5160.8637509052132</v>
      </c>
      <c r="O709" s="108">
        <f t="shared" si="845"/>
        <v>3485.3531924965819</v>
      </c>
      <c r="P709" s="108"/>
      <c r="Q709" s="108"/>
      <c r="R709" s="109"/>
      <c r="S709" s="99">
        <f t="shared" si="694"/>
        <v>7265.6491512292687</v>
      </c>
      <c r="T709" s="108">
        <f t="shared" si="846"/>
        <v>4336.8129179304879</v>
      </c>
      <c r="U709" s="108">
        <f t="shared" si="847"/>
        <v>2928.8362332987808</v>
      </c>
      <c r="V709" s="108"/>
      <c r="W709" s="108"/>
      <c r="X709" s="109"/>
      <c r="Y709" s="99">
        <f t="shared" si="8"/>
        <v>14531.298302458537</v>
      </c>
      <c r="Z709" s="108">
        <f t="shared" ref="Z709:AA709" si="893">T709*$D$58/100</f>
        <v>8673.6258358609757</v>
      </c>
      <c r="AA709" s="108">
        <f t="shared" si="893"/>
        <v>5857.6724665975617</v>
      </c>
      <c r="AB709" s="108"/>
      <c r="AC709" s="108"/>
      <c r="AD709" s="109"/>
      <c r="AE709" s="99">
        <f t="shared" si="866"/>
        <v>18.484776131615998</v>
      </c>
      <c r="AF709" s="101">
        <f t="shared" si="849"/>
        <v>36</v>
      </c>
      <c r="AG709" s="101">
        <f t="shared" si="850"/>
        <v>19.001300000000001</v>
      </c>
      <c r="AH709" s="101">
        <f t="shared" si="851"/>
        <v>199</v>
      </c>
      <c r="AI709" s="101">
        <f t="shared" si="852"/>
        <v>200</v>
      </c>
      <c r="AJ709" s="112">
        <f t="shared" si="853"/>
        <v>1.7777777777777777</v>
      </c>
      <c r="AK709" s="101">
        <f t="shared" si="461"/>
        <v>7265.6491512292687</v>
      </c>
      <c r="AL709" s="101">
        <f t="shared" si="854"/>
        <v>4336.8129179304879</v>
      </c>
      <c r="AM709" s="101">
        <f t="shared" si="855"/>
        <v>2928.8362332987808</v>
      </c>
      <c r="AN709" s="101"/>
      <c r="AO709" s="1">
        <v>24</v>
      </c>
      <c r="AP709" s="2">
        <v>36</v>
      </c>
      <c r="AQ709" s="74">
        <f t="shared" si="856"/>
        <v>199</v>
      </c>
      <c r="AR709" s="31">
        <f t="shared" si="857"/>
        <v>0</v>
      </c>
      <c r="AS709" s="2">
        <f t="shared" si="858"/>
        <v>0.8</v>
      </c>
      <c r="AT709" s="33">
        <f t="shared" si="859"/>
        <v>1</v>
      </c>
      <c r="AU709" s="31">
        <f t="shared" si="860"/>
        <v>0</v>
      </c>
      <c r="AV709" s="2">
        <f t="shared" si="861"/>
        <v>0</v>
      </c>
      <c r="AW709" s="33" t="str">
        <f t="shared" si="862"/>
        <v>보스대상</v>
      </c>
      <c r="AX709" s="31">
        <f t="shared" si="863"/>
        <v>1</v>
      </c>
      <c r="AY709" s="33">
        <f t="shared" si="864"/>
        <v>1</v>
      </c>
      <c r="AZ709" s="2"/>
      <c r="BA709" s="101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</row>
    <row r="710" spans="1:71" ht="12" customHeight="1">
      <c r="A710" s="2"/>
      <c r="B710" s="107">
        <v>635</v>
      </c>
      <c r="C710" s="31">
        <v>4</v>
      </c>
      <c r="D710" s="111" t="s">
        <v>18</v>
      </c>
      <c r="E710" s="2" t="s">
        <v>87</v>
      </c>
      <c r="F710" s="2"/>
      <c r="G710" s="2"/>
      <c r="H710" s="33" t="s">
        <v>81</v>
      </c>
      <c r="I710" s="99">
        <f t="shared" si="0"/>
        <v>561.29759204041272</v>
      </c>
      <c r="J710" s="101">
        <f t="shared" si="1"/>
        <v>10.765615909171565</v>
      </c>
      <c r="K710" s="101">
        <f t="shared" si="2"/>
        <v>517</v>
      </c>
      <c r="L710" s="74">
        <f t="shared" si="535"/>
        <v>292</v>
      </c>
      <c r="M710" s="99">
        <f t="shared" si="191"/>
        <v>10375.460332082155</v>
      </c>
      <c r="N710" s="108">
        <f t="shared" si="690"/>
        <v>6193.0365010862561</v>
      </c>
      <c r="O710" s="108">
        <f t="shared" si="845"/>
        <v>4182.4238309958982</v>
      </c>
      <c r="P710" s="108"/>
      <c r="Q710" s="108"/>
      <c r="R710" s="109"/>
      <c r="S710" s="99">
        <f t="shared" si="694"/>
        <v>8718.7789814751231</v>
      </c>
      <c r="T710" s="108">
        <f t="shared" si="846"/>
        <v>5204.1755015165854</v>
      </c>
      <c r="U710" s="108">
        <f t="shared" si="847"/>
        <v>3514.6034799585368</v>
      </c>
      <c r="V710" s="108"/>
      <c r="W710" s="108"/>
      <c r="X710" s="109"/>
      <c r="Y710" s="99">
        <f t="shared" si="8"/>
        <v>17437.557962950246</v>
      </c>
      <c r="Z710" s="108">
        <f t="shared" ref="Z710:AA710" si="894">T710*$D$58/100</f>
        <v>10408.351003033171</v>
      </c>
      <c r="AA710" s="108">
        <f t="shared" si="894"/>
        <v>7029.2069599170736</v>
      </c>
      <c r="AB710" s="108"/>
      <c r="AC710" s="108"/>
      <c r="AD710" s="109"/>
      <c r="AE710" s="99">
        <f t="shared" si="866"/>
        <v>18.484776131615998</v>
      </c>
      <c r="AF710" s="101">
        <f t="shared" si="849"/>
        <v>36</v>
      </c>
      <c r="AG710" s="101">
        <f t="shared" si="850"/>
        <v>19.001300000000001</v>
      </c>
      <c r="AH710" s="101">
        <f t="shared" si="851"/>
        <v>199</v>
      </c>
      <c r="AI710" s="101">
        <f t="shared" si="852"/>
        <v>200</v>
      </c>
      <c r="AJ710" s="112">
        <f t="shared" si="853"/>
        <v>2.2222222222222223</v>
      </c>
      <c r="AK710" s="101">
        <f t="shared" si="461"/>
        <v>7265.6491512292687</v>
      </c>
      <c r="AL710" s="101">
        <f t="shared" si="854"/>
        <v>4336.8129179304879</v>
      </c>
      <c r="AM710" s="101">
        <f t="shared" si="855"/>
        <v>2928.8362332987808</v>
      </c>
      <c r="AN710" s="101"/>
      <c r="AO710" s="1">
        <v>24</v>
      </c>
      <c r="AP710" s="2">
        <v>36</v>
      </c>
      <c r="AQ710" s="74">
        <f t="shared" si="856"/>
        <v>199</v>
      </c>
      <c r="AR710" s="31">
        <f t="shared" si="857"/>
        <v>0</v>
      </c>
      <c r="AS710" s="2">
        <f t="shared" si="858"/>
        <v>1</v>
      </c>
      <c r="AT710" s="33">
        <f t="shared" si="859"/>
        <v>1.2</v>
      </c>
      <c r="AU710" s="31">
        <f t="shared" si="860"/>
        <v>0</v>
      </c>
      <c r="AV710" s="2">
        <f t="shared" si="861"/>
        <v>0</v>
      </c>
      <c r="AW710" s="33" t="str">
        <f t="shared" si="862"/>
        <v>보스대상</v>
      </c>
      <c r="AX710" s="31">
        <f t="shared" si="863"/>
        <v>1</v>
      </c>
      <c r="AY710" s="33">
        <f t="shared" si="864"/>
        <v>1</v>
      </c>
      <c r="AZ710" s="2"/>
      <c r="BA710" s="101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</row>
    <row r="711" spans="1:71" ht="12" customHeight="1">
      <c r="A711" s="2"/>
      <c r="B711" s="107">
        <v>636</v>
      </c>
      <c r="C711" s="31">
        <v>1</v>
      </c>
      <c r="D711" s="111" t="s">
        <v>18</v>
      </c>
      <c r="E711" s="2" t="s">
        <v>67</v>
      </c>
      <c r="F711" s="2"/>
      <c r="G711" s="1"/>
      <c r="H711" s="33" t="s">
        <v>81</v>
      </c>
      <c r="I711" s="99">
        <f t="shared" si="0"/>
        <v>375.54688824379554</v>
      </c>
      <c r="J711" s="101">
        <f t="shared" si="1"/>
        <v>5.4639558131976278</v>
      </c>
      <c r="K711" s="101">
        <f t="shared" si="2"/>
        <v>752</v>
      </c>
      <c r="L711" s="74">
        <f t="shared" si="535"/>
        <v>387</v>
      </c>
      <c r="M711" s="99">
        <f t="shared" si="191"/>
        <v>6941.9001561115729</v>
      </c>
      <c r="N711" s="108">
        <f t="shared" si="690"/>
        <v>4144.0982986636254</v>
      </c>
      <c r="O711" s="108">
        <f t="shared" si="845"/>
        <v>2797.8018574479474</v>
      </c>
      <c r="P711" s="108"/>
      <c r="Q711" s="108"/>
      <c r="R711" s="109"/>
      <c r="S711" s="99">
        <f t="shared" si="694"/>
        <v>5833.4658160134159</v>
      </c>
      <c r="T711" s="108">
        <f t="shared" si="846"/>
        <v>3482.3975020975618</v>
      </c>
      <c r="U711" s="108">
        <f t="shared" si="847"/>
        <v>2351.0683139158541</v>
      </c>
      <c r="V711" s="108"/>
      <c r="W711" s="108"/>
      <c r="X711" s="109"/>
      <c r="Y711" s="99">
        <f t="shared" si="8"/>
        <v>11666.931632026832</v>
      </c>
      <c r="Z711" s="108">
        <f t="shared" ref="Z711:AA711" si="895">T711*$D$58/100</f>
        <v>6964.7950041951235</v>
      </c>
      <c r="AA711" s="108">
        <f t="shared" si="895"/>
        <v>4702.1366278317082</v>
      </c>
      <c r="AB711" s="108"/>
      <c r="AC711" s="108"/>
      <c r="AD711" s="109"/>
      <c r="AE711" s="99">
        <f t="shared" si="866"/>
        <v>18.484776131615998</v>
      </c>
      <c r="AF711" s="101">
        <f t="shared" si="849"/>
        <v>36</v>
      </c>
      <c r="AG711" s="101">
        <f t="shared" si="850"/>
        <v>19.001300000000001</v>
      </c>
      <c r="AH711" s="101">
        <f t="shared" si="851"/>
        <v>101</v>
      </c>
      <c r="AI711" s="101">
        <f t="shared" si="852"/>
        <v>200</v>
      </c>
      <c r="AJ711" s="112">
        <f t="shared" si="853"/>
        <v>2.2222222222222223</v>
      </c>
      <c r="AK711" s="101">
        <f t="shared" si="461"/>
        <v>5833.4658160134159</v>
      </c>
      <c r="AL711" s="101">
        <f t="shared" si="854"/>
        <v>3482.3975020975618</v>
      </c>
      <c r="AM711" s="101">
        <f t="shared" si="855"/>
        <v>2351.0683139158541</v>
      </c>
      <c r="AN711" s="101"/>
      <c r="AO711" s="1">
        <v>24</v>
      </c>
      <c r="AP711" s="2">
        <v>36</v>
      </c>
      <c r="AQ711" s="74">
        <f t="shared" si="856"/>
        <v>101</v>
      </c>
      <c r="AR711" s="31">
        <f t="shared" si="857"/>
        <v>0</v>
      </c>
      <c r="AS711" s="2">
        <f t="shared" si="858"/>
        <v>1</v>
      </c>
      <c r="AT711" s="33">
        <f t="shared" si="859"/>
        <v>1</v>
      </c>
      <c r="AU711" s="31">
        <f t="shared" si="860"/>
        <v>0</v>
      </c>
      <c r="AV711" s="2">
        <f t="shared" si="861"/>
        <v>0</v>
      </c>
      <c r="AW711" s="33" t="str">
        <f t="shared" si="862"/>
        <v>보스대상</v>
      </c>
      <c r="AX711" s="31">
        <f t="shared" si="863"/>
        <v>1</v>
      </c>
      <c r="AY711" s="33">
        <f t="shared" si="864"/>
        <v>1</v>
      </c>
      <c r="AZ711" s="2"/>
      <c r="BA711" s="101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</row>
    <row r="712" spans="1:71" ht="12" customHeight="1">
      <c r="A712" s="2"/>
      <c r="B712" s="107">
        <v>637</v>
      </c>
      <c r="C712" s="31">
        <v>10</v>
      </c>
      <c r="D712" s="111" t="s">
        <v>18</v>
      </c>
      <c r="E712" s="2" t="s">
        <v>164</v>
      </c>
      <c r="F712" s="2"/>
      <c r="G712" s="2"/>
      <c r="H712" s="33" t="s">
        <v>80</v>
      </c>
      <c r="I712" s="99">
        <f t="shared" si="0"/>
        <v>1002.8892553126032</v>
      </c>
      <c r="J712" s="101">
        <f t="shared" si="1"/>
        <v>35.968798914524506</v>
      </c>
      <c r="K712" s="101">
        <f t="shared" si="2"/>
        <v>160</v>
      </c>
      <c r="L712" s="74">
        <f t="shared" si="535"/>
        <v>123</v>
      </c>
      <c r="M712" s="99">
        <f t="shared" si="191"/>
        <v>14526.626348006137</v>
      </c>
      <c r="N712" s="108">
        <f t="shared" si="690"/>
        <v>14526.626348006137</v>
      </c>
      <c r="O712" s="108">
        <f t="shared" si="845"/>
        <v>0</v>
      </c>
      <c r="P712" s="108"/>
      <c r="Q712" s="108"/>
      <c r="R712" s="109"/>
      <c r="S712" s="99">
        <f t="shared" si="694"/>
        <v>9136.1682879360978</v>
      </c>
      <c r="T712" s="108">
        <f t="shared" si="846"/>
        <v>9136.1682879360978</v>
      </c>
      <c r="U712" s="108">
        <f t="shared" si="847"/>
        <v>0</v>
      </c>
      <c r="V712" s="108"/>
      <c r="W712" s="108"/>
      <c r="X712" s="109"/>
      <c r="Y712" s="99">
        <f t="shared" si="8"/>
        <v>18272.336575872196</v>
      </c>
      <c r="Z712" s="108">
        <f t="shared" ref="Z712:AA712" si="896">T712*$D$58/100</f>
        <v>18272.336575872196</v>
      </c>
      <c r="AA712" s="108">
        <f t="shared" si="896"/>
        <v>0</v>
      </c>
      <c r="AB712" s="108"/>
      <c r="AC712" s="108"/>
      <c r="AD712" s="109"/>
      <c r="AE712" s="99">
        <f t="shared" si="866"/>
        <v>14.484776131615998</v>
      </c>
      <c r="AF712" s="101">
        <f t="shared" si="849"/>
        <v>36</v>
      </c>
      <c r="AG712" s="101">
        <f t="shared" si="850"/>
        <v>59.001300000000001</v>
      </c>
      <c r="AH712" s="101">
        <f t="shared" si="851"/>
        <v>521</v>
      </c>
      <c r="AI712" s="101">
        <f t="shared" si="852"/>
        <v>200</v>
      </c>
      <c r="AJ712" s="112">
        <f t="shared" si="853"/>
        <v>2.5</v>
      </c>
      <c r="AK712" s="101">
        <f t="shared" si="461"/>
        <v>5464.3340202024392</v>
      </c>
      <c r="AL712" s="101">
        <f t="shared" si="854"/>
        <v>3262.9172456914639</v>
      </c>
      <c r="AM712" s="101">
        <f t="shared" si="855"/>
        <v>2201.4167745109758</v>
      </c>
      <c r="AN712" s="101"/>
      <c r="AO712" s="1">
        <v>24</v>
      </c>
      <c r="AP712" s="2">
        <v>36</v>
      </c>
      <c r="AQ712" s="74">
        <f t="shared" si="856"/>
        <v>521</v>
      </c>
      <c r="AR712" s="31">
        <f t="shared" si="857"/>
        <v>4</v>
      </c>
      <c r="AS712" s="2">
        <f t="shared" si="858"/>
        <v>1</v>
      </c>
      <c r="AT712" s="33">
        <f t="shared" si="859"/>
        <v>1</v>
      </c>
      <c r="AU712" s="31">
        <f t="shared" si="860"/>
        <v>40</v>
      </c>
      <c r="AV712" s="2">
        <f t="shared" si="861"/>
        <v>0</v>
      </c>
      <c r="AW712" s="33" t="str">
        <f t="shared" si="862"/>
        <v>보스대상</v>
      </c>
      <c r="AX712" s="31">
        <f t="shared" si="863"/>
        <v>2.8</v>
      </c>
      <c r="AY712" s="33">
        <f t="shared" si="864"/>
        <v>1</v>
      </c>
      <c r="AZ712" s="2"/>
      <c r="BA712" s="101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</row>
    <row r="713" spans="1:71" ht="12" customHeight="1">
      <c r="A713" s="2"/>
      <c r="B713" s="107">
        <v>638</v>
      </c>
      <c r="C713" s="31">
        <v>10</v>
      </c>
      <c r="D713" s="111" t="s">
        <v>18</v>
      </c>
      <c r="E713" s="2" t="s">
        <v>153</v>
      </c>
      <c r="F713" s="2"/>
      <c r="G713" s="2"/>
      <c r="H713" s="33" t="s">
        <v>80</v>
      </c>
      <c r="I713" s="99">
        <f t="shared" si="0"/>
        <v>1125.8882015892168</v>
      </c>
      <c r="J713" s="101">
        <f t="shared" si="1"/>
        <v>35.968798914524506</v>
      </c>
      <c r="K713" s="101">
        <f t="shared" si="2"/>
        <v>113</v>
      </c>
      <c r="L713" s="74">
        <f t="shared" si="535"/>
        <v>95</v>
      </c>
      <c r="M713" s="99">
        <f t="shared" si="191"/>
        <v>16308.23854924755</v>
      </c>
      <c r="N713" s="108">
        <f t="shared" si="690"/>
        <v>16308.23854924755</v>
      </c>
      <c r="O713" s="108">
        <f t="shared" si="845"/>
        <v>0</v>
      </c>
      <c r="P713" s="108"/>
      <c r="Q713" s="108"/>
      <c r="R713" s="109"/>
      <c r="S713" s="99">
        <f t="shared" si="694"/>
        <v>13704.252431904148</v>
      </c>
      <c r="T713" s="108">
        <f t="shared" si="846"/>
        <v>13704.252431904148</v>
      </c>
      <c r="U713" s="108">
        <f t="shared" si="847"/>
        <v>0</v>
      </c>
      <c r="V713" s="108"/>
      <c r="W713" s="108"/>
      <c r="X713" s="109"/>
      <c r="Y713" s="99">
        <f t="shared" si="8"/>
        <v>27408.504863808295</v>
      </c>
      <c r="Z713" s="108">
        <f t="shared" ref="Z713:AA713" si="897">T713*$D$58/100</f>
        <v>27408.504863808295</v>
      </c>
      <c r="AA713" s="108">
        <f t="shared" si="897"/>
        <v>0</v>
      </c>
      <c r="AB713" s="108"/>
      <c r="AC713" s="108"/>
      <c r="AD713" s="109"/>
      <c r="AE713" s="99">
        <f t="shared" si="866"/>
        <v>14.484776131615998</v>
      </c>
      <c r="AF713" s="101">
        <f t="shared" si="849"/>
        <v>36</v>
      </c>
      <c r="AG713" s="101">
        <f t="shared" si="850"/>
        <v>19.001300000000001</v>
      </c>
      <c r="AH713" s="101">
        <f t="shared" si="851"/>
        <v>521</v>
      </c>
      <c r="AI713" s="101">
        <f t="shared" si="852"/>
        <v>200</v>
      </c>
      <c r="AJ713" s="112">
        <f t="shared" si="853"/>
        <v>2.5</v>
      </c>
      <c r="AK713" s="101">
        <f t="shared" si="461"/>
        <v>8196.5010303036597</v>
      </c>
      <c r="AL713" s="101">
        <f t="shared" si="854"/>
        <v>4894.3758685371959</v>
      </c>
      <c r="AM713" s="101">
        <f t="shared" si="855"/>
        <v>3302.1251617664634</v>
      </c>
      <c r="AN713" s="101"/>
      <c r="AO713" s="1">
        <v>24</v>
      </c>
      <c r="AP713" s="2">
        <v>36</v>
      </c>
      <c r="AQ713" s="74">
        <f t="shared" si="856"/>
        <v>521</v>
      </c>
      <c r="AR713" s="31">
        <f t="shared" si="857"/>
        <v>4</v>
      </c>
      <c r="AS713" s="2">
        <f t="shared" si="858"/>
        <v>1</v>
      </c>
      <c r="AT713" s="33">
        <f t="shared" si="859"/>
        <v>1</v>
      </c>
      <c r="AU713" s="31">
        <f t="shared" si="860"/>
        <v>0</v>
      </c>
      <c r="AV713" s="2">
        <f t="shared" si="861"/>
        <v>1</v>
      </c>
      <c r="AW713" s="33" t="str">
        <f t="shared" si="862"/>
        <v>보스대상</v>
      </c>
      <c r="AX713" s="31">
        <f t="shared" si="863"/>
        <v>2.8</v>
      </c>
      <c r="AY713" s="33">
        <f t="shared" si="864"/>
        <v>1</v>
      </c>
      <c r="AZ713" s="2"/>
      <c r="BA713" s="101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</row>
    <row r="714" spans="1:71" ht="12" customHeight="1">
      <c r="A714" s="2"/>
      <c r="B714" s="107">
        <v>639</v>
      </c>
      <c r="C714" s="31">
        <v>10</v>
      </c>
      <c r="D714" s="111" t="s">
        <v>18</v>
      </c>
      <c r="E714" s="2" t="s">
        <v>156</v>
      </c>
      <c r="F714" s="2"/>
      <c r="G714" s="2" t="s">
        <v>186</v>
      </c>
      <c r="H714" s="33" t="s">
        <v>80</v>
      </c>
      <c r="I714" s="99">
        <f t="shared" si="0"/>
        <v>1691.6455882930438</v>
      </c>
      <c r="J714" s="101">
        <f t="shared" si="1"/>
        <v>81.064611807018906</v>
      </c>
      <c r="K714" s="101">
        <f t="shared" si="2"/>
        <v>30</v>
      </c>
      <c r="L714" s="74">
        <f t="shared" si="535"/>
        <v>30</v>
      </c>
      <c r="M714" s="99">
        <f t="shared" si="191"/>
        <v>10872.1590328317</v>
      </c>
      <c r="N714" s="108">
        <f t="shared" si="690"/>
        <v>10872.1590328317</v>
      </c>
      <c r="O714" s="108">
        <f t="shared" si="845"/>
        <v>0</v>
      </c>
      <c r="P714" s="108"/>
      <c r="Q714" s="108"/>
      <c r="R714" s="109"/>
      <c r="S714" s="99">
        <f t="shared" si="694"/>
        <v>9136.1682879360978</v>
      </c>
      <c r="T714" s="108">
        <f t="shared" si="846"/>
        <v>9136.1682879360978</v>
      </c>
      <c r="U714" s="108">
        <f t="shared" si="847"/>
        <v>0</v>
      </c>
      <c r="V714" s="108"/>
      <c r="W714" s="108"/>
      <c r="X714" s="109"/>
      <c r="Y714" s="99">
        <f t="shared" si="8"/>
        <v>18272.336575872196</v>
      </c>
      <c r="Z714" s="108">
        <f t="shared" ref="Z714:AA714" si="898">T714*$D$58/100</f>
        <v>18272.336575872196</v>
      </c>
      <c r="AA714" s="108">
        <f t="shared" si="898"/>
        <v>0</v>
      </c>
      <c r="AB714" s="108"/>
      <c r="AC714" s="108"/>
      <c r="AD714" s="109"/>
      <c r="AE714" s="99">
        <f t="shared" si="866"/>
        <v>6.4269721199712162</v>
      </c>
      <c r="AF714" s="101">
        <f t="shared" si="849"/>
        <v>36</v>
      </c>
      <c r="AG714" s="101">
        <f t="shared" si="850"/>
        <v>19.001300000000001</v>
      </c>
      <c r="AH714" s="101">
        <f t="shared" si="851"/>
        <v>521</v>
      </c>
      <c r="AI714" s="101">
        <f t="shared" si="852"/>
        <v>200</v>
      </c>
      <c r="AJ714" s="112">
        <f t="shared" si="853"/>
        <v>2.5</v>
      </c>
      <c r="AK714" s="101">
        <f t="shared" si="461"/>
        <v>5464.3340202024392</v>
      </c>
      <c r="AL714" s="101">
        <f t="shared" si="854"/>
        <v>3262.9172456914639</v>
      </c>
      <c r="AM714" s="101">
        <f t="shared" si="855"/>
        <v>2201.4167745109758</v>
      </c>
      <c r="AN714" s="101"/>
      <c r="AO714" s="1">
        <v>24</v>
      </c>
      <c r="AP714" s="2">
        <v>36</v>
      </c>
      <c r="AQ714" s="74">
        <f t="shared" si="856"/>
        <v>521</v>
      </c>
      <c r="AR714" s="31">
        <f t="shared" si="857"/>
        <v>4</v>
      </c>
      <c r="AS714" s="2">
        <f t="shared" si="858"/>
        <v>1</v>
      </c>
      <c r="AT714" s="33">
        <f t="shared" si="859"/>
        <v>1</v>
      </c>
      <c r="AU714" s="31">
        <f t="shared" si="860"/>
        <v>0</v>
      </c>
      <c r="AV714" s="2">
        <f t="shared" si="861"/>
        <v>0</v>
      </c>
      <c r="AW714" s="33">
        <f t="shared" si="862"/>
        <v>5</v>
      </c>
      <c r="AX714" s="31">
        <f t="shared" si="863"/>
        <v>2.8</v>
      </c>
      <c r="AY714" s="33">
        <f t="shared" si="864"/>
        <v>1</v>
      </c>
      <c r="AZ714" s="2"/>
      <c r="BA714" s="101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</row>
    <row r="715" spans="1:71" ht="12" customHeight="1">
      <c r="A715" s="2"/>
      <c r="B715" s="107">
        <v>640</v>
      </c>
      <c r="C715" s="31">
        <v>10</v>
      </c>
      <c r="D715" s="111" t="s">
        <v>18</v>
      </c>
      <c r="E715" s="2" t="s">
        <v>169</v>
      </c>
      <c r="F715" s="2"/>
      <c r="G715" s="2"/>
      <c r="H715" s="33" t="s">
        <v>80</v>
      </c>
      <c r="I715" s="99">
        <f t="shared" si="0"/>
        <v>785.86974733007889</v>
      </c>
      <c r="J715" s="101">
        <f t="shared" si="1"/>
        <v>28.185356224514496</v>
      </c>
      <c r="K715" s="101">
        <f t="shared" si="2"/>
        <v>274</v>
      </c>
      <c r="L715" s="74">
        <f t="shared" si="535"/>
        <v>192</v>
      </c>
      <c r="M715" s="99">
        <f t="shared" si="191"/>
        <v>14526.626348006137</v>
      </c>
      <c r="N715" s="108">
        <f t="shared" si="690"/>
        <v>14526.626348006137</v>
      </c>
      <c r="O715" s="108">
        <f t="shared" si="845"/>
        <v>0</v>
      </c>
      <c r="P715" s="108"/>
      <c r="Q715" s="108"/>
      <c r="R715" s="109"/>
      <c r="S715" s="99">
        <f t="shared" si="694"/>
        <v>9136.1682879360978</v>
      </c>
      <c r="T715" s="108">
        <f t="shared" si="846"/>
        <v>9136.1682879360978</v>
      </c>
      <c r="U715" s="108">
        <f t="shared" si="847"/>
        <v>0</v>
      </c>
      <c r="V715" s="108"/>
      <c r="W715" s="108"/>
      <c r="X715" s="109"/>
      <c r="Y715" s="99">
        <f t="shared" si="8"/>
        <v>18272.336575872196</v>
      </c>
      <c r="Z715" s="108">
        <f t="shared" ref="Z715:AA715" si="899">T715*$D$58/100</f>
        <v>18272.336575872196</v>
      </c>
      <c r="AA715" s="108">
        <f t="shared" si="899"/>
        <v>0</v>
      </c>
      <c r="AB715" s="108"/>
      <c r="AC715" s="108"/>
      <c r="AD715" s="109"/>
      <c r="AE715" s="99">
        <f t="shared" si="866"/>
        <v>18.484776131615998</v>
      </c>
      <c r="AF715" s="101">
        <f t="shared" si="849"/>
        <v>36</v>
      </c>
      <c r="AG715" s="101">
        <f t="shared" si="850"/>
        <v>59.001300000000001</v>
      </c>
      <c r="AH715" s="101">
        <f t="shared" si="851"/>
        <v>521</v>
      </c>
      <c r="AI715" s="101">
        <f t="shared" si="852"/>
        <v>200</v>
      </c>
      <c r="AJ715" s="112">
        <f t="shared" si="853"/>
        <v>2</v>
      </c>
      <c r="AK715" s="101">
        <f t="shared" si="461"/>
        <v>5464.3340202024392</v>
      </c>
      <c r="AL715" s="101">
        <f t="shared" si="854"/>
        <v>3262.9172456914639</v>
      </c>
      <c r="AM715" s="101">
        <f t="shared" si="855"/>
        <v>2201.4167745109758</v>
      </c>
      <c r="AN715" s="101"/>
      <c r="AO715" s="1">
        <v>24</v>
      </c>
      <c r="AP715" s="2">
        <v>36</v>
      </c>
      <c r="AQ715" s="74">
        <f t="shared" si="856"/>
        <v>521</v>
      </c>
      <c r="AR715" s="31">
        <f t="shared" si="857"/>
        <v>0</v>
      </c>
      <c r="AS715" s="2">
        <f t="shared" si="858"/>
        <v>0.8</v>
      </c>
      <c r="AT715" s="33">
        <f t="shared" si="859"/>
        <v>1</v>
      </c>
      <c r="AU715" s="31">
        <f t="shared" si="860"/>
        <v>40</v>
      </c>
      <c r="AV715" s="2">
        <f t="shared" si="861"/>
        <v>0</v>
      </c>
      <c r="AW715" s="33" t="str">
        <f t="shared" si="862"/>
        <v>보스대상</v>
      </c>
      <c r="AX715" s="31">
        <f t="shared" si="863"/>
        <v>2.8</v>
      </c>
      <c r="AY715" s="33">
        <f t="shared" si="864"/>
        <v>1</v>
      </c>
      <c r="AZ715" s="2"/>
      <c r="BA715" s="101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</row>
    <row r="716" spans="1:71" ht="12" customHeight="1">
      <c r="A716" s="2"/>
      <c r="B716" s="107">
        <v>641</v>
      </c>
      <c r="C716" s="31">
        <v>10</v>
      </c>
      <c r="D716" s="111" t="s">
        <v>18</v>
      </c>
      <c r="E716" s="2" t="s">
        <v>162</v>
      </c>
      <c r="F716" s="2"/>
      <c r="G716" s="2"/>
      <c r="H716" s="33" t="s">
        <v>80</v>
      </c>
      <c r="I716" s="99">
        <f t="shared" si="0"/>
        <v>882.25242400173067</v>
      </c>
      <c r="J716" s="101">
        <f t="shared" si="1"/>
        <v>28.185356224514496</v>
      </c>
      <c r="K716" s="101">
        <f t="shared" si="2"/>
        <v>224</v>
      </c>
      <c r="L716" s="74">
        <f t="shared" si="535"/>
        <v>159</v>
      </c>
      <c r="M716" s="99">
        <f t="shared" si="191"/>
        <v>16308.23854924755</v>
      </c>
      <c r="N716" s="108">
        <f t="shared" si="690"/>
        <v>16308.23854924755</v>
      </c>
      <c r="O716" s="108">
        <f t="shared" si="845"/>
        <v>0</v>
      </c>
      <c r="P716" s="108"/>
      <c r="Q716" s="108"/>
      <c r="R716" s="109"/>
      <c r="S716" s="99">
        <f t="shared" si="694"/>
        <v>13704.252431904148</v>
      </c>
      <c r="T716" s="108">
        <f t="shared" si="846"/>
        <v>13704.252431904148</v>
      </c>
      <c r="U716" s="108">
        <f t="shared" si="847"/>
        <v>0</v>
      </c>
      <c r="V716" s="108"/>
      <c r="W716" s="108"/>
      <c r="X716" s="109"/>
      <c r="Y716" s="99">
        <f t="shared" si="8"/>
        <v>27408.504863808295</v>
      </c>
      <c r="Z716" s="108">
        <f t="shared" ref="Z716:AA716" si="900">T716*$D$58/100</f>
        <v>27408.504863808295</v>
      </c>
      <c r="AA716" s="108">
        <f t="shared" si="900"/>
        <v>0</v>
      </c>
      <c r="AB716" s="108"/>
      <c r="AC716" s="108"/>
      <c r="AD716" s="109"/>
      <c r="AE716" s="99">
        <f t="shared" si="866"/>
        <v>18.484776131615998</v>
      </c>
      <c r="AF716" s="101">
        <f t="shared" si="849"/>
        <v>36</v>
      </c>
      <c r="AG716" s="101">
        <f t="shared" si="850"/>
        <v>19.001300000000001</v>
      </c>
      <c r="AH716" s="101">
        <f t="shared" si="851"/>
        <v>521</v>
      </c>
      <c r="AI716" s="101">
        <f t="shared" si="852"/>
        <v>200</v>
      </c>
      <c r="AJ716" s="112">
        <f t="shared" si="853"/>
        <v>2</v>
      </c>
      <c r="AK716" s="101">
        <f t="shared" si="461"/>
        <v>8196.5010303036597</v>
      </c>
      <c r="AL716" s="101">
        <f t="shared" si="854"/>
        <v>4894.3758685371959</v>
      </c>
      <c r="AM716" s="101">
        <f t="shared" si="855"/>
        <v>3302.1251617664634</v>
      </c>
      <c r="AN716" s="101"/>
      <c r="AO716" s="1">
        <v>24</v>
      </c>
      <c r="AP716" s="2">
        <v>36</v>
      </c>
      <c r="AQ716" s="74">
        <f t="shared" si="856"/>
        <v>521</v>
      </c>
      <c r="AR716" s="31">
        <f t="shared" si="857"/>
        <v>0</v>
      </c>
      <c r="AS716" s="2">
        <f t="shared" si="858"/>
        <v>0.8</v>
      </c>
      <c r="AT716" s="33">
        <f t="shared" si="859"/>
        <v>1</v>
      </c>
      <c r="AU716" s="31">
        <f t="shared" si="860"/>
        <v>0</v>
      </c>
      <c r="AV716" s="2">
        <f t="shared" si="861"/>
        <v>1</v>
      </c>
      <c r="AW716" s="33" t="str">
        <f t="shared" si="862"/>
        <v>보스대상</v>
      </c>
      <c r="AX716" s="31">
        <f t="shared" si="863"/>
        <v>2.8</v>
      </c>
      <c r="AY716" s="33">
        <f t="shared" si="864"/>
        <v>1</v>
      </c>
      <c r="AZ716" s="2"/>
      <c r="BA716" s="101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</row>
    <row r="717" spans="1:71" ht="12" customHeight="1">
      <c r="A717" s="2"/>
      <c r="B717" s="107">
        <v>642</v>
      </c>
      <c r="C717" s="31">
        <v>10</v>
      </c>
      <c r="D717" s="111" t="s">
        <v>18</v>
      </c>
      <c r="E717" s="2" t="s">
        <v>171</v>
      </c>
      <c r="F717" s="2"/>
      <c r="G717" s="2" t="s">
        <v>186</v>
      </c>
      <c r="H717" s="33" t="s">
        <v>80</v>
      </c>
      <c r="I717" s="99">
        <f t="shared" si="0"/>
        <v>1325.583142905959</v>
      </c>
      <c r="J717" s="101">
        <f t="shared" si="1"/>
        <v>63.522692720778515</v>
      </c>
      <c r="K717" s="101">
        <f t="shared" si="2"/>
        <v>71</v>
      </c>
      <c r="L717" s="74">
        <f t="shared" si="535"/>
        <v>67</v>
      </c>
      <c r="M717" s="99">
        <f t="shared" si="191"/>
        <v>10872.1590328317</v>
      </c>
      <c r="N717" s="108">
        <f t="shared" si="690"/>
        <v>10872.1590328317</v>
      </c>
      <c r="O717" s="108">
        <f t="shared" si="845"/>
        <v>0</v>
      </c>
      <c r="P717" s="108"/>
      <c r="Q717" s="108"/>
      <c r="R717" s="109"/>
      <c r="S717" s="99">
        <f t="shared" si="694"/>
        <v>9136.1682879360978</v>
      </c>
      <c r="T717" s="108">
        <f t="shared" si="846"/>
        <v>9136.1682879360978</v>
      </c>
      <c r="U717" s="108">
        <f t="shared" si="847"/>
        <v>0</v>
      </c>
      <c r="V717" s="108"/>
      <c r="W717" s="108"/>
      <c r="X717" s="109"/>
      <c r="Y717" s="99">
        <f t="shared" si="8"/>
        <v>18272.336575872196</v>
      </c>
      <c r="Z717" s="108">
        <f t="shared" ref="Z717:AA717" si="901">T717*$D$58/100</f>
        <v>18272.336575872196</v>
      </c>
      <c r="AA717" s="108">
        <f t="shared" si="901"/>
        <v>0</v>
      </c>
      <c r="AB717" s="108"/>
      <c r="AC717" s="108"/>
      <c r="AD717" s="109"/>
      <c r="AE717" s="99">
        <f t="shared" si="866"/>
        <v>8.2017933699712149</v>
      </c>
      <c r="AF717" s="101">
        <f t="shared" si="849"/>
        <v>36</v>
      </c>
      <c r="AG717" s="101">
        <f t="shared" si="850"/>
        <v>19.001300000000001</v>
      </c>
      <c r="AH717" s="101">
        <f t="shared" si="851"/>
        <v>521</v>
      </c>
      <c r="AI717" s="101">
        <f t="shared" si="852"/>
        <v>200</v>
      </c>
      <c r="AJ717" s="112">
        <f t="shared" si="853"/>
        <v>2</v>
      </c>
      <c r="AK717" s="101">
        <f t="shared" si="461"/>
        <v>5464.3340202024392</v>
      </c>
      <c r="AL717" s="101">
        <f t="shared" si="854"/>
        <v>3262.9172456914639</v>
      </c>
      <c r="AM717" s="101">
        <f t="shared" si="855"/>
        <v>2201.4167745109758</v>
      </c>
      <c r="AN717" s="101"/>
      <c r="AO717" s="1">
        <v>24</v>
      </c>
      <c r="AP717" s="2">
        <v>36</v>
      </c>
      <c r="AQ717" s="74">
        <f t="shared" si="856"/>
        <v>521</v>
      </c>
      <c r="AR717" s="31">
        <f t="shared" si="857"/>
        <v>0</v>
      </c>
      <c r="AS717" s="2">
        <f t="shared" si="858"/>
        <v>0.8</v>
      </c>
      <c r="AT717" s="33">
        <f t="shared" si="859"/>
        <v>1</v>
      </c>
      <c r="AU717" s="31">
        <f t="shared" si="860"/>
        <v>0</v>
      </c>
      <c r="AV717" s="2">
        <f t="shared" si="861"/>
        <v>0</v>
      </c>
      <c r="AW717" s="33">
        <f t="shared" si="862"/>
        <v>5</v>
      </c>
      <c r="AX717" s="31">
        <f t="shared" si="863"/>
        <v>2.8</v>
      </c>
      <c r="AY717" s="33">
        <f t="shared" si="864"/>
        <v>1</v>
      </c>
      <c r="AZ717" s="2"/>
      <c r="BA717" s="101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</row>
    <row r="718" spans="1:71" ht="12" customHeight="1">
      <c r="A718" s="2"/>
      <c r="B718" s="107">
        <v>643</v>
      </c>
      <c r="C718" s="31">
        <v>10</v>
      </c>
      <c r="D718" s="111" t="s">
        <v>18</v>
      </c>
      <c r="E718" s="2" t="s">
        <v>182</v>
      </c>
      <c r="F718" s="2"/>
      <c r="G718" s="2"/>
      <c r="H718" s="33" t="s">
        <v>80</v>
      </c>
      <c r="I718" s="99">
        <f t="shared" si="0"/>
        <v>785.86974733007889</v>
      </c>
      <c r="J718" s="101">
        <f t="shared" si="1"/>
        <v>28.185356224514496</v>
      </c>
      <c r="K718" s="101">
        <f t="shared" si="2"/>
        <v>274</v>
      </c>
      <c r="L718" s="74">
        <f t="shared" si="535"/>
        <v>192</v>
      </c>
      <c r="M718" s="99">
        <f t="shared" si="191"/>
        <v>14526.626348006137</v>
      </c>
      <c r="N718" s="108">
        <f t="shared" si="690"/>
        <v>14526.626348006137</v>
      </c>
      <c r="O718" s="108">
        <f t="shared" si="845"/>
        <v>0</v>
      </c>
      <c r="P718" s="108"/>
      <c r="Q718" s="108"/>
      <c r="R718" s="109"/>
      <c r="S718" s="99">
        <f t="shared" si="694"/>
        <v>9136.1682879360978</v>
      </c>
      <c r="T718" s="108">
        <f t="shared" si="846"/>
        <v>9136.1682879360978</v>
      </c>
      <c r="U718" s="108">
        <f t="shared" si="847"/>
        <v>0</v>
      </c>
      <c r="V718" s="108"/>
      <c r="W718" s="108"/>
      <c r="X718" s="109"/>
      <c r="Y718" s="99">
        <f t="shared" si="8"/>
        <v>18272.336575872196</v>
      </c>
      <c r="Z718" s="108">
        <f t="shared" ref="Z718:AA718" si="902">T718*$D$58/100</f>
        <v>18272.336575872196</v>
      </c>
      <c r="AA718" s="108">
        <f t="shared" si="902"/>
        <v>0</v>
      </c>
      <c r="AB718" s="108"/>
      <c r="AC718" s="108"/>
      <c r="AD718" s="109"/>
      <c r="AE718" s="99">
        <f t="shared" si="866"/>
        <v>18.484776131615998</v>
      </c>
      <c r="AF718" s="101">
        <f t="shared" si="849"/>
        <v>36</v>
      </c>
      <c r="AG718" s="101">
        <f t="shared" si="850"/>
        <v>59.001300000000001</v>
      </c>
      <c r="AH718" s="101">
        <f t="shared" si="851"/>
        <v>521</v>
      </c>
      <c r="AI718" s="101">
        <f t="shared" si="852"/>
        <v>200</v>
      </c>
      <c r="AJ718" s="112">
        <f t="shared" si="853"/>
        <v>2.5</v>
      </c>
      <c r="AK718" s="101">
        <f t="shared" si="461"/>
        <v>5464.3340202024392</v>
      </c>
      <c r="AL718" s="101">
        <f t="shared" si="854"/>
        <v>3262.9172456914639</v>
      </c>
      <c r="AM718" s="101">
        <f t="shared" si="855"/>
        <v>2201.4167745109758</v>
      </c>
      <c r="AN718" s="101"/>
      <c r="AO718" s="1">
        <v>24</v>
      </c>
      <c r="AP718" s="2">
        <v>36</v>
      </c>
      <c r="AQ718" s="74">
        <f t="shared" si="856"/>
        <v>521</v>
      </c>
      <c r="AR718" s="31">
        <f t="shared" si="857"/>
        <v>0</v>
      </c>
      <c r="AS718" s="2">
        <f t="shared" si="858"/>
        <v>1</v>
      </c>
      <c r="AT718" s="33">
        <f t="shared" si="859"/>
        <v>1.2</v>
      </c>
      <c r="AU718" s="31">
        <f t="shared" si="860"/>
        <v>40</v>
      </c>
      <c r="AV718" s="2">
        <f t="shared" si="861"/>
        <v>0</v>
      </c>
      <c r="AW718" s="33" t="str">
        <f t="shared" si="862"/>
        <v>보스대상</v>
      </c>
      <c r="AX718" s="31">
        <f t="shared" si="863"/>
        <v>2.8</v>
      </c>
      <c r="AY718" s="33">
        <f t="shared" si="864"/>
        <v>1</v>
      </c>
      <c r="AZ718" s="2"/>
      <c r="BA718" s="101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</row>
    <row r="719" spans="1:71" ht="12" customHeight="1">
      <c r="A719" s="2"/>
      <c r="B719" s="107">
        <v>644</v>
      </c>
      <c r="C719" s="31">
        <v>10</v>
      </c>
      <c r="D719" s="111" t="s">
        <v>18</v>
      </c>
      <c r="E719" s="2" t="s">
        <v>159</v>
      </c>
      <c r="F719" s="2"/>
      <c r="G719" s="2"/>
      <c r="H719" s="33" t="s">
        <v>80</v>
      </c>
      <c r="I719" s="99">
        <f t="shared" si="0"/>
        <v>1058.702908802077</v>
      </c>
      <c r="J719" s="101">
        <f t="shared" si="1"/>
        <v>28.185356224514496</v>
      </c>
      <c r="K719" s="101">
        <f t="shared" si="2"/>
        <v>143</v>
      </c>
      <c r="L719" s="74">
        <f t="shared" si="535"/>
        <v>114</v>
      </c>
      <c r="M719" s="99">
        <f t="shared" si="191"/>
        <v>19569.88625909706</v>
      </c>
      <c r="N719" s="108">
        <f t="shared" si="690"/>
        <v>19569.88625909706</v>
      </c>
      <c r="O719" s="108">
        <f t="shared" si="845"/>
        <v>0</v>
      </c>
      <c r="P719" s="108"/>
      <c r="Q719" s="108"/>
      <c r="R719" s="109"/>
      <c r="S719" s="99">
        <f t="shared" si="694"/>
        <v>16445.102918284978</v>
      </c>
      <c r="T719" s="108">
        <f t="shared" si="846"/>
        <v>16445.102918284978</v>
      </c>
      <c r="U719" s="108">
        <f t="shared" si="847"/>
        <v>0</v>
      </c>
      <c r="V719" s="108"/>
      <c r="W719" s="108"/>
      <c r="X719" s="109"/>
      <c r="Y719" s="99">
        <f t="shared" si="8"/>
        <v>32890.205836569956</v>
      </c>
      <c r="Z719" s="108">
        <f t="shared" ref="Z719:AA719" si="903">T719*$D$58/100</f>
        <v>32890.205836569956</v>
      </c>
      <c r="AA719" s="108">
        <f t="shared" si="903"/>
        <v>0</v>
      </c>
      <c r="AB719" s="108"/>
      <c r="AC719" s="108"/>
      <c r="AD719" s="109"/>
      <c r="AE719" s="99">
        <f t="shared" si="866"/>
        <v>18.484776131615998</v>
      </c>
      <c r="AF719" s="101">
        <f t="shared" si="849"/>
        <v>36</v>
      </c>
      <c r="AG719" s="101">
        <f t="shared" si="850"/>
        <v>19.001300000000001</v>
      </c>
      <c r="AH719" s="101">
        <f t="shared" si="851"/>
        <v>521</v>
      </c>
      <c r="AI719" s="101">
        <f t="shared" si="852"/>
        <v>200</v>
      </c>
      <c r="AJ719" s="112">
        <f t="shared" si="853"/>
        <v>2.5</v>
      </c>
      <c r="AK719" s="101">
        <f t="shared" si="461"/>
        <v>8196.5010303036597</v>
      </c>
      <c r="AL719" s="101">
        <f t="shared" si="854"/>
        <v>4894.3758685371959</v>
      </c>
      <c r="AM719" s="101">
        <f t="shared" si="855"/>
        <v>3302.1251617664634</v>
      </c>
      <c r="AN719" s="101"/>
      <c r="AO719" s="1">
        <v>24</v>
      </c>
      <c r="AP719" s="2">
        <v>36</v>
      </c>
      <c r="AQ719" s="74">
        <f t="shared" si="856"/>
        <v>521</v>
      </c>
      <c r="AR719" s="31">
        <f t="shared" si="857"/>
        <v>0</v>
      </c>
      <c r="AS719" s="2">
        <f t="shared" si="858"/>
        <v>1</v>
      </c>
      <c r="AT719" s="33">
        <f t="shared" si="859"/>
        <v>1.2</v>
      </c>
      <c r="AU719" s="31">
        <f t="shared" si="860"/>
        <v>0</v>
      </c>
      <c r="AV719" s="2">
        <f t="shared" si="861"/>
        <v>1</v>
      </c>
      <c r="AW719" s="33" t="str">
        <f t="shared" si="862"/>
        <v>보스대상</v>
      </c>
      <c r="AX719" s="31">
        <f t="shared" si="863"/>
        <v>2.8</v>
      </c>
      <c r="AY719" s="33">
        <f t="shared" si="864"/>
        <v>1</v>
      </c>
      <c r="AZ719" s="2"/>
      <c r="BA719" s="101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</row>
    <row r="720" spans="1:71" ht="12" customHeight="1">
      <c r="A720" s="2"/>
      <c r="B720" s="107">
        <v>645</v>
      </c>
      <c r="C720" s="31">
        <v>10</v>
      </c>
      <c r="D720" s="111" t="s">
        <v>18</v>
      </c>
      <c r="E720" s="2" t="s">
        <v>147</v>
      </c>
      <c r="F720" s="2"/>
      <c r="G720" s="2" t="s">
        <v>186</v>
      </c>
      <c r="H720" s="33" t="s">
        <v>80</v>
      </c>
      <c r="I720" s="99">
        <f t="shared" si="0"/>
        <v>1325.583142905959</v>
      </c>
      <c r="J720" s="101">
        <f t="shared" si="1"/>
        <v>63.522692720778515</v>
      </c>
      <c r="K720" s="101">
        <f t="shared" si="2"/>
        <v>71</v>
      </c>
      <c r="L720" s="74">
        <f t="shared" si="535"/>
        <v>67</v>
      </c>
      <c r="M720" s="99">
        <f t="shared" si="191"/>
        <v>10872.1590328317</v>
      </c>
      <c r="N720" s="108">
        <f t="shared" si="690"/>
        <v>10872.1590328317</v>
      </c>
      <c r="O720" s="108">
        <f t="shared" si="845"/>
        <v>0</v>
      </c>
      <c r="P720" s="108"/>
      <c r="Q720" s="108"/>
      <c r="R720" s="109"/>
      <c r="S720" s="99">
        <f t="shared" si="694"/>
        <v>9136.1682879360978</v>
      </c>
      <c r="T720" s="108">
        <f t="shared" si="846"/>
        <v>9136.1682879360978</v>
      </c>
      <c r="U720" s="108">
        <f t="shared" si="847"/>
        <v>0</v>
      </c>
      <c r="V720" s="108"/>
      <c r="W720" s="108"/>
      <c r="X720" s="109"/>
      <c r="Y720" s="99">
        <f t="shared" si="8"/>
        <v>18272.336575872196</v>
      </c>
      <c r="Z720" s="108">
        <f t="shared" ref="Z720:AA720" si="904">T720*$D$58/100</f>
        <v>18272.336575872196</v>
      </c>
      <c r="AA720" s="108">
        <f t="shared" si="904"/>
        <v>0</v>
      </c>
      <c r="AB720" s="108"/>
      <c r="AC720" s="108"/>
      <c r="AD720" s="109"/>
      <c r="AE720" s="99">
        <f t="shared" si="866"/>
        <v>8.2017933699712149</v>
      </c>
      <c r="AF720" s="101">
        <f t="shared" si="849"/>
        <v>36</v>
      </c>
      <c r="AG720" s="101">
        <f t="shared" si="850"/>
        <v>19.001300000000001</v>
      </c>
      <c r="AH720" s="101">
        <f t="shared" si="851"/>
        <v>521</v>
      </c>
      <c r="AI720" s="101">
        <f t="shared" si="852"/>
        <v>200</v>
      </c>
      <c r="AJ720" s="112">
        <f t="shared" si="853"/>
        <v>2.5</v>
      </c>
      <c r="AK720" s="101">
        <f t="shared" si="461"/>
        <v>5464.3340202024392</v>
      </c>
      <c r="AL720" s="101">
        <f t="shared" si="854"/>
        <v>3262.9172456914639</v>
      </c>
      <c r="AM720" s="101">
        <f t="shared" si="855"/>
        <v>2201.4167745109758</v>
      </c>
      <c r="AN720" s="101"/>
      <c r="AO720" s="1">
        <v>24</v>
      </c>
      <c r="AP720" s="2">
        <v>36</v>
      </c>
      <c r="AQ720" s="74">
        <f t="shared" si="856"/>
        <v>521</v>
      </c>
      <c r="AR720" s="31">
        <f t="shared" si="857"/>
        <v>0</v>
      </c>
      <c r="AS720" s="2">
        <f t="shared" si="858"/>
        <v>1</v>
      </c>
      <c r="AT720" s="33">
        <f t="shared" si="859"/>
        <v>1.2</v>
      </c>
      <c r="AU720" s="31">
        <f t="shared" si="860"/>
        <v>0</v>
      </c>
      <c r="AV720" s="2">
        <f t="shared" si="861"/>
        <v>0</v>
      </c>
      <c r="AW720" s="33">
        <f t="shared" si="862"/>
        <v>5</v>
      </c>
      <c r="AX720" s="31">
        <f t="shared" si="863"/>
        <v>2.8</v>
      </c>
      <c r="AY720" s="33">
        <f t="shared" si="864"/>
        <v>1</v>
      </c>
      <c r="AZ720" s="2"/>
      <c r="BA720" s="101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</row>
    <row r="721" spans="1:71" ht="12" customHeight="1">
      <c r="A721" s="2"/>
      <c r="B721" s="107">
        <v>646</v>
      </c>
      <c r="C721" s="31">
        <v>10</v>
      </c>
      <c r="D721" s="111" t="s">
        <v>18</v>
      </c>
      <c r="E721" s="2" t="s">
        <v>165</v>
      </c>
      <c r="F721" s="2"/>
      <c r="G721" s="2"/>
      <c r="H721" s="33" t="s">
        <v>80</v>
      </c>
      <c r="I721" s="99">
        <f t="shared" si="0"/>
        <v>900.75431337552834</v>
      </c>
      <c r="J721" s="101">
        <f t="shared" si="1"/>
        <v>35.968798914524506</v>
      </c>
      <c r="K721" s="101">
        <f t="shared" si="2"/>
        <v>204</v>
      </c>
      <c r="L721" s="74">
        <f t="shared" si="535"/>
        <v>151</v>
      </c>
      <c r="M721" s="99">
        <f t="shared" si="191"/>
        <v>13047.224578832011</v>
      </c>
      <c r="N721" s="108">
        <f t="shared" si="690"/>
        <v>5188.0808385736209</v>
      </c>
      <c r="O721" s="108">
        <f t="shared" si="845"/>
        <v>7859.1437402583897</v>
      </c>
      <c r="P721" s="108"/>
      <c r="Q721" s="108"/>
      <c r="R721" s="109"/>
      <c r="S721" s="99">
        <f t="shared" si="694"/>
        <v>9867.1675692243916</v>
      </c>
      <c r="T721" s="108">
        <f t="shared" si="846"/>
        <v>3262.9172456914639</v>
      </c>
      <c r="U721" s="108">
        <f t="shared" si="847"/>
        <v>6604.2503235329277</v>
      </c>
      <c r="V721" s="108"/>
      <c r="W721" s="108"/>
      <c r="X721" s="109"/>
      <c r="Y721" s="99">
        <f t="shared" si="8"/>
        <v>19734.335138448783</v>
      </c>
      <c r="Z721" s="108">
        <f t="shared" ref="Z721:AA721" si="905">T721*$D$58/100</f>
        <v>6525.8344913829278</v>
      </c>
      <c r="AA721" s="108">
        <f t="shared" si="905"/>
        <v>13208.500647065855</v>
      </c>
      <c r="AB721" s="108"/>
      <c r="AC721" s="108"/>
      <c r="AD721" s="109"/>
      <c r="AE721" s="99">
        <f t="shared" si="866"/>
        <v>14.484776131615998</v>
      </c>
      <c r="AF721" s="101">
        <f t="shared" si="849"/>
        <v>36</v>
      </c>
      <c r="AG721" s="101">
        <f t="shared" si="850"/>
        <v>59.001300000000001</v>
      </c>
      <c r="AH721" s="101">
        <f t="shared" si="851"/>
        <v>521</v>
      </c>
      <c r="AI721" s="101">
        <f t="shared" si="852"/>
        <v>200</v>
      </c>
      <c r="AJ721" s="112">
        <f t="shared" si="853"/>
        <v>2.5</v>
      </c>
      <c r="AK721" s="101">
        <f t="shared" si="461"/>
        <v>5464.3340202024392</v>
      </c>
      <c r="AL721" s="101">
        <f t="shared" si="854"/>
        <v>3262.9172456914639</v>
      </c>
      <c r="AM721" s="101">
        <f t="shared" si="855"/>
        <v>2201.4167745109758</v>
      </c>
      <c r="AN721" s="101"/>
      <c r="AO721" s="1">
        <v>24</v>
      </c>
      <c r="AP721" s="2">
        <v>36</v>
      </c>
      <c r="AQ721" s="74">
        <f t="shared" si="856"/>
        <v>521</v>
      </c>
      <c r="AR721" s="31">
        <f t="shared" si="857"/>
        <v>4</v>
      </c>
      <c r="AS721" s="2">
        <f t="shared" si="858"/>
        <v>1</v>
      </c>
      <c r="AT721" s="33">
        <f t="shared" si="859"/>
        <v>1</v>
      </c>
      <c r="AU721" s="31">
        <f t="shared" si="860"/>
        <v>40</v>
      </c>
      <c r="AV721" s="2">
        <f t="shared" si="861"/>
        <v>0</v>
      </c>
      <c r="AW721" s="33" t="str">
        <f t="shared" si="862"/>
        <v>보스대상</v>
      </c>
      <c r="AX721" s="31">
        <f t="shared" si="863"/>
        <v>1</v>
      </c>
      <c r="AY721" s="33">
        <f t="shared" si="864"/>
        <v>3</v>
      </c>
      <c r="AZ721" s="2"/>
      <c r="BA721" s="101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</row>
    <row r="722" spans="1:71" ht="12" customHeight="1">
      <c r="A722" s="2"/>
      <c r="B722" s="107">
        <v>647</v>
      </c>
      <c r="C722" s="31">
        <v>10</v>
      </c>
      <c r="D722" s="111" t="s">
        <v>18</v>
      </c>
      <c r="E722" s="2" t="s">
        <v>154</v>
      </c>
      <c r="F722" s="2"/>
      <c r="G722" s="2"/>
      <c r="H722" s="33" t="s">
        <v>80</v>
      </c>
      <c r="I722" s="99">
        <f t="shared" si="0"/>
        <v>1215.9722981419754</v>
      </c>
      <c r="J722" s="101">
        <f t="shared" si="1"/>
        <v>35.968798914524506</v>
      </c>
      <c r="K722" s="101">
        <f t="shared" si="2"/>
        <v>93</v>
      </c>
      <c r="L722" s="74">
        <f t="shared" si="535"/>
        <v>82</v>
      </c>
      <c r="M722" s="99">
        <f t="shared" si="191"/>
        <v>17613.086520833138</v>
      </c>
      <c r="N722" s="108">
        <f t="shared" si="690"/>
        <v>5824.3709104455538</v>
      </c>
      <c r="O722" s="108">
        <f t="shared" si="845"/>
        <v>11788.715610387582</v>
      </c>
      <c r="P722" s="108"/>
      <c r="Q722" s="108"/>
      <c r="R722" s="109"/>
      <c r="S722" s="99">
        <f t="shared" si="694"/>
        <v>14800.751353836586</v>
      </c>
      <c r="T722" s="108">
        <f t="shared" si="846"/>
        <v>4894.3758685371959</v>
      </c>
      <c r="U722" s="108">
        <f t="shared" si="847"/>
        <v>9906.3754852993898</v>
      </c>
      <c r="V722" s="108"/>
      <c r="W722" s="108"/>
      <c r="X722" s="109"/>
      <c r="Y722" s="99">
        <f t="shared" si="8"/>
        <v>29601.502707673171</v>
      </c>
      <c r="Z722" s="108">
        <f t="shared" ref="Z722:AA722" si="906">T722*$D$58/100</f>
        <v>9788.7517370743917</v>
      </c>
      <c r="AA722" s="108">
        <f t="shared" si="906"/>
        <v>19812.75097059878</v>
      </c>
      <c r="AB722" s="108"/>
      <c r="AC722" s="108"/>
      <c r="AD722" s="109"/>
      <c r="AE722" s="99">
        <f t="shared" si="866"/>
        <v>14.484776131615998</v>
      </c>
      <c r="AF722" s="101">
        <f t="shared" si="849"/>
        <v>36</v>
      </c>
      <c r="AG722" s="101">
        <f t="shared" si="850"/>
        <v>19.001300000000001</v>
      </c>
      <c r="AH722" s="101">
        <f t="shared" si="851"/>
        <v>521</v>
      </c>
      <c r="AI722" s="101">
        <f t="shared" si="852"/>
        <v>200</v>
      </c>
      <c r="AJ722" s="112">
        <f t="shared" si="853"/>
        <v>2.5</v>
      </c>
      <c r="AK722" s="101">
        <f t="shared" si="461"/>
        <v>8196.5010303036597</v>
      </c>
      <c r="AL722" s="101">
        <f t="shared" si="854"/>
        <v>4894.3758685371959</v>
      </c>
      <c r="AM722" s="101">
        <f t="shared" si="855"/>
        <v>3302.1251617664634</v>
      </c>
      <c r="AN722" s="101"/>
      <c r="AO722" s="1">
        <v>24</v>
      </c>
      <c r="AP722" s="2">
        <v>36</v>
      </c>
      <c r="AQ722" s="74">
        <f t="shared" si="856"/>
        <v>521</v>
      </c>
      <c r="AR722" s="31">
        <f t="shared" si="857"/>
        <v>4</v>
      </c>
      <c r="AS722" s="2">
        <f t="shared" si="858"/>
        <v>1</v>
      </c>
      <c r="AT722" s="33">
        <f t="shared" si="859"/>
        <v>1</v>
      </c>
      <c r="AU722" s="31">
        <f t="shared" si="860"/>
        <v>0</v>
      </c>
      <c r="AV722" s="2">
        <f t="shared" si="861"/>
        <v>1</v>
      </c>
      <c r="AW722" s="33" t="str">
        <f t="shared" si="862"/>
        <v>보스대상</v>
      </c>
      <c r="AX722" s="31">
        <f t="shared" si="863"/>
        <v>1</v>
      </c>
      <c r="AY722" s="33">
        <f t="shared" si="864"/>
        <v>3</v>
      </c>
      <c r="AZ722" s="2"/>
      <c r="BA722" s="101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</row>
    <row r="723" spans="1:71" ht="12" customHeight="1">
      <c r="A723" s="2"/>
      <c r="B723" s="107">
        <v>648</v>
      </c>
      <c r="C723" s="31">
        <v>10</v>
      </c>
      <c r="D723" s="111" t="s">
        <v>18</v>
      </c>
      <c r="E723" s="2" t="s">
        <v>157</v>
      </c>
      <c r="F723" s="2"/>
      <c r="G723" s="2" t="s">
        <v>186</v>
      </c>
      <c r="H723" s="33" t="s">
        <v>80</v>
      </c>
      <c r="I723" s="99">
        <f t="shared" si="0"/>
        <v>1826.9968285793675</v>
      </c>
      <c r="J723" s="101">
        <f t="shared" si="1"/>
        <v>81.064611807018906</v>
      </c>
      <c r="K723" s="101">
        <f t="shared" si="2"/>
        <v>25</v>
      </c>
      <c r="L723" s="74">
        <f t="shared" si="535"/>
        <v>25</v>
      </c>
      <c r="M723" s="99">
        <f t="shared" si="191"/>
        <v>11742.057680555426</v>
      </c>
      <c r="N723" s="108">
        <f t="shared" si="690"/>
        <v>3882.9139402970359</v>
      </c>
      <c r="O723" s="108">
        <f t="shared" si="845"/>
        <v>7859.1437402583897</v>
      </c>
      <c r="P723" s="108"/>
      <c r="Q723" s="108"/>
      <c r="R723" s="109"/>
      <c r="S723" s="99">
        <f t="shared" si="694"/>
        <v>9867.1675692243916</v>
      </c>
      <c r="T723" s="108">
        <f t="shared" si="846"/>
        <v>3262.9172456914639</v>
      </c>
      <c r="U723" s="108">
        <f t="shared" si="847"/>
        <v>6604.2503235329277</v>
      </c>
      <c r="V723" s="108"/>
      <c r="W723" s="108"/>
      <c r="X723" s="109"/>
      <c r="Y723" s="99">
        <f t="shared" si="8"/>
        <v>19734.335138448783</v>
      </c>
      <c r="Z723" s="108">
        <f t="shared" ref="Z723:AA723" si="907">T723*$D$58/100</f>
        <v>6525.8344913829278</v>
      </c>
      <c r="AA723" s="108">
        <f t="shared" si="907"/>
        <v>13208.500647065855</v>
      </c>
      <c r="AB723" s="108"/>
      <c r="AC723" s="108"/>
      <c r="AD723" s="109"/>
      <c r="AE723" s="99">
        <f t="shared" si="866"/>
        <v>6.4269721199712162</v>
      </c>
      <c r="AF723" s="101">
        <f t="shared" si="849"/>
        <v>36</v>
      </c>
      <c r="AG723" s="101">
        <f t="shared" si="850"/>
        <v>19.001300000000001</v>
      </c>
      <c r="AH723" s="101">
        <f t="shared" si="851"/>
        <v>521</v>
      </c>
      <c r="AI723" s="101">
        <f t="shared" si="852"/>
        <v>200</v>
      </c>
      <c r="AJ723" s="112">
        <f t="shared" si="853"/>
        <v>2.5</v>
      </c>
      <c r="AK723" s="101">
        <f t="shared" si="461"/>
        <v>5464.3340202024392</v>
      </c>
      <c r="AL723" s="101">
        <f t="shared" si="854"/>
        <v>3262.9172456914639</v>
      </c>
      <c r="AM723" s="101">
        <f t="shared" si="855"/>
        <v>2201.4167745109758</v>
      </c>
      <c r="AN723" s="101"/>
      <c r="AO723" s="1">
        <v>24</v>
      </c>
      <c r="AP723" s="2">
        <v>36</v>
      </c>
      <c r="AQ723" s="74">
        <f t="shared" si="856"/>
        <v>521</v>
      </c>
      <c r="AR723" s="31">
        <f t="shared" si="857"/>
        <v>4</v>
      </c>
      <c r="AS723" s="2">
        <f t="shared" si="858"/>
        <v>1</v>
      </c>
      <c r="AT723" s="33">
        <f t="shared" si="859"/>
        <v>1</v>
      </c>
      <c r="AU723" s="31">
        <f t="shared" si="860"/>
        <v>0</v>
      </c>
      <c r="AV723" s="2">
        <f t="shared" si="861"/>
        <v>0</v>
      </c>
      <c r="AW723" s="33">
        <f t="shared" si="862"/>
        <v>5</v>
      </c>
      <c r="AX723" s="31">
        <f t="shared" si="863"/>
        <v>1</v>
      </c>
      <c r="AY723" s="33">
        <f t="shared" si="864"/>
        <v>3</v>
      </c>
      <c r="AZ723" s="2"/>
      <c r="BA723" s="101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</row>
    <row r="724" spans="1:71" ht="12" customHeight="1">
      <c r="A724" s="2"/>
      <c r="B724" s="107">
        <v>649</v>
      </c>
      <c r="C724" s="31">
        <v>10</v>
      </c>
      <c r="D724" s="111" t="s">
        <v>18</v>
      </c>
      <c r="E724" s="2" t="s">
        <v>170</v>
      </c>
      <c r="F724" s="2"/>
      <c r="G724" s="2"/>
      <c r="H724" s="33" t="s">
        <v>80</v>
      </c>
      <c r="I724" s="99">
        <f t="shared" si="0"/>
        <v>705.83622360004097</v>
      </c>
      <c r="J724" s="101">
        <f t="shared" si="1"/>
        <v>28.185356224514496</v>
      </c>
      <c r="K724" s="101">
        <f t="shared" si="2"/>
        <v>350</v>
      </c>
      <c r="L724" s="74">
        <f t="shared" si="535"/>
        <v>226</v>
      </c>
      <c r="M724" s="99">
        <f t="shared" si="191"/>
        <v>13047.224578832011</v>
      </c>
      <c r="N724" s="108">
        <f t="shared" si="690"/>
        <v>5188.0808385736209</v>
      </c>
      <c r="O724" s="108">
        <f t="shared" si="845"/>
        <v>7859.1437402583897</v>
      </c>
      <c r="P724" s="108"/>
      <c r="Q724" s="108"/>
      <c r="R724" s="109"/>
      <c r="S724" s="99">
        <f t="shared" si="694"/>
        <v>9867.1675692243916</v>
      </c>
      <c r="T724" s="108">
        <f t="shared" si="846"/>
        <v>3262.9172456914639</v>
      </c>
      <c r="U724" s="108">
        <f t="shared" si="847"/>
        <v>6604.2503235329277</v>
      </c>
      <c r="V724" s="108"/>
      <c r="W724" s="108"/>
      <c r="X724" s="109"/>
      <c r="Y724" s="99">
        <f t="shared" si="8"/>
        <v>19734.335138448783</v>
      </c>
      <c r="Z724" s="108">
        <f t="shared" ref="Z724:AA724" si="908">T724*$D$58/100</f>
        <v>6525.8344913829278</v>
      </c>
      <c r="AA724" s="108">
        <f t="shared" si="908"/>
        <v>13208.500647065855</v>
      </c>
      <c r="AB724" s="108"/>
      <c r="AC724" s="108"/>
      <c r="AD724" s="109"/>
      <c r="AE724" s="99">
        <f t="shared" si="866"/>
        <v>18.484776131615998</v>
      </c>
      <c r="AF724" s="101">
        <f t="shared" si="849"/>
        <v>36</v>
      </c>
      <c r="AG724" s="101">
        <f t="shared" si="850"/>
        <v>59.001300000000001</v>
      </c>
      <c r="AH724" s="101">
        <f t="shared" si="851"/>
        <v>521</v>
      </c>
      <c r="AI724" s="101">
        <f t="shared" si="852"/>
        <v>200</v>
      </c>
      <c r="AJ724" s="112">
        <f t="shared" si="853"/>
        <v>2</v>
      </c>
      <c r="AK724" s="101">
        <f t="shared" si="461"/>
        <v>5464.3340202024392</v>
      </c>
      <c r="AL724" s="101">
        <f t="shared" si="854"/>
        <v>3262.9172456914639</v>
      </c>
      <c r="AM724" s="101">
        <f t="shared" si="855"/>
        <v>2201.4167745109758</v>
      </c>
      <c r="AN724" s="101"/>
      <c r="AO724" s="1">
        <v>24</v>
      </c>
      <c r="AP724" s="2">
        <v>36</v>
      </c>
      <c r="AQ724" s="74">
        <f t="shared" si="856"/>
        <v>521</v>
      </c>
      <c r="AR724" s="31">
        <f t="shared" si="857"/>
        <v>0</v>
      </c>
      <c r="AS724" s="2">
        <f t="shared" si="858"/>
        <v>0.8</v>
      </c>
      <c r="AT724" s="33">
        <f t="shared" si="859"/>
        <v>1</v>
      </c>
      <c r="AU724" s="31">
        <f t="shared" si="860"/>
        <v>40</v>
      </c>
      <c r="AV724" s="2">
        <f t="shared" si="861"/>
        <v>0</v>
      </c>
      <c r="AW724" s="33" t="str">
        <f t="shared" si="862"/>
        <v>보스대상</v>
      </c>
      <c r="AX724" s="31">
        <f t="shared" si="863"/>
        <v>1</v>
      </c>
      <c r="AY724" s="33">
        <f t="shared" si="864"/>
        <v>3</v>
      </c>
      <c r="AZ724" s="2"/>
      <c r="BA724" s="101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</row>
    <row r="725" spans="1:71" ht="12" customHeight="1">
      <c r="A725" s="2"/>
      <c r="B725" s="107">
        <v>650</v>
      </c>
      <c r="C725" s="31">
        <v>10</v>
      </c>
      <c r="D725" s="111" t="s">
        <v>18</v>
      </c>
      <c r="E725" s="2" t="s">
        <v>102</v>
      </c>
      <c r="F725" s="2"/>
      <c r="G725" s="2"/>
      <c r="H725" s="33" t="s">
        <v>80</v>
      </c>
      <c r="I725" s="99">
        <f t="shared" si="0"/>
        <v>952.84283647385166</v>
      </c>
      <c r="J725" s="101">
        <f t="shared" si="1"/>
        <v>28.185356224514496</v>
      </c>
      <c r="K725" s="101">
        <f t="shared" si="2"/>
        <v>182</v>
      </c>
      <c r="L725" s="74">
        <f t="shared" si="535"/>
        <v>138</v>
      </c>
      <c r="M725" s="99">
        <f t="shared" si="191"/>
        <v>17613.086520833138</v>
      </c>
      <c r="N725" s="108">
        <f t="shared" si="690"/>
        <v>5824.3709104455538</v>
      </c>
      <c r="O725" s="108">
        <f t="shared" si="845"/>
        <v>11788.715610387582</v>
      </c>
      <c r="P725" s="108"/>
      <c r="Q725" s="108"/>
      <c r="R725" s="109"/>
      <c r="S725" s="99">
        <f t="shared" si="694"/>
        <v>14800.751353836586</v>
      </c>
      <c r="T725" s="108">
        <f t="shared" si="846"/>
        <v>4894.3758685371959</v>
      </c>
      <c r="U725" s="108">
        <f t="shared" si="847"/>
        <v>9906.3754852993898</v>
      </c>
      <c r="V725" s="108"/>
      <c r="W725" s="108"/>
      <c r="X725" s="109"/>
      <c r="Y725" s="99">
        <f t="shared" si="8"/>
        <v>29601.502707673171</v>
      </c>
      <c r="Z725" s="108">
        <f t="shared" ref="Z725:AA725" si="909">T725*$D$58/100</f>
        <v>9788.7517370743917</v>
      </c>
      <c r="AA725" s="108">
        <f t="shared" si="909"/>
        <v>19812.75097059878</v>
      </c>
      <c r="AB725" s="108"/>
      <c r="AC725" s="108"/>
      <c r="AD725" s="109"/>
      <c r="AE725" s="99">
        <f t="shared" si="866"/>
        <v>18.484776131615998</v>
      </c>
      <c r="AF725" s="101">
        <f t="shared" si="849"/>
        <v>36</v>
      </c>
      <c r="AG725" s="101">
        <f t="shared" si="850"/>
        <v>19.001300000000001</v>
      </c>
      <c r="AH725" s="101">
        <f t="shared" si="851"/>
        <v>521</v>
      </c>
      <c r="AI725" s="101">
        <f t="shared" si="852"/>
        <v>200</v>
      </c>
      <c r="AJ725" s="112">
        <f t="shared" si="853"/>
        <v>2</v>
      </c>
      <c r="AK725" s="101">
        <f t="shared" si="461"/>
        <v>8196.5010303036597</v>
      </c>
      <c r="AL725" s="101">
        <f t="shared" si="854"/>
        <v>4894.3758685371959</v>
      </c>
      <c r="AM725" s="101">
        <f t="shared" si="855"/>
        <v>3302.1251617664634</v>
      </c>
      <c r="AN725" s="101"/>
      <c r="AO725" s="1">
        <v>24</v>
      </c>
      <c r="AP725" s="2">
        <v>36</v>
      </c>
      <c r="AQ725" s="74">
        <f t="shared" si="856"/>
        <v>521</v>
      </c>
      <c r="AR725" s="31">
        <f t="shared" si="857"/>
        <v>0</v>
      </c>
      <c r="AS725" s="2">
        <f t="shared" si="858"/>
        <v>0.8</v>
      </c>
      <c r="AT725" s="33">
        <f t="shared" si="859"/>
        <v>1</v>
      </c>
      <c r="AU725" s="31">
        <f t="shared" si="860"/>
        <v>0</v>
      </c>
      <c r="AV725" s="2">
        <f t="shared" si="861"/>
        <v>1</v>
      </c>
      <c r="AW725" s="33" t="str">
        <f t="shared" si="862"/>
        <v>보스대상</v>
      </c>
      <c r="AX725" s="31">
        <f t="shared" si="863"/>
        <v>1</v>
      </c>
      <c r="AY725" s="33">
        <f t="shared" si="864"/>
        <v>3</v>
      </c>
      <c r="AZ725" s="2"/>
      <c r="BA725" s="101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</row>
    <row r="726" spans="1:71" ht="12" customHeight="1">
      <c r="A726" s="2"/>
      <c r="B726" s="107">
        <v>651</v>
      </c>
      <c r="C726" s="31">
        <v>10</v>
      </c>
      <c r="D726" s="111" t="s">
        <v>18</v>
      </c>
      <c r="E726" s="2" t="s">
        <v>108</v>
      </c>
      <c r="F726" s="2"/>
      <c r="G726" s="2" t="s">
        <v>186</v>
      </c>
      <c r="H726" s="33" t="s">
        <v>80</v>
      </c>
      <c r="I726" s="99">
        <f t="shared" si="0"/>
        <v>1431.645147699769</v>
      </c>
      <c r="J726" s="101">
        <f t="shared" si="1"/>
        <v>63.522692720778515</v>
      </c>
      <c r="K726" s="101">
        <f t="shared" si="2"/>
        <v>53</v>
      </c>
      <c r="L726" s="74">
        <f t="shared" si="535"/>
        <v>50</v>
      </c>
      <c r="M726" s="99">
        <f t="shared" si="191"/>
        <v>11742.057680555426</v>
      </c>
      <c r="N726" s="108">
        <f t="shared" si="690"/>
        <v>3882.9139402970359</v>
      </c>
      <c r="O726" s="108">
        <f t="shared" si="845"/>
        <v>7859.1437402583897</v>
      </c>
      <c r="P726" s="108"/>
      <c r="Q726" s="108"/>
      <c r="R726" s="109"/>
      <c r="S726" s="99">
        <f t="shared" si="694"/>
        <v>9867.1675692243916</v>
      </c>
      <c r="T726" s="108">
        <f t="shared" si="846"/>
        <v>3262.9172456914639</v>
      </c>
      <c r="U726" s="108">
        <f t="shared" si="847"/>
        <v>6604.2503235329277</v>
      </c>
      <c r="V726" s="108"/>
      <c r="W726" s="108"/>
      <c r="X726" s="109"/>
      <c r="Y726" s="99">
        <f t="shared" si="8"/>
        <v>19734.335138448783</v>
      </c>
      <c r="Z726" s="108">
        <f t="shared" ref="Z726:AA726" si="910">T726*$D$58/100</f>
        <v>6525.8344913829278</v>
      </c>
      <c r="AA726" s="108">
        <f t="shared" si="910"/>
        <v>13208.500647065855</v>
      </c>
      <c r="AB726" s="108"/>
      <c r="AC726" s="108"/>
      <c r="AD726" s="109"/>
      <c r="AE726" s="99">
        <f t="shared" si="866"/>
        <v>8.2017933699712149</v>
      </c>
      <c r="AF726" s="101">
        <f t="shared" si="849"/>
        <v>36</v>
      </c>
      <c r="AG726" s="101">
        <f t="shared" si="850"/>
        <v>19.001300000000001</v>
      </c>
      <c r="AH726" s="101">
        <f t="shared" si="851"/>
        <v>521</v>
      </c>
      <c r="AI726" s="101">
        <f t="shared" si="852"/>
        <v>200</v>
      </c>
      <c r="AJ726" s="112">
        <f t="shared" si="853"/>
        <v>2</v>
      </c>
      <c r="AK726" s="101">
        <f t="shared" si="461"/>
        <v>5464.3340202024392</v>
      </c>
      <c r="AL726" s="101">
        <f t="shared" si="854"/>
        <v>3262.9172456914639</v>
      </c>
      <c r="AM726" s="101">
        <f t="shared" si="855"/>
        <v>2201.4167745109758</v>
      </c>
      <c r="AN726" s="101"/>
      <c r="AO726" s="1">
        <v>24</v>
      </c>
      <c r="AP726" s="2">
        <v>36</v>
      </c>
      <c r="AQ726" s="74">
        <f t="shared" si="856"/>
        <v>521</v>
      </c>
      <c r="AR726" s="31">
        <f t="shared" si="857"/>
        <v>0</v>
      </c>
      <c r="AS726" s="2">
        <f t="shared" si="858"/>
        <v>0.8</v>
      </c>
      <c r="AT726" s="33">
        <f t="shared" si="859"/>
        <v>1</v>
      </c>
      <c r="AU726" s="31">
        <f t="shared" si="860"/>
        <v>0</v>
      </c>
      <c r="AV726" s="2">
        <f t="shared" si="861"/>
        <v>0</v>
      </c>
      <c r="AW726" s="33">
        <f t="shared" si="862"/>
        <v>5</v>
      </c>
      <c r="AX726" s="31">
        <f t="shared" si="863"/>
        <v>1</v>
      </c>
      <c r="AY726" s="33">
        <f t="shared" si="864"/>
        <v>3</v>
      </c>
      <c r="AZ726" s="2"/>
      <c r="BA726" s="101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</row>
    <row r="727" spans="1:71" ht="12" customHeight="1">
      <c r="A727" s="2"/>
      <c r="B727" s="107">
        <v>652</v>
      </c>
      <c r="C727" s="31">
        <v>10</v>
      </c>
      <c r="D727" s="111" t="s">
        <v>18</v>
      </c>
      <c r="E727" s="2" t="s">
        <v>145</v>
      </c>
      <c r="F727" s="2"/>
      <c r="G727" s="2"/>
      <c r="H727" s="33" t="s">
        <v>80</v>
      </c>
      <c r="I727" s="99">
        <f t="shared" si="0"/>
        <v>705.83622360004097</v>
      </c>
      <c r="J727" s="101">
        <f t="shared" si="1"/>
        <v>28.185356224514496</v>
      </c>
      <c r="K727" s="101">
        <f t="shared" si="2"/>
        <v>350</v>
      </c>
      <c r="L727" s="74">
        <f t="shared" si="535"/>
        <v>226</v>
      </c>
      <c r="M727" s="99">
        <f t="shared" si="191"/>
        <v>13047.224578832011</v>
      </c>
      <c r="N727" s="108">
        <f t="shared" si="690"/>
        <v>5188.0808385736209</v>
      </c>
      <c r="O727" s="108">
        <f t="shared" si="845"/>
        <v>7859.1437402583897</v>
      </c>
      <c r="P727" s="108"/>
      <c r="Q727" s="108"/>
      <c r="R727" s="109"/>
      <c r="S727" s="99">
        <f t="shared" si="694"/>
        <v>9867.1675692243916</v>
      </c>
      <c r="T727" s="108">
        <f t="shared" si="846"/>
        <v>3262.9172456914639</v>
      </c>
      <c r="U727" s="108">
        <f t="shared" si="847"/>
        <v>6604.2503235329277</v>
      </c>
      <c r="V727" s="108"/>
      <c r="W727" s="108"/>
      <c r="X727" s="109"/>
      <c r="Y727" s="99">
        <f t="shared" si="8"/>
        <v>19734.335138448783</v>
      </c>
      <c r="Z727" s="108">
        <f t="shared" ref="Z727:AA727" si="911">T727*$D$58/100</f>
        <v>6525.8344913829278</v>
      </c>
      <c r="AA727" s="108">
        <f t="shared" si="911"/>
        <v>13208.500647065855</v>
      </c>
      <c r="AB727" s="108"/>
      <c r="AC727" s="108"/>
      <c r="AD727" s="109"/>
      <c r="AE727" s="99">
        <f t="shared" si="866"/>
        <v>18.484776131615998</v>
      </c>
      <c r="AF727" s="101">
        <f t="shared" si="849"/>
        <v>36</v>
      </c>
      <c r="AG727" s="101">
        <f t="shared" si="850"/>
        <v>59.001300000000001</v>
      </c>
      <c r="AH727" s="101">
        <f t="shared" si="851"/>
        <v>521</v>
      </c>
      <c r="AI727" s="101">
        <f t="shared" si="852"/>
        <v>200</v>
      </c>
      <c r="AJ727" s="112">
        <f t="shared" si="853"/>
        <v>2.5</v>
      </c>
      <c r="AK727" s="101">
        <f t="shared" si="461"/>
        <v>5464.3340202024392</v>
      </c>
      <c r="AL727" s="101">
        <f t="shared" si="854"/>
        <v>3262.9172456914639</v>
      </c>
      <c r="AM727" s="101">
        <f t="shared" si="855"/>
        <v>2201.4167745109758</v>
      </c>
      <c r="AN727" s="101"/>
      <c r="AO727" s="1">
        <v>24</v>
      </c>
      <c r="AP727" s="2">
        <v>36</v>
      </c>
      <c r="AQ727" s="74">
        <f t="shared" si="856"/>
        <v>521</v>
      </c>
      <c r="AR727" s="31">
        <f t="shared" si="857"/>
        <v>0</v>
      </c>
      <c r="AS727" s="2">
        <f t="shared" si="858"/>
        <v>1</v>
      </c>
      <c r="AT727" s="33">
        <f t="shared" si="859"/>
        <v>1.2</v>
      </c>
      <c r="AU727" s="31">
        <f t="shared" si="860"/>
        <v>40</v>
      </c>
      <c r="AV727" s="2">
        <f t="shared" si="861"/>
        <v>0</v>
      </c>
      <c r="AW727" s="33" t="str">
        <f t="shared" si="862"/>
        <v>보스대상</v>
      </c>
      <c r="AX727" s="31">
        <f t="shared" si="863"/>
        <v>1</v>
      </c>
      <c r="AY727" s="33">
        <f t="shared" si="864"/>
        <v>3</v>
      </c>
      <c r="AZ727" s="2"/>
      <c r="BA727" s="101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</row>
    <row r="728" spans="1:71" ht="12" customHeight="1">
      <c r="A728" s="2"/>
      <c r="B728" s="107">
        <v>653</v>
      </c>
      <c r="C728" s="31">
        <v>10</v>
      </c>
      <c r="D728" s="111" t="s">
        <v>18</v>
      </c>
      <c r="E728" s="2" t="s">
        <v>132</v>
      </c>
      <c r="F728" s="2"/>
      <c r="G728" s="2"/>
      <c r="H728" s="33" t="s">
        <v>80</v>
      </c>
      <c r="I728" s="99">
        <f t="shared" si="0"/>
        <v>1143.4114037686218</v>
      </c>
      <c r="J728" s="101">
        <f t="shared" si="1"/>
        <v>28.185356224514496</v>
      </c>
      <c r="K728" s="101">
        <f t="shared" si="2"/>
        <v>106</v>
      </c>
      <c r="L728" s="74">
        <f t="shared" si="535"/>
        <v>90</v>
      </c>
      <c r="M728" s="99">
        <f t="shared" si="191"/>
        <v>21135.703824999764</v>
      </c>
      <c r="N728" s="108">
        <f t="shared" si="690"/>
        <v>6989.2450925346648</v>
      </c>
      <c r="O728" s="108">
        <f t="shared" si="845"/>
        <v>14146.458732465098</v>
      </c>
      <c r="P728" s="108"/>
      <c r="Q728" s="108"/>
      <c r="R728" s="109"/>
      <c r="S728" s="99">
        <f t="shared" si="694"/>
        <v>17760.901624603903</v>
      </c>
      <c r="T728" s="108">
        <f t="shared" si="846"/>
        <v>5873.2510422446348</v>
      </c>
      <c r="U728" s="108">
        <f t="shared" si="847"/>
        <v>11887.650582359267</v>
      </c>
      <c r="V728" s="108"/>
      <c r="W728" s="108"/>
      <c r="X728" s="109"/>
      <c r="Y728" s="99">
        <f t="shared" si="8"/>
        <v>35521.803249207805</v>
      </c>
      <c r="Z728" s="108">
        <f t="shared" ref="Z728:AA728" si="912">T728*$D$58/100</f>
        <v>11746.50208448927</v>
      </c>
      <c r="AA728" s="108">
        <f t="shared" si="912"/>
        <v>23775.301164718534</v>
      </c>
      <c r="AB728" s="108"/>
      <c r="AC728" s="108"/>
      <c r="AD728" s="109"/>
      <c r="AE728" s="99">
        <f t="shared" si="866"/>
        <v>18.484776131615998</v>
      </c>
      <c r="AF728" s="101">
        <f t="shared" si="849"/>
        <v>36</v>
      </c>
      <c r="AG728" s="101">
        <f t="shared" si="850"/>
        <v>19.001300000000001</v>
      </c>
      <c r="AH728" s="101">
        <f t="shared" si="851"/>
        <v>521</v>
      </c>
      <c r="AI728" s="101">
        <f t="shared" si="852"/>
        <v>200</v>
      </c>
      <c r="AJ728" s="112">
        <f t="shared" si="853"/>
        <v>2.5</v>
      </c>
      <c r="AK728" s="101">
        <f t="shared" si="461"/>
        <v>8196.5010303036597</v>
      </c>
      <c r="AL728" s="101">
        <f t="shared" si="854"/>
        <v>4894.3758685371959</v>
      </c>
      <c r="AM728" s="101">
        <f t="shared" si="855"/>
        <v>3302.1251617664634</v>
      </c>
      <c r="AN728" s="101"/>
      <c r="AO728" s="1">
        <v>24</v>
      </c>
      <c r="AP728" s="2">
        <v>36</v>
      </c>
      <c r="AQ728" s="74">
        <f t="shared" si="856"/>
        <v>521</v>
      </c>
      <c r="AR728" s="31">
        <f t="shared" si="857"/>
        <v>0</v>
      </c>
      <c r="AS728" s="2">
        <f t="shared" si="858"/>
        <v>1</v>
      </c>
      <c r="AT728" s="33">
        <f t="shared" si="859"/>
        <v>1.2</v>
      </c>
      <c r="AU728" s="31">
        <f t="shared" si="860"/>
        <v>0</v>
      </c>
      <c r="AV728" s="2">
        <f t="shared" si="861"/>
        <v>1</v>
      </c>
      <c r="AW728" s="33" t="str">
        <f t="shared" si="862"/>
        <v>보스대상</v>
      </c>
      <c r="AX728" s="31">
        <f t="shared" si="863"/>
        <v>1</v>
      </c>
      <c r="AY728" s="33">
        <f t="shared" si="864"/>
        <v>3</v>
      </c>
      <c r="AZ728" s="2"/>
      <c r="BA728" s="101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</row>
    <row r="729" spans="1:71" ht="12" customHeight="1">
      <c r="A729" s="2"/>
      <c r="B729" s="107">
        <v>654</v>
      </c>
      <c r="C729" s="31">
        <v>10</v>
      </c>
      <c r="D729" s="111" t="s">
        <v>18</v>
      </c>
      <c r="E729" s="2" t="s">
        <v>135</v>
      </c>
      <c r="F729" s="2"/>
      <c r="G729" s="2" t="s">
        <v>186</v>
      </c>
      <c r="H729" s="33" t="s">
        <v>80</v>
      </c>
      <c r="I729" s="99">
        <f t="shared" si="0"/>
        <v>1431.645147699769</v>
      </c>
      <c r="J729" s="101">
        <f t="shared" si="1"/>
        <v>63.522692720778515</v>
      </c>
      <c r="K729" s="101">
        <f t="shared" si="2"/>
        <v>53</v>
      </c>
      <c r="L729" s="74">
        <f t="shared" si="535"/>
        <v>50</v>
      </c>
      <c r="M729" s="99">
        <f t="shared" si="191"/>
        <v>11742.057680555426</v>
      </c>
      <c r="N729" s="108">
        <f t="shared" si="690"/>
        <v>3882.9139402970359</v>
      </c>
      <c r="O729" s="108">
        <f t="shared" si="845"/>
        <v>7859.1437402583897</v>
      </c>
      <c r="P729" s="108"/>
      <c r="Q729" s="108"/>
      <c r="R729" s="109"/>
      <c r="S729" s="99">
        <f t="shared" si="694"/>
        <v>9867.1675692243916</v>
      </c>
      <c r="T729" s="108">
        <f t="shared" si="846"/>
        <v>3262.9172456914639</v>
      </c>
      <c r="U729" s="108">
        <f t="shared" si="847"/>
        <v>6604.2503235329277</v>
      </c>
      <c r="V729" s="108"/>
      <c r="W729" s="108"/>
      <c r="X729" s="109"/>
      <c r="Y729" s="99">
        <f t="shared" si="8"/>
        <v>19734.335138448783</v>
      </c>
      <c r="Z729" s="108">
        <f t="shared" ref="Z729:AA729" si="913">T729*$D$58/100</f>
        <v>6525.8344913829278</v>
      </c>
      <c r="AA729" s="108">
        <f t="shared" si="913"/>
        <v>13208.500647065855</v>
      </c>
      <c r="AB729" s="108"/>
      <c r="AC729" s="108"/>
      <c r="AD729" s="109"/>
      <c r="AE729" s="99">
        <f t="shared" si="866"/>
        <v>8.2017933699712149</v>
      </c>
      <c r="AF729" s="101">
        <f t="shared" si="849"/>
        <v>36</v>
      </c>
      <c r="AG729" s="101">
        <f t="shared" si="850"/>
        <v>19.001300000000001</v>
      </c>
      <c r="AH729" s="101">
        <f t="shared" si="851"/>
        <v>521</v>
      </c>
      <c r="AI729" s="101">
        <f t="shared" si="852"/>
        <v>200</v>
      </c>
      <c r="AJ729" s="112">
        <f t="shared" si="853"/>
        <v>2.5</v>
      </c>
      <c r="AK729" s="101">
        <f t="shared" si="461"/>
        <v>5464.3340202024392</v>
      </c>
      <c r="AL729" s="101">
        <f t="shared" si="854"/>
        <v>3262.9172456914639</v>
      </c>
      <c r="AM729" s="101">
        <f t="shared" si="855"/>
        <v>2201.4167745109758</v>
      </c>
      <c r="AN729" s="101"/>
      <c r="AO729" s="1">
        <v>24</v>
      </c>
      <c r="AP729" s="2">
        <v>36</v>
      </c>
      <c r="AQ729" s="74">
        <f t="shared" si="856"/>
        <v>521</v>
      </c>
      <c r="AR729" s="31">
        <f t="shared" si="857"/>
        <v>0</v>
      </c>
      <c r="AS729" s="2">
        <f t="shared" si="858"/>
        <v>1</v>
      </c>
      <c r="AT729" s="33">
        <f t="shared" si="859"/>
        <v>1.2</v>
      </c>
      <c r="AU729" s="31">
        <f t="shared" si="860"/>
        <v>0</v>
      </c>
      <c r="AV729" s="2">
        <f t="shared" si="861"/>
        <v>0</v>
      </c>
      <c r="AW729" s="33">
        <f t="shared" si="862"/>
        <v>5</v>
      </c>
      <c r="AX729" s="31">
        <f t="shared" si="863"/>
        <v>1</v>
      </c>
      <c r="AY729" s="33">
        <f t="shared" si="864"/>
        <v>3</v>
      </c>
      <c r="AZ729" s="2"/>
      <c r="BA729" s="101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</row>
    <row r="730" spans="1:71" ht="12" customHeight="1">
      <c r="A730" s="2"/>
      <c r="B730" s="107">
        <v>655</v>
      </c>
      <c r="C730" s="31">
        <v>7</v>
      </c>
      <c r="D730" s="111" t="s">
        <v>18</v>
      </c>
      <c r="E730" s="2" t="s">
        <v>163</v>
      </c>
      <c r="F730" s="2"/>
      <c r="G730" s="2"/>
      <c r="H730" s="33" t="s">
        <v>80</v>
      </c>
      <c r="I730" s="99">
        <f t="shared" si="0"/>
        <v>515.82210945711779</v>
      </c>
      <c r="J730" s="101">
        <f t="shared" si="1"/>
        <v>25.060794637183101</v>
      </c>
      <c r="K730" s="101">
        <f t="shared" si="2"/>
        <v>581</v>
      </c>
      <c r="L730" s="74">
        <f t="shared" si="535"/>
        <v>317</v>
      </c>
      <c r="M730" s="99">
        <f t="shared" si="191"/>
        <v>7471.567779224275</v>
      </c>
      <c r="N730" s="108">
        <f t="shared" si="690"/>
        <v>4963.1165592367815</v>
      </c>
      <c r="O730" s="108">
        <f t="shared" si="845"/>
        <v>2508.4512199874939</v>
      </c>
      <c r="P730" s="108"/>
      <c r="Q730" s="108"/>
      <c r="R730" s="109"/>
      <c r="S730" s="99">
        <f t="shared" si="694"/>
        <v>5229.3506083390257</v>
      </c>
      <c r="T730" s="108">
        <f t="shared" si="846"/>
        <v>3121.4314343573178</v>
      </c>
      <c r="U730" s="108">
        <f t="shared" si="847"/>
        <v>2107.9191739817079</v>
      </c>
      <c r="V730" s="108"/>
      <c r="W730" s="108"/>
      <c r="X730" s="109"/>
      <c r="Y730" s="99">
        <f t="shared" si="8"/>
        <v>10458.701216678051</v>
      </c>
      <c r="Z730" s="108">
        <f t="shared" ref="Z730:AA730" si="914">T730*$D$58/100</f>
        <v>6242.8628687146356</v>
      </c>
      <c r="AA730" s="108">
        <f t="shared" si="914"/>
        <v>4215.8383479634158</v>
      </c>
      <c r="AB730" s="108"/>
      <c r="AC730" s="108"/>
      <c r="AD730" s="109"/>
      <c r="AE730" s="99">
        <f t="shared" si="866"/>
        <v>14.484776131615998</v>
      </c>
      <c r="AF730" s="101">
        <f t="shared" si="849"/>
        <v>36</v>
      </c>
      <c r="AG730" s="101">
        <f t="shared" si="850"/>
        <v>59.001300000000001</v>
      </c>
      <c r="AH730" s="101">
        <f t="shared" si="851"/>
        <v>363</v>
      </c>
      <c r="AI730" s="101">
        <f t="shared" si="852"/>
        <v>200</v>
      </c>
      <c r="AJ730" s="112">
        <f t="shared" si="853"/>
        <v>2.2222222222222223</v>
      </c>
      <c r="AK730" s="101">
        <f t="shared" si="461"/>
        <v>5229.3506083390257</v>
      </c>
      <c r="AL730" s="101">
        <f t="shared" si="854"/>
        <v>3121.4314343573178</v>
      </c>
      <c r="AM730" s="101">
        <f t="shared" si="855"/>
        <v>2107.9191739817079</v>
      </c>
      <c r="AN730" s="101"/>
      <c r="AO730" s="1">
        <v>24</v>
      </c>
      <c r="AP730" s="2">
        <v>36</v>
      </c>
      <c r="AQ730" s="74">
        <f t="shared" si="856"/>
        <v>363</v>
      </c>
      <c r="AR730" s="31">
        <f t="shared" si="857"/>
        <v>4</v>
      </c>
      <c r="AS730" s="2">
        <f t="shared" si="858"/>
        <v>1</v>
      </c>
      <c r="AT730" s="33">
        <f t="shared" si="859"/>
        <v>1</v>
      </c>
      <c r="AU730" s="31">
        <f t="shared" si="860"/>
        <v>40</v>
      </c>
      <c r="AV730" s="2">
        <f t="shared" si="861"/>
        <v>0</v>
      </c>
      <c r="AW730" s="33" t="str">
        <f t="shared" si="862"/>
        <v>보스대상</v>
      </c>
      <c r="AX730" s="31">
        <f t="shared" si="863"/>
        <v>1</v>
      </c>
      <c r="AY730" s="33">
        <f t="shared" si="864"/>
        <v>1</v>
      </c>
      <c r="AZ730" s="2"/>
      <c r="BA730" s="101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</row>
    <row r="731" spans="1:71" ht="12" customHeight="1">
      <c r="A731" s="2"/>
      <c r="B731" s="107">
        <v>656</v>
      </c>
      <c r="C731" s="31">
        <v>7</v>
      </c>
      <c r="D731" s="111" t="s">
        <v>18</v>
      </c>
      <c r="E731" s="2" t="s">
        <v>152</v>
      </c>
      <c r="F731" s="2"/>
      <c r="G731" s="2"/>
      <c r="H731" s="33" t="s">
        <v>80</v>
      </c>
      <c r="I731" s="99">
        <f t="shared" si="0"/>
        <v>644.43473087910388</v>
      </c>
      <c r="J731" s="101">
        <f t="shared" si="1"/>
        <v>25.060794637183101</v>
      </c>
      <c r="K731" s="101">
        <f t="shared" si="2"/>
        <v>416</v>
      </c>
      <c r="L731" s="74">
        <f t="shared" si="535"/>
        <v>258</v>
      </c>
      <c r="M731" s="99">
        <f t="shared" si="191"/>
        <v>9334.4928082220231</v>
      </c>
      <c r="N731" s="108">
        <f t="shared" si="690"/>
        <v>5571.815978240782</v>
      </c>
      <c r="O731" s="108">
        <f t="shared" si="845"/>
        <v>3762.6768299812406</v>
      </c>
      <c r="P731" s="108"/>
      <c r="Q731" s="108"/>
      <c r="R731" s="109"/>
      <c r="S731" s="99">
        <f t="shared" si="694"/>
        <v>7844.0259125085377</v>
      </c>
      <c r="T731" s="108">
        <f t="shared" si="846"/>
        <v>4682.1471515359763</v>
      </c>
      <c r="U731" s="108">
        <f t="shared" si="847"/>
        <v>3161.8787609725614</v>
      </c>
      <c r="V731" s="108"/>
      <c r="W731" s="108"/>
      <c r="X731" s="109"/>
      <c r="Y731" s="99">
        <f t="shared" si="8"/>
        <v>15688.051825017075</v>
      </c>
      <c r="Z731" s="108">
        <f t="shared" ref="Z731:AA731" si="915">T731*$D$58/100</f>
        <v>9364.2943030719525</v>
      </c>
      <c r="AA731" s="108">
        <f t="shared" si="915"/>
        <v>6323.7575219451228</v>
      </c>
      <c r="AB731" s="108"/>
      <c r="AC731" s="108"/>
      <c r="AD731" s="109"/>
      <c r="AE731" s="99">
        <f t="shared" si="866"/>
        <v>14.484776131615998</v>
      </c>
      <c r="AF731" s="101">
        <f t="shared" si="849"/>
        <v>36</v>
      </c>
      <c r="AG731" s="101">
        <f t="shared" si="850"/>
        <v>19.001300000000001</v>
      </c>
      <c r="AH731" s="101">
        <f t="shared" si="851"/>
        <v>363</v>
      </c>
      <c r="AI731" s="101">
        <f t="shared" si="852"/>
        <v>200</v>
      </c>
      <c r="AJ731" s="112">
        <f t="shared" si="853"/>
        <v>2.2222222222222223</v>
      </c>
      <c r="AK731" s="101">
        <f t="shared" si="461"/>
        <v>7844.0259125085377</v>
      </c>
      <c r="AL731" s="101">
        <f t="shared" si="854"/>
        <v>4682.1471515359763</v>
      </c>
      <c r="AM731" s="101">
        <f t="shared" si="855"/>
        <v>3161.8787609725614</v>
      </c>
      <c r="AN731" s="101"/>
      <c r="AO731" s="1">
        <v>24</v>
      </c>
      <c r="AP731" s="2">
        <v>36</v>
      </c>
      <c r="AQ731" s="74">
        <f t="shared" si="856"/>
        <v>363</v>
      </c>
      <c r="AR731" s="31">
        <f t="shared" si="857"/>
        <v>4</v>
      </c>
      <c r="AS731" s="2">
        <f t="shared" si="858"/>
        <v>1</v>
      </c>
      <c r="AT731" s="33">
        <f t="shared" si="859"/>
        <v>1</v>
      </c>
      <c r="AU731" s="31">
        <f t="shared" si="860"/>
        <v>0</v>
      </c>
      <c r="AV731" s="2">
        <f t="shared" si="861"/>
        <v>1</v>
      </c>
      <c r="AW731" s="33" t="str">
        <f t="shared" si="862"/>
        <v>보스대상</v>
      </c>
      <c r="AX731" s="31">
        <f t="shared" si="863"/>
        <v>1</v>
      </c>
      <c r="AY731" s="33">
        <f t="shared" si="864"/>
        <v>1</v>
      </c>
      <c r="AZ731" s="2"/>
      <c r="BA731" s="101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</row>
    <row r="732" spans="1:71" ht="12" customHeight="1">
      <c r="A732" s="2"/>
      <c r="B732" s="107">
        <v>657</v>
      </c>
      <c r="C732" s="31">
        <v>7</v>
      </c>
      <c r="D732" s="111" t="s">
        <v>18</v>
      </c>
      <c r="E732" s="2" t="s">
        <v>155</v>
      </c>
      <c r="F732" s="2"/>
      <c r="G732" s="2" t="s">
        <v>186</v>
      </c>
      <c r="H732" s="33" t="s">
        <v>80</v>
      </c>
      <c r="I732" s="99">
        <f t="shared" si="0"/>
        <v>968.26236201398365</v>
      </c>
      <c r="J732" s="101">
        <f t="shared" si="1"/>
        <v>56.480718015255015</v>
      </c>
      <c r="K732" s="101">
        <f t="shared" si="2"/>
        <v>176</v>
      </c>
      <c r="L732" s="74">
        <f t="shared" si="535"/>
        <v>136</v>
      </c>
      <c r="M732" s="99">
        <f t="shared" si="191"/>
        <v>6222.9952054813493</v>
      </c>
      <c r="N732" s="108">
        <f t="shared" si="690"/>
        <v>3714.543985493855</v>
      </c>
      <c r="O732" s="108">
        <f t="shared" si="845"/>
        <v>2508.4512199874939</v>
      </c>
      <c r="P732" s="108"/>
      <c r="Q732" s="108"/>
      <c r="R732" s="109"/>
      <c r="S732" s="99">
        <f t="shared" si="694"/>
        <v>5229.3506083390257</v>
      </c>
      <c r="T732" s="108">
        <f t="shared" si="846"/>
        <v>3121.4314343573178</v>
      </c>
      <c r="U732" s="108">
        <f t="shared" si="847"/>
        <v>2107.9191739817079</v>
      </c>
      <c r="V732" s="108"/>
      <c r="W732" s="108"/>
      <c r="X732" s="109"/>
      <c r="Y732" s="99">
        <f t="shared" si="8"/>
        <v>10458.701216678051</v>
      </c>
      <c r="Z732" s="108">
        <f t="shared" ref="Z732:AA732" si="916">T732*$D$58/100</f>
        <v>6242.8628687146356</v>
      </c>
      <c r="AA732" s="108">
        <f t="shared" si="916"/>
        <v>4215.8383479634158</v>
      </c>
      <c r="AB732" s="108"/>
      <c r="AC732" s="108"/>
      <c r="AD732" s="109"/>
      <c r="AE732" s="99">
        <f t="shared" si="866"/>
        <v>6.4269721199712162</v>
      </c>
      <c r="AF732" s="101">
        <f t="shared" si="849"/>
        <v>36</v>
      </c>
      <c r="AG732" s="101">
        <f t="shared" si="850"/>
        <v>19.001300000000001</v>
      </c>
      <c r="AH732" s="101">
        <f t="shared" si="851"/>
        <v>363</v>
      </c>
      <c r="AI732" s="101">
        <f t="shared" si="852"/>
        <v>200</v>
      </c>
      <c r="AJ732" s="112">
        <f t="shared" si="853"/>
        <v>2.2222222222222223</v>
      </c>
      <c r="AK732" s="101">
        <f t="shared" si="461"/>
        <v>5229.3506083390257</v>
      </c>
      <c r="AL732" s="101">
        <f t="shared" si="854"/>
        <v>3121.4314343573178</v>
      </c>
      <c r="AM732" s="101">
        <f t="shared" si="855"/>
        <v>2107.9191739817079</v>
      </c>
      <c r="AN732" s="101"/>
      <c r="AO732" s="1">
        <v>24</v>
      </c>
      <c r="AP732" s="2">
        <v>36</v>
      </c>
      <c r="AQ732" s="74">
        <f t="shared" si="856"/>
        <v>363</v>
      </c>
      <c r="AR732" s="31">
        <f t="shared" si="857"/>
        <v>4</v>
      </c>
      <c r="AS732" s="2">
        <f t="shared" si="858"/>
        <v>1</v>
      </c>
      <c r="AT732" s="33">
        <f t="shared" si="859"/>
        <v>1</v>
      </c>
      <c r="AU732" s="31">
        <f t="shared" si="860"/>
        <v>0</v>
      </c>
      <c r="AV732" s="2">
        <f t="shared" si="861"/>
        <v>0</v>
      </c>
      <c r="AW732" s="33">
        <f t="shared" si="862"/>
        <v>5</v>
      </c>
      <c r="AX732" s="31">
        <f t="shared" si="863"/>
        <v>1</v>
      </c>
      <c r="AY732" s="33">
        <f t="shared" si="864"/>
        <v>1</v>
      </c>
      <c r="AZ732" s="2"/>
      <c r="BA732" s="101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</row>
    <row r="733" spans="1:71" ht="12" customHeight="1">
      <c r="A733" s="2"/>
      <c r="B733" s="107">
        <v>658</v>
      </c>
      <c r="C733" s="31">
        <v>7</v>
      </c>
      <c r="D733" s="111" t="s">
        <v>18</v>
      </c>
      <c r="E733" s="2" t="s">
        <v>168</v>
      </c>
      <c r="F733" s="2"/>
      <c r="G733" s="2"/>
      <c r="H733" s="33" t="s">
        <v>80</v>
      </c>
      <c r="I733" s="99">
        <f t="shared" si="0"/>
        <v>404.20115050487692</v>
      </c>
      <c r="J733" s="101">
        <f t="shared" si="1"/>
        <v>19.637781784066725</v>
      </c>
      <c r="K733" s="101">
        <f t="shared" si="2"/>
        <v>727</v>
      </c>
      <c r="L733" s="74">
        <f t="shared" si="535"/>
        <v>377</v>
      </c>
      <c r="M733" s="99">
        <f t="shared" si="191"/>
        <v>7471.567779224275</v>
      </c>
      <c r="N733" s="108">
        <f t="shared" si="690"/>
        <v>4963.1165592367815</v>
      </c>
      <c r="O733" s="108">
        <f t="shared" si="845"/>
        <v>2508.4512199874939</v>
      </c>
      <c r="P733" s="108"/>
      <c r="Q733" s="108"/>
      <c r="R733" s="109"/>
      <c r="S733" s="99">
        <f t="shared" si="694"/>
        <v>5229.3506083390257</v>
      </c>
      <c r="T733" s="108">
        <f t="shared" si="846"/>
        <v>3121.4314343573178</v>
      </c>
      <c r="U733" s="108">
        <f t="shared" si="847"/>
        <v>2107.9191739817079</v>
      </c>
      <c r="V733" s="108"/>
      <c r="W733" s="108"/>
      <c r="X733" s="109"/>
      <c r="Y733" s="99">
        <f t="shared" si="8"/>
        <v>10458.701216678051</v>
      </c>
      <c r="Z733" s="108">
        <f t="shared" ref="Z733:AA733" si="917">T733*$D$58/100</f>
        <v>6242.8628687146356</v>
      </c>
      <c r="AA733" s="108">
        <f t="shared" si="917"/>
        <v>4215.8383479634158</v>
      </c>
      <c r="AB733" s="108"/>
      <c r="AC733" s="108"/>
      <c r="AD733" s="109"/>
      <c r="AE733" s="99">
        <f t="shared" si="866"/>
        <v>18.484776131615998</v>
      </c>
      <c r="AF733" s="101">
        <f t="shared" si="849"/>
        <v>36</v>
      </c>
      <c r="AG733" s="101">
        <f t="shared" si="850"/>
        <v>59.001300000000001</v>
      </c>
      <c r="AH733" s="101">
        <f t="shared" si="851"/>
        <v>363</v>
      </c>
      <c r="AI733" s="101">
        <f t="shared" si="852"/>
        <v>200</v>
      </c>
      <c r="AJ733" s="112">
        <f t="shared" si="853"/>
        <v>1.7777777777777777</v>
      </c>
      <c r="AK733" s="101">
        <f t="shared" si="461"/>
        <v>5229.3506083390257</v>
      </c>
      <c r="AL733" s="101">
        <f t="shared" si="854"/>
        <v>3121.4314343573178</v>
      </c>
      <c r="AM733" s="101">
        <f t="shared" si="855"/>
        <v>2107.9191739817079</v>
      </c>
      <c r="AN733" s="101"/>
      <c r="AO733" s="1">
        <v>24</v>
      </c>
      <c r="AP733" s="2">
        <v>36</v>
      </c>
      <c r="AQ733" s="74">
        <f t="shared" si="856"/>
        <v>363</v>
      </c>
      <c r="AR733" s="31">
        <f t="shared" si="857"/>
        <v>0</v>
      </c>
      <c r="AS733" s="2">
        <f t="shared" si="858"/>
        <v>0.8</v>
      </c>
      <c r="AT733" s="33">
        <f t="shared" si="859"/>
        <v>1</v>
      </c>
      <c r="AU733" s="31">
        <f t="shared" si="860"/>
        <v>40</v>
      </c>
      <c r="AV733" s="2">
        <f t="shared" si="861"/>
        <v>0</v>
      </c>
      <c r="AW733" s="33" t="str">
        <f t="shared" si="862"/>
        <v>보스대상</v>
      </c>
      <c r="AX733" s="31">
        <f t="shared" si="863"/>
        <v>1</v>
      </c>
      <c r="AY733" s="33">
        <f t="shared" si="864"/>
        <v>1</v>
      </c>
      <c r="AZ733" s="2"/>
      <c r="BA733" s="101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</row>
    <row r="734" spans="1:71" ht="12" customHeight="1">
      <c r="A734" s="2"/>
      <c r="B734" s="107">
        <v>659</v>
      </c>
      <c r="C734" s="31">
        <v>7</v>
      </c>
      <c r="D734" s="111" t="s">
        <v>18</v>
      </c>
      <c r="E734" s="2" t="s">
        <v>101</v>
      </c>
      <c r="F734" s="2"/>
      <c r="G734" s="2"/>
      <c r="H734" s="33" t="s">
        <v>80</v>
      </c>
      <c r="I734" s="99">
        <f t="shared" si="0"/>
        <v>504.98273507659582</v>
      </c>
      <c r="J734" s="101">
        <f t="shared" si="1"/>
        <v>19.637781784066725</v>
      </c>
      <c r="K734" s="101">
        <f t="shared" si="2"/>
        <v>589</v>
      </c>
      <c r="L734" s="74">
        <f t="shared" si="535"/>
        <v>323</v>
      </c>
      <c r="M734" s="99">
        <f t="shared" si="191"/>
        <v>9334.4928082220231</v>
      </c>
      <c r="N734" s="108">
        <f t="shared" si="690"/>
        <v>5571.815978240782</v>
      </c>
      <c r="O734" s="108">
        <f t="shared" si="845"/>
        <v>3762.6768299812406</v>
      </c>
      <c r="P734" s="108"/>
      <c r="Q734" s="108"/>
      <c r="R734" s="109"/>
      <c r="S734" s="99">
        <f t="shared" si="694"/>
        <v>7844.0259125085377</v>
      </c>
      <c r="T734" s="108">
        <f t="shared" si="846"/>
        <v>4682.1471515359763</v>
      </c>
      <c r="U734" s="108">
        <f t="shared" si="847"/>
        <v>3161.8787609725614</v>
      </c>
      <c r="V734" s="108"/>
      <c r="W734" s="108"/>
      <c r="X734" s="109"/>
      <c r="Y734" s="99">
        <f t="shared" si="8"/>
        <v>15688.051825017075</v>
      </c>
      <c r="Z734" s="108">
        <f t="shared" ref="Z734:AA734" si="918">T734*$D$58/100</f>
        <v>9364.2943030719525</v>
      </c>
      <c r="AA734" s="108">
        <f t="shared" si="918"/>
        <v>6323.7575219451228</v>
      </c>
      <c r="AB734" s="108"/>
      <c r="AC734" s="108"/>
      <c r="AD734" s="109"/>
      <c r="AE734" s="99">
        <f t="shared" si="866"/>
        <v>18.484776131615998</v>
      </c>
      <c r="AF734" s="101">
        <f t="shared" si="849"/>
        <v>36</v>
      </c>
      <c r="AG734" s="101">
        <f t="shared" si="850"/>
        <v>19.001300000000001</v>
      </c>
      <c r="AH734" s="101">
        <f t="shared" si="851"/>
        <v>363</v>
      </c>
      <c r="AI734" s="101">
        <f t="shared" si="852"/>
        <v>200</v>
      </c>
      <c r="AJ734" s="112">
        <f t="shared" si="853"/>
        <v>1.7777777777777777</v>
      </c>
      <c r="AK734" s="101">
        <f t="shared" si="461"/>
        <v>7844.0259125085377</v>
      </c>
      <c r="AL734" s="101">
        <f t="shared" si="854"/>
        <v>4682.1471515359763</v>
      </c>
      <c r="AM734" s="101">
        <f t="shared" si="855"/>
        <v>3161.8787609725614</v>
      </c>
      <c r="AN734" s="101"/>
      <c r="AO734" s="1">
        <v>24</v>
      </c>
      <c r="AP734" s="2">
        <v>36</v>
      </c>
      <c r="AQ734" s="74">
        <f t="shared" si="856"/>
        <v>363</v>
      </c>
      <c r="AR734" s="31">
        <f t="shared" si="857"/>
        <v>0</v>
      </c>
      <c r="AS734" s="2">
        <f t="shared" si="858"/>
        <v>0.8</v>
      </c>
      <c r="AT734" s="33">
        <f t="shared" si="859"/>
        <v>1</v>
      </c>
      <c r="AU734" s="31">
        <f t="shared" si="860"/>
        <v>0</v>
      </c>
      <c r="AV734" s="2">
        <f t="shared" si="861"/>
        <v>1</v>
      </c>
      <c r="AW734" s="33" t="str">
        <f t="shared" si="862"/>
        <v>보스대상</v>
      </c>
      <c r="AX734" s="31">
        <f t="shared" si="863"/>
        <v>1</v>
      </c>
      <c r="AY734" s="33">
        <f t="shared" si="864"/>
        <v>1</v>
      </c>
      <c r="AZ734" s="2"/>
      <c r="BA734" s="101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</row>
    <row r="735" spans="1:71" ht="12" customHeight="1">
      <c r="A735" s="2"/>
      <c r="B735" s="107">
        <v>660</v>
      </c>
      <c r="C735" s="31">
        <v>7</v>
      </c>
      <c r="D735" s="111" t="s">
        <v>18</v>
      </c>
      <c r="E735" s="2" t="s">
        <v>103</v>
      </c>
      <c r="F735" s="2"/>
      <c r="G735" s="2" t="s">
        <v>186</v>
      </c>
      <c r="H735" s="33" t="s">
        <v>80</v>
      </c>
      <c r="I735" s="99">
        <f t="shared" si="0"/>
        <v>758.73591600896304</v>
      </c>
      <c r="J735" s="101">
        <f t="shared" si="1"/>
        <v>44.258613162461806</v>
      </c>
      <c r="K735" s="101">
        <f t="shared" si="2"/>
        <v>295</v>
      </c>
      <c r="L735" s="74">
        <f t="shared" si="535"/>
        <v>202</v>
      </c>
      <c r="M735" s="99">
        <f t="shared" si="191"/>
        <v>6222.9952054813493</v>
      </c>
      <c r="N735" s="108">
        <f t="shared" si="690"/>
        <v>3714.543985493855</v>
      </c>
      <c r="O735" s="108">
        <f t="shared" si="845"/>
        <v>2508.4512199874939</v>
      </c>
      <c r="P735" s="108"/>
      <c r="Q735" s="108"/>
      <c r="R735" s="109"/>
      <c r="S735" s="99">
        <f t="shared" si="694"/>
        <v>5229.3506083390257</v>
      </c>
      <c r="T735" s="108">
        <f t="shared" si="846"/>
        <v>3121.4314343573178</v>
      </c>
      <c r="U735" s="108">
        <f t="shared" si="847"/>
        <v>2107.9191739817079</v>
      </c>
      <c r="V735" s="108"/>
      <c r="W735" s="108"/>
      <c r="X735" s="109"/>
      <c r="Y735" s="99">
        <f t="shared" si="8"/>
        <v>10458.701216678051</v>
      </c>
      <c r="Z735" s="108">
        <f t="shared" ref="Z735:AA735" si="919">T735*$D$58/100</f>
        <v>6242.8628687146356</v>
      </c>
      <c r="AA735" s="108">
        <f t="shared" si="919"/>
        <v>4215.8383479634158</v>
      </c>
      <c r="AB735" s="108"/>
      <c r="AC735" s="108"/>
      <c r="AD735" s="109"/>
      <c r="AE735" s="99">
        <f t="shared" si="866"/>
        <v>8.2017933699712149</v>
      </c>
      <c r="AF735" s="101">
        <f t="shared" si="849"/>
        <v>36</v>
      </c>
      <c r="AG735" s="101">
        <f t="shared" si="850"/>
        <v>19.001300000000001</v>
      </c>
      <c r="AH735" s="101">
        <f t="shared" si="851"/>
        <v>363</v>
      </c>
      <c r="AI735" s="101">
        <f t="shared" si="852"/>
        <v>200</v>
      </c>
      <c r="AJ735" s="112">
        <f t="shared" si="853"/>
        <v>1.7777777777777777</v>
      </c>
      <c r="AK735" s="101">
        <f t="shared" si="461"/>
        <v>5229.3506083390257</v>
      </c>
      <c r="AL735" s="101">
        <f t="shared" si="854"/>
        <v>3121.4314343573178</v>
      </c>
      <c r="AM735" s="101">
        <f t="shared" si="855"/>
        <v>2107.9191739817079</v>
      </c>
      <c r="AN735" s="101"/>
      <c r="AO735" s="1">
        <v>24</v>
      </c>
      <c r="AP735" s="2">
        <v>36</v>
      </c>
      <c r="AQ735" s="74">
        <f t="shared" si="856"/>
        <v>363</v>
      </c>
      <c r="AR735" s="31">
        <f t="shared" si="857"/>
        <v>0</v>
      </c>
      <c r="AS735" s="2">
        <f t="shared" si="858"/>
        <v>0.8</v>
      </c>
      <c r="AT735" s="33">
        <f t="shared" si="859"/>
        <v>1</v>
      </c>
      <c r="AU735" s="31">
        <f t="shared" si="860"/>
        <v>0</v>
      </c>
      <c r="AV735" s="2">
        <f t="shared" si="861"/>
        <v>0</v>
      </c>
      <c r="AW735" s="33">
        <f t="shared" si="862"/>
        <v>5</v>
      </c>
      <c r="AX735" s="31">
        <f t="shared" si="863"/>
        <v>1</v>
      </c>
      <c r="AY735" s="33">
        <f t="shared" si="864"/>
        <v>1</v>
      </c>
      <c r="AZ735" s="2"/>
      <c r="BA735" s="101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</row>
    <row r="736" spans="1:71" ht="12" customHeight="1">
      <c r="A736" s="2"/>
      <c r="B736" s="107">
        <v>661</v>
      </c>
      <c r="C736" s="31">
        <v>7</v>
      </c>
      <c r="D736" s="111" t="s">
        <v>18</v>
      </c>
      <c r="E736" s="2" t="s">
        <v>179</v>
      </c>
      <c r="F736" s="2"/>
      <c r="G736" s="2"/>
      <c r="H736" s="33" t="s">
        <v>80</v>
      </c>
      <c r="I736" s="99">
        <f t="shared" si="0"/>
        <v>404.20115050487692</v>
      </c>
      <c r="J736" s="101">
        <f t="shared" si="1"/>
        <v>19.637781784066725</v>
      </c>
      <c r="K736" s="101">
        <f t="shared" si="2"/>
        <v>727</v>
      </c>
      <c r="L736" s="74">
        <f t="shared" si="535"/>
        <v>377</v>
      </c>
      <c r="M736" s="99">
        <f t="shared" si="191"/>
        <v>7471.567779224275</v>
      </c>
      <c r="N736" s="108">
        <f t="shared" si="690"/>
        <v>4963.1165592367815</v>
      </c>
      <c r="O736" s="108">
        <f t="shared" si="845"/>
        <v>2508.4512199874939</v>
      </c>
      <c r="P736" s="108"/>
      <c r="Q736" s="108"/>
      <c r="R736" s="109"/>
      <c r="S736" s="99">
        <f t="shared" si="694"/>
        <v>5229.3506083390257</v>
      </c>
      <c r="T736" s="108">
        <f t="shared" si="846"/>
        <v>3121.4314343573178</v>
      </c>
      <c r="U736" s="108">
        <f t="shared" si="847"/>
        <v>2107.9191739817079</v>
      </c>
      <c r="V736" s="108"/>
      <c r="W736" s="108"/>
      <c r="X736" s="109"/>
      <c r="Y736" s="99">
        <f t="shared" si="8"/>
        <v>10458.701216678051</v>
      </c>
      <c r="Z736" s="108">
        <f t="shared" ref="Z736:AA736" si="920">T736*$D$58/100</f>
        <v>6242.8628687146356</v>
      </c>
      <c r="AA736" s="108">
        <f t="shared" si="920"/>
        <v>4215.8383479634158</v>
      </c>
      <c r="AB736" s="108"/>
      <c r="AC736" s="108"/>
      <c r="AD736" s="109"/>
      <c r="AE736" s="99">
        <f t="shared" si="866"/>
        <v>18.484776131615998</v>
      </c>
      <c r="AF736" s="101">
        <f t="shared" si="849"/>
        <v>36</v>
      </c>
      <c r="AG736" s="101">
        <f t="shared" si="850"/>
        <v>59.001300000000001</v>
      </c>
      <c r="AH736" s="101">
        <f t="shared" si="851"/>
        <v>363</v>
      </c>
      <c r="AI736" s="101">
        <f t="shared" si="852"/>
        <v>200</v>
      </c>
      <c r="AJ736" s="112">
        <f t="shared" si="853"/>
        <v>2.2222222222222223</v>
      </c>
      <c r="AK736" s="101">
        <f t="shared" si="461"/>
        <v>5229.3506083390257</v>
      </c>
      <c r="AL736" s="101">
        <f t="shared" si="854"/>
        <v>3121.4314343573178</v>
      </c>
      <c r="AM736" s="101">
        <f t="shared" si="855"/>
        <v>2107.9191739817079</v>
      </c>
      <c r="AN736" s="101"/>
      <c r="AO736" s="1">
        <v>24</v>
      </c>
      <c r="AP736" s="2">
        <v>36</v>
      </c>
      <c r="AQ736" s="74">
        <f t="shared" si="856"/>
        <v>363</v>
      </c>
      <c r="AR736" s="31">
        <f t="shared" si="857"/>
        <v>0</v>
      </c>
      <c r="AS736" s="2">
        <f t="shared" si="858"/>
        <v>1</v>
      </c>
      <c r="AT736" s="33">
        <f t="shared" si="859"/>
        <v>1.2</v>
      </c>
      <c r="AU736" s="31">
        <f t="shared" si="860"/>
        <v>40</v>
      </c>
      <c r="AV736" s="2">
        <f t="shared" si="861"/>
        <v>0</v>
      </c>
      <c r="AW736" s="33" t="str">
        <f t="shared" si="862"/>
        <v>보스대상</v>
      </c>
      <c r="AX736" s="31">
        <f t="shared" si="863"/>
        <v>1</v>
      </c>
      <c r="AY736" s="33">
        <f t="shared" si="864"/>
        <v>1</v>
      </c>
      <c r="AZ736" s="2"/>
      <c r="BA736" s="101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</row>
    <row r="737" spans="1:71" ht="12" customHeight="1">
      <c r="A737" s="2"/>
      <c r="B737" s="107">
        <v>662</v>
      </c>
      <c r="C737" s="31">
        <v>7</v>
      </c>
      <c r="D737" s="111" t="s">
        <v>18</v>
      </c>
      <c r="E737" s="2" t="s">
        <v>117</v>
      </c>
      <c r="F737" s="2"/>
      <c r="G737" s="2"/>
      <c r="H737" s="33" t="s">
        <v>80</v>
      </c>
      <c r="I737" s="99">
        <f t="shared" si="0"/>
        <v>605.9792820919148</v>
      </c>
      <c r="J737" s="101">
        <f t="shared" si="1"/>
        <v>19.637781784066725</v>
      </c>
      <c r="K737" s="101">
        <f t="shared" si="2"/>
        <v>456</v>
      </c>
      <c r="L737" s="74">
        <f t="shared" si="535"/>
        <v>267</v>
      </c>
      <c r="M737" s="99">
        <f t="shared" si="191"/>
        <v>11201.391369866426</v>
      </c>
      <c r="N737" s="108">
        <f t="shared" si="690"/>
        <v>6686.1791738889369</v>
      </c>
      <c r="O737" s="108">
        <f t="shared" si="845"/>
        <v>4515.2121959774886</v>
      </c>
      <c r="P737" s="108"/>
      <c r="Q737" s="108"/>
      <c r="R737" s="109"/>
      <c r="S737" s="99">
        <f t="shared" si="694"/>
        <v>9412.8310950102441</v>
      </c>
      <c r="T737" s="108">
        <f t="shared" si="846"/>
        <v>5618.576581843171</v>
      </c>
      <c r="U737" s="108">
        <f t="shared" si="847"/>
        <v>3794.2545131670736</v>
      </c>
      <c r="V737" s="108"/>
      <c r="W737" s="108"/>
      <c r="X737" s="109"/>
      <c r="Y737" s="99">
        <f t="shared" si="8"/>
        <v>18825.662190020488</v>
      </c>
      <c r="Z737" s="108">
        <f t="shared" ref="Z737:AA737" si="921">T737*$D$58/100</f>
        <v>11237.153163686342</v>
      </c>
      <c r="AA737" s="108">
        <f t="shared" si="921"/>
        <v>7588.5090263341472</v>
      </c>
      <c r="AB737" s="108"/>
      <c r="AC737" s="108"/>
      <c r="AD737" s="109"/>
      <c r="AE737" s="99">
        <f t="shared" si="866"/>
        <v>18.484776131615998</v>
      </c>
      <c r="AF737" s="101">
        <f t="shared" si="849"/>
        <v>36</v>
      </c>
      <c r="AG737" s="101">
        <f t="shared" si="850"/>
        <v>19.001300000000001</v>
      </c>
      <c r="AH737" s="101">
        <f t="shared" si="851"/>
        <v>363</v>
      </c>
      <c r="AI737" s="101">
        <f t="shared" si="852"/>
        <v>200</v>
      </c>
      <c r="AJ737" s="112">
        <f t="shared" si="853"/>
        <v>2.2222222222222223</v>
      </c>
      <c r="AK737" s="101">
        <f t="shared" si="461"/>
        <v>7844.0259125085377</v>
      </c>
      <c r="AL737" s="101">
        <f t="shared" si="854"/>
        <v>4682.1471515359763</v>
      </c>
      <c r="AM737" s="101">
        <f t="shared" si="855"/>
        <v>3161.8787609725614</v>
      </c>
      <c r="AN737" s="101"/>
      <c r="AO737" s="1">
        <v>24</v>
      </c>
      <c r="AP737" s="2">
        <v>36</v>
      </c>
      <c r="AQ737" s="74">
        <f t="shared" si="856"/>
        <v>363</v>
      </c>
      <c r="AR737" s="31">
        <f t="shared" si="857"/>
        <v>0</v>
      </c>
      <c r="AS737" s="2">
        <f t="shared" si="858"/>
        <v>1</v>
      </c>
      <c r="AT737" s="33">
        <f t="shared" si="859"/>
        <v>1.2</v>
      </c>
      <c r="AU737" s="31">
        <f t="shared" si="860"/>
        <v>0</v>
      </c>
      <c r="AV737" s="2">
        <f t="shared" si="861"/>
        <v>1</v>
      </c>
      <c r="AW737" s="33" t="str">
        <f t="shared" si="862"/>
        <v>보스대상</v>
      </c>
      <c r="AX737" s="31">
        <f t="shared" si="863"/>
        <v>1</v>
      </c>
      <c r="AY737" s="33">
        <f t="shared" si="864"/>
        <v>1</v>
      </c>
      <c r="AZ737" s="2"/>
      <c r="BA737" s="101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</row>
    <row r="738" spans="1:71" ht="12" customHeight="1">
      <c r="A738" s="2"/>
      <c r="B738" s="107">
        <v>663</v>
      </c>
      <c r="C738" s="31">
        <v>7</v>
      </c>
      <c r="D738" s="111" t="s">
        <v>18</v>
      </c>
      <c r="E738" s="2" t="s">
        <v>134</v>
      </c>
      <c r="F738" s="2"/>
      <c r="G738" s="2" t="s">
        <v>186</v>
      </c>
      <c r="H738" s="33" t="s">
        <v>80</v>
      </c>
      <c r="I738" s="99">
        <f t="shared" si="0"/>
        <v>758.73591600896304</v>
      </c>
      <c r="J738" s="101">
        <f t="shared" si="1"/>
        <v>44.258613162461806</v>
      </c>
      <c r="K738" s="101">
        <f t="shared" si="2"/>
        <v>295</v>
      </c>
      <c r="L738" s="74">
        <f t="shared" si="535"/>
        <v>202</v>
      </c>
      <c r="M738" s="99">
        <f t="shared" si="191"/>
        <v>6222.9952054813493</v>
      </c>
      <c r="N738" s="108">
        <f t="shared" si="690"/>
        <v>3714.543985493855</v>
      </c>
      <c r="O738" s="108">
        <f t="shared" si="845"/>
        <v>2508.4512199874939</v>
      </c>
      <c r="P738" s="108"/>
      <c r="Q738" s="108"/>
      <c r="R738" s="109"/>
      <c r="S738" s="99">
        <f t="shared" si="694"/>
        <v>5229.3506083390257</v>
      </c>
      <c r="T738" s="108">
        <f t="shared" si="846"/>
        <v>3121.4314343573178</v>
      </c>
      <c r="U738" s="108">
        <f t="shared" si="847"/>
        <v>2107.9191739817079</v>
      </c>
      <c r="V738" s="108"/>
      <c r="W738" s="108"/>
      <c r="X738" s="109"/>
      <c r="Y738" s="99">
        <f t="shared" si="8"/>
        <v>10458.701216678051</v>
      </c>
      <c r="Z738" s="108">
        <f t="shared" ref="Z738:AA738" si="922">T738*$D$58/100</f>
        <v>6242.8628687146356</v>
      </c>
      <c r="AA738" s="108">
        <f t="shared" si="922"/>
        <v>4215.8383479634158</v>
      </c>
      <c r="AB738" s="108"/>
      <c r="AC738" s="108"/>
      <c r="AD738" s="109"/>
      <c r="AE738" s="99">
        <f t="shared" si="866"/>
        <v>8.2017933699712149</v>
      </c>
      <c r="AF738" s="101">
        <f t="shared" si="849"/>
        <v>36</v>
      </c>
      <c r="AG738" s="101">
        <f t="shared" si="850"/>
        <v>19.001300000000001</v>
      </c>
      <c r="AH738" s="101">
        <f t="shared" si="851"/>
        <v>363</v>
      </c>
      <c r="AI738" s="101">
        <f t="shared" si="852"/>
        <v>200</v>
      </c>
      <c r="AJ738" s="112">
        <f t="shared" si="853"/>
        <v>2.2222222222222223</v>
      </c>
      <c r="AK738" s="101">
        <f t="shared" si="461"/>
        <v>5229.3506083390257</v>
      </c>
      <c r="AL738" s="101">
        <f t="shared" si="854"/>
        <v>3121.4314343573178</v>
      </c>
      <c r="AM738" s="101">
        <f t="shared" si="855"/>
        <v>2107.9191739817079</v>
      </c>
      <c r="AN738" s="101"/>
      <c r="AO738" s="1">
        <v>24</v>
      </c>
      <c r="AP738" s="2">
        <v>36</v>
      </c>
      <c r="AQ738" s="74">
        <f t="shared" si="856"/>
        <v>363</v>
      </c>
      <c r="AR738" s="31">
        <f t="shared" si="857"/>
        <v>0</v>
      </c>
      <c r="AS738" s="2">
        <f t="shared" si="858"/>
        <v>1</v>
      </c>
      <c r="AT738" s="33">
        <f t="shared" si="859"/>
        <v>1.2</v>
      </c>
      <c r="AU738" s="31">
        <f t="shared" si="860"/>
        <v>0</v>
      </c>
      <c r="AV738" s="2">
        <f t="shared" si="861"/>
        <v>0</v>
      </c>
      <c r="AW738" s="33">
        <f t="shared" si="862"/>
        <v>5</v>
      </c>
      <c r="AX738" s="31">
        <f t="shared" si="863"/>
        <v>1</v>
      </c>
      <c r="AY738" s="33">
        <f t="shared" si="864"/>
        <v>1</v>
      </c>
      <c r="AZ738" s="2"/>
      <c r="BA738" s="101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</row>
    <row r="739" spans="1:71" ht="12" customHeight="1">
      <c r="A739" s="2"/>
      <c r="B739" s="107">
        <v>664</v>
      </c>
      <c r="C739" s="31">
        <v>4</v>
      </c>
      <c r="D739" s="111" t="s">
        <v>18</v>
      </c>
      <c r="E739" s="2" t="s">
        <v>148</v>
      </c>
      <c r="F739" s="2"/>
      <c r="G739" s="2"/>
      <c r="H739" s="33" t="s">
        <v>80</v>
      </c>
      <c r="I739" s="99">
        <f t="shared" si="0"/>
        <v>397.94502701033133</v>
      </c>
      <c r="J739" s="101">
        <f t="shared" si="1"/>
        <v>13.738562349309744</v>
      </c>
      <c r="K739" s="101">
        <f t="shared" si="2"/>
        <v>735</v>
      </c>
      <c r="L739" s="74">
        <f t="shared" si="535"/>
        <v>383</v>
      </c>
      <c r="M739" s="99">
        <f t="shared" si="191"/>
        <v>5764.1446289345313</v>
      </c>
      <c r="N739" s="108">
        <f t="shared" si="690"/>
        <v>3440.5758339368094</v>
      </c>
      <c r="O739" s="108">
        <f t="shared" si="845"/>
        <v>2323.5687949977214</v>
      </c>
      <c r="P739" s="108"/>
      <c r="Q739" s="108"/>
      <c r="R739" s="109"/>
      <c r="S739" s="99">
        <f t="shared" si="694"/>
        <v>4843.7661008195128</v>
      </c>
      <c r="T739" s="108">
        <f t="shared" si="846"/>
        <v>2891.2086119536589</v>
      </c>
      <c r="U739" s="108">
        <f t="shared" si="847"/>
        <v>1952.5574888658539</v>
      </c>
      <c r="V739" s="108"/>
      <c r="W739" s="108"/>
      <c r="X739" s="109"/>
      <c r="Y739" s="99">
        <f t="shared" si="8"/>
        <v>9687.5322016390255</v>
      </c>
      <c r="Z739" s="108">
        <f t="shared" ref="Z739:AA739" si="923">T739*$D$58/100</f>
        <v>5782.4172239073177</v>
      </c>
      <c r="AA739" s="108">
        <f t="shared" si="923"/>
        <v>3905.1149777317078</v>
      </c>
      <c r="AB739" s="108"/>
      <c r="AC739" s="108"/>
      <c r="AD739" s="109"/>
      <c r="AE739" s="99">
        <f t="shared" si="866"/>
        <v>14.484776131615998</v>
      </c>
      <c r="AF739" s="101">
        <f t="shared" si="849"/>
        <v>36</v>
      </c>
      <c r="AG739" s="101">
        <f t="shared" si="850"/>
        <v>19.001300000000001</v>
      </c>
      <c r="AH739" s="101">
        <f t="shared" si="851"/>
        <v>199</v>
      </c>
      <c r="AI739" s="101">
        <f t="shared" si="852"/>
        <v>200</v>
      </c>
      <c r="AJ739" s="112">
        <f t="shared" si="853"/>
        <v>2.2222222222222223</v>
      </c>
      <c r="AK739" s="101">
        <f t="shared" si="461"/>
        <v>4843.7661008195128</v>
      </c>
      <c r="AL739" s="101">
        <f t="shared" si="854"/>
        <v>2891.2086119536589</v>
      </c>
      <c r="AM739" s="101">
        <f t="shared" si="855"/>
        <v>1952.5574888658539</v>
      </c>
      <c r="AN739" s="101"/>
      <c r="AO739" s="1">
        <v>24</v>
      </c>
      <c r="AP739" s="2">
        <v>36</v>
      </c>
      <c r="AQ739" s="74">
        <f t="shared" si="856"/>
        <v>199</v>
      </c>
      <c r="AR739" s="31">
        <f t="shared" si="857"/>
        <v>4</v>
      </c>
      <c r="AS739" s="2">
        <f t="shared" si="858"/>
        <v>1</v>
      </c>
      <c r="AT739" s="33">
        <f t="shared" si="859"/>
        <v>1</v>
      </c>
      <c r="AU739" s="31">
        <f t="shared" si="860"/>
        <v>0</v>
      </c>
      <c r="AV739" s="2">
        <f t="shared" si="861"/>
        <v>0</v>
      </c>
      <c r="AW739" s="33" t="str">
        <f t="shared" si="862"/>
        <v>보스대상</v>
      </c>
      <c r="AX739" s="31">
        <f t="shared" si="863"/>
        <v>1</v>
      </c>
      <c r="AY739" s="33">
        <f t="shared" si="864"/>
        <v>1</v>
      </c>
      <c r="AZ739" s="2"/>
      <c r="BA739" s="101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</row>
    <row r="740" spans="1:71" ht="12" customHeight="1">
      <c r="A740" s="2"/>
      <c r="B740" s="107">
        <v>665</v>
      </c>
      <c r="C740" s="31">
        <v>4</v>
      </c>
      <c r="D740" s="111" t="s">
        <v>18</v>
      </c>
      <c r="E740" s="2" t="s">
        <v>79</v>
      </c>
      <c r="F740" s="2"/>
      <c r="G740" s="2"/>
      <c r="H740" s="33" t="s">
        <v>80</v>
      </c>
      <c r="I740" s="99">
        <f t="shared" si="0"/>
        <v>311.83199557800708</v>
      </c>
      <c r="J740" s="101">
        <f t="shared" si="1"/>
        <v>10.765615909171565</v>
      </c>
      <c r="K740" s="101">
        <f t="shared" si="2"/>
        <v>826</v>
      </c>
      <c r="L740" s="74">
        <f t="shared" si="535"/>
        <v>404</v>
      </c>
      <c r="M740" s="99">
        <f t="shared" si="191"/>
        <v>5764.1446289345313</v>
      </c>
      <c r="N740" s="108">
        <f t="shared" si="690"/>
        <v>3440.5758339368094</v>
      </c>
      <c r="O740" s="108">
        <f t="shared" si="845"/>
        <v>2323.5687949977214</v>
      </c>
      <c r="P740" s="108"/>
      <c r="Q740" s="108"/>
      <c r="R740" s="109"/>
      <c r="S740" s="99">
        <f t="shared" si="694"/>
        <v>4843.7661008195128</v>
      </c>
      <c r="T740" s="108">
        <f t="shared" si="846"/>
        <v>2891.2086119536589</v>
      </c>
      <c r="U740" s="108">
        <f t="shared" si="847"/>
        <v>1952.5574888658539</v>
      </c>
      <c r="V740" s="108"/>
      <c r="W740" s="108"/>
      <c r="X740" s="109"/>
      <c r="Y740" s="99">
        <f t="shared" si="8"/>
        <v>9687.5322016390255</v>
      </c>
      <c r="Z740" s="108">
        <f t="shared" ref="Z740:AA740" si="924">T740*$D$58/100</f>
        <v>5782.4172239073177</v>
      </c>
      <c r="AA740" s="108">
        <f t="shared" si="924"/>
        <v>3905.1149777317078</v>
      </c>
      <c r="AB740" s="108"/>
      <c r="AC740" s="108"/>
      <c r="AD740" s="109"/>
      <c r="AE740" s="99">
        <f t="shared" si="866"/>
        <v>18.484776131615998</v>
      </c>
      <c r="AF740" s="101">
        <f t="shared" si="849"/>
        <v>36</v>
      </c>
      <c r="AG740" s="101">
        <f t="shared" si="850"/>
        <v>19.001300000000001</v>
      </c>
      <c r="AH740" s="101">
        <f t="shared" si="851"/>
        <v>199</v>
      </c>
      <c r="AI740" s="101">
        <f t="shared" si="852"/>
        <v>200</v>
      </c>
      <c r="AJ740" s="112">
        <f t="shared" si="853"/>
        <v>1.7777777777777777</v>
      </c>
      <c r="AK740" s="101">
        <f t="shared" si="461"/>
        <v>4843.7661008195128</v>
      </c>
      <c r="AL740" s="101">
        <f t="shared" si="854"/>
        <v>2891.2086119536589</v>
      </c>
      <c r="AM740" s="101">
        <f t="shared" si="855"/>
        <v>1952.5574888658539</v>
      </c>
      <c r="AN740" s="101"/>
      <c r="AO740" s="1">
        <v>24</v>
      </c>
      <c r="AP740" s="2">
        <v>36</v>
      </c>
      <c r="AQ740" s="74">
        <f t="shared" si="856"/>
        <v>199</v>
      </c>
      <c r="AR740" s="31">
        <f t="shared" si="857"/>
        <v>0</v>
      </c>
      <c r="AS740" s="2">
        <f t="shared" si="858"/>
        <v>0.8</v>
      </c>
      <c r="AT740" s="33">
        <f t="shared" si="859"/>
        <v>1</v>
      </c>
      <c r="AU740" s="31">
        <f t="shared" si="860"/>
        <v>0</v>
      </c>
      <c r="AV740" s="2">
        <f t="shared" si="861"/>
        <v>0</v>
      </c>
      <c r="AW740" s="33" t="str">
        <f t="shared" si="862"/>
        <v>보스대상</v>
      </c>
      <c r="AX740" s="31">
        <f t="shared" si="863"/>
        <v>1</v>
      </c>
      <c r="AY740" s="33">
        <f t="shared" si="864"/>
        <v>1</v>
      </c>
      <c r="AZ740" s="2"/>
      <c r="BA740" s="101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</row>
    <row r="741" spans="1:71" ht="12" customHeight="1">
      <c r="A741" s="2"/>
      <c r="B741" s="107">
        <v>666</v>
      </c>
      <c r="C741" s="31">
        <v>4</v>
      </c>
      <c r="D741" s="111" t="s">
        <v>18</v>
      </c>
      <c r="E741" s="2" t="s">
        <v>87</v>
      </c>
      <c r="F741" s="2"/>
      <c r="G741" s="2"/>
      <c r="H741" s="33" t="s">
        <v>80</v>
      </c>
      <c r="I741" s="99">
        <f t="shared" si="0"/>
        <v>311.83199557800708</v>
      </c>
      <c r="J741" s="101">
        <f t="shared" si="1"/>
        <v>10.765615909171565</v>
      </c>
      <c r="K741" s="101">
        <f t="shared" si="2"/>
        <v>826</v>
      </c>
      <c r="L741" s="74">
        <f t="shared" si="535"/>
        <v>404</v>
      </c>
      <c r="M741" s="99">
        <f t="shared" si="191"/>
        <v>5764.1446289345313</v>
      </c>
      <c r="N741" s="108">
        <f t="shared" si="690"/>
        <v>3440.5758339368094</v>
      </c>
      <c r="O741" s="108">
        <f t="shared" si="845"/>
        <v>2323.5687949977214</v>
      </c>
      <c r="P741" s="108"/>
      <c r="Q741" s="108"/>
      <c r="R741" s="109"/>
      <c r="S741" s="99">
        <f t="shared" si="694"/>
        <v>4843.7661008195128</v>
      </c>
      <c r="T741" s="108">
        <f t="shared" si="846"/>
        <v>2891.2086119536589</v>
      </c>
      <c r="U741" s="108">
        <f t="shared" si="847"/>
        <v>1952.5574888658539</v>
      </c>
      <c r="V741" s="108"/>
      <c r="W741" s="108"/>
      <c r="X741" s="109"/>
      <c r="Y741" s="99">
        <f t="shared" si="8"/>
        <v>9687.5322016390255</v>
      </c>
      <c r="Z741" s="108">
        <f t="shared" ref="Z741:AA741" si="925">T741*$D$58/100</f>
        <v>5782.4172239073177</v>
      </c>
      <c r="AA741" s="108">
        <f t="shared" si="925"/>
        <v>3905.1149777317078</v>
      </c>
      <c r="AB741" s="108"/>
      <c r="AC741" s="108"/>
      <c r="AD741" s="109"/>
      <c r="AE741" s="99">
        <f t="shared" si="866"/>
        <v>18.484776131615998</v>
      </c>
      <c r="AF741" s="101">
        <f t="shared" si="849"/>
        <v>36</v>
      </c>
      <c r="AG741" s="101">
        <f t="shared" si="850"/>
        <v>19.001300000000001</v>
      </c>
      <c r="AH741" s="101">
        <f t="shared" si="851"/>
        <v>199</v>
      </c>
      <c r="AI741" s="101">
        <f t="shared" si="852"/>
        <v>200</v>
      </c>
      <c r="AJ741" s="112">
        <f t="shared" si="853"/>
        <v>2.2222222222222223</v>
      </c>
      <c r="AK741" s="101">
        <f t="shared" si="461"/>
        <v>4843.7661008195128</v>
      </c>
      <c r="AL741" s="101">
        <f t="shared" si="854"/>
        <v>2891.2086119536589</v>
      </c>
      <c r="AM741" s="101">
        <f t="shared" si="855"/>
        <v>1952.5574888658539</v>
      </c>
      <c r="AN741" s="101"/>
      <c r="AO741" s="1">
        <v>24</v>
      </c>
      <c r="AP741" s="2">
        <v>36</v>
      </c>
      <c r="AQ741" s="74">
        <f t="shared" si="856"/>
        <v>199</v>
      </c>
      <c r="AR741" s="31">
        <f t="shared" si="857"/>
        <v>0</v>
      </c>
      <c r="AS741" s="2">
        <f t="shared" si="858"/>
        <v>1</v>
      </c>
      <c r="AT741" s="33">
        <f t="shared" si="859"/>
        <v>1.2</v>
      </c>
      <c r="AU741" s="31">
        <f t="shared" si="860"/>
        <v>0</v>
      </c>
      <c r="AV741" s="2">
        <f t="shared" si="861"/>
        <v>0</v>
      </c>
      <c r="AW741" s="33" t="str">
        <f t="shared" si="862"/>
        <v>보스대상</v>
      </c>
      <c r="AX741" s="31">
        <f t="shared" si="863"/>
        <v>1</v>
      </c>
      <c r="AY741" s="33">
        <f t="shared" si="864"/>
        <v>1</v>
      </c>
      <c r="AZ741" s="2"/>
      <c r="BA741" s="101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</row>
    <row r="742" spans="1:71" ht="12" customHeight="1">
      <c r="A742" s="2"/>
      <c r="B742" s="107">
        <v>667</v>
      </c>
      <c r="C742" s="31">
        <v>1</v>
      </c>
      <c r="D742" s="111" t="s">
        <v>18</v>
      </c>
      <c r="E742" s="2" t="s">
        <v>67</v>
      </c>
      <c r="F742" s="2"/>
      <c r="G742" s="1"/>
      <c r="H742" s="33" t="s">
        <v>80</v>
      </c>
      <c r="I742" s="99">
        <f t="shared" si="0"/>
        <v>250.36459216253039</v>
      </c>
      <c r="J742" s="101">
        <f t="shared" si="1"/>
        <v>5.4639558131976278</v>
      </c>
      <c r="K742" s="101">
        <f t="shared" si="2"/>
        <v>864</v>
      </c>
      <c r="L742" s="74">
        <f t="shared" si="535"/>
        <v>414</v>
      </c>
      <c r="M742" s="99">
        <f t="shared" si="191"/>
        <v>4627.9334374077152</v>
      </c>
      <c r="N742" s="108">
        <f t="shared" si="690"/>
        <v>2762.7321991090835</v>
      </c>
      <c r="O742" s="108">
        <f t="shared" si="845"/>
        <v>1865.2012382986313</v>
      </c>
      <c r="P742" s="108"/>
      <c r="Q742" s="108"/>
      <c r="R742" s="109"/>
      <c r="S742" s="99">
        <f t="shared" si="694"/>
        <v>3888.97721067561</v>
      </c>
      <c r="T742" s="108">
        <f t="shared" si="846"/>
        <v>2321.5983347317074</v>
      </c>
      <c r="U742" s="108">
        <f t="shared" si="847"/>
        <v>1567.3788759439026</v>
      </c>
      <c r="V742" s="108"/>
      <c r="W742" s="108"/>
      <c r="X742" s="109"/>
      <c r="Y742" s="99">
        <f t="shared" si="8"/>
        <v>7777.9544213512199</v>
      </c>
      <c r="Z742" s="108">
        <f t="shared" ref="Z742:AA742" si="926">T742*$D$58/100</f>
        <v>4643.1966694634148</v>
      </c>
      <c r="AA742" s="108">
        <f t="shared" si="926"/>
        <v>3134.7577518878052</v>
      </c>
      <c r="AB742" s="108"/>
      <c r="AC742" s="108"/>
      <c r="AD742" s="109"/>
      <c r="AE742" s="99">
        <f t="shared" si="866"/>
        <v>18.484776131615998</v>
      </c>
      <c r="AF742" s="101">
        <f t="shared" si="849"/>
        <v>36</v>
      </c>
      <c r="AG742" s="101">
        <f t="shared" si="850"/>
        <v>19.001300000000001</v>
      </c>
      <c r="AH742" s="101">
        <f t="shared" si="851"/>
        <v>101</v>
      </c>
      <c r="AI742" s="101">
        <f t="shared" si="852"/>
        <v>200</v>
      </c>
      <c r="AJ742" s="112">
        <f t="shared" si="853"/>
        <v>2.2222222222222223</v>
      </c>
      <c r="AK742" s="101">
        <f t="shared" si="461"/>
        <v>3888.97721067561</v>
      </c>
      <c r="AL742" s="101">
        <f t="shared" si="854"/>
        <v>2321.5983347317074</v>
      </c>
      <c r="AM742" s="101">
        <f t="shared" si="855"/>
        <v>1567.3788759439026</v>
      </c>
      <c r="AN742" s="101"/>
      <c r="AO742" s="1">
        <v>24</v>
      </c>
      <c r="AP742" s="2">
        <v>36</v>
      </c>
      <c r="AQ742" s="74">
        <f t="shared" si="856"/>
        <v>101</v>
      </c>
      <c r="AR742" s="31">
        <f t="shared" si="857"/>
        <v>0</v>
      </c>
      <c r="AS742" s="2">
        <f t="shared" si="858"/>
        <v>1</v>
      </c>
      <c r="AT742" s="33">
        <f t="shared" si="859"/>
        <v>1</v>
      </c>
      <c r="AU742" s="31">
        <f t="shared" si="860"/>
        <v>0</v>
      </c>
      <c r="AV742" s="2">
        <f t="shared" si="861"/>
        <v>0</v>
      </c>
      <c r="AW742" s="33" t="str">
        <f t="shared" si="862"/>
        <v>보스대상</v>
      </c>
      <c r="AX742" s="31">
        <f t="shared" si="863"/>
        <v>1</v>
      </c>
      <c r="AY742" s="33">
        <f t="shared" si="864"/>
        <v>1</v>
      </c>
      <c r="AZ742" s="2"/>
      <c r="BA742" s="101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</row>
    <row r="743" spans="1:71" ht="12" customHeight="1">
      <c r="A743" s="2"/>
      <c r="B743" s="107">
        <v>668</v>
      </c>
      <c r="C743" s="31">
        <v>10</v>
      </c>
      <c r="D743" s="111" t="s">
        <v>18</v>
      </c>
      <c r="E743" s="2" t="s">
        <v>164</v>
      </c>
      <c r="F743" s="2" t="s">
        <v>149</v>
      </c>
      <c r="G743" s="2"/>
      <c r="H743" s="33" t="s">
        <v>81</v>
      </c>
      <c r="I743" s="99">
        <f t="shared" si="0"/>
        <v>2032.2680683904989</v>
      </c>
      <c r="J743" s="101">
        <f t="shared" si="1"/>
        <v>35.968798914524506</v>
      </c>
      <c r="K743" s="101">
        <f t="shared" si="2"/>
        <v>15</v>
      </c>
      <c r="L743" s="74">
        <f t="shared" si="535"/>
        <v>15</v>
      </c>
      <c r="M743" s="99">
        <f t="shared" si="191"/>
        <v>29436.948010068048</v>
      </c>
      <c r="N743" s="108">
        <f t="shared" si="690"/>
        <v>29436.948010068048</v>
      </c>
      <c r="O743" s="108">
        <f t="shared" si="845"/>
        <v>0</v>
      </c>
      <c r="P743" s="108"/>
      <c r="Q743" s="108"/>
      <c r="R743" s="109"/>
      <c r="S743" s="99">
        <f t="shared" si="694"/>
        <v>16445.102918284978</v>
      </c>
      <c r="T743" s="108">
        <f t="shared" si="846"/>
        <v>16445.102918284978</v>
      </c>
      <c r="U743" s="108">
        <f t="shared" si="847"/>
        <v>0</v>
      </c>
      <c r="V743" s="108"/>
      <c r="W743" s="108"/>
      <c r="X743" s="109"/>
      <c r="Y743" s="99">
        <f t="shared" si="8"/>
        <v>32890.205836569956</v>
      </c>
      <c r="Z743" s="108">
        <f t="shared" ref="Z743:AA743" si="927">T743*$D$58/100</f>
        <v>32890.205836569956</v>
      </c>
      <c r="AA743" s="108">
        <f t="shared" si="927"/>
        <v>0</v>
      </c>
      <c r="AB743" s="108"/>
      <c r="AC743" s="108"/>
      <c r="AD743" s="109"/>
      <c r="AE743" s="99">
        <f t="shared" si="866"/>
        <v>14.484776131615998</v>
      </c>
      <c r="AF743" s="101">
        <f t="shared" si="849"/>
        <v>36</v>
      </c>
      <c r="AG743" s="101">
        <f t="shared" si="850"/>
        <v>59.001300000000001</v>
      </c>
      <c r="AH743" s="101">
        <f t="shared" si="851"/>
        <v>521</v>
      </c>
      <c r="AI743" s="101">
        <f t="shared" si="852"/>
        <v>200</v>
      </c>
      <c r="AJ743" s="112">
        <f t="shared" si="853"/>
        <v>2.5</v>
      </c>
      <c r="AK743" s="101">
        <f t="shared" si="461"/>
        <v>8196.5010303036597</v>
      </c>
      <c r="AL743" s="101">
        <f t="shared" si="854"/>
        <v>4894.3758685371959</v>
      </c>
      <c r="AM743" s="101">
        <f t="shared" si="855"/>
        <v>3302.1251617664634</v>
      </c>
      <c r="AN743" s="101"/>
      <c r="AO743" s="1">
        <v>24</v>
      </c>
      <c r="AP743" s="2">
        <v>36</v>
      </c>
      <c r="AQ743" s="74">
        <f t="shared" si="856"/>
        <v>521</v>
      </c>
      <c r="AR743" s="31">
        <f t="shared" si="857"/>
        <v>4</v>
      </c>
      <c r="AS743" s="2">
        <f t="shared" si="858"/>
        <v>1</v>
      </c>
      <c r="AT743" s="33">
        <f t="shared" si="859"/>
        <v>1</v>
      </c>
      <c r="AU743" s="31">
        <f t="shared" si="860"/>
        <v>40</v>
      </c>
      <c r="AV743" s="2">
        <f t="shared" si="861"/>
        <v>0</v>
      </c>
      <c r="AW743" s="33" t="str">
        <f t="shared" si="862"/>
        <v>보스대상</v>
      </c>
      <c r="AX743" s="31">
        <f t="shared" si="863"/>
        <v>2.8</v>
      </c>
      <c r="AY743" s="33">
        <f t="shared" si="864"/>
        <v>1</v>
      </c>
      <c r="AZ743" s="2"/>
      <c r="BA743" s="101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</row>
    <row r="744" spans="1:71" ht="12" customHeight="1">
      <c r="A744" s="2"/>
      <c r="B744" s="107">
        <v>669</v>
      </c>
      <c r="C744" s="31">
        <v>10</v>
      </c>
      <c r="D744" s="111" t="s">
        <v>18</v>
      </c>
      <c r="E744" s="2" t="s">
        <v>153</v>
      </c>
      <c r="F744" s="2" t="s">
        <v>149</v>
      </c>
      <c r="G744" s="2"/>
      <c r="H744" s="33" t="s">
        <v>81</v>
      </c>
      <c r="I744" s="99">
        <f t="shared" si="0"/>
        <v>1578.1332507348732</v>
      </c>
      <c r="J744" s="101">
        <f t="shared" si="1"/>
        <v>35.968798914524506</v>
      </c>
      <c r="K744" s="101">
        <f t="shared" si="2"/>
        <v>36</v>
      </c>
      <c r="L744" s="74">
        <f t="shared" si="535"/>
        <v>36</v>
      </c>
      <c r="M744" s="99">
        <f t="shared" si="191"/>
        <v>22858.906842754055</v>
      </c>
      <c r="N744" s="108">
        <f t="shared" si="690"/>
        <v>22858.906842754055</v>
      </c>
      <c r="O744" s="108">
        <f t="shared" si="845"/>
        <v>0</v>
      </c>
      <c r="P744" s="108"/>
      <c r="Q744" s="108"/>
      <c r="R744" s="109"/>
      <c r="S744" s="99">
        <f t="shared" si="694"/>
        <v>16445.102918284978</v>
      </c>
      <c r="T744" s="108">
        <f t="shared" si="846"/>
        <v>16445.102918284978</v>
      </c>
      <c r="U744" s="108">
        <f t="shared" si="847"/>
        <v>0</v>
      </c>
      <c r="V744" s="108"/>
      <c r="W744" s="108"/>
      <c r="X744" s="109"/>
      <c r="Y744" s="99">
        <f t="shared" si="8"/>
        <v>32890.205836569956</v>
      </c>
      <c r="Z744" s="108">
        <f t="shared" ref="Z744:AA744" si="928">T744*$D$58/100</f>
        <v>32890.205836569956</v>
      </c>
      <c r="AA744" s="108">
        <f t="shared" si="928"/>
        <v>0</v>
      </c>
      <c r="AB744" s="108"/>
      <c r="AC744" s="108"/>
      <c r="AD744" s="109"/>
      <c r="AE744" s="99">
        <f t="shared" si="866"/>
        <v>14.484776131615998</v>
      </c>
      <c r="AF744" s="101">
        <f t="shared" si="849"/>
        <v>36</v>
      </c>
      <c r="AG744" s="101">
        <f t="shared" si="850"/>
        <v>19.001300000000001</v>
      </c>
      <c r="AH744" s="101">
        <f t="shared" si="851"/>
        <v>521</v>
      </c>
      <c r="AI744" s="101">
        <f t="shared" si="852"/>
        <v>200</v>
      </c>
      <c r="AJ744" s="112">
        <f t="shared" si="853"/>
        <v>2.5</v>
      </c>
      <c r="AK744" s="101">
        <f t="shared" si="461"/>
        <v>8196.5010303036597</v>
      </c>
      <c r="AL744" s="101">
        <f t="shared" si="854"/>
        <v>4894.3758685371959</v>
      </c>
      <c r="AM744" s="101">
        <f t="shared" si="855"/>
        <v>3302.1251617664634</v>
      </c>
      <c r="AN744" s="101"/>
      <c r="AO744" s="1">
        <v>24</v>
      </c>
      <c r="AP744" s="2">
        <v>36</v>
      </c>
      <c r="AQ744" s="74">
        <f t="shared" si="856"/>
        <v>521</v>
      </c>
      <c r="AR744" s="31">
        <f t="shared" si="857"/>
        <v>4</v>
      </c>
      <c r="AS744" s="2">
        <f t="shared" si="858"/>
        <v>1</v>
      </c>
      <c r="AT744" s="33">
        <f t="shared" si="859"/>
        <v>1</v>
      </c>
      <c r="AU744" s="31">
        <f t="shared" si="860"/>
        <v>0</v>
      </c>
      <c r="AV744" s="2">
        <f t="shared" si="861"/>
        <v>1</v>
      </c>
      <c r="AW744" s="33" t="str">
        <f t="shared" si="862"/>
        <v>보스대상</v>
      </c>
      <c r="AX744" s="31">
        <f t="shared" si="863"/>
        <v>2.8</v>
      </c>
      <c r="AY744" s="33">
        <f t="shared" si="864"/>
        <v>1</v>
      </c>
      <c r="AZ744" s="2"/>
      <c r="BA744" s="101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</row>
    <row r="745" spans="1:71" ht="12" customHeight="1">
      <c r="A745" s="2"/>
      <c r="B745" s="107">
        <v>670</v>
      </c>
      <c r="C745" s="31">
        <v>10</v>
      </c>
      <c r="D745" s="111" t="s">
        <v>18</v>
      </c>
      <c r="E745" s="2" t="s">
        <v>156</v>
      </c>
      <c r="F745" s="2" t="s">
        <v>149</v>
      </c>
      <c r="G745" s="2" t="s">
        <v>186</v>
      </c>
      <c r="H745" s="33" t="s">
        <v>81</v>
      </c>
      <c r="I745" s="99">
        <f t="shared" si="0"/>
        <v>3556.7147975828516</v>
      </c>
      <c r="J745" s="101">
        <f t="shared" si="1"/>
        <v>81.064611807018906</v>
      </c>
      <c r="K745" s="101">
        <f t="shared" si="2"/>
        <v>3</v>
      </c>
      <c r="L745" s="74">
        <f t="shared" si="535"/>
        <v>3</v>
      </c>
      <c r="M745" s="99">
        <f t="shared" si="191"/>
        <v>22858.906842754055</v>
      </c>
      <c r="N745" s="108">
        <f t="shared" si="690"/>
        <v>22858.906842754055</v>
      </c>
      <c r="O745" s="108">
        <f t="shared" si="845"/>
        <v>0</v>
      </c>
      <c r="P745" s="108"/>
      <c r="Q745" s="108"/>
      <c r="R745" s="109"/>
      <c r="S745" s="99">
        <f t="shared" si="694"/>
        <v>16445.102918284978</v>
      </c>
      <c r="T745" s="108">
        <f t="shared" si="846"/>
        <v>16445.102918284978</v>
      </c>
      <c r="U745" s="108">
        <f t="shared" si="847"/>
        <v>0</v>
      </c>
      <c r="V745" s="108"/>
      <c r="W745" s="108"/>
      <c r="X745" s="109"/>
      <c r="Y745" s="99">
        <f t="shared" si="8"/>
        <v>32890.205836569956</v>
      </c>
      <c r="Z745" s="108">
        <f t="shared" ref="Z745:AA745" si="929">T745*$D$58/100</f>
        <v>32890.205836569956</v>
      </c>
      <c r="AA745" s="108">
        <f t="shared" si="929"/>
        <v>0</v>
      </c>
      <c r="AB745" s="108"/>
      <c r="AC745" s="108"/>
      <c r="AD745" s="109"/>
      <c r="AE745" s="99">
        <f t="shared" si="866"/>
        <v>6.4269721199712162</v>
      </c>
      <c r="AF745" s="101">
        <f t="shared" si="849"/>
        <v>36</v>
      </c>
      <c r="AG745" s="101">
        <f t="shared" si="850"/>
        <v>19.001300000000001</v>
      </c>
      <c r="AH745" s="101">
        <f t="shared" si="851"/>
        <v>521</v>
      </c>
      <c r="AI745" s="101">
        <f t="shared" si="852"/>
        <v>200</v>
      </c>
      <c r="AJ745" s="112">
        <f t="shared" si="853"/>
        <v>2.5</v>
      </c>
      <c r="AK745" s="101">
        <f t="shared" si="461"/>
        <v>8196.5010303036597</v>
      </c>
      <c r="AL745" s="101">
        <f t="shared" si="854"/>
        <v>4894.3758685371959</v>
      </c>
      <c r="AM745" s="101">
        <f t="shared" si="855"/>
        <v>3302.1251617664634</v>
      </c>
      <c r="AN745" s="101"/>
      <c r="AO745" s="1">
        <v>24</v>
      </c>
      <c r="AP745" s="2">
        <v>36</v>
      </c>
      <c r="AQ745" s="74">
        <f t="shared" si="856"/>
        <v>521</v>
      </c>
      <c r="AR745" s="31">
        <f t="shared" si="857"/>
        <v>4</v>
      </c>
      <c r="AS745" s="2">
        <f t="shared" si="858"/>
        <v>1</v>
      </c>
      <c r="AT745" s="33">
        <f t="shared" si="859"/>
        <v>1</v>
      </c>
      <c r="AU745" s="31">
        <f t="shared" si="860"/>
        <v>0</v>
      </c>
      <c r="AV745" s="2">
        <f t="shared" si="861"/>
        <v>0</v>
      </c>
      <c r="AW745" s="33">
        <f t="shared" si="862"/>
        <v>5</v>
      </c>
      <c r="AX745" s="31">
        <f t="shared" si="863"/>
        <v>2.8</v>
      </c>
      <c r="AY745" s="33">
        <f t="shared" si="864"/>
        <v>1</v>
      </c>
      <c r="AZ745" s="2"/>
      <c r="BA745" s="101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</row>
    <row r="746" spans="1:71" ht="12" customHeight="1">
      <c r="A746" s="2"/>
      <c r="B746" s="107">
        <v>671</v>
      </c>
      <c r="C746" s="31">
        <v>10</v>
      </c>
      <c r="D746" s="111" t="s">
        <v>18</v>
      </c>
      <c r="E746" s="2" t="s">
        <v>169</v>
      </c>
      <c r="F746" s="2" t="s">
        <v>149</v>
      </c>
      <c r="G746" s="2"/>
      <c r="H746" s="33" t="s">
        <v>81</v>
      </c>
      <c r="I746" s="99">
        <f t="shared" si="0"/>
        <v>1592.4968633901749</v>
      </c>
      <c r="J746" s="101">
        <f t="shared" si="1"/>
        <v>28.185356224514496</v>
      </c>
      <c r="K746" s="101">
        <f t="shared" si="2"/>
        <v>35</v>
      </c>
      <c r="L746" s="74">
        <f t="shared" si="535"/>
        <v>35</v>
      </c>
      <c r="M746" s="99">
        <f t="shared" si="191"/>
        <v>29436.948010068048</v>
      </c>
      <c r="N746" s="108">
        <f t="shared" si="690"/>
        <v>29436.948010068048</v>
      </c>
      <c r="O746" s="108">
        <f t="shared" si="845"/>
        <v>0</v>
      </c>
      <c r="P746" s="108"/>
      <c r="Q746" s="108"/>
      <c r="R746" s="109"/>
      <c r="S746" s="99">
        <f t="shared" si="694"/>
        <v>16445.102918284978</v>
      </c>
      <c r="T746" s="108">
        <f t="shared" si="846"/>
        <v>16445.102918284978</v>
      </c>
      <c r="U746" s="108">
        <f t="shared" si="847"/>
        <v>0</v>
      </c>
      <c r="V746" s="108"/>
      <c r="W746" s="108"/>
      <c r="X746" s="109"/>
      <c r="Y746" s="99">
        <f t="shared" si="8"/>
        <v>32890.205836569956</v>
      </c>
      <c r="Z746" s="108">
        <f t="shared" ref="Z746:AA746" si="930">T746*$D$58/100</f>
        <v>32890.205836569956</v>
      </c>
      <c r="AA746" s="108">
        <f t="shared" si="930"/>
        <v>0</v>
      </c>
      <c r="AB746" s="108"/>
      <c r="AC746" s="108"/>
      <c r="AD746" s="109"/>
      <c r="AE746" s="99">
        <f t="shared" ref="AE746:AE804" si="931">(AO746*(1-$D$20/100)*(1-$D$17/100)-AR746)*IF(AW746="보스대상",1,POWER(0.85,AW746))</f>
        <v>18.484776131615998</v>
      </c>
      <c r="AF746" s="101">
        <f t="shared" si="849"/>
        <v>36</v>
      </c>
      <c r="AG746" s="101">
        <f t="shared" si="850"/>
        <v>59.001300000000001</v>
      </c>
      <c r="AH746" s="101">
        <f t="shared" si="851"/>
        <v>521</v>
      </c>
      <c r="AI746" s="101">
        <f t="shared" si="852"/>
        <v>200</v>
      </c>
      <c r="AJ746" s="112">
        <f t="shared" si="853"/>
        <v>2</v>
      </c>
      <c r="AK746" s="101">
        <f t="shared" si="461"/>
        <v>8196.5010303036597</v>
      </c>
      <c r="AL746" s="101">
        <f t="shared" si="854"/>
        <v>4894.3758685371959</v>
      </c>
      <c r="AM746" s="101">
        <f t="shared" si="855"/>
        <v>3302.1251617664634</v>
      </c>
      <c r="AN746" s="101"/>
      <c r="AO746" s="1">
        <v>24</v>
      </c>
      <c r="AP746" s="2">
        <v>36</v>
      </c>
      <c r="AQ746" s="74">
        <f t="shared" si="856"/>
        <v>521</v>
      </c>
      <c r="AR746" s="31">
        <f t="shared" si="857"/>
        <v>0</v>
      </c>
      <c r="AS746" s="2">
        <f t="shared" si="858"/>
        <v>0.8</v>
      </c>
      <c r="AT746" s="33">
        <f t="shared" si="859"/>
        <v>1</v>
      </c>
      <c r="AU746" s="31">
        <f t="shared" si="860"/>
        <v>40</v>
      </c>
      <c r="AV746" s="2">
        <f t="shared" si="861"/>
        <v>0</v>
      </c>
      <c r="AW746" s="33" t="str">
        <f t="shared" si="862"/>
        <v>보스대상</v>
      </c>
      <c r="AX746" s="31">
        <f t="shared" si="863"/>
        <v>2.8</v>
      </c>
      <c r="AY746" s="33">
        <f t="shared" si="864"/>
        <v>1</v>
      </c>
      <c r="AZ746" s="2"/>
      <c r="BA746" s="101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</row>
    <row r="747" spans="1:71" ht="12" customHeight="1">
      <c r="A747" s="2"/>
      <c r="B747" s="107">
        <v>672</v>
      </c>
      <c r="C747" s="31">
        <v>10</v>
      </c>
      <c r="D747" s="111" t="s">
        <v>18</v>
      </c>
      <c r="E747" s="2" t="s">
        <v>162</v>
      </c>
      <c r="F747" s="2" t="s">
        <v>149</v>
      </c>
      <c r="G747" s="2"/>
      <c r="H747" s="33" t="s">
        <v>81</v>
      </c>
      <c r="I747" s="99">
        <f t="shared" si="0"/>
        <v>1236.6342269981096</v>
      </c>
      <c r="J747" s="101">
        <f t="shared" si="1"/>
        <v>28.185356224514496</v>
      </c>
      <c r="K747" s="101">
        <f t="shared" si="2"/>
        <v>86</v>
      </c>
      <c r="L747" s="74">
        <f t="shared" si="535"/>
        <v>75</v>
      </c>
      <c r="M747" s="99">
        <f t="shared" si="191"/>
        <v>22858.906842754055</v>
      </c>
      <c r="N747" s="108">
        <f t="shared" si="690"/>
        <v>22858.906842754055</v>
      </c>
      <c r="O747" s="108">
        <f t="shared" si="845"/>
        <v>0</v>
      </c>
      <c r="P747" s="108"/>
      <c r="Q747" s="108"/>
      <c r="R747" s="109"/>
      <c r="S747" s="99">
        <f t="shared" si="694"/>
        <v>16445.102918284978</v>
      </c>
      <c r="T747" s="108">
        <f t="shared" si="846"/>
        <v>16445.102918284978</v>
      </c>
      <c r="U747" s="108">
        <f t="shared" si="847"/>
        <v>0</v>
      </c>
      <c r="V747" s="108"/>
      <c r="W747" s="108"/>
      <c r="X747" s="109"/>
      <c r="Y747" s="99">
        <f t="shared" si="8"/>
        <v>32890.205836569956</v>
      </c>
      <c r="Z747" s="108">
        <f t="shared" ref="Z747:AA747" si="932">T747*$D$58/100</f>
        <v>32890.205836569956</v>
      </c>
      <c r="AA747" s="108">
        <f t="shared" si="932"/>
        <v>0</v>
      </c>
      <c r="AB747" s="108"/>
      <c r="AC747" s="108"/>
      <c r="AD747" s="109"/>
      <c r="AE747" s="99">
        <f t="shared" si="931"/>
        <v>18.484776131615998</v>
      </c>
      <c r="AF747" s="101">
        <f t="shared" si="849"/>
        <v>36</v>
      </c>
      <c r="AG747" s="101">
        <f t="shared" si="850"/>
        <v>19.001300000000001</v>
      </c>
      <c r="AH747" s="101">
        <f t="shared" si="851"/>
        <v>521</v>
      </c>
      <c r="AI747" s="101">
        <f t="shared" si="852"/>
        <v>200</v>
      </c>
      <c r="AJ747" s="112">
        <f t="shared" si="853"/>
        <v>2</v>
      </c>
      <c r="AK747" s="101">
        <f t="shared" si="461"/>
        <v>8196.5010303036597</v>
      </c>
      <c r="AL747" s="101">
        <f t="shared" si="854"/>
        <v>4894.3758685371959</v>
      </c>
      <c r="AM747" s="101">
        <f t="shared" si="855"/>
        <v>3302.1251617664634</v>
      </c>
      <c r="AN747" s="101"/>
      <c r="AO747" s="1">
        <v>24</v>
      </c>
      <c r="AP747" s="2">
        <v>36</v>
      </c>
      <c r="AQ747" s="74">
        <f t="shared" si="856"/>
        <v>521</v>
      </c>
      <c r="AR747" s="31">
        <f t="shared" si="857"/>
        <v>0</v>
      </c>
      <c r="AS747" s="2">
        <f t="shared" si="858"/>
        <v>0.8</v>
      </c>
      <c r="AT747" s="33">
        <f t="shared" si="859"/>
        <v>1</v>
      </c>
      <c r="AU747" s="31">
        <f t="shared" si="860"/>
        <v>0</v>
      </c>
      <c r="AV747" s="2">
        <f t="shared" si="861"/>
        <v>1</v>
      </c>
      <c r="AW747" s="33" t="str">
        <f t="shared" si="862"/>
        <v>보스대상</v>
      </c>
      <c r="AX747" s="31">
        <f t="shared" si="863"/>
        <v>2.8</v>
      </c>
      <c r="AY747" s="33">
        <f t="shared" si="864"/>
        <v>1</v>
      </c>
      <c r="AZ747" s="2"/>
      <c r="BA747" s="101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</row>
    <row r="748" spans="1:71" ht="12" customHeight="1">
      <c r="A748" s="2"/>
      <c r="B748" s="107">
        <v>673</v>
      </c>
      <c r="C748" s="31">
        <v>10</v>
      </c>
      <c r="D748" s="111" t="s">
        <v>18</v>
      </c>
      <c r="E748" s="2" t="s">
        <v>171</v>
      </c>
      <c r="F748" s="2" t="s">
        <v>149</v>
      </c>
      <c r="G748" s="2" t="s">
        <v>186</v>
      </c>
      <c r="H748" s="33" t="s">
        <v>81</v>
      </c>
      <c r="I748" s="99">
        <f t="shared" si="0"/>
        <v>2787.0620255377489</v>
      </c>
      <c r="J748" s="101">
        <f t="shared" si="1"/>
        <v>63.522692720778515</v>
      </c>
      <c r="K748" s="101">
        <f t="shared" si="2"/>
        <v>6</v>
      </c>
      <c r="L748" s="74">
        <f t="shared" si="535"/>
        <v>6</v>
      </c>
      <c r="M748" s="99">
        <f t="shared" si="191"/>
        <v>22858.906842754055</v>
      </c>
      <c r="N748" s="108">
        <f t="shared" si="690"/>
        <v>22858.906842754055</v>
      </c>
      <c r="O748" s="108">
        <f t="shared" si="845"/>
        <v>0</v>
      </c>
      <c r="P748" s="108"/>
      <c r="Q748" s="108"/>
      <c r="R748" s="109"/>
      <c r="S748" s="99">
        <f t="shared" si="694"/>
        <v>16445.102918284978</v>
      </c>
      <c r="T748" s="108">
        <f t="shared" si="846"/>
        <v>16445.102918284978</v>
      </c>
      <c r="U748" s="108">
        <f t="shared" si="847"/>
        <v>0</v>
      </c>
      <c r="V748" s="108"/>
      <c r="W748" s="108"/>
      <c r="X748" s="109"/>
      <c r="Y748" s="99">
        <f t="shared" si="8"/>
        <v>32890.205836569956</v>
      </c>
      <c r="Z748" s="108">
        <f t="shared" ref="Z748:AA748" si="933">T748*$D$58/100</f>
        <v>32890.205836569956</v>
      </c>
      <c r="AA748" s="108">
        <f t="shared" si="933"/>
        <v>0</v>
      </c>
      <c r="AB748" s="108"/>
      <c r="AC748" s="108"/>
      <c r="AD748" s="109"/>
      <c r="AE748" s="99">
        <f t="shared" si="931"/>
        <v>8.2017933699712149</v>
      </c>
      <c r="AF748" s="101">
        <f t="shared" si="849"/>
        <v>36</v>
      </c>
      <c r="AG748" s="101">
        <f t="shared" si="850"/>
        <v>19.001300000000001</v>
      </c>
      <c r="AH748" s="101">
        <f t="shared" si="851"/>
        <v>521</v>
      </c>
      <c r="AI748" s="101">
        <f t="shared" si="852"/>
        <v>200</v>
      </c>
      <c r="AJ748" s="112">
        <f t="shared" si="853"/>
        <v>2</v>
      </c>
      <c r="AK748" s="101">
        <f t="shared" si="461"/>
        <v>8196.5010303036597</v>
      </c>
      <c r="AL748" s="101">
        <f t="shared" si="854"/>
        <v>4894.3758685371959</v>
      </c>
      <c r="AM748" s="101">
        <f t="shared" si="855"/>
        <v>3302.1251617664634</v>
      </c>
      <c r="AN748" s="101"/>
      <c r="AO748" s="1">
        <v>24</v>
      </c>
      <c r="AP748" s="2">
        <v>36</v>
      </c>
      <c r="AQ748" s="74">
        <f t="shared" si="856"/>
        <v>521</v>
      </c>
      <c r="AR748" s="31">
        <f t="shared" si="857"/>
        <v>0</v>
      </c>
      <c r="AS748" s="2">
        <f t="shared" si="858"/>
        <v>0.8</v>
      </c>
      <c r="AT748" s="33">
        <f t="shared" si="859"/>
        <v>1</v>
      </c>
      <c r="AU748" s="31">
        <f t="shared" si="860"/>
        <v>0</v>
      </c>
      <c r="AV748" s="2">
        <f t="shared" si="861"/>
        <v>0</v>
      </c>
      <c r="AW748" s="33">
        <f t="shared" si="862"/>
        <v>5</v>
      </c>
      <c r="AX748" s="31">
        <f t="shared" si="863"/>
        <v>2.8</v>
      </c>
      <c r="AY748" s="33">
        <f t="shared" si="864"/>
        <v>1</v>
      </c>
      <c r="AZ748" s="2"/>
      <c r="BA748" s="101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</row>
    <row r="749" spans="1:71" ht="12" customHeight="1">
      <c r="A749" s="2"/>
      <c r="B749" s="107">
        <v>674</v>
      </c>
      <c r="C749" s="31">
        <v>10</v>
      </c>
      <c r="D749" s="111" t="s">
        <v>18</v>
      </c>
      <c r="E749" s="2" t="s">
        <v>182</v>
      </c>
      <c r="F749" s="2" t="s">
        <v>149</v>
      </c>
      <c r="G749" s="2"/>
      <c r="H749" s="33" t="s">
        <v>81</v>
      </c>
      <c r="I749" s="99">
        <f t="shared" si="0"/>
        <v>1910.99623606821</v>
      </c>
      <c r="J749" s="101">
        <f t="shared" si="1"/>
        <v>28.185356224514496</v>
      </c>
      <c r="K749" s="101">
        <f t="shared" si="2"/>
        <v>20</v>
      </c>
      <c r="L749" s="74">
        <f t="shared" si="535"/>
        <v>20</v>
      </c>
      <c r="M749" s="99">
        <f t="shared" si="191"/>
        <v>35324.337612081661</v>
      </c>
      <c r="N749" s="108">
        <f t="shared" si="690"/>
        <v>35324.337612081661</v>
      </c>
      <c r="O749" s="108">
        <f t="shared" si="845"/>
        <v>0</v>
      </c>
      <c r="P749" s="108"/>
      <c r="Q749" s="108"/>
      <c r="R749" s="109"/>
      <c r="S749" s="99">
        <f t="shared" si="694"/>
        <v>19734.123501941973</v>
      </c>
      <c r="T749" s="108">
        <f t="shared" si="846"/>
        <v>19734.123501941973</v>
      </c>
      <c r="U749" s="108">
        <f t="shared" si="847"/>
        <v>0</v>
      </c>
      <c r="V749" s="108"/>
      <c r="W749" s="108"/>
      <c r="X749" s="109"/>
      <c r="Y749" s="99">
        <f t="shared" si="8"/>
        <v>39468.247003883946</v>
      </c>
      <c r="Z749" s="108">
        <f t="shared" ref="Z749:AA749" si="934">T749*$D$58/100</f>
        <v>39468.247003883946</v>
      </c>
      <c r="AA749" s="108">
        <f t="shared" si="934"/>
        <v>0</v>
      </c>
      <c r="AB749" s="108"/>
      <c r="AC749" s="108"/>
      <c r="AD749" s="109"/>
      <c r="AE749" s="99">
        <f t="shared" si="931"/>
        <v>18.484776131615998</v>
      </c>
      <c r="AF749" s="101">
        <f t="shared" si="849"/>
        <v>36</v>
      </c>
      <c r="AG749" s="101">
        <f t="shared" si="850"/>
        <v>59.001300000000001</v>
      </c>
      <c r="AH749" s="101">
        <f t="shared" si="851"/>
        <v>521</v>
      </c>
      <c r="AI749" s="101">
        <f t="shared" si="852"/>
        <v>200</v>
      </c>
      <c r="AJ749" s="112">
        <f t="shared" si="853"/>
        <v>2.5</v>
      </c>
      <c r="AK749" s="101">
        <f t="shared" si="461"/>
        <v>8196.5010303036597</v>
      </c>
      <c r="AL749" s="101">
        <f t="shared" si="854"/>
        <v>4894.3758685371959</v>
      </c>
      <c r="AM749" s="101">
        <f t="shared" si="855"/>
        <v>3302.1251617664634</v>
      </c>
      <c r="AN749" s="101"/>
      <c r="AO749" s="1">
        <v>24</v>
      </c>
      <c r="AP749" s="2">
        <v>36</v>
      </c>
      <c r="AQ749" s="74">
        <f t="shared" si="856"/>
        <v>521</v>
      </c>
      <c r="AR749" s="31">
        <f t="shared" si="857"/>
        <v>0</v>
      </c>
      <c r="AS749" s="2">
        <f t="shared" si="858"/>
        <v>1</v>
      </c>
      <c r="AT749" s="33">
        <f t="shared" si="859"/>
        <v>1.2</v>
      </c>
      <c r="AU749" s="31">
        <f t="shared" si="860"/>
        <v>40</v>
      </c>
      <c r="AV749" s="2">
        <f t="shared" si="861"/>
        <v>0</v>
      </c>
      <c r="AW749" s="33" t="str">
        <f t="shared" si="862"/>
        <v>보스대상</v>
      </c>
      <c r="AX749" s="31">
        <f t="shared" si="863"/>
        <v>2.8</v>
      </c>
      <c r="AY749" s="33">
        <f t="shared" si="864"/>
        <v>1</v>
      </c>
      <c r="AZ749" s="2"/>
      <c r="BA749" s="101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</row>
    <row r="750" spans="1:71" ht="12" customHeight="1">
      <c r="A750" s="2"/>
      <c r="B750" s="107">
        <v>675</v>
      </c>
      <c r="C750" s="31">
        <v>10</v>
      </c>
      <c r="D750" s="111" t="s">
        <v>18</v>
      </c>
      <c r="E750" s="2" t="s">
        <v>159</v>
      </c>
      <c r="F750" s="2" t="s">
        <v>149</v>
      </c>
      <c r="G750" s="2"/>
      <c r="H750" s="33" t="s">
        <v>81</v>
      </c>
      <c r="I750" s="99">
        <f t="shared" si="0"/>
        <v>1483.9610723977314</v>
      </c>
      <c r="J750" s="101">
        <f t="shared" si="1"/>
        <v>28.185356224514496</v>
      </c>
      <c r="K750" s="101">
        <f t="shared" si="2"/>
        <v>44</v>
      </c>
      <c r="L750" s="74">
        <f t="shared" si="535"/>
        <v>41</v>
      </c>
      <c r="M750" s="99">
        <f t="shared" si="191"/>
        <v>27430.688211304867</v>
      </c>
      <c r="N750" s="108">
        <f t="shared" si="690"/>
        <v>27430.688211304867</v>
      </c>
      <c r="O750" s="108">
        <f t="shared" si="845"/>
        <v>0</v>
      </c>
      <c r="P750" s="108"/>
      <c r="Q750" s="108"/>
      <c r="R750" s="109"/>
      <c r="S750" s="99">
        <f t="shared" si="694"/>
        <v>19734.123501941973</v>
      </c>
      <c r="T750" s="108">
        <f t="shared" si="846"/>
        <v>19734.123501941973</v>
      </c>
      <c r="U750" s="108">
        <f t="shared" si="847"/>
        <v>0</v>
      </c>
      <c r="V750" s="108"/>
      <c r="W750" s="108"/>
      <c r="X750" s="109"/>
      <c r="Y750" s="99">
        <f t="shared" si="8"/>
        <v>39468.247003883946</v>
      </c>
      <c r="Z750" s="108">
        <f t="shared" ref="Z750:AA750" si="935">T750*$D$58/100</f>
        <v>39468.247003883946</v>
      </c>
      <c r="AA750" s="108">
        <f t="shared" si="935"/>
        <v>0</v>
      </c>
      <c r="AB750" s="108"/>
      <c r="AC750" s="108"/>
      <c r="AD750" s="109"/>
      <c r="AE750" s="99">
        <f t="shared" si="931"/>
        <v>18.484776131615998</v>
      </c>
      <c r="AF750" s="101">
        <f t="shared" si="849"/>
        <v>36</v>
      </c>
      <c r="AG750" s="101">
        <f t="shared" si="850"/>
        <v>19.001300000000001</v>
      </c>
      <c r="AH750" s="101">
        <f t="shared" si="851"/>
        <v>521</v>
      </c>
      <c r="AI750" s="101">
        <f t="shared" si="852"/>
        <v>200</v>
      </c>
      <c r="AJ750" s="112">
        <f t="shared" si="853"/>
        <v>2.5</v>
      </c>
      <c r="AK750" s="101">
        <f t="shared" si="461"/>
        <v>8196.5010303036597</v>
      </c>
      <c r="AL750" s="101">
        <f t="shared" si="854"/>
        <v>4894.3758685371959</v>
      </c>
      <c r="AM750" s="101">
        <f t="shared" si="855"/>
        <v>3302.1251617664634</v>
      </c>
      <c r="AN750" s="101"/>
      <c r="AO750" s="1">
        <v>24</v>
      </c>
      <c r="AP750" s="2">
        <v>36</v>
      </c>
      <c r="AQ750" s="74">
        <f t="shared" si="856"/>
        <v>521</v>
      </c>
      <c r="AR750" s="31">
        <f t="shared" si="857"/>
        <v>0</v>
      </c>
      <c r="AS750" s="2">
        <f t="shared" si="858"/>
        <v>1</v>
      </c>
      <c r="AT750" s="33">
        <f t="shared" si="859"/>
        <v>1.2</v>
      </c>
      <c r="AU750" s="31">
        <f t="shared" si="860"/>
        <v>0</v>
      </c>
      <c r="AV750" s="2">
        <f t="shared" si="861"/>
        <v>1</v>
      </c>
      <c r="AW750" s="33" t="str">
        <f t="shared" si="862"/>
        <v>보스대상</v>
      </c>
      <c r="AX750" s="31">
        <f t="shared" si="863"/>
        <v>2.8</v>
      </c>
      <c r="AY750" s="33">
        <f t="shared" si="864"/>
        <v>1</v>
      </c>
      <c r="AZ750" s="2"/>
      <c r="BA750" s="101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</row>
    <row r="751" spans="1:71" ht="12" customHeight="1">
      <c r="A751" s="2"/>
      <c r="B751" s="107">
        <v>676</v>
      </c>
      <c r="C751" s="31">
        <v>10</v>
      </c>
      <c r="D751" s="111" t="s">
        <v>18</v>
      </c>
      <c r="E751" s="2" t="s">
        <v>147</v>
      </c>
      <c r="F751" s="2" t="s">
        <v>149</v>
      </c>
      <c r="G751" s="2" t="s">
        <v>186</v>
      </c>
      <c r="H751" s="33" t="s">
        <v>81</v>
      </c>
      <c r="I751" s="99">
        <f t="shared" si="0"/>
        <v>3344.474430645299</v>
      </c>
      <c r="J751" s="101">
        <f t="shared" si="1"/>
        <v>63.522692720778515</v>
      </c>
      <c r="K751" s="101">
        <f t="shared" si="2"/>
        <v>4</v>
      </c>
      <c r="L751" s="74">
        <f t="shared" si="535"/>
        <v>4</v>
      </c>
      <c r="M751" s="99">
        <f t="shared" si="191"/>
        <v>27430.688211304867</v>
      </c>
      <c r="N751" s="108">
        <f t="shared" si="690"/>
        <v>27430.688211304867</v>
      </c>
      <c r="O751" s="108">
        <f t="shared" si="845"/>
        <v>0</v>
      </c>
      <c r="P751" s="108"/>
      <c r="Q751" s="108"/>
      <c r="R751" s="109"/>
      <c r="S751" s="99">
        <f t="shared" si="694"/>
        <v>19734.123501941973</v>
      </c>
      <c r="T751" s="108">
        <f t="shared" si="846"/>
        <v>19734.123501941973</v>
      </c>
      <c r="U751" s="108">
        <f t="shared" si="847"/>
        <v>0</v>
      </c>
      <c r="V751" s="108"/>
      <c r="W751" s="108"/>
      <c r="X751" s="109"/>
      <c r="Y751" s="99">
        <f t="shared" si="8"/>
        <v>39468.247003883946</v>
      </c>
      <c r="Z751" s="108">
        <f t="shared" ref="Z751:AA751" si="936">T751*$D$58/100</f>
        <v>39468.247003883946</v>
      </c>
      <c r="AA751" s="108">
        <f t="shared" si="936"/>
        <v>0</v>
      </c>
      <c r="AB751" s="108"/>
      <c r="AC751" s="108"/>
      <c r="AD751" s="109"/>
      <c r="AE751" s="99">
        <f t="shared" si="931"/>
        <v>8.2017933699712149</v>
      </c>
      <c r="AF751" s="101">
        <f t="shared" si="849"/>
        <v>36</v>
      </c>
      <c r="AG751" s="101">
        <f t="shared" si="850"/>
        <v>19.001300000000001</v>
      </c>
      <c r="AH751" s="101">
        <f t="shared" si="851"/>
        <v>521</v>
      </c>
      <c r="AI751" s="101">
        <f t="shared" si="852"/>
        <v>200</v>
      </c>
      <c r="AJ751" s="112">
        <f t="shared" si="853"/>
        <v>2.5</v>
      </c>
      <c r="AK751" s="101">
        <f t="shared" si="461"/>
        <v>8196.5010303036597</v>
      </c>
      <c r="AL751" s="101">
        <f t="shared" si="854"/>
        <v>4894.3758685371959</v>
      </c>
      <c r="AM751" s="101">
        <f t="shared" si="855"/>
        <v>3302.1251617664634</v>
      </c>
      <c r="AN751" s="101"/>
      <c r="AO751" s="1">
        <v>24</v>
      </c>
      <c r="AP751" s="2">
        <v>36</v>
      </c>
      <c r="AQ751" s="74">
        <f t="shared" si="856"/>
        <v>521</v>
      </c>
      <c r="AR751" s="31">
        <f t="shared" si="857"/>
        <v>0</v>
      </c>
      <c r="AS751" s="2">
        <f t="shared" si="858"/>
        <v>1</v>
      </c>
      <c r="AT751" s="33">
        <f t="shared" si="859"/>
        <v>1.2</v>
      </c>
      <c r="AU751" s="31">
        <f t="shared" si="860"/>
        <v>0</v>
      </c>
      <c r="AV751" s="2">
        <f t="shared" si="861"/>
        <v>0</v>
      </c>
      <c r="AW751" s="33">
        <f t="shared" si="862"/>
        <v>5</v>
      </c>
      <c r="AX751" s="31">
        <f t="shared" si="863"/>
        <v>2.8</v>
      </c>
      <c r="AY751" s="33">
        <f t="shared" si="864"/>
        <v>1</v>
      </c>
      <c r="AZ751" s="2"/>
      <c r="BA751" s="101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</row>
    <row r="752" spans="1:71" ht="12" customHeight="1">
      <c r="A752" s="2"/>
      <c r="B752" s="107">
        <v>677</v>
      </c>
      <c r="C752" s="31">
        <v>10</v>
      </c>
      <c r="D752" s="111" t="s">
        <v>18</v>
      </c>
      <c r="E752" s="2" t="s">
        <v>165</v>
      </c>
      <c r="F752" s="2" t="s">
        <v>149</v>
      </c>
      <c r="G752" s="2"/>
      <c r="H752" s="33" t="s">
        <v>81</v>
      </c>
      <c r="I752" s="99">
        <f t="shared" si="0"/>
        <v>1866.5931955830638</v>
      </c>
      <c r="J752" s="101">
        <f t="shared" si="1"/>
        <v>35.968798914524506</v>
      </c>
      <c r="K752" s="101">
        <f t="shared" si="2"/>
        <v>21</v>
      </c>
      <c r="L752" s="74">
        <f t="shared" si="535"/>
        <v>21</v>
      </c>
      <c r="M752" s="99">
        <f t="shared" si="191"/>
        <v>27037.184566818396</v>
      </c>
      <c r="N752" s="108">
        <f t="shared" si="690"/>
        <v>10513.195717881446</v>
      </c>
      <c r="O752" s="108">
        <f t="shared" si="845"/>
        <v>16523.988848936951</v>
      </c>
      <c r="P752" s="108"/>
      <c r="Q752" s="108"/>
      <c r="R752" s="109"/>
      <c r="S752" s="99">
        <f t="shared" si="694"/>
        <v>17760.901624603903</v>
      </c>
      <c r="T752" s="108">
        <f t="shared" si="846"/>
        <v>5873.2510422446348</v>
      </c>
      <c r="U752" s="108">
        <f t="shared" si="847"/>
        <v>11887.650582359267</v>
      </c>
      <c r="V752" s="108"/>
      <c r="W752" s="108"/>
      <c r="X752" s="109"/>
      <c r="Y752" s="99">
        <f t="shared" si="8"/>
        <v>35521.803249207805</v>
      </c>
      <c r="Z752" s="108">
        <f t="shared" ref="Z752:AA752" si="937">T752*$D$58/100</f>
        <v>11746.50208448927</v>
      </c>
      <c r="AA752" s="108">
        <f t="shared" si="937"/>
        <v>23775.301164718534</v>
      </c>
      <c r="AB752" s="108"/>
      <c r="AC752" s="108"/>
      <c r="AD752" s="109"/>
      <c r="AE752" s="99">
        <f t="shared" si="931"/>
        <v>14.484776131615998</v>
      </c>
      <c r="AF752" s="101">
        <f t="shared" si="849"/>
        <v>36</v>
      </c>
      <c r="AG752" s="101">
        <f t="shared" si="850"/>
        <v>59.001300000000001</v>
      </c>
      <c r="AH752" s="101">
        <f t="shared" si="851"/>
        <v>521</v>
      </c>
      <c r="AI752" s="101">
        <f t="shared" si="852"/>
        <v>200</v>
      </c>
      <c r="AJ752" s="112">
        <f t="shared" si="853"/>
        <v>2.5</v>
      </c>
      <c r="AK752" s="101">
        <f t="shared" si="461"/>
        <v>8196.5010303036597</v>
      </c>
      <c r="AL752" s="101">
        <f t="shared" si="854"/>
        <v>4894.3758685371959</v>
      </c>
      <c r="AM752" s="101">
        <f t="shared" si="855"/>
        <v>3302.1251617664634</v>
      </c>
      <c r="AN752" s="101"/>
      <c r="AO752" s="1">
        <v>24</v>
      </c>
      <c r="AP752" s="2">
        <v>36</v>
      </c>
      <c r="AQ752" s="74">
        <f t="shared" si="856"/>
        <v>521</v>
      </c>
      <c r="AR752" s="31">
        <f t="shared" si="857"/>
        <v>4</v>
      </c>
      <c r="AS752" s="2">
        <f t="shared" si="858"/>
        <v>1</v>
      </c>
      <c r="AT752" s="33">
        <f t="shared" si="859"/>
        <v>1</v>
      </c>
      <c r="AU752" s="31">
        <f t="shared" si="860"/>
        <v>40</v>
      </c>
      <c r="AV752" s="2">
        <f t="shared" si="861"/>
        <v>0</v>
      </c>
      <c r="AW752" s="33" t="str">
        <f t="shared" si="862"/>
        <v>보스대상</v>
      </c>
      <c r="AX752" s="31">
        <f t="shared" si="863"/>
        <v>1</v>
      </c>
      <c r="AY752" s="33">
        <f t="shared" si="864"/>
        <v>3</v>
      </c>
      <c r="AZ752" s="2"/>
      <c r="BA752" s="101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</row>
    <row r="753" spans="1:71" ht="12" customHeight="1">
      <c r="A753" s="2"/>
      <c r="B753" s="107">
        <v>678</v>
      </c>
      <c r="C753" s="31">
        <v>10</v>
      </c>
      <c r="D753" s="111" t="s">
        <v>18</v>
      </c>
      <c r="E753" s="2" t="s">
        <v>154</v>
      </c>
      <c r="F753" s="2" t="s">
        <v>149</v>
      </c>
      <c r="G753" s="2"/>
      <c r="H753" s="33" t="s">
        <v>81</v>
      </c>
      <c r="I753" s="99">
        <f t="shared" si="0"/>
        <v>1704.4021892774833</v>
      </c>
      <c r="J753" s="101">
        <f t="shared" si="1"/>
        <v>35.968798914524506</v>
      </c>
      <c r="K753" s="101">
        <f t="shared" si="2"/>
        <v>28</v>
      </c>
      <c r="L753" s="74">
        <f t="shared" si="535"/>
        <v>28</v>
      </c>
      <c r="M753" s="99">
        <f t="shared" si="191"/>
        <v>24687.884149920545</v>
      </c>
      <c r="N753" s="108">
        <f t="shared" si="690"/>
        <v>8163.8953009835914</v>
      </c>
      <c r="O753" s="108">
        <f t="shared" si="845"/>
        <v>16523.988848936951</v>
      </c>
      <c r="P753" s="108"/>
      <c r="Q753" s="108"/>
      <c r="R753" s="109"/>
      <c r="S753" s="99">
        <f t="shared" si="694"/>
        <v>17760.901624603903</v>
      </c>
      <c r="T753" s="108">
        <f t="shared" si="846"/>
        <v>5873.2510422446348</v>
      </c>
      <c r="U753" s="108">
        <f t="shared" si="847"/>
        <v>11887.650582359267</v>
      </c>
      <c r="V753" s="108"/>
      <c r="W753" s="108"/>
      <c r="X753" s="109"/>
      <c r="Y753" s="99">
        <f t="shared" si="8"/>
        <v>35521.803249207805</v>
      </c>
      <c r="Z753" s="108">
        <f t="shared" ref="Z753:AA753" si="938">T753*$D$58/100</f>
        <v>11746.50208448927</v>
      </c>
      <c r="AA753" s="108">
        <f t="shared" si="938"/>
        <v>23775.301164718534</v>
      </c>
      <c r="AB753" s="108"/>
      <c r="AC753" s="108"/>
      <c r="AD753" s="109"/>
      <c r="AE753" s="99">
        <f t="shared" si="931"/>
        <v>14.484776131615998</v>
      </c>
      <c r="AF753" s="101">
        <f t="shared" si="849"/>
        <v>36</v>
      </c>
      <c r="AG753" s="101">
        <f t="shared" si="850"/>
        <v>19.001300000000001</v>
      </c>
      <c r="AH753" s="101">
        <f t="shared" si="851"/>
        <v>521</v>
      </c>
      <c r="AI753" s="101">
        <f t="shared" si="852"/>
        <v>200</v>
      </c>
      <c r="AJ753" s="112">
        <f t="shared" si="853"/>
        <v>2.5</v>
      </c>
      <c r="AK753" s="101">
        <f t="shared" si="461"/>
        <v>8196.5010303036597</v>
      </c>
      <c r="AL753" s="101">
        <f t="shared" si="854"/>
        <v>4894.3758685371959</v>
      </c>
      <c r="AM753" s="101">
        <f t="shared" si="855"/>
        <v>3302.1251617664634</v>
      </c>
      <c r="AN753" s="101"/>
      <c r="AO753" s="1">
        <v>24</v>
      </c>
      <c r="AP753" s="2">
        <v>36</v>
      </c>
      <c r="AQ753" s="74">
        <f t="shared" si="856"/>
        <v>521</v>
      </c>
      <c r="AR753" s="31">
        <f t="shared" si="857"/>
        <v>4</v>
      </c>
      <c r="AS753" s="2">
        <f t="shared" si="858"/>
        <v>1</v>
      </c>
      <c r="AT753" s="33">
        <f t="shared" si="859"/>
        <v>1</v>
      </c>
      <c r="AU753" s="31">
        <f t="shared" si="860"/>
        <v>0</v>
      </c>
      <c r="AV753" s="2">
        <f t="shared" si="861"/>
        <v>1</v>
      </c>
      <c r="AW753" s="33" t="str">
        <f t="shared" si="862"/>
        <v>보스대상</v>
      </c>
      <c r="AX753" s="31">
        <f t="shared" si="863"/>
        <v>1</v>
      </c>
      <c r="AY753" s="33">
        <f t="shared" si="864"/>
        <v>3</v>
      </c>
      <c r="AZ753" s="2"/>
      <c r="BA753" s="101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</row>
    <row r="754" spans="1:71" ht="12" customHeight="1">
      <c r="A754" s="2"/>
      <c r="B754" s="107">
        <v>679</v>
      </c>
      <c r="C754" s="31">
        <v>10</v>
      </c>
      <c r="D754" s="111" t="s">
        <v>18</v>
      </c>
      <c r="E754" s="2" t="s">
        <v>157</v>
      </c>
      <c r="F754" s="2" t="s">
        <v>149</v>
      </c>
      <c r="G754" s="2" t="s">
        <v>186</v>
      </c>
      <c r="H754" s="33" t="s">
        <v>81</v>
      </c>
      <c r="I754" s="99">
        <f t="shared" si="0"/>
        <v>3841.2931764874547</v>
      </c>
      <c r="J754" s="101">
        <f t="shared" si="1"/>
        <v>81.064611807018906</v>
      </c>
      <c r="K754" s="101">
        <f t="shared" si="2"/>
        <v>1</v>
      </c>
      <c r="L754" s="74">
        <f t="shared" si="535"/>
        <v>1</v>
      </c>
      <c r="M754" s="99">
        <f t="shared" si="191"/>
        <v>24687.884149920545</v>
      </c>
      <c r="N754" s="108">
        <f t="shared" si="690"/>
        <v>8163.8953009835914</v>
      </c>
      <c r="O754" s="108">
        <f t="shared" si="845"/>
        <v>16523.988848936951</v>
      </c>
      <c r="P754" s="108"/>
      <c r="Q754" s="108"/>
      <c r="R754" s="109"/>
      <c r="S754" s="99">
        <f t="shared" si="694"/>
        <v>17760.901624603903</v>
      </c>
      <c r="T754" s="108">
        <f t="shared" si="846"/>
        <v>5873.2510422446348</v>
      </c>
      <c r="U754" s="108">
        <f t="shared" si="847"/>
        <v>11887.650582359267</v>
      </c>
      <c r="V754" s="108"/>
      <c r="W754" s="108"/>
      <c r="X754" s="109"/>
      <c r="Y754" s="99">
        <f t="shared" si="8"/>
        <v>35521.803249207805</v>
      </c>
      <c r="Z754" s="108">
        <f t="shared" ref="Z754:AA754" si="939">T754*$D$58/100</f>
        <v>11746.50208448927</v>
      </c>
      <c r="AA754" s="108">
        <f t="shared" si="939"/>
        <v>23775.301164718534</v>
      </c>
      <c r="AB754" s="108"/>
      <c r="AC754" s="108"/>
      <c r="AD754" s="109"/>
      <c r="AE754" s="99">
        <f t="shared" si="931"/>
        <v>6.4269721199712162</v>
      </c>
      <c r="AF754" s="101">
        <f t="shared" si="849"/>
        <v>36</v>
      </c>
      <c r="AG754" s="101">
        <f t="shared" si="850"/>
        <v>19.001300000000001</v>
      </c>
      <c r="AH754" s="101">
        <f t="shared" si="851"/>
        <v>521</v>
      </c>
      <c r="AI754" s="101">
        <f t="shared" si="852"/>
        <v>200</v>
      </c>
      <c r="AJ754" s="112">
        <f t="shared" si="853"/>
        <v>2.5</v>
      </c>
      <c r="AK754" s="101">
        <f t="shared" si="461"/>
        <v>8196.5010303036597</v>
      </c>
      <c r="AL754" s="101">
        <f t="shared" si="854"/>
        <v>4894.3758685371959</v>
      </c>
      <c r="AM754" s="101">
        <f t="shared" si="855"/>
        <v>3302.1251617664634</v>
      </c>
      <c r="AN754" s="101"/>
      <c r="AO754" s="1">
        <v>24</v>
      </c>
      <c r="AP754" s="2">
        <v>36</v>
      </c>
      <c r="AQ754" s="74">
        <f t="shared" si="856"/>
        <v>521</v>
      </c>
      <c r="AR754" s="31">
        <f t="shared" si="857"/>
        <v>4</v>
      </c>
      <c r="AS754" s="2">
        <f t="shared" si="858"/>
        <v>1</v>
      </c>
      <c r="AT754" s="33">
        <f t="shared" si="859"/>
        <v>1</v>
      </c>
      <c r="AU754" s="31">
        <f t="shared" si="860"/>
        <v>0</v>
      </c>
      <c r="AV754" s="2">
        <f t="shared" si="861"/>
        <v>0</v>
      </c>
      <c r="AW754" s="33">
        <f t="shared" si="862"/>
        <v>5</v>
      </c>
      <c r="AX754" s="31">
        <f t="shared" si="863"/>
        <v>1</v>
      </c>
      <c r="AY754" s="33">
        <f t="shared" si="864"/>
        <v>3</v>
      </c>
      <c r="AZ754" s="2"/>
      <c r="BA754" s="101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</row>
    <row r="755" spans="1:71" ht="12" customHeight="1">
      <c r="A755" s="2"/>
      <c r="B755" s="107">
        <v>680</v>
      </c>
      <c r="C755" s="31">
        <v>10</v>
      </c>
      <c r="D755" s="111" t="s">
        <v>18</v>
      </c>
      <c r="E755" s="2" t="s">
        <v>170</v>
      </c>
      <c r="F755" s="2" t="s">
        <v>149</v>
      </c>
      <c r="G755" s="2"/>
      <c r="H755" s="33" t="s">
        <v>81</v>
      </c>
      <c r="I755" s="99">
        <f t="shared" si="0"/>
        <v>1462.6730869937087</v>
      </c>
      <c r="J755" s="101">
        <f t="shared" si="1"/>
        <v>28.185356224514496</v>
      </c>
      <c r="K755" s="101">
        <f t="shared" si="2"/>
        <v>48</v>
      </c>
      <c r="L755" s="74">
        <f t="shared" si="535"/>
        <v>45</v>
      </c>
      <c r="M755" s="99">
        <f t="shared" si="191"/>
        <v>27037.184566818396</v>
      </c>
      <c r="N755" s="108">
        <f t="shared" si="690"/>
        <v>10513.195717881446</v>
      </c>
      <c r="O755" s="108">
        <f t="shared" si="845"/>
        <v>16523.988848936951</v>
      </c>
      <c r="P755" s="108"/>
      <c r="Q755" s="108"/>
      <c r="R755" s="109"/>
      <c r="S755" s="99">
        <f t="shared" si="694"/>
        <v>17760.901624603903</v>
      </c>
      <c r="T755" s="108">
        <f t="shared" si="846"/>
        <v>5873.2510422446348</v>
      </c>
      <c r="U755" s="108">
        <f t="shared" si="847"/>
        <v>11887.650582359267</v>
      </c>
      <c r="V755" s="108"/>
      <c r="W755" s="108"/>
      <c r="X755" s="109"/>
      <c r="Y755" s="99">
        <f t="shared" si="8"/>
        <v>35521.803249207805</v>
      </c>
      <c r="Z755" s="108">
        <f t="shared" ref="Z755:AA755" si="940">T755*$D$58/100</f>
        <v>11746.50208448927</v>
      </c>
      <c r="AA755" s="108">
        <f t="shared" si="940"/>
        <v>23775.301164718534</v>
      </c>
      <c r="AB755" s="108"/>
      <c r="AC755" s="108"/>
      <c r="AD755" s="109"/>
      <c r="AE755" s="99">
        <f t="shared" si="931"/>
        <v>18.484776131615998</v>
      </c>
      <c r="AF755" s="101">
        <f t="shared" si="849"/>
        <v>36</v>
      </c>
      <c r="AG755" s="101">
        <f t="shared" si="850"/>
        <v>59.001300000000001</v>
      </c>
      <c r="AH755" s="101">
        <f t="shared" si="851"/>
        <v>521</v>
      </c>
      <c r="AI755" s="101">
        <f t="shared" si="852"/>
        <v>200</v>
      </c>
      <c r="AJ755" s="112">
        <f t="shared" si="853"/>
        <v>2</v>
      </c>
      <c r="AK755" s="101">
        <f t="shared" si="461"/>
        <v>8196.5010303036597</v>
      </c>
      <c r="AL755" s="101">
        <f t="shared" si="854"/>
        <v>4894.3758685371959</v>
      </c>
      <c r="AM755" s="101">
        <f t="shared" si="855"/>
        <v>3302.1251617664634</v>
      </c>
      <c r="AN755" s="101"/>
      <c r="AO755" s="1">
        <v>24</v>
      </c>
      <c r="AP755" s="2">
        <v>36</v>
      </c>
      <c r="AQ755" s="74">
        <f t="shared" si="856"/>
        <v>521</v>
      </c>
      <c r="AR755" s="31">
        <f t="shared" si="857"/>
        <v>0</v>
      </c>
      <c r="AS755" s="2">
        <f t="shared" si="858"/>
        <v>0.8</v>
      </c>
      <c r="AT755" s="33">
        <f t="shared" si="859"/>
        <v>1</v>
      </c>
      <c r="AU755" s="31">
        <f t="shared" si="860"/>
        <v>40</v>
      </c>
      <c r="AV755" s="2">
        <f t="shared" si="861"/>
        <v>0</v>
      </c>
      <c r="AW755" s="33" t="str">
        <f t="shared" si="862"/>
        <v>보스대상</v>
      </c>
      <c r="AX755" s="31">
        <f t="shared" si="863"/>
        <v>1</v>
      </c>
      <c r="AY755" s="33">
        <f t="shared" si="864"/>
        <v>3</v>
      </c>
      <c r="AZ755" s="2"/>
      <c r="BA755" s="101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</row>
    <row r="756" spans="1:71" ht="12" customHeight="1">
      <c r="A756" s="2"/>
      <c r="B756" s="107">
        <v>681</v>
      </c>
      <c r="C756" s="31">
        <v>10</v>
      </c>
      <c r="D756" s="111" t="s">
        <v>18</v>
      </c>
      <c r="E756" s="2" t="s">
        <v>102</v>
      </c>
      <c r="F756" s="2" t="s">
        <v>149</v>
      </c>
      <c r="G756" s="2"/>
      <c r="H756" s="33" t="s">
        <v>81</v>
      </c>
      <c r="I756" s="99">
        <f t="shared" si="0"/>
        <v>1335.5792882822568</v>
      </c>
      <c r="J756" s="101">
        <f t="shared" si="1"/>
        <v>28.185356224514496</v>
      </c>
      <c r="K756" s="101">
        <f t="shared" si="2"/>
        <v>69</v>
      </c>
      <c r="L756" s="74">
        <f t="shared" si="535"/>
        <v>65</v>
      </c>
      <c r="M756" s="99">
        <f t="shared" si="191"/>
        <v>24687.884149920545</v>
      </c>
      <c r="N756" s="108">
        <f t="shared" si="690"/>
        <v>8163.8953009835914</v>
      </c>
      <c r="O756" s="108">
        <f t="shared" si="845"/>
        <v>16523.988848936951</v>
      </c>
      <c r="P756" s="108"/>
      <c r="Q756" s="108"/>
      <c r="R756" s="109"/>
      <c r="S756" s="99">
        <f t="shared" si="694"/>
        <v>17760.901624603903</v>
      </c>
      <c r="T756" s="108">
        <f t="shared" si="846"/>
        <v>5873.2510422446348</v>
      </c>
      <c r="U756" s="108">
        <f t="shared" si="847"/>
        <v>11887.650582359267</v>
      </c>
      <c r="V756" s="108"/>
      <c r="W756" s="108"/>
      <c r="X756" s="109"/>
      <c r="Y756" s="99">
        <f t="shared" si="8"/>
        <v>35521.803249207805</v>
      </c>
      <c r="Z756" s="108">
        <f t="shared" ref="Z756:AA756" si="941">T756*$D$58/100</f>
        <v>11746.50208448927</v>
      </c>
      <c r="AA756" s="108">
        <f t="shared" si="941"/>
        <v>23775.301164718534</v>
      </c>
      <c r="AB756" s="108"/>
      <c r="AC756" s="108"/>
      <c r="AD756" s="109"/>
      <c r="AE756" s="99">
        <f t="shared" si="931"/>
        <v>18.484776131615998</v>
      </c>
      <c r="AF756" s="101">
        <f t="shared" si="849"/>
        <v>36</v>
      </c>
      <c r="AG756" s="101">
        <f t="shared" si="850"/>
        <v>19.001300000000001</v>
      </c>
      <c r="AH756" s="101">
        <f t="shared" si="851"/>
        <v>521</v>
      </c>
      <c r="AI756" s="101">
        <f t="shared" si="852"/>
        <v>200</v>
      </c>
      <c r="AJ756" s="112">
        <f t="shared" si="853"/>
        <v>2</v>
      </c>
      <c r="AK756" s="101">
        <f t="shared" si="461"/>
        <v>8196.5010303036597</v>
      </c>
      <c r="AL756" s="101">
        <f t="shared" si="854"/>
        <v>4894.3758685371959</v>
      </c>
      <c r="AM756" s="101">
        <f t="shared" si="855"/>
        <v>3302.1251617664634</v>
      </c>
      <c r="AN756" s="101"/>
      <c r="AO756" s="1">
        <v>24</v>
      </c>
      <c r="AP756" s="2">
        <v>36</v>
      </c>
      <c r="AQ756" s="74">
        <f t="shared" si="856"/>
        <v>521</v>
      </c>
      <c r="AR756" s="31">
        <f t="shared" si="857"/>
        <v>0</v>
      </c>
      <c r="AS756" s="2">
        <f t="shared" si="858"/>
        <v>0.8</v>
      </c>
      <c r="AT756" s="33">
        <f t="shared" si="859"/>
        <v>1</v>
      </c>
      <c r="AU756" s="31">
        <f t="shared" si="860"/>
        <v>0</v>
      </c>
      <c r="AV756" s="2">
        <f t="shared" si="861"/>
        <v>1</v>
      </c>
      <c r="AW756" s="33" t="str">
        <f t="shared" si="862"/>
        <v>보스대상</v>
      </c>
      <c r="AX756" s="31">
        <f t="shared" si="863"/>
        <v>1</v>
      </c>
      <c r="AY756" s="33">
        <f t="shared" si="864"/>
        <v>3</v>
      </c>
      <c r="AZ756" s="2"/>
      <c r="BA756" s="101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</row>
    <row r="757" spans="1:71" ht="12" customHeight="1">
      <c r="A757" s="2"/>
      <c r="B757" s="107">
        <v>682</v>
      </c>
      <c r="C757" s="31">
        <v>10</v>
      </c>
      <c r="D757" s="111" t="s">
        <v>18</v>
      </c>
      <c r="E757" s="2" t="s">
        <v>108</v>
      </c>
      <c r="F757" s="2" t="s">
        <v>149</v>
      </c>
      <c r="G757" s="2" t="s">
        <v>186</v>
      </c>
      <c r="H757" s="33" t="s">
        <v>81</v>
      </c>
      <c r="I757" s="99">
        <f t="shared" si="0"/>
        <v>3010.0592682947813</v>
      </c>
      <c r="J757" s="101">
        <f t="shared" si="1"/>
        <v>63.522692720778515</v>
      </c>
      <c r="K757" s="101">
        <f t="shared" si="2"/>
        <v>5</v>
      </c>
      <c r="L757" s="74">
        <f t="shared" si="535"/>
        <v>5</v>
      </c>
      <c r="M757" s="99">
        <f t="shared" si="191"/>
        <v>24687.884149920545</v>
      </c>
      <c r="N757" s="108">
        <f t="shared" si="690"/>
        <v>8163.8953009835914</v>
      </c>
      <c r="O757" s="108">
        <f t="shared" si="845"/>
        <v>16523.988848936951</v>
      </c>
      <c r="P757" s="108"/>
      <c r="Q757" s="108"/>
      <c r="R757" s="109"/>
      <c r="S757" s="99">
        <f t="shared" si="694"/>
        <v>17760.901624603903</v>
      </c>
      <c r="T757" s="108">
        <f t="shared" si="846"/>
        <v>5873.2510422446348</v>
      </c>
      <c r="U757" s="108">
        <f t="shared" si="847"/>
        <v>11887.650582359267</v>
      </c>
      <c r="V757" s="108"/>
      <c r="W757" s="108"/>
      <c r="X757" s="109"/>
      <c r="Y757" s="99">
        <f t="shared" si="8"/>
        <v>35521.803249207805</v>
      </c>
      <c r="Z757" s="108">
        <f t="shared" ref="Z757:AA757" si="942">T757*$D$58/100</f>
        <v>11746.50208448927</v>
      </c>
      <c r="AA757" s="108">
        <f t="shared" si="942"/>
        <v>23775.301164718534</v>
      </c>
      <c r="AB757" s="108"/>
      <c r="AC757" s="108"/>
      <c r="AD757" s="109"/>
      <c r="AE757" s="99">
        <f t="shared" si="931"/>
        <v>8.2017933699712149</v>
      </c>
      <c r="AF757" s="101">
        <f t="shared" si="849"/>
        <v>36</v>
      </c>
      <c r="AG757" s="101">
        <f t="shared" si="850"/>
        <v>19.001300000000001</v>
      </c>
      <c r="AH757" s="101">
        <f t="shared" si="851"/>
        <v>521</v>
      </c>
      <c r="AI757" s="101">
        <f t="shared" si="852"/>
        <v>200</v>
      </c>
      <c r="AJ757" s="112">
        <f t="shared" si="853"/>
        <v>2</v>
      </c>
      <c r="AK757" s="101">
        <f t="shared" si="461"/>
        <v>8196.5010303036597</v>
      </c>
      <c r="AL757" s="101">
        <f t="shared" si="854"/>
        <v>4894.3758685371959</v>
      </c>
      <c r="AM757" s="101">
        <f t="shared" si="855"/>
        <v>3302.1251617664634</v>
      </c>
      <c r="AN757" s="101"/>
      <c r="AO757" s="1">
        <v>24</v>
      </c>
      <c r="AP757" s="2">
        <v>36</v>
      </c>
      <c r="AQ757" s="74">
        <f t="shared" si="856"/>
        <v>521</v>
      </c>
      <c r="AR757" s="31">
        <f t="shared" si="857"/>
        <v>0</v>
      </c>
      <c r="AS757" s="2">
        <f t="shared" si="858"/>
        <v>0.8</v>
      </c>
      <c r="AT757" s="33">
        <f t="shared" si="859"/>
        <v>1</v>
      </c>
      <c r="AU757" s="31">
        <f t="shared" si="860"/>
        <v>0</v>
      </c>
      <c r="AV757" s="2">
        <f t="shared" si="861"/>
        <v>0</v>
      </c>
      <c r="AW757" s="33">
        <f t="shared" si="862"/>
        <v>5</v>
      </c>
      <c r="AX757" s="31">
        <f t="shared" si="863"/>
        <v>1</v>
      </c>
      <c r="AY757" s="33">
        <f t="shared" si="864"/>
        <v>3</v>
      </c>
      <c r="AZ757" s="2"/>
      <c r="BA757" s="101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</row>
    <row r="758" spans="1:71" ht="12" customHeight="1">
      <c r="A758" s="2"/>
      <c r="B758" s="107">
        <v>683</v>
      </c>
      <c r="C758" s="31">
        <v>10</v>
      </c>
      <c r="D758" s="111" t="s">
        <v>18</v>
      </c>
      <c r="E758" s="2" t="s">
        <v>145</v>
      </c>
      <c r="F758" s="2" t="s">
        <v>149</v>
      </c>
      <c r="G758" s="2"/>
      <c r="H758" s="33" t="s">
        <v>81</v>
      </c>
      <c r="I758" s="99">
        <f t="shared" si="0"/>
        <v>1755.2077043924503</v>
      </c>
      <c r="J758" s="101">
        <f t="shared" si="1"/>
        <v>28.185356224514496</v>
      </c>
      <c r="K758" s="101">
        <f t="shared" si="2"/>
        <v>27</v>
      </c>
      <c r="L758" s="74">
        <f t="shared" si="535"/>
        <v>27</v>
      </c>
      <c r="M758" s="99">
        <f t="shared" si="191"/>
        <v>32444.621480182075</v>
      </c>
      <c r="N758" s="108">
        <f t="shared" si="690"/>
        <v>12615.834861457735</v>
      </c>
      <c r="O758" s="108">
        <f t="shared" si="845"/>
        <v>19828.786618724342</v>
      </c>
      <c r="P758" s="108"/>
      <c r="Q758" s="108"/>
      <c r="R758" s="109"/>
      <c r="S758" s="99">
        <f t="shared" si="694"/>
        <v>21313.081949524683</v>
      </c>
      <c r="T758" s="108">
        <f t="shared" si="846"/>
        <v>7047.9012506935615</v>
      </c>
      <c r="U758" s="108">
        <f t="shared" si="847"/>
        <v>14265.18069883112</v>
      </c>
      <c r="V758" s="108"/>
      <c r="W758" s="108"/>
      <c r="X758" s="109"/>
      <c r="Y758" s="99">
        <f t="shared" si="8"/>
        <v>42626.163899049367</v>
      </c>
      <c r="Z758" s="108">
        <f t="shared" ref="Z758:AA758" si="943">T758*$D$58/100</f>
        <v>14095.802501387123</v>
      </c>
      <c r="AA758" s="108">
        <f t="shared" si="943"/>
        <v>28530.361397662244</v>
      </c>
      <c r="AB758" s="108"/>
      <c r="AC758" s="108"/>
      <c r="AD758" s="109"/>
      <c r="AE758" s="99">
        <f t="shared" si="931"/>
        <v>18.484776131615998</v>
      </c>
      <c r="AF758" s="101">
        <f t="shared" si="849"/>
        <v>36</v>
      </c>
      <c r="AG758" s="101">
        <f t="shared" si="850"/>
        <v>59.001300000000001</v>
      </c>
      <c r="AH758" s="101">
        <f t="shared" si="851"/>
        <v>521</v>
      </c>
      <c r="AI758" s="101">
        <f t="shared" si="852"/>
        <v>200</v>
      </c>
      <c r="AJ758" s="112">
        <f t="shared" si="853"/>
        <v>2.5</v>
      </c>
      <c r="AK758" s="101">
        <f t="shared" si="461"/>
        <v>8196.5010303036597</v>
      </c>
      <c r="AL758" s="101">
        <f t="shared" si="854"/>
        <v>4894.3758685371959</v>
      </c>
      <c r="AM758" s="101">
        <f t="shared" si="855"/>
        <v>3302.1251617664634</v>
      </c>
      <c r="AN758" s="101"/>
      <c r="AO758" s="1">
        <v>24</v>
      </c>
      <c r="AP758" s="2">
        <v>36</v>
      </c>
      <c r="AQ758" s="74">
        <f t="shared" si="856"/>
        <v>521</v>
      </c>
      <c r="AR758" s="31">
        <f t="shared" si="857"/>
        <v>0</v>
      </c>
      <c r="AS758" s="2">
        <f t="shared" si="858"/>
        <v>1</v>
      </c>
      <c r="AT758" s="33">
        <f t="shared" si="859"/>
        <v>1.2</v>
      </c>
      <c r="AU758" s="31">
        <f t="shared" si="860"/>
        <v>40</v>
      </c>
      <c r="AV758" s="2">
        <f t="shared" si="861"/>
        <v>0</v>
      </c>
      <c r="AW758" s="33" t="str">
        <f t="shared" si="862"/>
        <v>보스대상</v>
      </c>
      <c r="AX758" s="31">
        <f t="shared" si="863"/>
        <v>1</v>
      </c>
      <c r="AY758" s="33">
        <f t="shared" si="864"/>
        <v>3</v>
      </c>
      <c r="AZ758" s="2"/>
      <c r="BA758" s="101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</row>
    <row r="759" spans="1:71" ht="12" customHeight="1">
      <c r="A759" s="2"/>
      <c r="B759" s="107">
        <v>684</v>
      </c>
      <c r="C759" s="31">
        <v>10</v>
      </c>
      <c r="D759" s="111" t="s">
        <v>18</v>
      </c>
      <c r="E759" s="2" t="s">
        <v>132</v>
      </c>
      <c r="F759" s="2" t="s">
        <v>149</v>
      </c>
      <c r="G759" s="2"/>
      <c r="H759" s="33" t="s">
        <v>81</v>
      </c>
      <c r="I759" s="99">
        <f t="shared" si="0"/>
        <v>1602.6951459387083</v>
      </c>
      <c r="J759" s="101">
        <f t="shared" si="1"/>
        <v>28.185356224514496</v>
      </c>
      <c r="K759" s="101">
        <f t="shared" si="2"/>
        <v>31</v>
      </c>
      <c r="L759" s="74">
        <f t="shared" si="535"/>
        <v>31</v>
      </c>
      <c r="M759" s="99">
        <f t="shared" si="191"/>
        <v>29625.460979904652</v>
      </c>
      <c r="N759" s="108">
        <f t="shared" si="690"/>
        <v>9796.6743611803086</v>
      </c>
      <c r="O759" s="108">
        <f t="shared" si="845"/>
        <v>19828.786618724342</v>
      </c>
      <c r="P759" s="108"/>
      <c r="Q759" s="108"/>
      <c r="R759" s="109"/>
      <c r="S759" s="99">
        <f t="shared" si="694"/>
        <v>21313.081949524683</v>
      </c>
      <c r="T759" s="108">
        <f t="shared" si="846"/>
        <v>7047.9012506935615</v>
      </c>
      <c r="U759" s="108">
        <f t="shared" si="847"/>
        <v>14265.18069883112</v>
      </c>
      <c r="V759" s="108"/>
      <c r="W759" s="108"/>
      <c r="X759" s="109"/>
      <c r="Y759" s="99">
        <f t="shared" si="8"/>
        <v>42626.163899049367</v>
      </c>
      <c r="Z759" s="108">
        <f t="shared" ref="Z759:AA759" si="944">T759*$D$58/100</f>
        <v>14095.802501387123</v>
      </c>
      <c r="AA759" s="108">
        <f t="shared" si="944"/>
        <v>28530.361397662244</v>
      </c>
      <c r="AB759" s="108"/>
      <c r="AC759" s="108"/>
      <c r="AD759" s="109"/>
      <c r="AE759" s="99">
        <f t="shared" si="931"/>
        <v>18.484776131615998</v>
      </c>
      <c r="AF759" s="101">
        <f t="shared" si="849"/>
        <v>36</v>
      </c>
      <c r="AG759" s="101">
        <f t="shared" si="850"/>
        <v>19.001300000000001</v>
      </c>
      <c r="AH759" s="101">
        <f t="shared" si="851"/>
        <v>521</v>
      </c>
      <c r="AI759" s="101">
        <f t="shared" si="852"/>
        <v>200</v>
      </c>
      <c r="AJ759" s="112">
        <f t="shared" si="853"/>
        <v>2.5</v>
      </c>
      <c r="AK759" s="101">
        <f t="shared" si="461"/>
        <v>8196.5010303036597</v>
      </c>
      <c r="AL759" s="101">
        <f t="shared" si="854"/>
        <v>4894.3758685371959</v>
      </c>
      <c r="AM759" s="101">
        <f t="shared" si="855"/>
        <v>3302.1251617664634</v>
      </c>
      <c r="AN759" s="101"/>
      <c r="AO759" s="1">
        <v>24</v>
      </c>
      <c r="AP759" s="2">
        <v>36</v>
      </c>
      <c r="AQ759" s="74">
        <f t="shared" si="856"/>
        <v>521</v>
      </c>
      <c r="AR759" s="31">
        <f t="shared" si="857"/>
        <v>0</v>
      </c>
      <c r="AS759" s="2">
        <f t="shared" si="858"/>
        <v>1</v>
      </c>
      <c r="AT759" s="33">
        <f t="shared" si="859"/>
        <v>1.2</v>
      </c>
      <c r="AU759" s="31">
        <f t="shared" si="860"/>
        <v>0</v>
      </c>
      <c r="AV759" s="2">
        <f t="shared" si="861"/>
        <v>1</v>
      </c>
      <c r="AW759" s="33" t="str">
        <f t="shared" si="862"/>
        <v>보스대상</v>
      </c>
      <c r="AX759" s="31">
        <f t="shared" si="863"/>
        <v>1</v>
      </c>
      <c r="AY759" s="33">
        <f t="shared" si="864"/>
        <v>3</v>
      </c>
      <c r="AZ759" s="2"/>
      <c r="BA759" s="101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</row>
    <row r="760" spans="1:71" ht="12" customHeight="1">
      <c r="A760" s="2"/>
      <c r="B760" s="107">
        <v>685</v>
      </c>
      <c r="C760" s="31">
        <v>10</v>
      </c>
      <c r="D760" s="111" t="s">
        <v>18</v>
      </c>
      <c r="E760" s="2" t="s">
        <v>135</v>
      </c>
      <c r="F760" s="2" t="s">
        <v>149</v>
      </c>
      <c r="G760" s="2" t="s">
        <v>186</v>
      </c>
      <c r="H760" s="33" t="s">
        <v>81</v>
      </c>
      <c r="I760" s="99">
        <f t="shared" si="0"/>
        <v>3612.0711219537375</v>
      </c>
      <c r="J760" s="101">
        <f t="shared" si="1"/>
        <v>63.522692720778515</v>
      </c>
      <c r="K760" s="101">
        <f t="shared" si="2"/>
        <v>2</v>
      </c>
      <c r="L760" s="74">
        <f t="shared" si="535"/>
        <v>2</v>
      </c>
      <c r="M760" s="99">
        <f t="shared" si="191"/>
        <v>29625.460979904652</v>
      </c>
      <c r="N760" s="108">
        <f t="shared" si="690"/>
        <v>9796.6743611803086</v>
      </c>
      <c r="O760" s="108">
        <f t="shared" si="845"/>
        <v>19828.786618724342</v>
      </c>
      <c r="P760" s="108"/>
      <c r="Q760" s="108"/>
      <c r="R760" s="109"/>
      <c r="S760" s="99">
        <f t="shared" si="694"/>
        <v>21313.081949524683</v>
      </c>
      <c r="T760" s="108">
        <f t="shared" si="846"/>
        <v>7047.9012506935615</v>
      </c>
      <c r="U760" s="108">
        <f t="shared" si="847"/>
        <v>14265.18069883112</v>
      </c>
      <c r="V760" s="108"/>
      <c r="W760" s="108"/>
      <c r="X760" s="109"/>
      <c r="Y760" s="99">
        <f t="shared" si="8"/>
        <v>42626.163899049367</v>
      </c>
      <c r="Z760" s="108">
        <f t="shared" ref="Z760:AA760" si="945">T760*$D$58/100</f>
        <v>14095.802501387123</v>
      </c>
      <c r="AA760" s="108">
        <f t="shared" si="945"/>
        <v>28530.361397662244</v>
      </c>
      <c r="AB760" s="108"/>
      <c r="AC760" s="108"/>
      <c r="AD760" s="109"/>
      <c r="AE760" s="99">
        <f t="shared" si="931"/>
        <v>8.2017933699712149</v>
      </c>
      <c r="AF760" s="101">
        <f t="shared" si="849"/>
        <v>36</v>
      </c>
      <c r="AG760" s="101">
        <f t="shared" si="850"/>
        <v>19.001300000000001</v>
      </c>
      <c r="AH760" s="101">
        <f t="shared" si="851"/>
        <v>521</v>
      </c>
      <c r="AI760" s="101">
        <f t="shared" si="852"/>
        <v>200</v>
      </c>
      <c r="AJ760" s="112">
        <f t="shared" si="853"/>
        <v>2.5</v>
      </c>
      <c r="AK760" s="101">
        <f t="shared" si="461"/>
        <v>8196.5010303036597</v>
      </c>
      <c r="AL760" s="101">
        <f t="shared" si="854"/>
        <v>4894.3758685371959</v>
      </c>
      <c r="AM760" s="101">
        <f t="shared" si="855"/>
        <v>3302.1251617664634</v>
      </c>
      <c r="AN760" s="101"/>
      <c r="AO760" s="1">
        <v>24</v>
      </c>
      <c r="AP760" s="2">
        <v>36</v>
      </c>
      <c r="AQ760" s="74">
        <f t="shared" si="856"/>
        <v>521</v>
      </c>
      <c r="AR760" s="31">
        <f t="shared" si="857"/>
        <v>0</v>
      </c>
      <c r="AS760" s="2">
        <f t="shared" si="858"/>
        <v>1</v>
      </c>
      <c r="AT760" s="33">
        <f t="shared" si="859"/>
        <v>1.2</v>
      </c>
      <c r="AU760" s="31">
        <f t="shared" si="860"/>
        <v>0</v>
      </c>
      <c r="AV760" s="2">
        <f t="shared" si="861"/>
        <v>0</v>
      </c>
      <c r="AW760" s="33">
        <f t="shared" si="862"/>
        <v>5</v>
      </c>
      <c r="AX760" s="31">
        <f t="shared" si="863"/>
        <v>1</v>
      </c>
      <c r="AY760" s="33">
        <f t="shared" si="864"/>
        <v>3</v>
      </c>
      <c r="AZ760" s="2"/>
      <c r="BA760" s="101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</row>
    <row r="761" spans="1:71" ht="12" customHeight="1">
      <c r="A761" s="2"/>
      <c r="B761" s="107">
        <v>686</v>
      </c>
      <c r="C761" s="31">
        <v>7</v>
      </c>
      <c r="D761" s="111" t="s">
        <v>18</v>
      </c>
      <c r="E761" s="2" t="s">
        <v>163</v>
      </c>
      <c r="F761" s="2" t="s">
        <v>149</v>
      </c>
      <c r="G761" s="2"/>
      <c r="H761" s="33" t="s">
        <v>81</v>
      </c>
      <c r="I761" s="99">
        <f t="shared" si="0"/>
        <v>1058.4484069547916</v>
      </c>
      <c r="J761" s="101">
        <f t="shared" si="1"/>
        <v>25.060794637183101</v>
      </c>
      <c r="K761" s="101">
        <f t="shared" si="2"/>
        <v>145</v>
      </c>
      <c r="L761" s="74">
        <f t="shared" si="535"/>
        <v>116</v>
      </c>
      <c r="M761" s="99">
        <f t="shared" si="191"/>
        <v>15331.388221605743</v>
      </c>
      <c r="N761" s="108">
        <f t="shared" si="690"/>
        <v>10057.32512299484</v>
      </c>
      <c r="O761" s="108">
        <f t="shared" si="845"/>
        <v>5274.0630986109036</v>
      </c>
      <c r="P761" s="108"/>
      <c r="Q761" s="108"/>
      <c r="R761" s="109"/>
      <c r="S761" s="99">
        <f t="shared" si="694"/>
        <v>9412.8310950102441</v>
      </c>
      <c r="T761" s="108">
        <f t="shared" si="846"/>
        <v>5618.576581843171</v>
      </c>
      <c r="U761" s="108">
        <f t="shared" si="847"/>
        <v>3794.2545131670736</v>
      </c>
      <c r="V761" s="108"/>
      <c r="W761" s="108"/>
      <c r="X761" s="109"/>
      <c r="Y761" s="99">
        <f t="shared" si="8"/>
        <v>18825.662190020488</v>
      </c>
      <c r="Z761" s="108">
        <f t="shared" ref="Z761:AA761" si="946">T761*$D$58/100</f>
        <v>11237.153163686342</v>
      </c>
      <c r="AA761" s="108">
        <f t="shared" si="946"/>
        <v>7588.5090263341472</v>
      </c>
      <c r="AB761" s="108"/>
      <c r="AC761" s="108"/>
      <c r="AD761" s="109"/>
      <c r="AE761" s="99">
        <f t="shared" si="931"/>
        <v>14.484776131615998</v>
      </c>
      <c r="AF761" s="101">
        <f t="shared" si="849"/>
        <v>36</v>
      </c>
      <c r="AG761" s="101">
        <f t="shared" si="850"/>
        <v>59.001300000000001</v>
      </c>
      <c r="AH761" s="101">
        <f t="shared" si="851"/>
        <v>363</v>
      </c>
      <c r="AI761" s="101">
        <f t="shared" si="852"/>
        <v>200</v>
      </c>
      <c r="AJ761" s="112">
        <f t="shared" si="853"/>
        <v>2.2222222222222223</v>
      </c>
      <c r="AK761" s="101">
        <f t="shared" si="461"/>
        <v>7844.0259125085377</v>
      </c>
      <c r="AL761" s="101">
        <f t="shared" si="854"/>
        <v>4682.1471515359763</v>
      </c>
      <c r="AM761" s="101">
        <f t="shared" si="855"/>
        <v>3161.8787609725614</v>
      </c>
      <c r="AN761" s="101"/>
      <c r="AO761" s="1">
        <v>24</v>
      </c>
      <c r="AP761" s="2">
        <v>36</v>
      </c>
      <c r="AQ761" s="74">
        <f t="shared" si="856"/>
        <v>363</v>
      </c>
      <c r="AR761" s="31">
        <f t="shared" si="857"/>
        <v>4</v>
      </c>
      <c r="AS761" s="2">
        <f t="shared" si="858"/>
        <v>1</v>
      </c>
      <c r="AT761" s="33">
        <f t="shared" si="859"/>
        <v>1</v>
      </c>
      <c r="AU761" s="31">
        <f t="shared" si="860"/>
        <v>40</v>
      </c>
      <c r="AV761" s="2">
        <f t="shared" si="861"/>
        <v>0</v>
      </c>
      <c r="AW761" s="33" t="str">
        <f t="shared" si="862"/>
        <v>보스대상</v>
      </c>
      <c r="AX761" s="31">
        <f t="shared" si="863"/>
        <v>1</v>
      </c>
      <c r="AY761" s="33">
        <f t="shared" si="864"/>
        <v>1</v>
      </c>
      <c r="AZ761" s="2"/>
      <c r="BA761" s="101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</row>
    <row r="762" spans="1:71" ht="12" customHeight="1">
      <c r="A762" s="2"/>
      <c r="B762" s="107">
        <v>687</v>
      </c>
      <c r="C762" s="31">
        <v>7</v>
      </c>
      <c r="D762" s="111" t="s">
        <v>18</v>
      </c>
      <c r="E762" s="2" t="s">
        <v>152</v>
      </c>
      <c r="F762" s="2" t="s">
        <v>149</v>
      </c>
      <c r="G762" s="2"/>
      <c r="H762" s="33" t="s">
        <v>81</v>
      </c>
      <c r="I762" s="99">
        <f t="shared" si="0"/>
        <v>903.29028698690411</v>
      </c>
      <c r="J762" s="101">
        <f t="shared" si="1"/>
        <v>25.060794637183101</v>
      </c>
      <c r="K762" s="101">
        <f t="shared" si="2"/>
        <v>202</v>
      </c>
      <c r="L762" s="74">
        <f t="shared" si="535"/>
        <v>149</v>
      </c>
      <c r="M762" s="99">
        <f t="shared" si="191"/>
        <v>13083.957588868474</v>
      </c>
      <c r="N762" s="108">
        <f t="shared" si="690"/>
        <v>7809.8944902575713</v>
      </c>
      <c r="O762" s="108">
        <f t="shared" si="845"/>
        <v>5274.0630986109036</v>
      </c>
      <c r="P762" s="108"/>
      <c r="Q762" s="108"/>
      <c r="R762" s="109"/>
      <c r="S762" s="99">
        <f t="shared" si="694"/>
        <v>9412.8310950102441</v>
      </c>
      <c r="T762" s="108">
        <f t="shared" si="846"/>
        <v>5618.576581843171</v>
      </c>
      <c r="U762" s="108">
        <f t="shared" si="847"/>
        <v>3794.2545131670736</v>
      </c>
      <c r="V762" s="108"/>
      <c r="W762" s="108"/>
      <c r="X762" s="109"/>
      <c r="Y762" s="99">
        <f t="shared" si="8"/>
        <v>18825.662190020488</v>
      </c>
      <c r="Z762" s="108">
        <f t="shared" ref="Z762:AA762" si="947">T762*$D$58/100</f>
        <v>11237.153163686342</v>
      </c>
      <c r="AA762" s="108">
        <f t="shared" si="947"/>
        <v>7588.5090263341472</v>
      </c>
      <c r="AB762" s="108"/>
      <c r="AC762" s="108"/>
      <c r="AD762" s="109"/>
      <c r="AE762" s="99">
        <f t="shared" si="931"/>
        <v>14.484776131615998</v>
      </c>
      <c r="AF762" s="101">
        <f t="shared" si="849"/>
        <v>36</v>
      </c>
      <c r="AG762" s="101">
        <f t="shared" si="850"/>
        <v>19.001300000000001</v>
      </c>
      <c r="AH762" s="101">
        <f t="shared" si="851"/>
        <v>363</v>
      </c>
      <c r="AI762" s="101">
        <f t="shared" si="852"/>
        <v>200</v>
      </c>
      <c r="AJ762" s="112">
        <f t="shared" si="853"/>
        <v>2.2222222222222223</v>
      </c>
      <c r="AK762" s="101">
        <f t="shared" si="461"/>
        <v>7844.0259125085377</v>
      </c>
      <c r="AL762" s="101">
        <f t="shared" si="854"/>
        <v>4682.1471515359763</v>
      </c>
      <c r="AM762" s="101">
        <f t="shared" si="855"/>
        <v>3161.8787609725614</v>
      </c>
      <c r="AN762" s="101"/>
      <c r="AO762" s="1">
        <v>24</v>
      </c>
      <c r="AP762" s="2">
        <v>36</v>
      </c>
      <c r="AQ762" s="74">
        <f t="shared" si="856"/>
        <v>363</v>
      </c>
      <c r="AR762" s="31">
        <f t="shared" si="857"/>
        <v>4</v>
      </c>
      <c r="AS762" s="2">
        <f t="shared" si="858"/>
        <v>1</v>
      </c>
      <c r="AT762" s="33">
        <f t="shared" si="859"/>
        <v>1</v>
      </c>
      <c r="AU762" s="31">
        <f t="shared" si="860"/>
        <v>0</v>
      </c>
      <c r="AV762" s="2">
        <f t="shared" si="861"/>
        <v>1</v>
      </c>
      <c r="AW762" s="33" t="str">
        <f t="shared" si="862"/>
        <v>보스대상</v>
      </c>
      <c r="AX762" s="31">
        <f t="shared" si="863"/>
        <v>1</v>
      </c>
      <c r="AY762" s="33">
        <f t="shared" si="864"/>
        <v>1</v>
      </c>
      <c r="AZ762" s="2"/>
      <c r="BA762" s="101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</row>
    <row r="763" spans="1:71" ht="12" customHeight="1">
      <c r="A763" s="2"/>
      <c r="B763" s="107">
        <v>688</v>
      </c>
      <c r="C763" s="31">
        <v>7</v>
      </c>
      <c r="D763" s="111" t="s">
        <v>18</v>
      </c>
      <c r="E763" s="2" t="s">
        <v>155</v>
      </c>
      <c r="F763" s="2" t="s">
        <v>149</v>
      </c>
      <c r="G763" s="2" t="s">
        <v>186</v>
      </c>
      <c r="H763" s="33" t="s">
        <v>81</v>
      </c>
      <c r="I763" s="99">
        <f t="shared" si="0"/>
        <v>2035.7887578524414</v>
      </c>
      <c r="J763" s="101">
        <f t="shared" si="1"/>
        <v>56.480718015255015</v>
      </c>
      <c r="K763" s="101">
        <f t="shared" si="2"/>
        <v>14</v>
      </c>
      <c r="L763" s="74">
        <f t="shared" si="535"/>
        <v>14</v>
      </c>
      <c r="M763" s="99">
        <f t="shared" si="191"/>
        <v>13083.957588868474</v>
      </c>
      <c r="N763" s="108">
        <f t="shared" si="690"/>
        <v>7809.8944902575713</v>
      </c>
      <c r="O763" s="108">
        <f t="shared" si="845"/>
        <v>5274.0630986109036</v>
      </c>
      <c r="P763" s="108"/>
      <c r="Q763" s="108"/>
      <c r="R763" s="109"/>
      <c r="S763" s="99">
        <f t="shared" si="694"/>
        <v>9412.8310950102441</v>
      </c>
      <c r="T763" s="108">
        <f t="shared" si="846"/>
        <v>5618.576581843171</v>
      </c>
      <c r="U763" s="108">
        <f t="shared" si="847"/>
        <v>3794.2545131670736</v>
      </c>
      <c r="V763" s="108"/>
      <c r="W763" s="108"/>
      <c r="X763" s="109"/>
      <c r="Y763" s="99">
        <f t="shared" si="8"/>
        <v>18825.662190020488</v>
      </c>
      <c r="Z763" s="108">
        <f t="shared" ref="Z763:AA763" si="948">T763*$D$58/100</f>
        <v>11237.153163686342</v>
      </c>
      <c r="AA763" s="108">
        <f t="shared" si="948"/>
        <v>7588.5090263341472</v>
      </c>
      <c r="AB763" s="108"/>
      <c r="AC763" s="108"/>
      <c r="AD763" s="109"/>
      <c r="AE763" s="99">
        <f t="shared" si="931"/>
        <v>6.4269721199712162</v>
      </c>
      <c r="AF763" s="101">
        <f t="shared" si="849"/>
        <v>36</v>
      </c>
      <c r="AG763" s="101">
        <f t="shared" si="850"/>
        <v>19.001300000000001</v>
      </c>
      <c r="AH763" s="101">
        <f t="shared" si="851"/>
        <v>363</v>
      </c>
      <c r="AI763" s="101">
        <f t="shared" si="852"/>
        <v>200</v>
      </c>
      <c r="AJ763" s="112">
        <f t="shared" si="853"/>
        <v>2.2222222222222223</v>
      </c>
      <c r="AK763" s="101">
        <f t="shared" si="461"/>
        <v>7844.0259125085377</v>
      </c>
      <c r="AL763" s="101">
        <f t="shared" si="854"/>
        <v>4682.1471515359763</v>
      </c>
      <c r="AM763" s="101">
        <f t="shared" si="855"/>
        <v>3161.8787609725614</v>
      </c>
      <c r="AN763" s="101"/>
      <c r="AO763" s="1">
        <v>24</v>
      </c>
      <c r="AP763" s="2">
        <v>36</v>
      </c>
      <c r="AQ763" s="74">
        <f t="shared" si="856"/>
        <v>363</v>
      </c>
      <c r="AR763" s="31">
        <f t="shared" si="857"/>
        <v>4</v>
      </c>
      <c r="AS763" s="2">
        <f t="shared" si="858"/>
        <v>1</v>
      </c>
      <c r="AT763" s="33">
        <f t="shared" si="859"/>
        <v>1</v>
      </c>
      <c r="AU763" s="31">
        <f t="shared" si="860"/>
        <v>0</v>
      </c>
      <c r="AV763" s="2">
        <f t="shared" si="861"/>
        <v>0</v>
      </c>
      <c r="AW763" s="33">
        <f t="shared" si="862"/>
        <v>5</v>
      </c>
      <c r="AX763" s="31">
        <f t="shared" si="863"/>
        <v>1</v>
      </c>
      <c r="AY763" s="33">
        <f t="shared" si="864"/>
        <v>1</v>
      </c>
      <c r="AZ763" s="2"/>
      <c r="BA763" s="101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</row>
    <row r="764" spans="1:71" ht="12" customHeight="1">
      <c r="A764" s="2"/>
      <c r="B764" s="107">
        <v>689</v>
      </c>
      <c r="C764" s="31">
        <v>7</v>
      </c>
      <c r="D764" s="111" t="s">
        <v>18</v>
      </c>
      <c r="E764" s="2" t="s">
        <v>168</v>
      </c>
      <c r="F764" s="2" t="s">
        <v>149</v>
      </c>
      <c r="G764" s="2"/>
      <c r="H764" s="33" t="s">
        <v>81</v>
      </c>
      <c r="I764" s="99">
        <f t="shared" si="0"/>
        <v>829.40621582012227</v>
      </c>
      <c r="J764" s="101">
        <f t="shared" si="1"/>
        <v>19.637781784066725</v>
      </c>
      <c r="K764" s="101">
        <f t="shared" si="2"/>
        <v>254</v>
      </c>
      <c r="L764" s="74">
        <f t="shared" si="535"/>
        <v>179</v>
      </c>
      <c r="M764" s="99">
        <f t="shared" si="191"/>
        <v>15331.388221605743</v>
      </c>
      <c r="N764" s="108">
        <f t="shared" si="690"/>
        <v>10057.32512299484</v>
      </c>
      <c r="O764" s="108">
        <f t="shared" si="845"/>
        <v>5274.0630986109036</v>
      </c>
      <c r="P764" s="108"/>
      <c r="Q764" s="108"/>
      <c r="R764" s="109"/>
      <c r="S764" s="99">
        <f t="shared" si="694"/>
        <v>9412.8310950102441</v>
      </c>
      <c r="T764" s="108">
        <f t="shared" si="846"/>
        <v>5618.576581843171</v>
      </c>
      <c r="U764" s="108">
        <f t="shared" si="847"/>
        <v>3794.2545131670736</v>
      </c>
      <c r="V764" s="108"/>
      <c r="W764" s="108"/>
      <c r="X764" s="109"/>
      <c r="Y764" s="99">
        <f t="shared" si="8"/>
        <v>18825.662190020488</v>
      </c>
      <c r="Z764" s="108">
        <f t="shared" ref="Z764:AA764" si="949">T764*$D$58/100</f>
        <v>11237.153163686342</v>
      </c>
      <c r="AA764" s="108">
        <f t="shared" si="949"/>
        <v>7588.5090263341472</v>
      </c>
      <c r="AB764" s="108"/>
      <c r="AC764" s="108"/>
      <c r="AD764" s="109"/>
      <c r="AE764" s="99">
        <f t="shared" si="931"/>
        <v>18.484776131615998</v>
      </c>
      <c r="AF764" s="101">
        <f t="shared" si="849"/>
        <v>36</v>
      </c>
      <c r="AG764" s="101">
        <f t="shared" si="850"/>
        <v>59.001300000000001</v>
      </c>
      <c r="AH764" s="101">
        <f t="shared" si="851"/>
        <v>363</v>
      </c>
      <c r="AI764" s="101">
        <f t="shared" si="852"/>
        <v>200</v>
      </c>
      <c r="AJ764" s="112">
        <f t="shared" si="853"/>
        <v>1.7777777777777777</v>
      </c>
      <c r="AK764" s="101">
        <f t="shared" si="461"/>
        <v>7844.0259125085377</v>
      </c>
      <c r="AL764" s="101">
        <f t="shared" si="854"/>
        <v>4682.1471515359763</v>
      </c>
      <c r="AM764" s="101">
        <f t="shared" si="855"/>
        <v>3161.8787609725614</v>
      </c>
      <c r="AN764" s="101"/>
      <c r="AO764" s="1">
        <v>24</v>
      </c>
      <c r="AP764" s="2">
        <v>36</v>
      </c>
      <c r="AQ764" s="74">
        <f t="shared" si="856"/>
        <v>363</v>
      </c>
      <c r="AR764" s="31">
        <f t="shared" si="857"/>
        <v>0</v>
      </c>
      <c r="AS764" s="2">
        <f t="shared" si="858"/>
        <v>0.8</v>
      </c>
      <c r="AT764" s="33">
        <f t="shared" si="859"/>
        <v>1</v>
      </c>
      <c r="AU764" s="31">
        <f t="shared" si="860"/>
        <v>40</v>
      </c>
      <c r="AV764" s="2">
        <f t="shared" si="861"/>
        <v>0</v>
      </c>
      <c r="AW764" s="33" t="str">
        <f t="shared" si="862"/>
        <v>보스대상</v>
      </c>
      <c r="AX764" s="31">
        <f t="shared" si="863"/>
        <v>1</v>
      </c>
      <c r="AY764" s="33">
        <f t="shared" si="864"/>
        <v>1</v>
      </c>
      <c r="AZ764" s="2"/>
      <c r="BA764" s="101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</row>
    <row r="765" spans="1:71" ht="12" customHeight="1">
      <c r="A765" s="2"/>
      <c r="B765" s="107">
        <v>690</v>
      </c>
      <c r="C765" s="31">
        <v>7</v>
      </c>
      <c r="D765" s="111" t="s">
        <v>18</v>
      </c>
      <c r="E765" s="2" t="s">
        <v>101</v>
      </c>
      <c r="F765" s="2" t="s">
        <v>149</v>
      </c>
      <c r="G765" s="2"/>
      <c r="H765" s="33" t="s">
        <v>81</v>
      </c>
      <c r="I765" s="99">
        <f t="shared" si="0"/>
        <v>707.82342700325864</v>
      </c>
      <c r="J765" s="101">
        <f t="shared" si="1"/>
        <v>19.637781784066725</v>
      </c>
      <c r="K765" s="101">
        <f t="shared" si="2"/>
        <v>347</v>
      </c>
      <c r="L765" s="74">
        <f t="shared" si="535"/>
        <v>223</v>
      </c>
      <c r="M765" s="99">
        <f t="shared" si="191"/>
        <v>13083.957588868474</v>
      </c>
      <c r="N765" s="108">
        <f t="shared" si="690"/>
        <v>7809.8944902575713</v>
      </c>
      <c r="O765" s="108">
        <f t="shared" si="845"/>
        <v>5274.0630986109036</v>
      </c>
      <c r="P765" s="108"/>
      <c r="Q765" s="108"/>
      <c r="R765" s="109"/>
      <c r="S765" s="99">
        <f t="shared" si="694"/>
        <v>9412.8310950102441</v>
      </c>
      <c r="T765" s="108">
        <f t="shared" si="846"/>
        <v>5618.576581843171</v>
      </c>
      <c r="U765" s="108">
        <f t="shared" si="847"/>
        <v>3794.2545131670736</v>
      </c>
      <c r="V765" s="108"/>
      <c r="W765" s="108"/>
      <c r="X765" s="109"/>
      <c r="Y765" s="99">
        <f t="shared" si="8"/>
        <v>18825.662190020488</v>
      </c>
      <c r="Z765" s="108">
        <f t="shared" ref="Z765:AA765" si="950">T765*$D$58/100</f>
        <v>11237.153163686342</v>
      </c>
      <c r="AA765" s="108">
        <f t="shared" si="950"/>
        <v>7588.5090263341472</v>
      </c>
      <c r="AB765" s="108"/>
      <c r="AC765" s="108"/>
      <c r="AD765" s="109"/>
      <c r="AE765" s="99">
        <f t="shared" si="931"/>
        <v>18.484776131615998</v>
      </c>
      <c r="AF765" s="101">
        <f t="shared" si="849"/>
        <v>36</v>
      </c>
      <c r="AG765" s="101">
        <f t="shared" si="850"/>
        <v>19.001300000000001</v>
      </c>
      <c r="AH765" s="101">
        <f t="shared" si="851"/>
        <v>363</v>
      </c>
      <c r="AI765" s="101">
        <f t="shared" si="852"/>
        <v>200</v>
      </c>
      <c r="AJ765" s="112">
        <f t="shared" si="853"/>
        <v>1.7777777777777777</v>
      </c>
      <c r="AK765" s="101">
        <f t="shared" si="461"/>
        <v>7844.0259125085377</v>
      </c>
      <c r="AL765" s="101">
        <f t="shared" si="854"/>
        <v>4682.1471515359763</v>
      </c>
      <c r="AM765" s="101">
        <f t="shared" si="855"/>
        <v>3161.8787609725614</v>
      </c>
      <c r="AN765" s="101"/>
      <c r="AO765" s="1">
        <v>24</v>
      </c>
      <c r="AP765" s="2">
        <v>36</v>
      </c>
      <c r="AQ765" s="74">
        <f t="shared" si="856"/>
        <v>363</v>
      </c>
      <c r="AR765" s="31">
        <f t="shared" si="857"/>
        <v>0</v>
      </c>
      <c r="AS765" s="2">
        <f t="shared" si="858"/>
        <v>0.8</v>
      </c>
      <c r="AT765" s="33">
        <f t="shared" si="859"/>
        <v>1</v>
      </c>
      <c r="AU765" s="31">
        <f t="shared" si="860"/>
        <v>0</v>
      </c>
      <c r="AV765" s="2">
        <f t="shared" si="861"/>
        <v>1</v>
      </c>
      <c r="AW765" s="33" t="str">
        <f t="shared" si="862"/>
        <v>보스대상</v>
      </c>
      <c r="AX765" s="31">
        <f t="shared" si="863"/>
        <v>1</v>
      </c>
      <c r="AY765" s="33">
        <f t="shared" si="864"/>
        <v>1</v>
      </c>
      <c r="AZ765" s="2"/>
      <c r="BA765" s="101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</row>
    <row r="766" spans="1:71" ht="12" customHeight="1">
      <c r="A766" s="2"/>
      <c r="B766" s="107">
        <v>691</v>
      </c>
      <c r="C766" s="31">
        <v>7</v>
      </c>
      <c r="D766" s="111" t="s">
        <v>18</v>
      </c>
      <c r="E766" s="2" t="s">
        <v>103</v>
      </c>
      <c r="F766" s="2" t="s">
        <v>149</v>
      </c>
      <c r="G766" s="2" t="s">
        <v>186</v>
      </c>
      <c r="H766" s="33" t="s">
        <v>81</v>
      </c>
      <c r="I766" s="99">
        <f t="shared" si="0"/>
        <v>1595.2556957569871</v>
      </c>
      <c r="J766" s="101">
        <f t="shared" si="1"/>
        <v>44.258613162461806</v>
      </c>
      <c r="K766" s="101">
        <f t="shared" si="2"/>
        <v>34</v>
      </c>
      <c r="L766" s="74">
        <f t="shared" si="535"/>
        <v>34</v>
      </c>
      <c r="M766" s="99">
        <f t="shared" si="191"/>
        <v>13083.957588868474</v>
      </c>
      <c r="N766" s="108">
        <f t="shared" si="690"/>
        <v>7809.8944902575713</v>
      </c>
      <c r="O766" s="108">
        <f t="shared" si="845"/>
        <v>5274.0630986109036</v>
      </c>
      <c r="P766" s="108"/>
      <c r="Q766" s="108"/>
      <c r="R766" s="109"/>
      <c r="S766" s="99">
        <f t="shared" si="694"/>
        <v>9412.8310950102441</v>
      </c>
      <c r="T766" s="108">
        <f t="shared" si="846"/>
        <v>5618.576581843171</v>
      </c>
      <c r="U766" s="108">
        <f t="shared" si="847"/>
        <v>3794.2545131670736</v>
      </c>
      <c r="V766" s="108"/>
      <c r="W766" s="108"/>
      <c r="X766" s="109"/>
      <c r="Y766" s="99">
        <f t="shared" si="8"/>
        <v>18825.662190020488</v>
      </c>
      <c r="Z766" s="108">
        <f t="shared" ref="Z766:AA766" si="951">T766*$D$58/100</f>
        <v>11237.153163686342</v>
      </c>
      <c r="AA766" s="108">
        <f t="shared" si="951"/>
        <v>7588.5090263341472</v>
      </c>
      <c r="AB766" s="108"/>
      <c r="AC766" s="108"/>
      <c r="AD766" s="109"/>
      <c r="AE766" s="99">
        <f t="shared" si="931"/>
        <v>8.2017933699712149</v>
      </c>
      <c r="AF766" s="101">
        <f t="shared" si="849"/>
        <v>36</v>
      </c>
      <c r="AG766" s="101">
        <f t="shared" si="850"/>
        <v>19.001300000000001</v>
      </c>
      <c r="AH766" s="101">
        <f t="shared" si="851"/>
        <v>363</v>
      </c>
      <c r="AI766" s="101">
        <f t="shared" si="852"/>
        <v>200</v>
      </c>
      <c r="AJ766" s="112">
        <f t="shared" si="853"/>
        <v>1.7777777777777777</v>
      </c>
      <c r="AK766" s="101">
        <f t="shared" si="461"/>
        <v>7844.0259125085377</v>
      </c>
      <c r="AL766" s="101">
        <f t="shared" si="854"/>
        <v>4682.1471515359763</v>
      </c>
      <c r="AM766" s="101">
        <f t="shared" si="855"/>
        <v>3161.8787609725614</v>
      </c>
      <c r="AN766" s="101"/>
      <c r="AO766" s="1">
        <v>24</v>
      </c>
      <c r="AP766" s="2">
        <v>36</v>
      </c>
      <c r="AQ766" s="74">
        <f t="shared" si="856"/>
        <v>363</v>
      </c>
      <c r="AR766" s="31">
        <f t="shared" si="857"/>
        <v>0</v>
      </c>
      <c r="AS766" s="2">
        <f t="shared" si="858"/>
        <v>0.8</v>
      </c>
      <c r="AT766" s="33">
        <f t="shared" si="859"/>
        <v>1</v>
      </c>
      <c r="AU766" s="31">
        <f t="shared" si="860"/>
        <v>0</v>
      </c>
      <c r="AV766" s="2">
        <f t="shared" si="861"/>
        <v>0</v>
      </c>
      <c r="AW766" s="33">
        <f t="shared" si="862"/>
        <v>5</v>
      </c>
      <c r="AX766" s="31">
        <f t="shared" si="863"/>
        <v>1</v>
      </c>
      <c r="AY766" s="33">
        <f t="shared" si="864"/>
        <v>1</v>
      </c>
      <c r="AZ766" s="2"/>
      <c r="BA766" s="101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</row>
    <row r="767" spans="1:71" ht="12" customHeight="1">
      <c r="A767" s="2"/>
      <c r="B767" s="107">
        <v>692</v>
      </c>
      <c r="C767" s="31">
        <v>7</v>
      </c>
      <c r="D767" s="111" t="s">
        <v>18</v>
      </c>
      <c r="E767" s="2" t="s">
        <v>179</v>
      </c>
      <c r="F767" s="2" t="s">
        <v>149</v>
      </c>
      <c r="G767" s="2"/>
      <c r="H767" s="33" t="s">
        <v>81</v>
      </c>
      <c r="I767" s="99">
        <f t="shared" si="0"/>
        <v>995.28745898414684</v>
      </c>
      <c r="J767" s="101">
        <f t="shared" si="1"/>
        <v>19.637781784066725</v>
      </c>
      <c r="K767" s="101">
        <f t="shared" si="2"/>
        <v>165</v>
      </c>
      <c r="L767" s="74">
        <f t="shared" si="535"/>
        <v>126</v>
      </c>
      <c r="M767" s="99">
        <f t="shared" si="191"/>
        <v>18397.665865926894</v>
      </c>
      <c r="N767" s="108">
        <f t="shared" si="690"/>
        <v>12068.790147593809</v>
      </c>
      <c r="O767" s="108">
        <f t="shared" si="845"/>
        <v>6328.8757183330836</v>
      </c>
      <c r="P767" s="108"/>
      <c r="Q767" s="108"/>
      <c r="R767" s="109"/>
      <c r="S767" s="99">
        <f t="shared" si="694"/>
        <v>11295.397314012294</v>
      </c>
      <c r="T767" s="108">
        <f t="shared" si="846"/>
        <v>6742.2918982118053</v>
      </c>
      <c r="U767" s="108">
        <f t="shared" si="847"/>
        <v>4553.1054158004881</v>
      </c>
      <c r="V767" s="108"/>
      <c r="W767" s="108"/>
      <c r="X767" s="109"/>
      <c r="Y767" s="99">
        <f t="shared" si="8"/>
        <v>22590.794628024589</v>
      </c>
      <c r="Z767" s="108">
        <f t="shared" ref="Z767:AA767" si="952">T767*$D$58/100</f>
        <v>13484.583796423611</v>
      </c>
      <c r="AA767" s="108">
        <f t="shared" si="952"/>
        <v>9106.2108316009762</v>
      </c>
      <c r="AB767" s="108"/>
      <c r="AC767" s="108"/>
      <c r="AD767" s="109"/>
      <c r="AE767" s="99">
        <f t="shared" si="931"/>
        <v>18.484776131615998</v>
      </c>
      <c r="AF767" s="101">
        <f t="shared" si="849"/>
        <v>36</v>
      </c>
      <c r="AG767" s="101">
        <f t="shared" si="850"/>
        <v>59.001300000000001</v>
      </c>
      <c r="AH767" s="101">
        <f t="shared" si="851"/>
        <v>363</v>
      </c>
      <c r="AI767" s="101">
        <f t="shared" si="852"/>
        <v>200</v>
      </c>
      <c r="AJ767" s="112">
        <f t="shared" si="853"/>
        <v>2.2222222222222223</v>
      </c>
      <c r="AK767" s="101">
        <f t="shared" si="461"/>
        <v>7844.0259125085377</v>
      </c>
      <c r="AL767" s="101">
        <f t="shared" si="854"/>
        <v>4682.1471515359763</v>
      </c>
      <c r="AM767" s="101">
        <f t="shared" si="855"/>
        <v>3161.8787609725614</v>
      </c>
      <c r="AN767" s="101"/>
      <c r="AO767" s="1">
        <v>24</v>
      </c>
      <c r="AP767" s="2">
        <v>36</v>
      </c>
      <c r="AQ767" s="74">
        <f t="shared" si="856"/>
        <v>363</v>
      </c>
      <c r="AR767" s="31">
        <f t="shared" si="857"/>
        <v>0</v>
      </c>
      <c r="AS767" s="2">
        <f t="shared" si="858"/>
        <v>1</v>
      </c>
      <c r="AT767" s="33">
        <f t="shared" si="859"/>
        <v>1.2</v>
      </c>
      <c r="AU767" s="31">
        <f t="shared" si="860"/>
        <v>40</v>
      </c>
      <c r="AV767" s="2">
        <f t="shared" si="861"/>
        <v>0</v>
      </c>
      <c r="AW767" s="33" t="str">
        <f t="shared" si="862"/>
        <v>보스대상</v>
      </c>
      <c r="AX767" s="31">
        <f t="shared" si="863"/>
        <v>1</v>
      </c>
      <c r="AY767" s="33">
        <f t="shared" si="864"/>
        <v>1</v>
      </c>
      <c r="AZ767" s="2"/>
      <c r="BA767" s="101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</row>
    <row r="768" spans="1:71" ht="12" customHeight="1">
      <c r="A768" s="2"/>
      <c r="B768" s="107">
        <v>693</v>
      </c>
      <c r="C768" s="31">
        <v>7</v>
      </c>
      <c r="D768" s="111" t="s">
        <v>18</v>
      </c>
      <c r="E768" s="2" t="s">
        <v>117</v>
      </c>
      <c r="F768" s="2" t="s">
        <v>149</v>
      </c>
      <c r="G768" s="2"/>
      <c r="H768" s="33" t="s">
        <v>81</v>
      </c>
      <c r="I768" s="99">
        <f t="shared" si="0"/>
        <v>849.38811240391044</v>
      </c>
      <c r="J768" s="101">
        <f t="shared" si="1"/>
        <v>19.637781784066725</v>
      </c>
      <c r="K768" s="101">
        <f t="shared" si="2"/>
        <v>243</v>
      </c>
      <c r="L768" s="74">
        <f t="shared" si="535"/>
        <v>170</v>
      </c>
      <c r="M768" s="99">
        <f t="shared" si="191"/>
        <v>15700.74910664217</v>
      </c>
      <c r="N768" s="108">
        <f t="shared" si="690"/>
        <v>9371.8733883090863</v>
      </c>
      <c r="O768" s="108">
        <f t="shared" si="845"/>
        <v>6328.8757183330836</v>
      </c>
      <c r="P768" s="108"/>
      <c r="Q768" s="108"/>
      <c r="R768" s="109"/>
      <c r="S768" s="99">
        <f t="shared" si="694"/>
        <v>11295.397314012294</v>
      </c>
      <c r="T768" s="108">
        <f t="shared" si="846"/>
        <v>6742.2918982118053</v>
      </c>
      <c r="U768" s="108">
        <f t="shared" si="847"/>
        <v>4553.1054158004881</v>
      </c>
      <c r="V768" s="108"/>
      <c r="W768" s="108"/>
      <c r="X768" s="109"/>
      <c r="Y768" s="99">
        <f t="shared" si="8"/>
        <v>22590.794628024589</v>
      </c>
      <c r="Z768" s="108">
        <f t="shared" ref="Z768:AA768" si="953">T768*$D$58/100</f>
        <v>13484.583796423611</v>
      </c>
      <c r="AA768" s="108">
        <f t="shared" si="953"/>
        <v>9106.2108316009762</v>
      </c>
      <c r="AB768" s="108"/>
      <c r="AC768" s="108"/>
      <c r="AD768" s="109"/>
      <c r="AE768" s="99">
        <f t="shared" si="931"/>
        <v>18.484776131615998</v>
      </c>
      <c r="AF768" s="101">
        <f t="shared" si="849"/>
        <v>36</v>
      </c>
      <c r="AG768" s="101">
        <f t="shared" si="850"/>
        <v>19.001300000000001</v>
      </c>
      <c r="AH768" s="101">
        <f t="shared" si="851"/>
        <v>363</v>
      </c>
      <c r="AI768" s="101">
        <f t="shared" si="852"/>
        <v>200</v>
      </c>
      <c r="AJ768" s="112">
        <f t="shared" si="853"/>
        <v>2.2222222222222223</v>
      </c>
      <c r="AK768" s="101">
        <f t="shared" si="461"/>
        <v>7844.0259125085377</v>
      </c>
      <c r="AL768" s="101">
        <f t="shared" si="854"/>
        <v>4682.1471515359763</v>
      </c>
      <c r="AM768" s="101">
        <f t="shared" si="855"/>
        <v>3161.8787609725614</v>
      </c>
      <c r="AN768" s="101"/>
      <c r="AO768" s="1">
        <v>24</v>
      </c>
      <c r="AP768" s="2">
        <v>36</v>
      </c>
      <c r="AQ768" s="74">
        <f t="shared" si="856"/>
        <v>363</v>
      </c>
      <c r="AR768" s="31">
        <f t="shared" si="857"/>
        <v>0</v>
      </c>
      <c r="AS768" s="2">
        <f t="shared" si="858"/>
        <v>1</v>
      </c>
      <c r="AT768" s="33">
        <f t="shared" si="859"/>
        <v>1.2</v>
      </c>
      <c r="AU768" s="31">
        <f t="shared" si="860"/>
        <v>0</v>
      </c>
      <c r="AV768" s="2">
        <f t="shared" si="861"/>
        <v>1</v>
      </c>
      <c r="AW768" s="33" t="str">
        <f t="shared" si="862"/>
        <v>보스대상</v>
      </c>
      <c r="AX768" s="31">
        <f t="shared" si="863"/>
        <v>1</v>
      </c>
      <c r="AY768" s="33">
        <f t="shared" si="864"/>
        <v>1</v>
      </c>
      <c r="AZ768" s="2"/>
      <c r="BA768" s="101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</row>
    <row r="769" spans="1:71" ht="12" customHeight="1">
      <c r="A769" s="2"/>
      <c r="B769" s="107">
        <v>694</v>
      </c>
      <c r="C769" s="31">
        <v>7</v>
      </c>
      <c r="D769" s="111" t="s">
        <v>18</v>
      </c>
      <c r="E769" s="2" t="s">
        <v>134</v>
      </c>
      <c r="F769" s="2" t="s">
        <v>149</v>
      </c>
      <c r="G769" s="2" t="s">
        <v>186</v>
      </c>
      <c r="H769" s="33" t="s">
        <v>81</v>
      </c>
      <c r="I769" s="99">
        <f t="shared" si="0"/>
        <v>1914.3068349083846</v>
      </c>
      <c r="J769" s="101">
        <f t="shared" si="1"/>
        <v>44.258613162461806</v>
      </c>
      <c r="K769" s="101">
        <f t="shared" si="2"/>
        <v>19</v>
      </c>
      <c r="L769" s="74">
        <f t="shared" si="535"/>
        <v>19</v>
      </c>
      <c r="M769" s="99">
        <f t="shared" si="191"/>
        <v>15700.74910664217</v>
      </c>
      <c r="N769" s="108">
        <f t="shared" si="690"/>
        <v>9371.8733883090863</v>
      </c>
      <c r="O769" s="108">
        <f t="shared" si="845"/>
        <v>6328.8757183330836</v>
      </c>
      <c r="P769" s="108"/>
      <c r="Q769" s="108"/>
      <c r="R769" s="109"/>
      <c r="S769" s="99">
        <f t="shared" si="694"/>
        <v>11295.397314012294</v>
      </c>
      <c r="T769" s="108">
        <f t="shared" si="846"/>
        <v>6742.2918982118053</v>
      </c>
      <c r="U769" s="108">
        <f t="shared" si="847"/>
        <v>4553.1054158004881</v>
      </c>
      <c r="V769" s="108"/>
      <c r="W769" s="108"/>
      <c r="X769" s="109"/>
      <c r="Y769" s="99">
        <f t="shared" si="8"/>
        <v>22590.794628024589</v>
      </c>
      <c r="Z769" s="108">
        <f t="shared" ref="Z769:AA769" si="954">T769*$D$58/100</f>
        <v>13484.583796423611</v>
      </c>
      <c r="AA769" s="108">
        <f t="shared" si="954"/>
        <v>9106.2108316009762</v>
      </c>
      <c r="AB769" s="108"/>
      <c r="AC769" s="108"/>
      <c r="AD769" s="109"/>
      <c r="AE769" s="99">
        <f t="shared" si="931"/>
        <v>8.2017933699712149</v>
      </c>
      <c r="AF769" s="101">
        <f t="shared" si="849"/>
        <v>36</v>
      </c>
      <c r="AG769" s="101">
        <f t="shared" si="850"/>
        <v>19.001300000000001</v>
      </c>
      <c r="AH769" s="101">
        <f t="shared" si="851"/>
        <v>363</v>
      </c>
      <c r="AI769" s="101">
        <f t="shared" si="852"/>
        <v>200</v>
      </c>
      <c r="AJ769" s="112">
        <f t="shared" si="853"/>
        <v>2.2222222222222223</v>
      </c>
      <c r="AK769" s="101">
        <f t="shared" si="461"/>
        <v>7844.0259125085377</v>
      </c>
      <c r="AL769" s="101">
        <f t="shared" si="854"/>
        <v>4682.1471515359763</v>
      </c>
      <c r="AM769" s="101">
        <f t="shared" si="855"/>
        <v>3161.8787609725614</v>
      </c>
      <c r="AN769" s="101"/>
      <c r="AO769" s="1">
        <v>24</v>
      </c>
      <c r="AP769" s="2">
        <v>36</v>
      </c>
      <c r="AQ769" s="74">
        <f t="shared" si="856"/>
        <v>363</v>
      </c>
      <c r="AR769" s="31">
        <f t="shared" si="857"/>
        <v>0</v>
      </c>
      <c r="AS769" s="2">
        <f t="shared" si="858"/>
        <v>1</v>
      </c>
      <c r="AT769" s="33">
        <f t="shared" si="859"/>
        <v>1.2</v>
      </c>
      <c r="AU769" s="31">
        <f t="shared" si="860"/>
        <v>0</v>
      </c>
      <c r="AV769" s="2">
        <f t="shared" si="861"/>
        <v>0</v>
      </c>
      <c r="AW769" s="33">
        <f t="shared" si="862"/>
        <v>5</v>
      </c>
      <c r="AX769" s="31">
        <f t="shared" si="863"/>
        <v>1</v>
      </c>
      <c r="AY769" s="33">
        <f t="shared" si="864"/>
        <v>1</v>
      </c>
      <c r="AZ769" s="2"/>
      <c r="BA769" s="101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</row>
    <row r="770" spans="1:71" ht="12" customHeight="1">
      <c r="A770" s="2"/>
      <c r="B770" s="107">
        <v>695</v>
      </c>
      <c r="C770" s="31">
        <v>4</v>
      </c>
      <c r="D770" s="111" t="s">
        <v>18</v>
      </c>
      <c r="E770" s="2" t="s">
        <v>148</v>
      </c>
      <c r="F770" s="2" t="s">
        <v>149</v>
      </c>
      <c r="G770" s="2"/>
      <c r="H770" s="33" t="s">
        <v>81</v>
      </c>
      <c r="I770" s="99">
        <f t="shared" si="0"/>
        <v>836.68646434407094</v>
      </c>
      <c r="J770" s="101">
        <f t="shared" si="1"/>
        <v>13.738562349309744</v>
      </c>
      <c r="K770" s="101">
        <f t="shared" si="2"/>
        <v>245</v>
      </c>
      <c r="L770" s="74">
        <f t="shared" si="535"/>
        <v>172</v>
      </c>
      <c r="M770" s="99">
        <f t="shared" si="191"/>
        <v>12119.216128377178</v>
      </c>
      <c r="N770" s="108">
        <f t="shared" si="690"/>
        <v>7233.8716013895728</v>
      </c>
      <c r="O770" s="108">
        <f t="shared" si="845"/>
        <v>4885.3445269876056</v>
      </c>
      <c r="P770" s="108"/>
      <c r="Q770" s="108"/>
      <c r="R770" s="109"/>
      <c r="S770" s="99">
        <f t="shared" si="694"/>
        <v>8718.7789814751231</v>
      </c>
      <c r="T770" s="108">
        <f t="shared" si="846"/>
        <v>5204.1755015165854</v>
      </c>
      <c r="U770" s="108">
        <f t="shared" si="847"/>
        <v>3514.6034799585368</v>
      </c>
      <c r="V770" s="108"/>
      <c r="W770" s="108"/>
      <c r="X770" s="109"/>
      <c r="Y770" s="99">
        <f t="shared" si="8"/>
        <v>17437.557962950246</v>
      </c>
      <c r="Z770" s="108">
        <f t="shared" ref="Z770:AA770" si="955">T770*$D$58/100</f>
        <v>10408.351003033171</v>
      </c>
      <c r="AA770" s="108">
        <f t="shared" si="955"/>
        <v>7029.2069599170736</v>
      </c>
      <c r="AB770" s="108"/>
      <c r="AC770" s="108"/>
      <c r="AD770" s="109"/>
      <c r="AE770" s="99">
        <f t="shared" si="931"/>
        <v>14.484776131615998</v>
      </c>
      <c r="AF770" s="101">
        <f t="shared" si="849"/>
        <v>36</v>
      </c>
      <c r="AG770" s="101">
        <f t="shared" si="850"/>
        <v>19.001300000000001</v>
      </c>
      <c r="AH770" s="101">
        <f t="shared" si="851"/>
        <v>199</v>
      </c>
      <c r="AI770" s="101">
        <f t="shared" si="852"/>
        <v>200</v>
      </c>
      <c r="AJ770" s="112">
        <f t="shared" si="853"/>
        <v>2.2222222222222223</v>
      </c>
      <c r="AK770" s="101">
        <f t="shared" si="461"/>
        <v>7265.6491512292687</v>
      </c>
      <c r="AL770" s="101">
        <f t="shared" si="854"/>
        <v>4336.8129179304879</v>
      </c>
      <c r="AM770" s="101">
        <f t="shared" si="855"/>
        <v>2928.8362332987808</v>
      </c>
      <c r="AN770" s="101"/>
      <c r="AO770" s="1">
        <v>24</v>
      </c>
      <c r="AP770" s="2">
        <v>36</v>
      </c>
      <c r="AQ770" s="74">
        <f t="shared" si="856"/>
        <v>199</v>
      </c>
      <c r="AR770" s="31">
        <f t="shared" si="857"/>
        <v>4</v>
      </c>
      <c r="AS770" s="2">
        <f t="shared" si="858"/>
        <v>1</v>
      </c>
      <c r="AT770" s="33">
        <f t="shared" si="859"/>
        <v>1</v>
      </c>
      <c r="AU770" s="31">
        <f t="shared" si="860"/>
        <v>0</v>
      </c>
      <c r="AV770" s="2">
        <f t="shared" si="861"/>
        <v>0</v>
      </c>
      <c r="AW770" s="33" t="str">
        <f t="shared" si="862"/>
        <v>보스대상</v>
      </c>
      <c r="AX770" s="31">
        <f t="shared" si="863"/>
        <v>1</v>
      </c>
      <c r="AY770" s="33">
        <f t="shared" si="864"/>
        <v>1</v>
      </c>
      <c r="AZ770" s="2"/>
      <c r="BA770" s="101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</row>
    <row r="771" spans="1:71" ht="12" customHeight="1">
      <c r="A771" s="2"/>
      <c r="B771" s="107">
        <v>696</v>
      </c>
      <c r="C771" s="31">
        <v>4</v>
      </c>
      <c r="D771" s="111" t="s">
        <v>18</v>
      </c>
      <c r="E771" s="2" t="s">
        <v>79</v>
      </c>
      <c r="F771" s="2" t="s">
        <v>149</v>
      </c>
      <c r="G771" s="2"/>
      <c r="H771" s="33" t="s">
        <v>81</v>
      </c>
      <c r="I771" s="99">
        <f t="shared" si="0"/>
        <v>655.63229124796965</v>
      </c>
      <c r="J771" s="101">
        <f t="shared" si="1"/>
        <v>10.765615909171565</v>
      </c>
      <c r="K771" s="101">
        <f t="shared" si="2"/>
        <v>399</v>
      </c>
      <c r="L771" s="74">
        <f t="shared" si="535"/>
        <v>251</v>
      </c>
      <c r="M771" s="99">
        <f t="shared" si="191"/>
        <v>12119.216128377178</v>
      </c>
      <c r="N771" s="108">
        <f t="shared" si="690"/>
        <v>7233.8716013895728</v>
      </c>
      <c r="O771" s="108">
        <f t="shared" si="845"/>
        <v>4885.3445269876056</v>
      </c>
      <c r="P771" s="108"/>
      <c r="Q771" s="108"/>
      <c r="R771" s="109"/>
      <c r="S771" s="99">
        <f t="shared" si="694"/>
        <v>8718.7789814751231</v>
      </c>
      <c r="T771" s="108">
        <f t="shared" si="846"/>
        <v>5204.1755015165854</v>
      </c>
      <c r="U771" s="108">
        <f t="shared" si="847"/>
        <v>3514.6034799585368</v>
      </c>
      <c r="V771" s="108"/>
      <c r="W771" s="108"/>
      <c r="X771" s="109"/>
      <c r="Y771" s="99">
        <f t="shared" si="8"/>
        <v>17437.557962950246</v>
      </c>
      <c r="Z771" s="108">
        <f t="shared" ref="Z771:AA771" si="956">T771*$D$58/100</f>
        <v>10408.351003033171</v>
      </c>
      <c r="AA771" s="108">
        <f t="shared" si="956"/>
        <v>7029.2069599170736</v>
      </c>
      <c r="AB771" s="108"/>
      <c r="AC771" s="108"/>
      <c r="AD771" s="109"/>
      <c r="AE771" s="99">
        <f t="shared" si="931"/>
        <v>18.484776131615998</v>
      </c>
      <c r="AF771" s="101">
        <f t="shared" si="849"/>
        <v>36</v>
      </c>
      <c r="AG771" s="101">
        <f t="shared" si="850"/>
        <v>19.001300000000001</v>
      </c>
      <c r="AH771" s="101">
        <f t="shared" si="851"/>
        <v>199</v>
      </c>
      <c r="AI771" s="101">
        <f t="shared" si="852"/>
        <v>200</v>
      </c>
      <c r="AJ771" s="112">
        <f t="shared" si="853"/>
        <v>1.7777777777777777</v>
      </c>
      <c r="AK771" s="101">
        <f t="shared" si="461"/>
        <v>7265.6491512292687</v>
      </c>
      <c r="AL771" s="101">
        <f t="shared" si="854"/>
        <v>4336.8129179304879</v>
      </c>
      <c r="AM771" s="101">
        <f t="shared" si="855"/>
        <v>2928.8362332987808</v>
      </c>
      <c r="AN771" s="101"/>
      <c r="AO771" s="1">
        <v>24</v>
      </c>
      <c r="AP771" s="2">
        <v>36</v>
      </c>
      <c r="AQ771" s="74">
        <f t="shared" si="856"/>
        <v>199</v>
      </c>
      <c r="AR771" s="31">
        <f t="shared" si="857"/>
        <v>0</v>
      </c>
      <c r="AS771" s="2">
        <f t="shared" si="858"/>
        <v>0.8</v>
      </c>
      <c r="AT771" s="33">
        <f t="shared" si="859"/>
        <v>1</v>
      </c>
      <c r="AU771" s="31">
        <f t="shared" si="860"/>
        <v>0</v>
      </c>
      <c r="AV771" s="2">
        <f t="shared" si="861"/>
        <v>0</v>
      </c>
      <c r="AW771" s="33" t="str">
        <f t="shared" si="862"/>
        <v>보스대상</v>
      </c>
      <c r="AX771" s="31">
        <f t="shared" si="863"/>
        <v>1</v>
      </c>
      <c r="AY771" s="33">
        <f t="shared" si="864"/>
        <v>1</v>
      </c>
      <c r="AZ771" s="2"/>
      <c r="BA771" s="101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</row>
    <row r="772" spans="1:71" ht="12" customHeight="1">
      <c r="A772" s="2"/>
      <c r="B772" s="107">
        <v>697</v>
      </c>
      <c r="C772" s="31">
        <v>4</v>
      </c>
      <c r="D772" s="111" t="s">
        <v>18</v>
      </c>
      <c r="E772" s="2" t="s">
        <v>87</v>
      </c>
      <c r="F772" s="2" t="s">
        <v>149</v>
      </c>
      <c r="G772" s="2"/>
      <c r="H772" s="33" t="s">
        <v>81</v>
      </c>
      <c r="I772" s="99">
        <f t="shared" si="0"/>
        <v>786.7587494975636</v>
      </c>
      <c r="J772" s="101">
        <f t="shared" si="1"/>
        <v>10.765615909171565</v>
      </c>
      <c r="K772" s="101">
        <f t="shared" si="2"/>
        <v>272</v>
      </c>
      <c r="L772" s="74">
        <f t="shared" si="535"/>
        <v>190</v>
      </c>
      <c r="M772" s="99">
        <f t="shared" si="191"/>
        <v>14543.059354052613</v>
      </c>
      <c r="N772" s="108">
        <f t="shared" si="690"/>
        <v>8680.6459216674866</v>
      </c>
      <c r="O772" s="108">
        <f t="shared" si="845"/>
        <v>5862.4134323851267</v>
      </c>
      <c r="P772" s="108"/>
      <c r="Q772" s="108"/>
      <c r="R772" s="109"/>
      <c r="S772" s="99">
        <f t="shared" si="694"/>
        <v>10462.534777770146</v>
      </c>
      <c r="T772" s="108">
        <f t="shared" si="846"/>
        <v>6245.0106018199021</v>
      </c>
      <c r="U772" s="108">
        <f t="shared" si="847"/>
        <v>4217.5241759502442</v>
      </c>
      <c r="V772" s="108"/>
      <c r="W772" s="108"/>
      <c r="X772" s="109"/>
      <c r="Y772" s="99">
        <f t="shared" si="8"/>
        <v>20925.069555540293</v>
      </c>
      <c r="Z772" s="108">
        <f t="shared" ref="Z772:AA772" si="957">T772*$D$58/100</f>
        <v>12490.021203639806</v>
      </c>
      <c r="AA772" s="108">
        <f t="shared" si="957"/>
        <v>8435.0483519004883</v>
      </c>
      <c r="AB772" s="108"/>
      <c r="AC772" s="108"/>
      <c r="AD772" s="109"/>
      <c r="AE772" s="99">
        <f t="shared" si="931"/>
        <v>18.484776131615998</v>
      </c>
      <c r="AF772" s="101">
        <f t="shared" si="849"/>
        <v>36</v>
      </c>
      <c r="AG772" s="101">
        <f t="shared" si="850"/>
        <v>19.001300000000001</v>
      </c>
      <c r="AH772" s="101">
        <f t="shared" si="851"/>
        <v>199</v>
      </c>
      <c r="AI772" s="101">
        <f t="shared" si="852"/>
        <v>200</v>
      </c>
      <c r="AJ772" s="112">
        <f t="shared" si="853"/>
        <v>2.2222222222222223</v>
      </c>
      <c r="AK772" s="101">
        <f t="shared" si="461"/>
        <v>7265.6491512292687</v>
      </c>
      <c r="AL772" s="101">
        <f t="shared" si="854"/>
        <v>4336.8129179304879</v>
      </c>
      <c r="AM772" s="101">
        <f t="shared" si="855"/>
        <v>2928.8362332987808</v>
      </c>
      <c r="AN772" s="101"/>
      <c r="AO772" s="1">
        <v>24</v>
      </c>
      <c r="AP772" s="2">
        <v>36</v>
      </c>
      <c r="AQ772" s="74">
        <f t="shared" si="856"/>
        <v>199</v>
      </c>
      <c r="AR772" s="31">
        <f t="shared" si="857"/>
        <v>0</v>
      </c>
      <c r="AS772" s="2">
        <f t="shared" si="858"/>
        <v>1</v>
      </c>
      <c r="AT772" s="33">
        <f t="shared" si="859"/>
        <v>1.2</v>
      </c>
      <c r="AU772" s="31">
        <f t="shared" si="860"/>
        <v>0</v>
      </c>
      <c r="AV772" s="2">
        <f t="shared" si="861"/>
        <v>0</v>
      </c>
      <c r="AW772" s="33" t="str">
        <f t="shared" si="862"/>
        <v>보스대상</v>
      </c>
      <c r="AX772" s="31">
        <f t="shared" si="863"/>
        <v>1</v>
      </c>
      <c r="AY772" s="33">
        <f t="shared" si="864"/>
        <v>1</v>
      </c>
      <c r="AZ772" s="2"/>
      <c r="BA772" s="101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</row>
    <row r="773" spans="1:71" ht="12" customHeight="1">
      <c r="A773" s="2"/>
      <c r="B773" s="107">
        <v>698</v>
      </c>
      <c r="C773" s="31">
        <v>1</v>
      </c>
      <c r="D773" s="111" t="s">
        <v>18</v>
      </c>
      <c r="E773" s="2" t="s">
        <v>67</v>
      </c>
      <c r="F773" s="2" t="s">
        <v>149</v>
      </c>
      <c r="G773" s="1"/>
      <c r="H773" s="33" t="s">
        <v>81</v>
      </c>
      <c r="I773" s="99">
        <f t="shared" si="0"/>
        <v>526.39598737333756</v>
      </c>
      <c r="J773" s="101">
        <f t="shared" si="1"/>
        <v>5.4639558131976278</v>
      </c>
      <c r="K773" s="101">
        <f t="shared" si="2"/>
        <v>568</v>
      </c>
      <c r="L773" s="74">
        <f t="shared" si="535"/>
        <v>311</v>
      </c>
      <c r="M773" s="99">
        <f t="shared" si="191"/>
        <v>9730.3119831771073</v>
      </c>
      <c r="N773" s="108">
        <f t="shared" si="690"/>
        <v>5808.6933588997654</v>
      </c>
      <c r="O773" s="108">
        <f t="shared" si="845"/>
        <v>3921.618624277341</v>
      </c>
      <c r="P773" s="108"/>
      <c r="Q773" s="108"/>
      <c r="R773" s="109"/>
      <c r="S773" s="99">
        <f t="shared" si="694"/>
        <v>7000.1589792160994</v>
      </c>
      <c r="T773" s="108">
        <f t="shared" si="846"/>
        <v>4178.8770025170743</v>
      </c>
      <c r="U773" s="108">
        <f t="shared" si="847"/>
        <v>2821.2819766990247</v>
      </c>
      <c r="V773" s="108"/>
      <c r="W773" s="108"/>
      <c r="X773" s="109"/>
      <c r="Y773" s="99">
        <f t="shared" si="8"/>
        <v>14000.317958432199</v>
      </c>
      <c r="Z773" s="108">
        <f t="shared" ref="Z773:AA773" si="958">T773*$D$58/100</f>
        <v>8357.7540050341486</v>
      </c>
      <c r="AA773" s="108">
        <f t="shared" si="958"/>
        <v>5642.5639533980493</v>
      </c>
      <c r="AB773" s="108"/>
      <c r="AC773" s="108"/>
      <c r="AD773" s="109"/>
      <c r="AE773" s="99">
        <f t="shared" si="931"/>
        <v>18.484776131615998</v>
      </c>
      <c r="AF773" s="101">
        <f t="shared" si="849"/>
        <v>36</v>
      </c>
      <c r="AG773" s="101">
        <f t="shared" si="850"/>
        <v>19.001300000000001</v>
      </c>
      <c r="AH773" s="101">
        <f t="shared" si="851"/>
        <v>101</v>
      </c>
      <c r="AI773" s="101">
        <f t="shared" si="852"/>
        <v>200</v>
      </c>
      <c r="AJ773" s="112">
        <f t="shared" si="853"/>
        <v>2.2222222222222223</v>
      </c>
      <c r="AK773" s="101">
        <f t="shared" si="461"/>
        <v>5833.4658160134159</v>
      </c>
      <c r="AL773" s="101">
        <f t="shared" si="854"/>
        <v>3482.3975020975618</v>
      </c>
      <c r="AM773" s="101">
        <f t="shared" si="855"/>
        <v>2351.0683139158541</v>
      </c>
      <c r="AN773" s="101"/>
      <c r="AO773" s="1">
        <v>24</v>
      </c>
      <c r="AP773" s="2">
        <v>36</v>
      </c>
      <c r="AQ773" s="74">
        <f t="shared" si="856"/>
        <v>101</v>
      </c>
      <c r="AR773" s="31">
        <f t="shared" si="857"/>
        <v>0</v>
      </c>
      <c r="AS773" s="2">
        <f t="shared" si="858"/>
        <v>1</v>
      </c>
      <c r="AT773" s="33">
        <f t="shared" si="859"/>
        <v>1</v>
      </c>
      <c r="AU773" s="31">
        <f t="shared" si="860"/>
        <v>0</v>
      </c>
      <c r="AV773" s="2">
        <f t="shared" si="861"/>
        <v>0</v>
      </c>
      <c r="AW773" s="33" t="str">
        <f t="shared" si="862"/>
        <v>보스대상</v>
      </c>
      <c r="AX773" s="31">
        <f t="shared" si="863"/>
        <v>1</v>
      </c>
      <c r="AY773" s="33">
        <f t="shared" si="864"/>
        <v>1</v>
      </c>
      <c r="AZ773" s="2"/>
      <c r="BA773" s="101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</row>
    <row r="774" spans="1:71" ht="12" customHeight="1">
      <c r="A774" s="2"/>
      <c r="B774" s="107">
        <v>699</v>
      </c>
      <c r="C774" s="31">
        <v>10</v>
      </c>
      <c r="D774" s="111" t="s">
        <v>18</v>
      </c>
      <c r="E774" s="2" t="s">
        <v>164</v>
      </c>
      <c r="F774" s="2" t="s">
        <v>149</v>
      </c>
      <c r="G774" s="2"/>
      <c r="H774" s="33" t="s">
        <v>80</v>
      </c>
      <c r="I774" s="99">
        <f t="shared" si="0"/>
        <v>1354.8453789269993</v>
      </c>
      <c r="J774" s="101">
        <f t="shared" si="1"/>
        <v>35.968798914524506</v>
      </c>
      <c r="K774" s="101">
        <f t="shared" si="2"/>
        <v>64</v>
      </c>
      <c r="L774" s="74">
        <f t="shared" si="535"/>
        <v>60</v>
      </c>
      <c r="M774" s="99">
        <f t="shared" si="191"/>
        <v>19624.632006712032</v>
      </c>
      <c r="N774" s="108">
        <f t="shared" si="690"/>
        <v>19624.632006712032</v>
      </c>
      <c r="O774" s="108">
        <f t="shared" si="845"/>
        <v>0</v>
      </c>
      <c r="P774" s="108"/>
      <c r="Q774" s="108"/>
      <c r="R774" s="109"/>
      <c r="S774" s="99">
        <f t="shared" si="694"/>
        <v>10963.401945523317</v>
      </c>
      <c r="T774" s="108">
        <f t="shared" si="846"/>
        <v>10963.401945523317</v>
      </c>
      <c r="U774" s="108">
        <f t="shared" si="847"/>
        <v>0</v>
      </c>
      <c r="V774" s="108"/>
      <c r="W774" s="108"/>
      <c r="X774" s="109"/>
      <c r="Y774" s="99">
        <f t="shared" si="8"/>
        <v>21926.803891046635</v>
      </c>
      <c r="Z774" s="108">
        <f t="shared" ref="Z774:AA774" si="959">T774*$D$58/100</f>
        <v>21926.803891046635</v>
      </c>
      <c r="AA774" s="108">
        <f t="shared" si="959"/>
        <v>0</v>
      </c>
      <c r="AB774" s="108"/>
      <c r="AC774" s="108"/>
      <c r="AD774" s="109"/>
      <c r="AE774" s="99">
        <f t="shared" si="931"/>
        <v>14.484776131615998</v>
      </c>
      <c r="AF774" s="101">
        <f t="shared" si="849"/>
        <v>36</v>
      </c>
      <c r="AG774" s="101">
        <f t="shared" si="850"/>
        <v>59.001300000000001</v>
      </c>
      <c r="AH774" s="101">
        <f t="shared" si="851"/>
        <v>521</v>
      </c>
      <c r="AI774" s="101">
        <f t="shared" si="852"/>
        <v>200</v>
      </c>
      <c r="AJ774" s="112">
        <f t="shared" si="853"/>
        <v>2.5</v>
      </c>
      <c r="AK774" s="101">
        <f t="shared" si="461"/>
        <v>5464.3340202024392</v>
      </c>
      <c r="AL774" s="101">
        <f t="shared" si="854"/>
        <v>3262.9172456914639</v>
      </c>
      <c r="AM774" s="101">
        <f t="shared" si="855"/>
        <v>2201.4167745109758</v>
      </c>
      <c r="AN774" s="101"/>
      <c r="AO774" s="1">
        <v>24</v>
      </c>
      <c r="AP774" s="2">
        <v>36</v>
      </c>
      <c r="AQ774" s="74">
        <f t="shared" si="856"/>
        <v>521</v>
      </c>
      <c r="AR774" s="31">
        <f t="shared" si="857"/>
        <v>4</v>
      </c>
      <c r="AS774" s="2">
        <f t="shared" si="858"/>
        <v>1</v>
      </c>
      <c r="AT774" s="33">
        <f t="shared" si="859"/>
        <v>1</v>
      </c>
      <c r="AU774" s="31">
        <f t="shared" si="860"/>
        <v>40</v>
      </c>
      <c r="AV774" s="2">
        <f t="shared" si="861"/>
        <v>0</v>
      </c>
      <c r="AW774" s="33" t="str">
        <f t="shared" si="862"/>
        <v>보스대상</v>
      </c>
      <c r="AX774" s="31">
        <f t="shared" si="863"/>
        <v>2.8</v>
      </c>
      <c r="AY774" s="33">
        <f t="shared" si="864"/>
        <v>1</v>
      </c>
      <c r="AZ774" s="2"/>
      <c r="BA774" s="101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</row>
    <row r="775" spans="1:71" ht="12" customHeight="1">
      <c r="A775" s="2"/>
      <c r="B775" s="107">
        <v>700</v>
      </c>
      <c r="C775" s="31">
        <v>10</v>
      </c>
      <c r="D775" s="111" t="s">
        <v>18</v>
      </c>
      <c r="E775" s="2" t="s">
        <v>153</v>
      </c>
      <c r="F775" s="2" t="s">
        <v>149</v>
      </c>
      <c r="G775" s="2"/>
      <c r="H775" s="33" t="s">
        <v>80</v>
      </c>
      <c r="I775" s="99">
        <f t="shared" si="0"/>
        <v>1578.1332507348732</v>
      </c>
      <c r="J775" s="101">
        <f t="shared" si="1"/>
        <v>35.968798914524506</v>
      </c>
      <c r="K775" s="101">
        <f t="shared" si="2"/>
        <v>36</v>
      </c>
      <c r="L775" s="74">
        <f t="shared" si="535"/>
        <v>36</v>
      </c>
      <c r="M775" s="99">
        <f t="shared" si="191"/>
        <v>22858.906842754055</v>
      </c>
      <c r="N775" s="108">
        <f t="shared" si="690"/>
        <v>22858.906842754055</v>
      </c>
      <c r="O775" s="108">
        <f t="shared" si="845"/>
        <v>0</v>
      </c>
      <c r="P775" s="108"/>
      <c r="Q775" s="108"/>
      <c r="R775" s="109"/>
      <c r="S775" s="99">
        <f t="shared" si="694"/>
        <v>16445.102918284978</v>
      </c>
      <c r="T775" s="108">
        <f t="shared" si="846"/>
        <v>16445.102918284978</v>
      </c>
      <c r="U775" s="108">
        <f t="shared" si="847"/>
        <v>0</v>
      </c>
      <c r="V775" s="108"/>
      <c r="W775" s="108"/>
      <c r="X775" s="109"/>
      <c r="Y775" s="99">
        <f t="shared" si="8"/>
        <v>32890.205836569956</v>
      </c>
      <c r="Z775" s="108">
        <f t="shared" ref="Z775:AA775" si="960">T775*$D$58/100</f>
        <v>32890.205836569956</v>
      </c>
      <c r="AA775" s="108">
        <f t="shared" si="960"/>
        <v>0</v>
      </c>
      <c r="AB775" s="108"/>
      <c r="AC775" s="108"/>
      <c r="AD775" s="109"/>
      <c r="AE775" s="99">
        <f t="shared" si="931"/>
        <v>14.484776131615998</v>
      </c>
      <c r="AF775" s="101">
        <f t="shared" si="849"/>
        <v>36</v>
      </c>
      <c r="AG775" s="101">
        <f t="shared" si="850"/>
        <v>19.001300000000001</v>
      </c>
      <c r="AH775" s="101">
        <f t="shared" si="851"/>
        <v>521</v>
      </c>
      <c r="AI775" s="101">
        <f t="shared" si="852"/>
        <v>200</v>
      </c>
      <c r="AJ775" s="112">
        <f t="shared" si="853"/>
        <v>2.5</v>
      </c>
      <c r="AK775" s="101">
        <f t="shared" si="461"/>
        <v>8196.5010303036597</v>
      </c>
      <c r="AL775" s="101">
        <f t="shared" si="854"/>
        <v>4894.3758685371959</v>
      </c>
      <c r="AM775" s="101">
        <f t="shared" si="855"/>
        <v>3302.1251617664634</v>
      </c>
      <c r="AN775" s="101"/>
      <c r="AO775" s="1">
        <v>24</v>
      </c>
      <c r="AP775" s="2">
        <v>36</v>
      </c>
      <c r="AQ775" s="74">
        <f t="shared" si="856"/>
        <v>521</v>
      </c>
      <c r="AR775" s="31">
        <f t="shared" si="857"/>
        <v>4</v>
      </c>
      <c r="AS775" s="2">
        <f t="shared" si="858"/>
        <v>1</v>
      </c>
      <c r="AT775" s="33">
        <f t="shared" si="859"/>
        <v>1</v>
      </c>
      <c r="AU775" s="31">
        <f t="shared" si="860"/>
        <v>0</v>
      </c>
      <c r="AV775" s="2">
        <f t="shared" si="861"/>
        <v>1</v>
      </c>
      <c r="AW775" s="33" t="str">
        <f t="shared" si="862"/>
        <v>보스대상</v>
      </c>
      <c r="AX775" s="31">
        <f t="shared" si="863"/>
        <v>2.8</v>
      </c>
      <c r="AY775" s="33">
        <f t="shared" si="864"/>
        <v>1</v>
      </c>
      <c r="AZ775" s="2"/>
      <c r="BA775" s="101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</row>
    <row r="776" spans="1:71" ht="12" customHeight="1">
      <c r="A776" s="2"/>
      <c r="B776" s="107">
        <v>701</v>
      </c>
      <c r="C776" s="31">
        <v>10</v>
      </c>
      <c r="D776" s="111" t="s">
        <v>18</v>
      </c>
      <c r="E776" s="2" t="s">
        <v>156</v>
      </c>
      <c r="F776" s="2" t="s">
        <v>149</v>
      </c>
      <c r="G776" s="2" t="s">
        <v>186</v>
      </c>
      <c r="H776" s="33" t="s">
        <v>80</v>
      </c>
      <c r="I776" s="99">
        <f t="shared" si="0"/>
        <v>2371.1431983885677</v>
      </c>
      <c r="J776" s="101">
        <f t="shared" si="1"/>
        <v>81.064611807018906</v>
      </c>
      <c r="K776" s="101">
        <f t="shared" si="2"/>
        <v>12</v>
      </c>
      <c r="L776" s="74">
        <f t="shared" si="535"/>
        <v>12</v>
      </c>
      <c r="M776" s="99">
        <f t="shared" si="191"/>
        <v>15239.271228502703</v>
      </c>
      <c r="N776" s="108">
        <f t="shared" si="690"/>
        <v>15239.271228502703</v>
      </c>
      <c r="O776" s="108">
        <f t="shared" si="845"/>
        <v>0</v>
      </c>
      <c r="P776" s="108"/>
      <c r="Q776" s="108"/>
      <c r="R776" s="109"/>
      <c r="S776" s="99">
        <f t="shared" si="694"/>
        <v>10963.401945523317</v>
      </c>
      <c r="T776" s="108">
        <f t="shared" si="846"/>
        <v>10963.401945523317</v>
      </c>
      <c r="U776" s="108">
        <f t="shared" si="847"/>
        <v>0</v>
      </c>
      <c r="V776" s="108"/>
      <c r="W776" s="108"/>
      <c r="X776" s="109"/>
      <c r="Y776" s="99">
        <f t="shared" si="8"/>
        <v>21926.803891046635</v>
      </c>
      <c r="Z776" s="108">
        <f t="shared" ref="Z776:AA776" si="961">T776*$D$58/100</f>
        <v>21926.803891046635</v>
      </c>
      <c r="AA776" s="108">
        <f t="shared" si="961"/>
        <v>0</v>
      </c>
      <c r="AB776" s="108"/>
      <c r="AC776" s="108"/>
      <c r="AD776" s="109"/>
      <c r="AE776" s="99">
        <f t="shared" si="931"/>
        <v>6.4269721199712162</v>
      </c>
      <c r="AF776" s="101">
        <f t="shared" si="849"/>
        <v>36</v>
      </c>
      <c r="AG776" s="101">
        <f t="shared" si="850"/>
        <v>19.001300000000001</v>
      </c>
      <c r="AH776" s="101">
        <f t="shared" si="851"/>
        <v>521</v>
      </c>
      <c r="AI776" s="101">
        <f t="shared" si="852"/>
        <v>200</v>
      </c>
      <c r="AJ776" s="112">
        <f t="shared" si="853"/>
        <v>2.5</v>
      </c>
      <c r="AK776" s="101">
        <f t="shared" si="461"/>
        <v>5464.3340202024392</v>
      </c>
      <c r="AL776" s="101">
        <f t="shared" si="854"/>
        <v>3262.9172456914639</v>
      </c>
      <c r="AM776" s="101">
        <f t="shared" si="855"/>
        <v>2201.4167745109758</v>
      </c>
      <c r="AN776" s="101"/>
      <c r="AO776" s="1">
        <v>24</v>
      </c>
      <c r="AP776" s="2">
        <v>36</v>
      </c>
      <c r="AQ776" s="74">
        <f t="shared" si="856"/>
        <v>521</v>
      </c>
      <c r="AR776" s="31">
        <f t="shared" si="857"/>
        <v>4</v>
      </c>
      <c r="AS776" s="2">
        <f t="shared" si="858"/>
        <v>1</v>
      </c>
      <c r="AT776" s="33">
        <f t="shared" si="859"/>
        <v>1</v>
      </c>
      <c r="AU776" s="31">
        <f t="shared" si="860"/>
        <v>0</v>
      </c>
      <c r="AV776" s="2">
        <f t="shared" si="861"/>
        <v>0</v>
      </c>
      <c r="AW776" s="33">
        <f t="shared" si="862"/>
        <v>5</v>
      </c>
      <c r="AX776" s="31">
        <f t="shared" si="863"/>
        <v>2.8</v>
      </c>
      <c r="AY776" s="33">
        <f t="shared" si="864"/>
        <v>1</v>
      </c>
      <c r="AZ776" s="2"/>
      <c r="BA776" s="101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</row>
    <row r="777" spans="1:71" ht="12" customHeight="1">
      <c r="A777" s="2"/>
      <c r="B777" s="107">
        <v>702</v>
      </c>
      <c r="C777" s="31">
        <v>10</v>
      </c>
      <c r="D777" s="111" t="s">
        <v>18</v>
      </c>
      <c r="E777" s="2" t="s">
        <v>169</v>
      </c>
      <c r="F777" s="2" t="s">
        <v>149</v>
      </c>
      <c r="G777" s="2"/>
      <c r="H777" s="33" t="s">
        <v>80</v>
      </c>
      <c r="I777" s="99">
        <f t="shared" si="0"/>
        <v>1061.6645755934499</v>
      </c>
      <c r="J777" s="101">
        <f t="shared" si="1"/>
        <v>28.185356224514496</v>
      </c>
      <c r="K777" s="101">
        <f t="shared" si="2"/>
        <v>138</v>
      </c>
      <c r="L777" s="74">
        <f t="shared" si="535"/>
        <v>111</v>
      </c>
      <c r="M777" s="99">
        <f t="shared" si="191"/>
        <v>19624.632006712032</v>
      </c>
      <c r="N777" s="108">
        <f t="shared" si="690"/>
        <v>19624.632006712032</v>
      </c>
      <c r="O777" s="108">
        <f t="shared" si="845"/>
        <v>0</v>
      </c>
      <c r="P777" s="108"/>
      <c r="Q777" s="108"/>
      <c r="R777" s="109"/>
      <c r="S777" s="99">
        <f t="shared" si="694"/>
        <v>10963.401945523317</v>
      </c>
      <c r="T777" s="108">
        <f t="shared" si="846"/>
        <v>10963.401945523317</v>
      </c>
      <c r="U777" s="108">
        <f t="shared" si="847"/>
        <v>0</v>
      </c>
      <c r="V777" s="108"/>
      <c r="W777" s="108"/>
      <c r="X777" s="109"/>
      <c r="Y777" s="99">
        <f t="shared" si="8"/>
        <v>21926.803891046635</v>
      </c>
      <c r="Z777" s="108">
        <f t="shared" ref="Z777:AA777" si="962">T777*$D$58/100</f>
        <v>21926.803891046635</v>
      </c>
      <c r="AA777" s="108">
        <f t="shared" si="962"/>
        <v>0</v>
      </c>
      <c r="AB777" s="108"/>
      <c r="AC777" s="108"/>
      <c r="AD777" s="109"/>
      <c r="AE777" s="99">
        <f t="shared" si="931"/>
        <v>18.484776131615998</v>
      </c>
      <c r="AF777" s="101">
        <f t="shared" si="849"/>
        <v>36</v>
      </c>
      <c r="AG777" s="101">
        <f t="shared" si="850"/>
        <v>59.001300000000001</v>
      </c>
      <c r="AH777" s="101">
        <f t="shared" si="851"/>
        <v>521</v>
      </c>
      <c r="AI777" s="101">
        <f t="shared" si="852"/>
        <v>200</v>
      </c>
      <c r="AJ777" s="112">
        <f t="shared" si="853"/>
        <v>2</v>
      </c>
      <c r="AK777" s="101">
        <f t="shared" si="461"/>
        <v>5464.3340202024392</v>
      </c>
      <c r="AL777" s="101">
        <f t="shared" si="854"/>
        <v>3262.9172456914639</v>
      </c>
      <c r="AM777" s="101">
        <f t="shared" si="855"/>
        <v>2201.4167745109758</v>
      </c>
      <c r="AN777" s="101"/>
      <c r="AO777" s="1">
        <v>24</v>
      </c>
      <c r="AP777" s="2">
        <v>36</v>
      </c>
      <c r="AQ777" s="74">
        <f t="shared" si="856"/>
        <v>521</v>
      </c>
      <c r="AR777" s="31">
        <f t="shared" si="857"/>
        <v>0</v>
      </c>
      <c r="AS777" s="2">
        <f t="shared" si="858"/>
        <v>0.8</v>
      </c>
      <c r="AT777" s="33">
        <f t="shared" si="859"/>
        <v>1</v>
      </c>
      <c r="AU777" s="31">
        <f t="shared" si="860"/>
        <v>40</v>
      </c>
      <c r="AV777" s="2">
        <f t="shared" si="861"/>
        <v>0</v>
      </c>
      <c r="AW777" s="33" t="str">
        <f t="shared" si="862"/>
        <v>보스대상</v>
      </c>
      <c r="AX777" s="31">
        <f t="shared" si="863"/>
        <v>2.8</v>
      </c>
      <c r="AY777" s="33">
        <f t="shared" si="864"/>
        <v>1</v>
      </c>
      <c r="AZ777" s="2"/>
      <c r="BA777" s="101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</row>
    <row r="778" spans="1:71" ht="12" customHeight="1">
      <c r="A778" s="2"/>
      <c r="B778" s="107">
        <v>703</v>
      </c>
      <c r="C778" s="31">
        <v>10</v>
      </c>
      <c r="D778" s="111" t="s">
        <v>18</v>
      </c>
      <c r="E778" s="2" t="s">
        <v>162</v>
      </c>
      <c r="F778" s="2" t="s">
        <v>149</v>
      </c>
      <c r="G778" s="2"/>
      <c r="H778" s="33" t="s">
        <v>80</v>
      </c>
      <c r="I778" s="99">
        <f t="shared" si="0"/>
        <v>1236.6342269981096</v>
      </c>
      <c r="J778" s="101">
        <f t="shared" si="1"/>
        <v>28.185356224514496</v>
      </c>
      <c r="K778" s="101">
        <f t="shared" si="2"/>
        <v>86</v>
      </c>
      <c r="L778" s="74">
        <f t="shared" si="535"/>
        <v>75</v>
      </c>
      <c r="M778" s="99">
        <f t="shared" si="191"/>
        <v>22858.906842754055</v>
      </c>
      <c r="N778" s="108">
        <f t="shared" si="690"/>
        <v>22858.906842754055</v>
      </c>
      <c r="O778" s="108">
        <f t="shared" si="845"/>
        <v>0</v>
      </c>
      <c r="P778" s="108"/>
      <c r="Q778" s="108"/>
      <c r="R778" s="109"/>
      <c r="S778" s="99">
        <f t="shared" si="694"/>
        <v>16445.102918284978</v>
      </c>
      <c r="T778" s="108">
        <f t="shared" si="846"/>
        <v>16445.102918284978</v>
      </c>
      <c r="U778" s="108">
        <f t="shared" si="847"/>
        <v>0</v>
      </c>
      <c r="V778" s="108"/>
      <c r="W778" s="108"/>
      <c r="X778" s="109"/>
      <c r="Y778" s="99">
        <f t="shared" si="8"/>
        <v>32890.205836569956</v>
      </c>
      <c r="Z778" s="108">
        <f t="shared" ref="Z778:AA778" si="963">T778*$D$58/100</f>
        <v>32890.205836569956</v>
      </c>
      <c r="AA778" s="108">
        <f t="shared" si="963"/>
        <v>0</v>
      </c>
      <c r="AB778" s="108"/>
      <c r="AC778" s="108"/>
      <c r="AD778" s="109"/>
      <c r="AE778" s="99">
        <f t="shared" si="931"/>
        <v>18.484776131615998</v>
      </c>
      <c r="AF778" s="101">
        <f t="shared" si="849"/>
        <v>36</v>
      </c>
      <c r="AG778" s="101">
        <f t="shared" si="850"/>
        <v>19.001300000000001</v>
      </c>
      <c r="AH778" s="101">
        <f t="shared" si="851"/>
        <v>521</v>
      </c>
      <c r="AI778" s="101">
        <f t="shared" si="852"/>
        <v>200</v>
      </c>
      <c r="AJ778" s="112">
        <f t="shared" si="853"/>
        <v>2</v>
      </c>
      <c r="AK778" s="101">
        <f t="shared" si="461"/>
        <v>8196.5010303036597</v>
      </c>
      <c r="AL778" s="101">
        <f t="shared" si="854"/>
        <v>4894.3758685371959</v>
      </c>
      <c r="AM778" s="101">
        <f t="shared" si="855"/>
        <v>3302.1251617664634</v>
      </c>
      <c r="AN778" s="101"/>
      <c r="AO778" s="1">
        <v>24</v>
      </c>
      <c r="AP778" s="2">
        <v>36</v>
      </c>
      <c r="AQ778" s="74">
        <f t="shared" si="856"/>
        <v>521</v>
      </c>
      <c r="AR778" s="31">
        <f t="shared" si="857"/>
        <v>0</v>
      </c>
      <c r="AS778" s="2">
        <f t="shared" si="858"/>
        <v>0.8</v>
      </c>
      <c r="AT778" s="33">
        <f t="shared" si="859"/>
        <v>1</v>
      </c>
      <c r="AU778" s="31">
        <f t="shared" si="860"/>
        <v>0</v>
      </c>
      <c r="AV778" s="2">
        <f t="shared" si="861"/>
        <v>1</v>
      </c>
      <c r="AW778" s="33" t="str">
        <f t="shared" si="862"/>
        <v>보스대상</v>
      </c>
      <c r="AX778" s="31">
        <f t="shared" si="863"/>
        <v>2.8</v>
      </c>
      <c r="AY778" s="33">
        <f t="shared" si="864"/>
        <v>1</v>
      </c>
      <c r="AZ778" s="2"/>
      <c r="BA778" s="101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</row>
    <row r="779" spans="1:71" ht="12" customHeight="1">
      <c r="A779" s="2"/>
      <c r="B779" s="107">
        <v>704</v>
      </c>
      <c r="C779" s="31">
        <v>10</v>
      </c>
      <c r="D779" s="111" t="s">
        <v>18</v>
      </c>
      <c r="E779" s="2" t="s">
        <v>171</v>
      </c>
      <c r="F779" s="2" t="s">
        <v>149</v>
      </c>
      <c r="G779" s="2" t="s">
        <v>186</v>
      </c>
      <c r="H779" s="33" t="s">
        <v>80</v>
      </c>
      <c r="I779" s="99">
        <f t="shared" si="0"/>
        <v>1858.0413503584994</v>
      </c>
      <c r="J779" s="101">
        <f t="shared" si="1"/>
        <v>63.522692720778515</v>
      </c>
      <c r="K779" s="101">
        <f t="shared" si="2"/>
        <v>22</v>
      </c>
      <c r="L779" s="74">
        <f t="shared" si="535"/>
        <v>22</v>
      </c>
      <c r="M779" s="99">
        <f t="shared" si="191"/>
        <v>15239.271228502703</v>
      </c>
      <c r="N779" s="108">
        <f t="shared" si="690"/>
        <v>15239.271228502703</v>
      </c>
      <c r="O779" s="108">
        <f t="shared" si="845"/>
        <v>0</v>
      </c>
      <c r="P779" s="108"/>
      <c r="Q779" s="108"/>
      <c r="R779" s="109"/>
      <c r="S779" s="99">
        <f t="shared" si="694"/>
        <v>10963.401945523317</v>
      </c>
      <c r="T779" s="108">
        <f t="shared" si="846"/>
        <v>10963.401945523317</v>
      </c>
      <c r="U779" s="108">
        <f t="shared" si="847"/>
        <v>0</v>
      </c>
      <c r="V779" s="108"/>
      <c r="W779" s="108"/>
      <c r="X779" s="109"/>
      <c r="Y779" s="99">
        <f t="shared" si="8"/>
        <v>21926.803891046635</v>
      </c>
      <c r="Z779" s="108">
        <f t="shared" ref="Z779:AA779" si="964">T779*$D$58/100</f>
        <v>21926.803891046635</v>
      </c>
      <c r="AA779" s="108">
        <f t="shared" si="964"/>
        <v>0</v>
      </c>
      <c r="AB779" s="108"/>
      <c r="AC779" s="108"/>
      <c r="AD779" s="109"/>
      <c r="AE779" s="99">
        <f t="shared" si="931"/>
        <v>8.2017933699712149</v>
      </c>
      <c r="AF779" s="101">
        <f t="shared" si="849"/>
        <v>36</v>
      </c>
      <c r="AG779" s="101">
        <f t="shared" si="850"/>
        <v>19.001300000000001</v>
      </c>
      <c r="AH779" s="101">
        <f t="shared" si="851"/>
        <v>521</v>
      </c>
      <c r="AI779" s="101">
        <f t="shared" si="852"/>
        <v>200</v>
      </c>
      <c r="AJ779" s="112">
        <f t="shared" si="853"/>
        <v>2</v>
      </c>
      <c r="AK779" s="101">
        <f t="shared" si="461"/>
        <v>5464.3340202024392</v>
      </c>
      <c r="AL779" s="101">
        <f t="shared" si="854"/>
        <v>3262.9172456914639</v>
      </c>
      <c r="AM779" s="101">
        <f t="shared" si="855"/>
        <v>2201.4167745109758</v>
      </c>
      <c r="AN779" s="101"/>
      <c r="AO779" s="1">
        <v>24</v>
      </c>
      <c r="AP779" s="2">
        <v>36</v>
      </c>
      <c r="AQ779" s="74">
        <f t="shared" si="856"/>
        <v>521</v>
      </c>
      <c r="AR779" s="31">
        <f t="shared" si="857"/>
        <v>0</v>
      </c>
      <c r="AS779" s="2">
        <f t="shared" si="858"/>
        <v>0.8</v>
      </c>
      <c r="AT779" s="33">
        <f t="shared" si="859"/>
        <v>1</v>
      </c>
      <c r="AU779" s="31">
        <f t="shared" si="860"/>
        <v>0</v>
      </c>
      <c r="AV779" s="2">
        <f t="shared" si="861"/>
        <v>0</v>
      </c>
      <c r="AW779" s="33">
        <f t="shared" si="862"/>
        <v>5</v>
      </c>
      <c r="AX779" s="31">
        <f t="shared" si="863"/>
        <v>2.8</v>
      </c>
      <c r="AY779" s="33">
        <f t="shared" si="864"/>
        <v>1</v>
      </c>
      <c r="AZ779" s="2"/>
      <c r="BA779" s="101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</row>
    <row r="780" spans="1:71" ht="12" customHeight="1">
      <c r="A780" s="2"/>
      <c r="B780" s="107">
        <v>705</v>
      </c>
      <c r="C780" s="31">
        <v>10</v>
      </c>
      <c r="D780" s="111" t="s">
        <v>18</v>
      </c>
      <c r="E780" s="2" t="s">
        <v>182</v>
      </c>
      <c r="F780" s="2" t="s">
        <v>149</v>
      </c>
      <c r="G780" s="2"/>
      <c r="H780" s="33" t="s">
        <v>80</v>
      </c>
      <c r="I780" s="99">
        <f t="shared" si="0"/>
        <v>1061.6645755934499</v>
      </c>
      <c r="J780" s="101">
        <f t="shared" si="1"/>
        <v>28.185356224514496</v>
      </c>
      <c r="K780" s="101">
        <f t="shared" si="2"/>
        <v>138</v>
      </c>
      <c r="L780" s="74">
        <f t="shared" si="535"/>
        <v>111</v>
      </c>
      <c r="M780" s="99">
        <f t="shared" si="191"/>
        <v>19624.632006712032</v>
      </c>
      <c r="N780" s="108">
        <f t="shared" si="690"/>
        <v>19624.632006712032</v>
      </c>
      <c r="O780" s="108">
        <f t="shared" si="845"/>
        <v>0</v>
      </c>
      <c r="P780" s="108"/>
      <c r="Q780" s="108"/>
      <c r="R780" s="109"/>
      <c r="S780" s="99">
        <f t="shared" si="694"/>
        <v>10963.401945523317</v>
      </c>
      <c r="T780" s="108">
        <f t="shared" si="846"/>
        <v>10963.401945523317</v>
      </c>
      <c r="U780" s="108">
        <f t="shared" si="847"/>
        <v>0</v>
      </c>
      <c r="V780" s="108"/>
      <c r="W780" s="108"/>
      <c r="X780" s="109"/>
      <c r="Y780" s="99">
        <f t="shared" si="8"/>
        <v>21926.803891046635</v>
      </c>
      <c r="Z780" s="108">
        <f t="shared" ref="Z780:AA780" si="965">T780*$D$58/100</f>
        <v>21926.803891046635</v>
      </c>
      <c r="AA780" s="108">
        <f t="shared" si="965"/>
        <v>0</v>
      </c>
      <c r="AB780" s="108"/>
      <c r="AC780" s="108"/>
      <c r="AD780" s="109"/>
      <c r="AE780" s="99">
        <f t="shared" si="931"/>
        <v>18.484776131615998</v>
      </c>
      <c r="AF780" s="101">
        <f t="shared" si="849"/>
        <v>36</v>
      </c>
      <c r="AG780" s="101">
        <f t="shared" si="850"/>
        <v>59.001300000000001</v>
      </c>
      <c r="AH780" s="101">
        <f t="shared" si="851"/>
        <v>521</v>
      </c>
      <c r="AI780" s="101">
        <f t="shared" si="852"/>
        <v>200</v>
      </c>
      <c r="AJ780" s="112">
        <f t="shared" si="853"/>
        <v>2.5</v>
      </c>
      <c r="AK780" s="101">
        <f t="shared" si="461"/>
        <v>5464.3340202024392</v>
      </c>
      <c r="AL780" s="101">
        <f t="shared" si="854"/>
        <v>3262.9172456914639</v>
      </c>
      <c r="AM780" s="101">
        <f t="shared" si="855"/>
        <v>2201.4167745109758</v>
      </c>
      <c r="AN780" s="101"/>
      <c r="AO780" s="1">
        <v>24</v>
      </c>
      <c r="AP780" s="2">
        <v>36</v>
      </c>
      <c r="AQ780" s="74">
        <f t="shared" si="856"/>
        <v>521</v>
      </c>
      <c r="AR780" s="31">
        <f t="shared" si="857"/>
        <v>0</v>
      </c>
      <c r="AS780" s="2">
        <f t="shared" si="858"/>
        <v>1</v>
      </c>
      <c r="AT780" s="33">
        <f t="shared" si="859"/>
        <v>1.2</v>
      </c>
      <c r="AU780" s="31">
        <f t="shared" si="860"/>
        <v>40</v>
      </c>
      <c r="AV780" s="2">
        <f t="shared" si="861"/>
        <v>0</v>
      </c>
      <c r="AW780" s="33" t="str">
        <f t="shared" si="862"/>
        <v>보스대상</v>
      </c>
      <c r="AX780" s="31">
        <f t="shared" si="863"/>
        <v>2.8</v>
      </c>
      <c r="AY780" s="33">
        <f t="shared" si="864"/>
        <v>1</v>
      </c>
      <c r="AZ780" s="2"/>
      <c r="BA780" s="101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</row>
    <row r="781" spans="1:71" ht="12" customHeight="1">
      <c r="A781" s="2"/>
      <c r="B781" s="107">
        <v>706</v>
      </c>
      <c r="C781" s="31">
        <v>10</v>
      </c>
      <c r="D781" s="111" t="s">
        <v>18</v>
      </c>
      <c r="E781" s="2" t="s">
        <v>159</v>
      </c>
      <c r="F781" s="2" t="s">
        <v>149</v>
      </c>
      <c r="G781" s="2"/>
      <c r="H781" s="33" t="s">
        <v>80</v>
      </c>
      <c r="I781" s="99">
        <f t="shared" si="0"/>
        <v>1483.9610723977314</v>
      </c>
      <c r="J781" s="101">
        <f t="shared" si="1"/>
        <v>28.185356224514496</v>
      </c>
      <c r="K781" s="101">
        <f t="shared" si="2"/>
        <v>44</v>
      </c>
      <c r="L781" s="74">
        <f t="shared" si="535"/>
        <v>41</v>
      </c>
      <c r="M781" s="99">
        <f t="shared" si="191"/>
        <v>27430.688211304867</v>
      </c>
      <c r="N781" s="108">
        <f t="shared" si="690"/>
        <v>27430.688211304867</v>
      </c>
      <c r="O781" s="108">
        <f t="shared" si="845"/>
        <v>0</v>
      </c>
      <c r="P781" s="108"/>
      <c r="Q781" s="108"/>
      <c r="R781" s="109"/>
      <c r="S781" s="99">
        <f t="shared" si="694"/>
        <v>19734.123501941973</v>
      </c>
      <c r="T781" s="108">
        <f t="shared" si="846"/>
        <v>19734.123501941973</v>
      </c>
      <c r="U781" s="108">
        <f t="shared" si="847"/>
        <v>0</v>
      </c>
      <c r="V781" s="108"/>
      <c r="W781" s="108"/>
      <c r="X781" s="109"/>
      <c r="Y781" s="99">
        <f t="shared" si="8"/>
        <v>39468.247003883946</v>
      </c>
      <c r="Z781" s="108">
        <f t="shared" ref="Z781:AA781" si="966">T781*$D$58/100</f>
        <v>39468.247003883946</v>
      </c>
      <c r="AA781" s="108">
        <f t="shared" si="966"/>
        <v>0</v>
      </c>
      <c r="AB781" s="108"/>
      <c r="AC781" s="108"/>
      <c r="AD781" s="109"/>
      <c r="AE781" s="99">
        <f t="shared" si="931"/>
        <v>18.484776131615998</v>
      </c>
      <c r="AF781" s="101">
        <f t="shared" si="849"/>
        <v>36</v>
      </c>
      <c r="AG781" s="101">
        <f t="shared" si="850"/>
        <v>19.001300000000001</v>
      </c>
      <c r="AH781" s="101">
        <f t="shared" si="851"/>
        <v>521</v>
      </c>
      <c r="AI781" s="101">
        <f t="shared" si="852"/>
        <v>200</v>
      </c>
      <c r="AJ781" s="112">
        <f t="shared" si="853"/>
        <v>2.5</v>
      </c>
      <c r="AK781" s="101">
        <f t="shared" si="461"/>
        <v>8196.5010303036597</v>
      </c>
      <c r="AL781" s="101">
        <f t="shared" si="854"/>
        <v>4894.3758685371959</v>
      </c>
      <c r="AM781" s="101">
        <f t="shared" si="855"/>
        <v>3302.1251617664634</v>
      </c>
      <c r="AN781" s="101"/>
      <c r="AO781" s="1">
        <v>24</v>
      </c>
      <c r="AP781" s="2">
        <v>36</v>
      </c>
      <c r="AQ781" s="74">
        <f t="shared" si="856"/>
        <v>521</v>
      </c>
      <c r="AR781" s="31">
        <f t="shared" si="857"/>
        <v>0</v>
      </c>
      <c r="AS781" s="2">
        <f t="shared" si="858"/>
        <v>1</v>
      </c>
      <c r="AT781" s="33">
        <f t="shared" si="859"/>
        <v>1.2</v>
      </c>
      <c r="AU781" s="31">
        <f t="shared" si="860"/>
        <v>0</v>
      </c>
      <c r="AV781" s="2">
        <f t="shared" si="861"/>
        <v>1</v>
      </c>
      <c r="AW781" s="33" t="str">
        <f t="shared" si="862"/>
        <v>보스대상</v>
      </c>
      <c r="AX781" s="31">
        <f t="shared" si="863"/>
        <v>2.8</v>
      </c>
      <c r="AY781" s="33">
        <f t="shared" si="864"/>
        <v>1</v>
      </c>
      <c r="AZ781" s="2"/>
      <c r="BA781" s="101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</row>
    <row r="782" spans="1:71" ht="12" customHeight="1">
      <c r="A782" s="2"/>
      <c r="B782" s="107">
        <v>707</v>
      </c>
      <c r="C782" s="31">
        <v>10</v>
      </c>
      <c r="D782" s="111" t="s">
        <v>18</v>
      </c>
      <c r="E782" s="2" t="s">
        <v>147</v>
      </c>
      <c r="F782" s="2" t="s">
        <v>149</v>
      </c>
      <c r="G782" s="2" t="s">
        <v>186</v>
      </c>
      <c r="H782" s="33" t="s">
        <v>80</v>
      </c>
      <c r="I782" s="99">
        <f t="shared" si="0"/>
        <v>1858.0413503584994</v>
      </c>
      <c r="J782" s="101">
        <f t="shared" si="1"/>
        <v>63.522692720778515</v>
      </c>
      <c r="K782" s="101">
        <f t="shared" si="2"/>
        <v>22</v>
      </c>
      <c r="L782" s="74">
        <f t="shared" si="535"/>
        <v>22</v>
      </c>
      <c r="M782" s="99">
        <f t="shared" si="191"/>
        <v>15239.271228502703</v>
      </c>
      <c r="N782" s="108">
        <f t="shared" si="690"/>
        <v>15239.271228502703</v>
      </c>
      <c r="O782" s="108">
        <f t="shared" si="845"/>
        <v>0</v>
      </c>
      <c r="P782" s="108"/>
      <c r="Q782" s="108"/>
      <c r="R782" s="109"/>
      <c r="S782" s="99">
        <f t="shared" si="694"/>
        <v>10963.401945523317</v>
      </c>
      <c r="T782" s="108">
        <f t="shared" si="846"/>
        <v>10963.401945523317</v>
      </c>
      <c r="U782" s="108">
        <f t="shared" si="847"/>
        <v>0</v>
      </c>
      <c r="V782" s="108"/>
      <c r="W782" s="108"/>
      <c r="X782" s="109"/>
      <c r="Y782" s="99">
        <f t="shared" si="8"/>
        <v>21926.803891046635</v>
      </c>
      <c r="Z782" s="108">
        <f t="shared" ref="Z782:AA782" si="967">T782*$D$58/100</f>
        <v>21926.803891046635</v>
      </c>
      <c r="AA782" s="108">
        <f t="shared" si="967"/>
        <v>0</v>
      </c>
      <c r="AB782" s="108"/>
      <c r="AC782" s="108"/>
      <c r="AD782" s="109"/>
      <c r="AE782" s="99">
        <f t="shared" si="931"/>
        <v>8.2017933699712149</v>
      </c>
      <c r="AF782" s="101">
        <f t="shared" si="849"/>
        <v>36</v>
      </c>
      <c r="AG782" s="101">
        <f t="shared" si="850"/>
        <v>19.001300000000001</v>
      </c>
      <c r="AH782" s="101">
        <f t="shared" si="851"/>
        <v>521</v>
      </c>
      <c r="AI782" s="101">
        <f t="shared" si="852"/>
        <v>200</v>
      </c>
      <c r="AJ782" s="112">
        <f t="shared" si="853"/>
        <v>2.5</v>
      </c>
      <c r="AK782" s="101">
        <f t="shared" si="461"/>
        <v>5464.3340202024392</v>
      </c>
      <c r="AL782" s="101">
        <f t="shared" si="854"/>
        <v>3262.9172456914639</v>
      </c>
      <c r="AM782" s="101">
        <f t="shared" si="855"/>
        <v>2201.4167745109758</v>
      </c>
      <c r="AN782" s="101"/>
      <c r="AO782" s="1">
        <v>24</v>
      </c>
      <c r="AP782" s="2">
        <v>36</v>
      </c>
      <c r="AQ782" s="74">
        <f t="shared" si="856"/>
        <v>521</v>
      </c>
      <c r="AR782" s="31">
        <f t="shared" si="857"/>
        <v>0</v>
      </c>
      <c r="AS782" s="2">
        <f t="shared" si="858"/>
        <v>1</v>
      </c>
      <c r="AT782" s="33">
        <f t="shared" si="859"/>
        <v>1.2</v>
      </c>
      <c r="AU782" s="31">
        <f t="shared" si="860"/>
        <v>0</v>
      </c>
      <c r="AV782" s="2">
        <f t="shared" si="861"/>
        <v>0</v>
      </c>
      <c r="AW782" s="33">
        <f t="shared" si="862"/>
        <v>5</v>
      </c>
      <c r="AX782" s="31">
        <f t="shared" si="863"/>
        <v>2.8</v>
      </c>
      <c r="AY782" s="33">
        <f t="shared" si="864"/>
        <v>1</v>
      </c>
      <c r="AZ782" s="2"/>
      <c r="BA782" s="101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</row>
    <row r="783" spans="1:71" ht="12" customHeight="1">
      <c r="A783" s="2"/>
      <c r="B783" s="107">
        <v>708</v>
      </c>
      <c r="C783" s="31">
        <v>10</v>
      </c>
      <c r="D783" s="111" t="s">
        <v>18</v>
      </c>
      <c r="E783" s="2" t="s">
        <v>165</v>
      </c>
      <c r="F783" s="2" t="s">
        <v>149</v>
      </c>
      <c r="G783" s="2"/>
      <c r="H783" s="33" t="s">
        <v>80</v>
      </c>
      <c r="I783" s="99">
        <f t="shared" si="0"/>
        <v>1244.3954637220427</v>
      </c>
      <c r="J783" s="101">
        <f t="shared" si="1"/>
        <v>35.968798914524506</v>
      </c>
      <c r="K783" s="101">
        <f t="shared" si="2"/>
        <v>85</v>
      </c>
      <c r="L783" s="74">
        <f t="shared" si="535"/>
        <v>74</v>
      </c>
      <c r="M783" s="99">
        <f t="shared" si="191"/>
        <v>18024.789711212266</v>
      </c>
      <c r="N783" s="108">
        <f t="shared" si="690"/>
        <v>7008.797145254297</v>
      </c>
      <c r="O783" s="108">
        <f t="shared" si="845"/>
        <v>11015.992565957969</v>
      </c>
      <c r="P783" s="108"/>
      <c r="Q783" s="108"/>
      <c r="R783" s="109"/>
      <c r="S783" s="99">
        <f t="shared" si="694"/>
        <v>11840.601083069268</v>
      </c>
      <c r="T783" s="108">
        <f t="shared" si="846"/>
        <v>3915.5006948297564</v>
      </c>
      <c r="U783" s="108">
        <f t="shared" si="847"/>
        <v>7925.1003882395125</v>
      </c>
      <c r="V783" s="108"/>
      <c r="W783" s="108"/>
      <c r="X783" s="109"/>
      <c r="Y783" s="99">
        <f t="shared" si="8"/>
        <v>23681.202166138537</v>
      </c>
      <c r="Z783" s="108">
        <f t="shared" ref="Z783:AA783" si="968">T783*$D$58/100</f>
        <v>7831.0013896595128</v>
      </c>
      <c r="AA783" s="108">
        <f t="shared" si="968"/>
        <v>15850.200776479025</v>
      </c>
      <c r="AB783" s="108"/>
      <c r="AC783" s="108"/>
      <c r="AD783" s="109"/>
      <c r="AE783" s="99">
        <f t="shared" si="931"/>
        <v>14.484776131615998</v>
      </c>
      <c r="AF783" s="101">
        <f t="shared" si="849"/>
        <v>36</v>
      </c>
      <c r="AG783" s="101">
        <f t="shared" si="850"/>
        <v>59.001300000000001</v>
      </c>
      <c r="AH783" s="101">
        <f t="shared" si="851"/>
        <v>521</v>
      </c>
      <c r="AI783" s="101">
        <f t="shared" si="852"/>
        <v>200</v>
      </c>
      <c r="AJ783" s="112">
        <f t="shared" si="853"/>
        <v>2.5</v>
      </c>
      <c r="AK783" s="101">
        <f t="shared" si="461"/>
        <v>5464.3340202024392</v>
      </c>
      <c r="AL783" s="101">
        <f t="shared" si="854"/>
        <v>3262.9172456914639</v>
      </c>
      <c r="AM783" s="101">
        <f t="shared" si="855"/>
        <v>2201.4167745109758</v>
      </c>
      <c r="AN783" s="101"/>
      <c r="AO783" s="1">
        <v>24</v>
      </c>
      <c r="AP783" s="2">
        <v>36</v>
      </c>
      <c r="AQ783" s="74">
        <f t="shared" si="856"/>
        <v>521</v>
      </c>
      <c r="AR783" s="31">
        <f t="shared" si="857"/>
        <v>4</v>
      </c>
      <c r="AS783" s="2">
        <f t="shared" si="858"/>
        <v>1</v>
      </c>
      <c r="AT783" s="33">
        <f t="shared" si="859"/>
        <v>1</v>
      </c>
      <c r="AU783" s="31">
        <f t="shared" si="860"/>
        <v>40</v>
      </c>
      <c r="AV783" s="2">
        <f t="shared" si="861"/>
        <v>0</v>
      </c>
      <c r="AW783" s="33" t="str">
        <f t="shared" si="862"/>
        <v>보스대상</v>
      </c>
      <c r="AX783" s="31">
        <f t="shared" si="863"/>
        <v>1</v>
      </c>
      <c r="AY783" s="33">
        <f t="shared" si="864"/>
        <v>3</v>
      </c>
      <c r="AZ783" s="2"/>
      <c r="BA783" s="101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</row>
    <row r="784" spans="1:71" ht="12" customHeight="1">
      <c r="A784" s="2"/>
      <c r="B784" s="107">
        <v>709</v>
      </c>
      <c r="C784" s="31">
        <v>10</v>
      </c>
      <c r="D784" s="111" t="s">
        <v>18</v>
      </c>
      <c r="E784" s="2" t="s">
        <v>154</v>
      </c>
      <c r="F784" s="2" t="s">
        <v>149</v>
      </c>
      <c r="G784" s="2"/>
      <c r="H784" s="33" t="s">
        <v>80</v>
      </c>
      <c r="I784" s="99">
        <f t="shared" si="0"/>
        <v>1704.4021892774833</v>
      </c>
      <c r="J784" s="101">
        <f t="shared" si="1"/>
        <v>35.968798914524506</v>
      </c>
      <c r="K784" s="101">
        <f t="shared" si="2"/>
        <v>28</v>
      </c>
      <c r="L784" s="74">
        <f t="shared" si="535"/>
        <v>28</v>
      </c>
      <c r="M784" s="99">
        <f t="shared" si="191"/>
        <v>24687.884149920545</v>
      </c>
      <c r="N784" s="108">
        <f t="shared" si="690"/>
        <v>8163.8953009835914</v>
      </c>
      <c r="O784" s="108">
        <f t="shared" si="845"/>
        <v>16523.988848936951</v>
      </c>
      <c r="P784" s="108"/>
      <c r="Q784" s="108"/>
      <c r="R784" s="109"/>
      <c r="S784" s="99">
        <f t="shared" si="694"/>
        <v>17760.901624603903</v>
      </c>
      <c r="T784" s="108">
        <f t="shared" si="846"/>
        <v>5873.2510422446348</v>
      </c>
      <c r="U784" s="108">
        <f t="shared" si="847"/>
        <v>11887.650582359267</v>
      </c>
      <c r="V784" s="108"/>
      <c r="W784" s="108"/>
      <c r="X784" s="109"/>
      <c r="Y784" s="99">
        <f t="shared" si="8"/>
        <v>35521.803249207805</v>
      </c>
      <c r="Z784" s="108">
        <f t="shared" ref="Z784:AA784" si="969">T784*$D$58/100</f>
        <v>11746.50208448927</v>
      </c>
      <c r="AA784" s="108">
        <f t="shared" si="969"/>
        <v>23775.301164718534</v>
      </c>
      <c r="AB784" s="108"/>
      <c r="AC784" s="108"/>
      <c r="AD784" s="109"/>
      <c r="AE784" s="99">
        <f t="shared" si="931"/>
        <v>14.484776131615998</v>
      </c>
      <c r="AF784" s="101">
        <f t="shared" si="849"/>
        <v>36</v>
      </c>
      <c r="AG784" s="101">
        <f t="shared" si="850"/>
        <v>19.001300000000001</v>
      </c>
      <c r="AH784" s="101">
        <f t="shared" si="851"/>
        <v>521</v>
      </c>
      <c r="AI784" s="101">
        <f t="shared" si="852"/>
        <v>200</v>
      </c>
      <c r="AJ784" s="112">
        <f t="shared" si="853"/>
        <v>2.5</v>
      </c>
      <c r="AK784" s="101">
        <f t="shared" si="461"/>
        <v>8196.5010303036597</v>
      </c>
      <c r="AL784" s="101">
        <f t="shared" si="854"/>
        <v>4894.3758685371959</v>
      </c>
      <c r="AM784" s="101">
        <f t="shared" si="855"/>
        <v>3302.1251617664634</v>
      </c>
      <c r="AN784" s="101"/>
      <c r="AO784" s="1">
        <v>24</v>
      </c>
      <c r="AP784" s="2">
        <v>36</v>
      </c>
      <c r="AQ784" s="74">
        <f t="shared" si="856"/>
        <v>521</v>
      </c>
      <c r="AR784" s="31">
        <f t="shared" si="857"/>
        <v>4</v>
      </c>
      <c r="AS784" s="2">
        <f t="shared" si="858"/>
        <v>1</v>
      </c>
      <c r="AT784" s="33">
        <f t="shared" si="859"/>
        <v>1</v>
      </c>
      <c r="AU784" s="31">
        <f t="shared" si="860"/>
        <v>0</v>
      </c>
      <c r="AV784" s="2">
        <f t="shared" si="861"/>
        <v>1</v>
      </c>
      <c r="AW784" s="33" t="str">
        <f t="shared" si="862"/>
        <v>보스대상</v>
      </c>
      <c r="AX784" s="31">
        <f t="shared" si="863"/>
        <v>1</v>
      </c>
      <c r="AY784" s="33">
        <f t="shared" si="864"/>
        <v>3</v>
      </c>
      <c r="AZ784" s="2"/>
      <c r="BA784" s="101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</row>
    <row r="785" spans="1:71" ht="12" customHeight="1">
      <c r="A785" s="2"/>
      <c r="B785" s="107">
        <v>710</v>
      </c>
      <c r="C785" s="31">
        <v>10</v>
      </c>
      <c r="D785" s="111" t="s">
        <v>18</v>
      </c>
      <c r="E785" s="2" t="s">
        <v>157</v>
      </c>
      <c r="F785" s="2" t="s">
        <v>149</v>
      </c>
      <c r="G785" s="2" t="s">
        <v>186</v>
      </c>
      <c r="H785" s="33" t="s">
        <v>80</v>
      </c>
      <c r="I785" s="99">
        <f t="shared" si="0"/>
        <v>2560.8621176583038</v>
      </c>
      <c r="J785" s="101">
        <f t="shared" si="1"/>
        <v>81.064611807018906</v>
      </c>
      <c r="K785" s="101">
        <f t="shared" si="2"/>
        <v>9</v>
      </c>
      <c r="L785" s="74">
        <f t="shared" si="535"/>
        <v>9</v>
      </c>
      <c r="M785" s="99">
        <f t="shared" si="191"/>
        <v>16458.589433280365</v>
      </c>
      <c r="N785" s="108">
        <f t="shared" si="690"/>
        <v>5442.5968673223942</v>
      </c>
      <c r="O785" s="108">
        <f t="shared" si="845"/>
        <v>11015.992565957969</v>
      </c>
      <c r="P785" s="108"/>
      <c r="Q785" s="108"/>
      <c r="R785" s="109"/>
      <c r="S785" s="99">
        <f t="shared" si="694"/>
        <v>11840.601083069268</v>
      </c>
      <c r="T785" s="108">
        <f t="shared" si="846"/>
        <v>3915.5006948297564</v>
      </c>
      <c r="U785" s="108">
        <f t="shared" si="847"/>
        <v>7925.1003882395125</v>
      </c>
      <c r="V785" s="108"/>
      <c r="W785" s="108"/>
      <c r="X785" s="109"/>
      <c r="Y785" s="99">
        <f t="shared" si="8"/>
        <v>23681.202166138537</v>
      </c>
      <c r="Z785" s="108">
        <f t="shared" ref="Z785:AA785" si="970">T785*$D$58/100</f>
        <v>7831.0013896595128</v>
      </c>
      <c r="AA785" s="108">
        <f t="shared" si="970"/>
        <v>15850.200776479025</v>
      </c>
      <c r="AB785" s="108"/>
      <c r="AC785" s="108"/>
      <c r="AD785" s="109"/>
      <c r="AE785" s="99">
        <f t="shared" si="931"/>
        <v>6.4269721199712162</v>
      </c>
      <c r="AF785" s="101">
        <f t="shared" si="849"/>
        <v>36</v>
      </c>
      <c r="AG785" s="101">
        <f t="shared" si="850"/>
        <v>19.001300000000001</v>
      </c>
      <c r="AH785" s="101">
        <f t="shared" si="851"/>
        <v>521</v>
      </c>
      <c r="AI785" s="101">
        <f t="shared" si="852"/>
        <v>200</v>
      </c>
      <c r="AJ785" s="112">
        <f t="shared" si="853"/>
        <v>2.5</v>
      </c>
      <c r="AK785" s="101">
        <f t="shared" si="461"/>
        <v>5464.3340202024392</v>
      </c>
      <c r="AL785" s="101">
        <f t="shared" si="854"/>
        <v>3262.9172456914639</v>
      </c>
      <c r="AM785" s="101">
        <f t="shared" si="855"/>
        <v>2201.4167745109758</v>
      </c>
      <c r="AN785" s="101"/>
      <c r="AO785" s="1">
        <v>24</v>
      </c>
      <c r="AP785" s="2">
        <v>36</v>
      </c>
      <c r="AQ785" s="74">
        <f t="shared" si="856"/>
        <v>521</v>
      </c>
      <c r="AR785" s="31">
        <f t="shared" si="857"/>
        <v>4</v>
      </c>
      <c r="AS785" s="2">
        <f t="shared" si="858"/>
        <v>1</v>
      </c>
      <c r="AT785" s="33">
        <f t="shared" si="859"/>
        <v>1</v>
      </c>
      <c r="AU785" s="31">
        <f t="shared" si="860"/>
        <v>0</v>
      </c>
      <c r="AV785" s="2">
        <f t="shared" si="861"/>
        <v>0</v>
      </c>
      <c r="AW785" s="33">
        <f t="shared" si="862"/>
        <v>5</v>
      </c>
      <c r="AX785" s="31">
        <f t="shared" si="863"/>
        <v>1</v>
      </c>
      <c r="AY785" s="33">
        <f t="shared" si="864"/>
        <v>3</v>
      </c>
      <c r="AZ785" s="2"/>
      <c r="BA785" s="101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</row>
    <row r="786" spans="1:71" ht="12" customHeight="1">
      <c r="A786" s="2"/>
      <c r="B786" s="107">
        <v>711</v>
      </c>
      <c r="C786" s="31">
        <v>10</v>
      </c>
      <c r="D786" s="111" t="s">
        <v>18</v>
      </c>
      <c r="E786" s="2" t="s">
        <v>170</v>
      </c>
      <c r="F786" s="2" t="s">
        <v>149</v>
      </c>
      <c r="G786" s="2"/>
      <c r="H786" s="33" t="s">
        <v>80</v>
      </c>
      <c r="I786" s="99">
        <f t="shared" si="0"/>
        <v>975.11539132913924</v>
      </c>
      <c r="J786" s="101">
        <f t="shared" si="1"/>
        <v>28.185356224514496</v>
      </c>
      <c r="K786" s="101">
        <f t="shared" si="2"/>
        <v>174</v>
      </c>
      <c r="L786" s="74">
        <f t="shared" si="535"/>
        <v>134</v>
      </c>
      <c r="M786" s="99">
        <f t="shared" si="191"/>
        <v>18024.789711212266</v>
      </c>
      <c r="N786" s="108">
        <f t="shared" si="690"/>
        <v>7008.797145254297</v>
      </c>
      <c r="O786" s="108">
        <f t="shared" si="845"/>
        <v>11015.992565957969</v>
      </c>
      <c r="P786" s="108"/>
      <c r="Q786" s="108"/>
      <c r="R786" s="109"/>
      <c r="S786" s="99">
        <f t="shared" si="694"/>
        <v>11840.601083069268</v>
      </c>
      <c r="T786" s="108">
        <f t="shared" si="846"/>
        <v>3915.5006948297564</v>
      </c>
      <c r="U786" s="108">
        <f t="shared" si="847"/>
        <v>7925.1003882395125</v>
      </c>
      <c r="V786" s="108"/>
      <c r="W786" s="108"/>
      <c r="X786" s="109"/>
      <c r="Y786" s="99">
        <f t="shared" si="8"/>
        <v>23681.202166138537</v>
      </c>
      <c r="Z786" s="108">
        <f t="shared" ref="Z786:AA786" si="971">T786*$D$58/100</f>
        <v>7831.0013896595128</v>
      </c>
      <c r="AA786" s="108">
        <f t="shared" si="971"/>
        <v>15850.200776479025</v>
      </c>
      <c r="AB786" s="108"/>
      <c r="AC786" s="108"/>
      <c r="AD786" s="109"/>
      <c r="AE786" s="99">
        <f t="shared" si="931"/>
        <v>18.484776131615998</v>
      </c>
      <c r="AF786" s="101">
        <f t="shared" si="849"/>
        <v>36</v>
      </c>
      <c r="AG786" s="101">
        <f t="shared" si="850"/>
        <v>59.001300000000001</v>
      </c>
      <c r="AH786" s="101">
        <f t="shared" si="851"/>
        <v>521</v>
      </c>
      <c r="AI786" s="101">
        <f t="shared" si="852"/>
        <v>200</v>
      </c>
      <c r="AJ786" s="112">
        <f t="shared" si="853"/>
        <v>2</v>
      </c>
      <c r="AK786" s="101">
        <f t="shared" si="461"/>
        <v>5464.3340202024392</v>
      </c>
      <c r="AL786" s="101">
        <f t="shared" si="854"/>
        <v>3262.9172456914639</v>
      </c>
      <c r="AM786" s="101">
        <f t="shared" si="855"/>
        <v>2201.4167745109758</v>
      </c>
      <c r="AN786" s="101"/>
      <c r="AO786" s="1">
        <v>24</v>
      </c>
      <c r="AP786" s="2">
        <v>36</v>
      </c>
      <c r="AQ786" s="74">
        <f t="shared" si="856"/>
        <v>521</v>
      </c>
      <c r="AR786" s="31">
        <f t="shared" si="857"/>
        <v>0</v>
      </c>
      <c r="AS786" s="2">
        <f t="shared" si="858"/>
        <v>0.8</v>
      </c>
      <c r="AT786" s="33">
        <f t="shared" si="859"/>
        <v>1</v>
      </c>
      <c r="AU786" s="31">
        <f t="shared" si="860"/>
        <v>40</v>
      </c>
      <c r="AV786" s="2">
        <f t="shared" si="861"/>
        <v>0</v>
      </c>
      <c r="AW786" s="33" t="str">
        <f t="shared" si="862"/>
        <v>보스대상</v>
      </c>
      <c r="AX786" s="31">
        <f t="shared" si="863"/>
        <v>1</v>
      </c>
      <c r="AY786" s="33">
        <f t="shared" si="864"/>
        <v>3</v>
      </c>
      <c r="AZ786" s="2"/>
      <c r="BA786" s="101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</row>
    <row r="787" spans="1:71" ht="12" customHeight="1">
      <c r="A787" s="2"/>
      <c r="B787" s="107">
        <v>712</v>
      </c>
      <c r="C787" s="31">
        <v>10</v>
      </c>
      <c r="D787" s="111" t="s">
        <v>18</v>
      </c>
      <c r="E787" s="2" t="s">
        <v>102</v>
      </c>
      <c r="F787" s="2" t="s">
        <v>149</v>
      </c>
      <c r="G787" s="2"/>
      <c r="H787" s="33" t="s">
        <v>80</v>
      </c>
      <c r="I787" s="99">
        <f t="shared" si="0"/>
        <v>1335.5792882822568</v>
      </c>
      <c r="J787" s="101">
        <f t="shared" si="1"/>
        <v>28.185356224514496</v>
      </c>
      <c r="K787" s="101">
        <f t="shared" si="2"/>
        <v>69</v>
      </c>
      <c r="L787" s="74">
        <f t="shared" si="535"/>
        <v>65</v>
      </c>
      <c r="M787" s="99">
        <f t="shared" si="191"/>
        <v>24687.884149920545</v>
      </c>
      <c r="N787" s="108">
        <f t="shared" si="690"/>
        <v>8163.8953009835914</v>
      </c>
      <c r="O787" s="108">
        <f t="shared" si="845"/>
        <v>16523.988848936951</v>
      </c>
      <c r="P787" s="108"/>
      <c r="Q787" s="108"/>
      <c r="R787" s="109"/>
      <c r="S787" s="99">
        <f t="shared" si="694"/>
        <v>17760.901624603903</v>
      </c>
      <c r="T787" s="108">
        <f t="shared" si="846"/>
        <v>5873.2510422446348</v>
      </c>
      <c r="U787" s="108">
        <f t="shared" si="847"/>
        <v>11887.650582359267</v>
      </c>
      <c r="V787" s="108"/>
      <c r="W787" s="108"/>
      <c r="X787" s="109"/>
      <c r="Y787" s="99">
        <f t="shared" si="8"/>
        <v>35521.803249207805</v>
      </c>
      <c r="Z787" s="108">
        <f t="shared" ref="Z787:AA787" si="972">T787*$D$58/100</f>
        <v>11746.50208448927</v>
      </c>
      <c r="AA787" s="108">
        <f t="shared" si="972"/>
        <v>23775.301164718534</v>
      </c>
      <c r="AB787" s="108"/>
      <c r="AC787" s="108"/>
      <c r="AD787" s="109"/>
      <c r="AE787" s="99">
        <f t="shared" si="931"/>
        <v>18.484776131615998</v>
      </c>
      <c r="AF787" s="101">
        <f t="shared" si="849"/>
        <v>36</v>
      </c>
      <c r="AG787" s="101">
        <f t="shared" si="850"/>
        <v>19.001300000000001</v>
      </c>
      <c r="AH787" s="101">
        <f t="shared" si="851"/>
        <v>521</v>
      </c>
      <c r="AI787" s="101">
        <f t="shared" si="852"/>
        <v>200</v>
      </c>
      <c r="AJ787" s="112">
        <f t="shared" si="853"/>
        <v>2</v>
      </c>
      <c r="AK787" s="101">
        <f t="shared" si="461"/>
        <v>8196.5010303036597</v>
      </c>
      <c r="AL787" s="101">
        <f t="shared" si="854"/>
        <v>4894.3758685371959</v>
      </c>
      <c r="AM787" s="101">
        <f t="shared" si="855"/>
        <v>3302.1251617664634</v>
      </c>
      <c r="AN787" s="101"/>
      <c r="AO787" s="1">
        <v>24</v>
      </c>
      <c r="AP787" s="2">
        <v>36</v>
      </c>
      <c r="AQ787" s="74">
        <f t="shared" si="856"/>
        <v>521</v>
      </c>
      <c r="AR787" s="31">
        <f t="shared" si="857"/>
        <v>0</v>
      </c>
      <c r="AS787" s="2">
        <f t="shared" si="858"/>
        <v>0.8</v>
      </c>
      <c r="AT787" s="33">
        <f t="shared" si="859"/>
        <v>1</v>
      </c>
      <c r="AU787" s="31">
        <f t="shared" si="860"/>
        <v>0</v>
      </c>
      <c r="AV787" s="2">
        <f t="shared" si="861"/>
        <v>1</v>
      </c>
      <c r="AW787" s="33" t="str">
        <f t="shared" si="862"/>
        <v>보스대상</v>
      </c>
      <c r="AX787" s="31">
        <f t="shared" si="863"/>
        <v>1</v>
      </c>
      <c r="AY787" s="33">
        <f t="shared" si="864"/>
        <v>3</v>
      </c>
      <c r="AZ787" s="2"/>
      <c r="BA787" s="101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</row>
    <row r="788" spans="1:71" ht="12" customHeight="1">
      <c r="A788" s="2"/>
      <c r="B788" s="107">
        <v>713</v>
      </c>
      <c r="C788" s="31">
        <v>10</v>
      </c>
      <c r="D788" s="111" t="s">
        <v>18</v>
      </c>
      <c r="E788" s="2" t="s">
        <v>108</v>
      </c>
      <c r="F788" s="2" t="s">
        <v>149</v>
      </c>
      <c r="G788" s="2" t="s">
        <v>186</v>
      </c>
      <c r="H788" s="33" t="s">
        <v>80</v>
      </c>
      <c r="I788" s="99">
        <f t="shared" si="0"/>
        <v>2006.7061788631879</v>
      </c>
      <c r="J788" s="101">
        <f t="shared" si="1"/>
        <v>63.522692720778515</v>
      </c>
      <c r="K788" s="101">
        <f t="shared" si="2"/>
        <v>16</v>
      </c>
      <c r="L788" s="74">
        <f t="shared" si="535"/>
        <v>16</v>
      </c>
      <c r="M788" s="99">
        <f t="shared" si="191"/>
        <v>16458.589433280365</v>
      </c>
      <c r="N788" s="108">
        <f t="shared" si="690"/>
        <v>5442.5968673223942</v>
      </c>
      <c r="O788" s="108">
        <f t="shared" si="845"/>
        <v>11015.992565957969</v>
      </c>
      <c r="P788" s="108"/>
      <c r="Q788" s="108"/>
      <c r="R788" s="109"/>
      <c r="S788" s="99">
        <f t="shared" si="694"/>
        <v>11840.601083069268</v>
      </c>
      <c r="T788" s="108">
        <f t="shared" si="846"/>
        <v>3915.5006948297564</v>
      </c>
      <c r="U788" s="108">
        <f t="shared" si="847"/>
        <v>7925.1003882395125</v>
      </c>
      <c r="V788" s="108"/>
      <c r="W788" s="108"/>
      <c r="X788" s="109"/>
      <c r="Y788" s="99">
        <f t="shared" si="8"/>
        <v>23681.202166138537</v>
      </c>
      <c r="Z788" s="108">
        <f t="shared" ref="Z788:AA788" si="973">T788*$D$58/100</f>
        <v>7831.0013896595128</v>
      </c>
      <c r="AA788" s="108">
        <f t="shared" si="973"/>
        <v>15850.200776479025</v>
      </c>
      <c r="AB788" s="108"/>
      <c r="AC788" s="108"/>
      <c r="AD788" s="109"/>
      <c r="AE788" s="99">
        <f t="shared" si="931"/>
        <v>8.2017933699712149</v>
      </c>
      <c r="AF788" s="101">
        <f t="shared" si="849"/>
        <v>36</v>
      </c>
      <c r="AG788" s="101">
        <f t="shared" si="850"/>
        <v>19.001300000000001</v>
      </c>
      <c r="AH788" s="101">
        <f t="shared" si="851"/>
        <v>521</v>
      </c>
      <c r="AI788" s="101">
        <f t="shared" si="852"/>
        <v>200</v>
      </c>
      <c r="AJ788" s="112">
        <f t="shared" si="853"/>
        <v>2</v>
      </c>
      <c r="AK788" s="101">
        <f t="shared" si="461"/>
        <v>5464.3340202024392</v>
      </c>
      <c r="AL788" s="101">
        <f t="shared" si="854"/>
        <v>3262.9172456914639</v>
      </c>
      <c r="AM788" s="101">
        <f t="shared" si="855"/>
        <v>2201.4167745109758</v>
      </c>
      <c r="AN788" s="101"/>
      <c r="AO788" s="1">
        <v>24</v>
      </c>
      <c r="AP788" s="2">
        <v>36</v>
      </c>
      <c r="AQ788" s="74">
        <f t="shared" si="856"/>
        <v>521</v>
      </c>
      <c r="AR788" s="31">
        <f t="shared" si="857"/>
        <v>0</v>
      </c>
      <c r="AS788" s="2">
        <f t="shared" si="858"/>
        <v>0.8</v>
      </c>
      <c r="AT788" s="33">
        <f t="shared" si="859"/>
        <v>1</v>
      </c>
      <c r="AU788" s="31">
        <f t="shared" si="860"/>
        <v>0</v>
      </c>
      <c r="AV788" s="2">
        <f t="shared" si="861"/>
        <v>0</v>
      </c>
      <c r="AW788" s="33">
        <f t="shared" si="862"/>
        <v>5</v>
      </c>
      <c r="AX788" s="31">
        <f t="shared" si="863"/>
        <v>1</v>
      </c>
      <c r="AY788" s="33">
        <f t="shared" si="864"/>
        <v>3</v>
      </c>
      <c r="AZ788" s="2"/>
      <c r="BA788" s="101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</row>
    <row r="789" spans="1:71" ht="12" customHeight="1">
      <c r="A789" s="2"/>
      <c r="B789" s="107">
        <v>714</v>
      </c>
      <c r="C789" s="31">
        <v>10</v>
      </c>
      <c r="D789" s="111" t="s">
        <v>18</v>
      </c>
      <c r="E789" s="2" t="s">
        <v>145</v>
      </c>
      <c r="F789" s="2" t="s">
        <v>149</v>
      </c>
      <c r="G789" s="2"/>
      <c r="H789" s="33" t="s">
        <v>80</v>
      </c>
      <c r="I789" s="99">
        <f t="shared" si="0"/>
        <v>975.11539132913924</v>
      </c>
      <c r="J789" s="101">
        <f t="shared" si="1"/>
        <v>28.185356224514496</v>
      </c>
      <c r="K789" s="101">
        <f t="shared" si="2"/>
        <v>174</v>
      </c>
      <c r="L789" s="74">
        <f t="shared" si="535"/>
        <v>134</v>
      </c>
      <c r="M789" s="99">
        <f t="shared" si="191"/>
        <v>18024.789711212266</v>
      </c>
      <c r="N789" s="108">
        <f t="shared" si="690"/>
        <v>7008.797145254297</v>
      </c>
      <c r="O789" s="108">
        <f t="shared" si="845"/>
        <v>11015.992565957969</v>
      </c>
      <c r="P789" s="108"/>
      <c r="Q789" s="108"/>
      <c r="R789" s="109"/>
      <c r="S789" s="99">
        <f t="shared" si="694"/>
        <v>11840.601083069268</v>
      </c>
      <c r="T789" s="108">
        <f t="shared" si="846"/>
        <v>3915.5006948297564</v>
      </c>
      <c r="U789" s="108">
        <f t="shared" si="847"/>
        <v>7925.1003882395125</v>
      </c>
      <c r="V789" s="108"/>
      <c r="W789" s="108"/>
      <c r="X789" s="109"/>
      <c r="Y789" s="99">
        <f t="shared" si="8"/>
        <v>23681.202166138537</v>
      </c>
      <c r="Z789" s="108">
        <f t="shared" ref="Z789:AA789" si="974">T789*$D$58/100</f>
        <v>7831.0013896595128</v>
      </c>
      <c r="AA789" s="108">
        <f t="shared" si="974"/>
        <v>15850.200776479025</v>
      </c>
      <c r="AB789" s="108"/>
      <c r="AC789" s="108"/>
      <c r="AD789" s="109"/>
      <c r="AE789" s="99">
        <f t="shared" si="931"/>
        <v>18.484776131615998</v>
      </c>
      <c r="AF789" s="101">
        <f t="shared" si="849"/>
        <v>36</v>
      </c>
      <c r="AG789" s="101">
        <f t="shared" si="850"/>
        <v>59.001300000000001</v>
      </c>
      <c r="AH789" s="101">
        <f t="shared" si="851"/>
        <v>521</v>
      </c>
      <c r="AI789" s="101">
        <f t="shared" si="852"/>
        <v>200</v>
      </c>
      <c r="AJ789" s="112">
        <f t="shared" si="853"/>
        <v>2.5</v>
      </c>
      <c r="AK789" s="101">
        <f t="shared" si="461"/>
        <v>5464.3340202024392</v>
      </c>
      <c r="AL789" s="101">
        <f t="shared" si="854"/>
        <v>3262.9172456914639</v>
      </c>
      <c r="AM789" s="101">
        <f t="shared" si="855"/>
        <v>2201.4167745109758</v>
      </c>
      <c r="AN789" s="101"/>
      <c r="AO789" s="1">
        <v>24</v>
      </c>
      <c r="AP789" s="2">
        <v>36</v>
      </c>
      <c r="AQ789" s="74">
        <f t="shared" si="856"/>
        <v>521</v>
      </c>
      <c r="AR789" s="31">
        <f t="shared" si="857"/>
        <v>0</v>
      </c>
      <c r="AS789" s="2">
        <f t="shared" si="858"/>
        <v>1</v>
      </c>
      <c r="AT789" s="33">
        <f t="shared" si="859"/>
        <v>1.2</v>
      </c>
      <c r="AU789" s="31">
        <f t="shared" si="860"/>
        <v>40</v>
      </c>
      <c r="AV789" s="2">
        <f t="shared" si="861"/>
        <v>0</v>
      </c>
      <c r="AW789" s="33" t="str">
        <f t="shared" si="862"/>
        <v>보스대상</v>
      </c>
      <c r="AX789" s="31">
        <f t="shared" si="863"/>
        <v>1</v>
      </c>
      <c r="AY789" s="33">
        <f t="shared" si="864"/>
        <v>3</v>
      </c>
      <c r="AZ789" s="2"/>
      <c r="BA789" s="101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</row>
    <row r="790" spans="1:71" ht="12" customHeight="1">
      <c r="A790" s="2"/>
      <c r="B790" s="107">
        <v>715</v>
      </c>
      <c r="C790" s="31">
        <v>10</v>
      </c>
      <c r="D790" s="111" t="s">
        <v>18</v>
      </c>
      <c r="E790" s="2" t="s">
        <v>132</v>
      </c>
      <c r="F790" s="2" t="s">
        <v>149</v>
      </c>
      <c r="G790" s="2"/>
      <c r="H790" s="33" t="s">
        <v>80</v>
      </c>
      <c r="I790" s="99">
        <f t="shared" si="0"/>
        <v>1602.6951459387083</v>
      </c>
      <c r="J790" s="101">
        <f t="shared" si="1"/>
        <v>28.185356224514496</v>
      </c>
      <c r="K790" s="101">
        <f t="shared" si="2"/>
        <v>31</v>
      </c>
      <c r="L790" s="74">
        <f t="shared" si="535"/>
        <v>31</v>
      </c>
      <c r="M790" s="99">
        <f t="shared" si="191"/>
        <v>29625.460979904652</v>
      </c>
      <c r="N790" s="108">
        <f t="shared" si="690"/>
        <v>9796.6743611803086</v>
      </c>
      <c r="O790" s="108">
        <f t="shared" si="845"/>
        <v>19828.786618724342</v>
      </c>
      <c r="P790" s="108"/>
      <c r="Q790" s="108"/>
      <c r="R790" s="109"/>
      <c r="S790" s="99">
        <f t="shared" si="694"/>
        <v>21313.081949524683</v>
      </c>
      <c r="T790" s="108">
        <f t="shared" si="846"/>
        <v>7047.9012506935615</v>
      </c>
      <c r="U790" s="108">
        <f t="shared" si="847"/>
        <v>14265.18069883112</v>
      </c>
      <c r="V790" s="108"/>
      <c r="W790" s="108"/>
      <c r="X790" s="109"/>
      <c r="Y790" s="99">
        <f t="shared" si="8"/>
        <v>42626.163899049367</v>
      </c>
      <c r="Z790" s="108">
        <f t="shared" ref="Z790:AA790" si="975">T790*$D$58/100</f>
        <v>14095.802501387123</v>
      </c>
      <c r="AA790" s="108">
        <f t="shared" si="975"/>
        <v>28530.361397662244</v>
      </c>
      <c r="AB790" s="108"/>
      <c r="AC790" s="108"/>
      <c r="AD790" s="109"/>
      <c r="AE790" s="99">
        <f t="shared" si="931"/>
        <v>18.484776131615998</v>
      </c>
      <c r="AF790" s="101">
        <f t="shared" si="849"/>
        <v>36</v>
      </c>
      <c r="AG790" s="101">
        <f t="shared" si="850"/>
        <v>19.001300000000001</v>
      </c>
      <c r="AH790" s="101">
        <f t="shared" si="851"/>
        <v>521</v>
      </c>
      <c r="AI790" s="101">
        <f t="shared" si="852"/>
        <v>200</v>
      </c>
      <c r="AJ790" s="112">
        <f t="shared" si="853"/>
        <v>2.5</v>
      </c>
      <c r="AK790" s="101">
        <f t="shared" si="461"/>
        <v>8196.5010303036597</v>
      </c>
      <c r="AL790" s="101">
        <f t="shared" si="854"/>
        <v>4894.3758685371959</v>
      </c>
      <c r="AM790" s="101">
        <f t="shared" si="855"/>
        <v>3302.1251617664634</v>
      </c>
      <c r="AN790" s="101"/>
      <c r="AO790" s="1">
        <v>24</v>
      </c>
      <c r="AP790" s="2">
        <v>36</v>
      </c>
      <c r="AQ790" s="74">
        <f t="shared" si="856"/>
        <v>521</v>
      </c>
      <c r="AR790" s="31">
        <f t="shared" si="857"/>
        <v>0</v>
      </c>
      <c r="AS790" s="2">
        <f t="shared" si="858"/>
        <v>1</v>
      </c>
      <c r="AT790" s="33">
        <f t="shared" si="859"/>
        <v>1.2</v>
      </c>
      <c r="AU790" s="31">
        <f t="shared" si="860"/>
        <v>0</v>
      </c>
      <c r="AV790" s="2">
        <f t="shared" si="861"/>
        <v>1</v>
      </c>
      <c r="AW790" s="33" t="str">
        <f t="shared" si="862"/>
        <v>보스대상</v>
      </c>
      <c r="AX790" s="31">
        <f t="shared" si="863"/>
        <v>1</v>
      </c>
      <c r="AY790" s="33">
        <f t="shared" si="864"/>
        <v>3</v>
      </c>
      <c r="AZ790" s="2"/>
      <c r="BA790" s="101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</row>
    <row r="791" spans="1:71" ht="12" customHeight="1">
      <c r="A791" s="2"/>
      <c r="B791" s="107">
        <v>716</v>
      </c>
      <c r="C791" s="31">
        <v>10</v>
      </c>
      <c r="D791" s="111" t="s">
        <v>18</v>
      </c>
      <c r="E791" s="2" t="s">
        <v>135</v>
      </c>
      <c r="F791" s="2" t="s">
        <v>149</v>
      </c>
      <c r="G791" s="2" t="s">
        <v>186</v>
      </c>
      <c r="H791" s="33" t="s">
        <v>80</v>
      </c>
      <c r="I791" s="99">
        <f t="shared" si="0"/>
        <v>2006.7061788631879</v>
      </c>
      <c r="J791" s="101">
        <f t="shared" si="1"/>
        <v>63.522692720778515</v>
      </c>
      <c r="K791" s="101">
        <f t="shared" si="2"/>
        <v>16</v>
      </c>
      <c r="L791" s="74">
        <f t="shared" si="535"/>
        <v>16</v>
      </c>
      <c r="M791" s="99">
        <f t="shared" si="191"/>
        <v>16458.589433280365</v>
      </c>
      <c r="N791" s="108">
        <f t="shared" si="690"/>
        <v>5442.5968673223942</v>
      </c>
      <c r="O791" s="108">
        <f t="shared" si="845"/>
        <v>11015.992565957969</v>
      </c>
      <c r="P791" s="108"/>
      <c r="Q791" s="108"/>
      <c r="R791" s="109"/>
      <c r="S791" s="99">
        <f t="shared" si="694"/>
        <v>11840.601083069268</v>
      </c>
      <c r="T791" s="108">
        <f t="shared" si="846"/>
        <v>3915.5006948297564</v>
      </c>
      <c r="U791" s="108">
        <f t="shared" si="847"/>
        <v>7925.1003882395125</v>
      </c>
      <c r="V791" s="108"/>
      <c r="W791" s="108"/>
      <c r="X791" s="109"/>
      <c r="Y791" s="99">
        <f t="shared" si="8"/>
        <v>23681.202166138537</v>
      </c>
      <c r="Z791" s="108">
        <f t="shared" ref="Z791:AA791" si="976">T791*$D$58/100</f>
        <v>7831.0013896595128</v>
      </c>
      <c r="AA791" s="108">
        <f t="shared" si="976"/>
        <v>15850.200776479025</v>
      </c>
      <c r="AB791" s="108"/>
      <c r="AC791" s="108"/>
      <c r="AD791" s="109"/>
      <c r="AE791" s="99">
        <f t="shared" si="931"/>
        <v>8.2017933699712149</v>
      </c>
      <c r="AF791" s="101">
        <f t="shared" si="849"/>
        <v>36</v>
      </c>
      <c r="AG791" s="101">
        <f t="shared" si="850"/>
        <v>19.001300000000001</v>
      </c>
      <c r="AH791" s="101">
        <f t="shared" si="851"/>
        <v>521</v>
      </c>
      <c r="AI791" s="101">
        <f t="shared" si="852"/>
        <v>200</v>
      </c>
      <c r="AJ791" s="112">
        <f t="shared" si="853"/>
        <v>2.5</v>
      </c>
      <c r="AK791" s="101">
        <f t="shared" si="461"/>
        <v>5464.3340202024392</v>
      </c>
      <c r="AL791" s="101">
        <f t="shared" si="854"/>
        <v>3262.9172456914639</v>
      </c>
      <c r="AM791" s="101">
        <f t="shared" si="855"/>
        <v>2201.4167745109758</v>
      </c>
      <c r="AN791" s="101"/>
      <c r="AO791" s="1">
        <v>24</v>
      </c>
      <c r="AP791" s="2">
        <v>36</v>
      </c>
      <c r="AQ791" s="74">
        <f t="shared" si="856"/>
        <v>521</v>
      </c>
      <c r="AR791" s="31">
        <f t="shared" si="857"/>
        <v>0</v>
      </c>
      <c r="AS791" s="2">
        <f t="shared" si="858"/>
        <v>1</v>
      </c>
      <c r="AT791" s="33">
        <f t="shared" si="859"/>
        <v>1.2</v>
      </c>
      <c r="AU791" s="31">
        <f t="shared" si="860"/>
        <v>0</v>
      </c>
      <c r="AV791" s="2">
        <f t="shared" si="861"/>
        <v>0</v>
      </c>
      <c r="AW791" s="33">
        <f t="shared" si="862"/>
        <v>5</v>
      </c>
      <c r="AX791" s="31">
        <f t="shared" si="863"/>
        <v>1</v>
      </c>
      <c r="AY791" s="33">
        <f t="shared" si="864"/>
        <v>3</v>
      </c>
      <c r="AZ791" s="2"/>
      <c r="BA791" s="101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</row>
    <row r="792" spans="1:71" ht="12" customHeight="1">
      <c r="A792" s="2"/>
      <c r="B792" s="107">
        <v>717</v>
      </c>
      <c r="C792" s="31">
        <v>7</v>
      </c>
      <c r="D792" s="111" t="s">
        <v>18</v>
      </c>
      <c r="E792" s="2" t="s">
        <v>163</v>
      </c>
      <c r="F792" s="2" t="s">
        <v>149</v>
      </c>
      <c r="G792" s="2"/>
      <c r="H792" s="33" t="s">
        <v>80</v>
      </c>
      <c r="I792" s="99">
        <f t="shared" si="0"/>
        <v>705.63227130319456</v>
      </c>
      <c r="J792" s="101">
        <f t="shared" si="1"/>
        <v>25.060794637183101</v>
      </c>
      <c r="K792" s="101">
        <f t="shared" si="2"/>
        <v>354</v>
      </c>
      <c r="L792" s="74">
        <f t="shared" si="535"/>
        <v>228</v>
      </c>
      <c r="M792" s="99">
        <f t="shared" si="191"/>
        <v>10220.925481070497</v>
      </c>
      <c r="N792" s="108">
        <f t="shared" si="690"/>
        <v>6704.883415329894</v>
      </c>
      <c r="O792" s="108">
        <f t="shared" si="845"/>
        <v>3516.0420657406025</v>
      </c>
      <c r="P792" s="108"/>
      <c r="Q792" s="108"/>
      <c r="R792" s="109"/>
      <c r="S792" s="99">
        <f t="shared" si="694"/>
        <v>6275.2207300068303</v>
      </c>
      <c r="T792" s="108">
        <f t="shared" si="846"/>
        <v>3745.7177212287811</v>
      </c>
      <c r="U792" s="108">
        <f t="shared" si="847"/>
        <v>2529.5030087780492</v>
      </c>
      <c r="V792" s="108"/>
      <c r="W792" s="108"/>
      <c r="X792" s="109"/>
      <c r="Y792" s="99">
        <f t="shared" si="8"/>
        <v>12550.441460013661</v>
      </c>
      <c r="Z792" s="108">
        <f t="shared" ref="Z792:AA792" si="977">T792*$D$58/100</f>
        <v>7491.4354424575622</v>
      </c>
      <c r="AA792" s="108">
        <f t="shared" si="977"/>
        <v>5059.0060175560984</v>
      </c>
      <c r="AB792" s="108"/>
      <c r="AC792" s="108"/>
      <c r="AD792" s="109"/>
      <c r="AE792" s="99">
        <f t="shared" si="931"/>
        <v>14.484776131615998</v>
      </c>
      <c r="AF792" s="101">
        <f t="shared" si="849"/>
        <v>36</v>
      </c>
      <c r="AG792" s="101">
        <f t="shared" si="850"/>
        <v>59.001300000000001</v>
      </c>
      <c r="AH792" s="101">
        <f t="shared" si="851"/>
        <v>363</v>
      </c>
      <c r="AI792" s="101">
        <f t="shared" si="852"/>
        <v>200</v>
      </c>
      <c r="AJ792" s="112">
        <f t="shared" si="853"/>
        <v>2.2222222222222223</v>
      </c>
      <c r="AK792" s="101">
        <f t="shared" si="461"/>
        <v>5229.3506083390257</v>
      </c>
      <c r="AL792" s="101">
        <f t="shared" si="854"/>
        <v>3121.4314343573178</v>
      </c>
      <c r="AM792" s="101">
        <f t="shared" si="855"/>
        <v>2107.9191739817079</v>
      </c>
      <c r="AN792" s="101"/>
      <c r="AO792" s="1">
        <v>24</v>
      </c>
      <c r="AP792" s="2">
        <v>36</v>
      </c>
      <c r="AQ792" s="74">
        <f t="shared" si="856"/>
        <v>363</v>
      </c>
      <c r="AR792" s="31">
        <f t="shared" si="857"/>
        <v>4</v>
      </c>
      <c r="AS792" s="2">
        <f t="shared" si="858"/>
        <v>1</v>
      </c>
      <c r="AT792" s="33">
        <f t="shared" si="859"/>
        <v>1</v>
      </c>
      <c r="AU792" s="31">
        <f t="shared" si="860"/>
        <v>40</v>
      </c>
      <c r="AV792" s="2">
        <f t="shared" si="861"/>
        <v>0</v>
      </c>
      <c r="AW792" s="33" t="str">
        <f t="shared" si="862"/>
        <v>보스대상</v>
      </c>
      <c r="AX792" s="31">
        <f t="shared" si="863"/>
        <v>1</v>
      </c>
      <c r="AY792" s="33">
        <f t="shared" si="864"/>
        <v>1</v>
      </c>
      <c r="AZ792" s="2"/>
      <c r="BA792" s="101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</row>
    <row r="793" spans="1:71" ht="12" customHeight="1">
      <c r="A793" s="2"/>
      <c r="B793" s="107">
        <v>718</v>
      </c>
      <c r="C793" s="31">
        <v>7</v>
      </c>
      <c r="D793" s="111" t="s">
        <v>18</v>
      </c>
      <c r="E793" s="2" t="s">
        <v>152</v>
      </c>
      <c r="F793" s="2" t="s">
        <v>149</v>
      </c>
      <c r="G793" s="2"/>
      <c r="H793" s="33" t="s">
        <v>80</v>
      </c>
      <c r="I793" s="99">
        <f t="shared" si="0"/>
        <v>903.29028698690411</v>
      </c>
      <c r="J793" s="101">
        <f t="shared" si="1"/>
        <v>25.060794637183101</v>
      </c>
      <c r="K793" s="101">
        <f t="shared" si="2"/>
        <v>202</v>
      </c>
      <c r="L793" s="74">
        <f t="shared" si="535"/>
        <v>149</v>
      </c>
      <c r="M793" s="99">
        <f t="shared" si="191"/>
        <v>13083.957588868474</v>
      </c>
      <c r="N793" s="108">
        <f t="shared" si="690"/>
        <v>7809.8944902575713</v>
      </c>
      <c r="O793" s="108">
        <f t="shared" si="845"/>
        <v>5274.0630986109036</v>
      </c>
      <c r="P793" s="108"/>
      <c r="Q793" s="108"/>
      <c r="R793" s="109"/>
      <c r="S793" s="99">
        <f t="shared" si="694"/>
        <v>9412.8310950102441</v>
      </c>
      <c r="T793" s="108">
        <f t="shared" si="846"/>
        <v>5618.576581843171</v>
      </c>
      <c r="U793" s="108">
        <f t="shared" si="847"/>
        <v>3794.2545131670736</v>
      </c>
      <c r="V793" s="108"/>
      <c r="W793" s="108"/>
      <c r="X793" s="109"/>
      <c r="Y793" s="99">
        <f t="shared" si="8"/>
        <v>18825.662190020488</v>
      </c>
      <c r="Z793" s="108">
        <f t="shared" ref="Z793:AA793" si="978">T793*$D$58/100</f>
        <v>11237.153163686342</v>
      </c>
      <c r="AA793" s="108">
        <f t="shared" si="978"/>
        <v>7588.5090263341472</v>
      </c>
      <c r="AB793" s="108"/>
      <c r="AC793" s="108"/>
      <c r="AD793" s="109"/>
      <c r="AE793" s="99">
        <f t="shared" si="931"/>
        <v>14.484776131615998</v>
      </c>
      <c r="AF793" s="101">
        <f t="shared" si="849"/>
        <v>36</v>
      </c>
      <c r="AG793" s="101">
        <f t="shared" si="850"/>
        <v>19.001300000000001</v>
      </c>
      <c r="AH793" s="101">
        <f t="shared" si="851"/>
        <v>363</v>
      </c>
      <c r="AI793" s="101">
        <f t="shared" si="852"/>
        <v>200</v>
      </c>
      <c r="AJ793" s="112">
        <f t="shared" si="853"/>
        <v>2.2222222222222223</v>
      </c>
      <c r="AK793" s="101">
        <f t="shared" si="461"/>
        <v>7844.0259125085377</v>
      </c>
      <c r="AL793" s="101">
        <f t="shared" si="854"/>
        <v>4682.1471515359763</v>
      </c>
      <c r="AM793" s="101">
        <f t="shared" si="855"/>
        <v>3161.8787609725614</v>
      </c>
      <c r="AN793" s="101"/>
      <c r="AO793" s="1">
        <v>24</v>
      </c>
      <c r="AP793" s="2">
        <v>36</v>
      </c>
      <c r="AQ793" s="74">
        <f t="shared" si="856"/>
        <v>363</v>
      </c>
      <c r="AR793" s="31">
        <f t="shared" si="857"/>
        <v>4</v>
      </c>
      <c r="AS793" s="2">
        <f t="shared" si="858"/>
        <v>1</v>
      </c>
      <c r="AT793" s="33">
        <f t="shared" si="859"/>
        <v>1</v>
      </c>
      <c r="AU793" s="31">
        <f t="shared" si="860"/>
        <v>0</v>
      </c>
      <c r="AV793" s="2">
        <f t="shared" si="861"/>
        <v>1</v>
      </c>
      <c r="AW793" s="33" t="str">
        <f t="shared" si="862"/>
        <v>보스대상</v>
      </c>
      <c r="AX793" s="31">
        <f t="shared" si="863"/>
        <v>1</v>
      </c>
      <c r="AY793" s="33">
        <f t="shared" si="864"/>
        <v>1</v>
      </c>
      <c r="AZ793" s="2"/>
      <c r="BA793" s="101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</row>
    <row r="794" spans="1:71" ht="12" customHeight="1">
      <c r="A794" s="2"/>
      <c r="B794" s="107">
        <v>719</v>
      </c>
      <c r="C794" s="31">
        <v>7</v>
      </c>
      <c r="D794" s="111" t="s">
        <v>18</v>
      </c>
      <c r="E794" s="2" t="s">
        <v>155</v>
      </c>
      <c r="F794" s="2" t="s">
        <v>149</v>
      </c>
      <c r="G794" s="2" t="s">
        <v>186</v>
      </c>
      <c r="H794" s="33" t="s">
        <v>80</v>
      </c>
      <c r="I794" s="99">
        <f t="shared" si="0"/>
        <v>1357.1925052349609</v>
      </c>
      <c r="J794" s="101">
        <f t="shared" si="1"/>
        <v>56.480718015255015</v>
      </c>
      <c r="K794" s="101">
        <f t="shared" si="2"/>
        <v>63</v>
      </c>
      <c r="L794" s="74">
        <f t="shared" si="535"/>
        <v>59</v>
      </c>
      <c r="M794" s="99">
        <f t="shared" si="191"/>
        <v>8722.6383925789833</v>
      </c>
      <c r="N794" s="108">
        <f t="shared" si="690"/>
        <v>5206.5963268383812</v>
      </c>
      <c r="O794" s="108">
        <f t="shared" si="845"/>
        <v>3516.0420657406025</v>
      </c>
      <c r="P794" s="108"/>
      <c r="Q794" s="108"/>
      <c r="R794" s="109"/>
      <c r="S794" s="99">
        <f t="shared" si="694"/>
        <v>6275.2207300068303</v>
      </c>
      <c r="T794" s="108">
        <f t="shared" si="846"/>
        <v>3745.7177212287811</v>
      </c>
      <c r="U794" s="108">
        <f t="shared" si="847"/>
        <v>2529.5030087780492</v>
      </c>
      <c r="V794" s="108"/>
      <c r="W794" s="108"/>
      <c r="X794" s="109"/>
      <c r="Y794" s="99">
        <f t="shared" si="8"/>
        <v>12550.441460013661</v>
      </c>
      <c r="Z794" s="108">
        <f t="shared" ref="Z794:AA794" si="979">T794*$D$58/100</f>
        <v>7491.4354424575622</v>
      </c>
      <c r="AA794" s="108">
        <f t="shared" si="979"/>
        <v>5059.0060175560984</v>
      </c>
      <c r="AB794" s="108"/>
      <c r="AC794" s="108"/>
      <c r="AD794" s="109"/>
      <c r="AE794" s="99">
        <f t="shared" si="931"/>
        <v>6.4269721199712162</v>
      </c>
      <c r="AF794" s="101">
        <f t="shared" si="849"/>
        <v>36</v>
      </c>
      <c r="AG794" s="101">
        <f t="shared" si="850"/>
        <v>19.001300000000001</v>
      </c>
      <c r="AH794" s="101">
        <f t="shared" si="851"/>
        <v>363</v>
      </c>
      <c r="AI794" s="101">
        <f t="shared" si="852"/>
        <v>200</v>
      </c>
      <c r="AJ794" s="112">
        <f t="shared" si="853"/>
        <v>2.2222222222222223</v>
      </c>
      <c r="AK794" s="101">
        <f t="shared" si="461"/>
        <v>5229.3506083390257</v>
      </c>
      <c r="AL794" s="101">
        <f t="shared" si="854"/>
        <v>3121.4314343573178</v>
      </c>
      <c r="AM794" s="101">
        <f t="shared" si="855"/>
        <v>2107.9191739817079</v>
      </c>
      <c r="AN794" s="101"/>
      <c r="AO794" s="1">
        <v>24</v>
      </c>
      <c r="AP794" s="2">
        <v>36</v>
      </c>
      <c r="AQ794" s="74">
        <f t="shared" si="856"/>
        <v>363</v>
      </c>
      <c r="AR794" s="31">
        <f t="shared" si="857"/>
        <v>4</v>
      </c>
      <c r="AS794" s="2">
        <f t="shared" si="858"/>
        <v>1</v>
      </c>
      <c r="AT794" s="33">
        <f t="shared" si="859"/>
        <v>1</v>
      </c>
      <c r="AU794" s="31">
        <f t="shared" si="860"/>
        <v>0</v>
      </c>
      <c r="AV794" s="2">
        <f t="shared" si="861"/>
        <v>0</v>
      </c>
      <c r="AW794" s="33">
        <f t="shared" si="862"/>
        <v>5</v>
      </c>
      <c r="AX794" s="31">
        <f t="shared" si="863"/>
        <v>1</v>
      </c>
      <c r="AY794" s="33">
        <f t="shared" si="864"/>
        <v>1</v>
      </c>
      <c r="AZ794" s="2"/>
      <c r="BA794" s="101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</row>
    <row r="795" spans="1:71" ht="12" customHeight="1">
      <c r="A795" s="2"/>
      <c r="B795" s="107">
        <v>720</v>
      </c>
      <c r="C795" s="31">
        <v>7</v>
      </c>
      <c r="D795" s="111" t="s">
        <v>18</v>
      </c>
      <c r="E795" s="2" t="s">
        <v>168</v>
      </c>
      <c r="F795" s="2" t="s">
        <v>149</v>
      </c>
      <c r="G795" s="2"/>
      <c r="H795" s="33" t="s">
        <v>80</v>
      </c>
      <c r="I795" s="99">
        <f t="shared" si="0"/>
        <v>552.93747721341492</v>
      </c>
      <c r="J795" s="101">
        <f t="shared" si="1"/>
        <v>19.637781784066725</v>
      </c>
      <c r="K795" s="101">
        <f t="shared" si="2"/>
        <v>532</v>
      </c>
      <c r="L795" s="74">
        <f t="shared" si="535"/>
        <v>299</v>
      </c>
      <c r="M795" s="99">
        <f t="shared" si="191"/>
        <v>10220.925481070497</v>
      </c>
      <c r="N795" s="108">
        <f t="shared" si="690"/>
        <v>6704.883415329894</v>
      </c>
      <c r="O795" s="108">
        <f t="shared" si="845"/>
        <v>3516.0420657406025</v>
      </c>
      <c r="P795" s="108"/>
      <c r="Q795" s="108"/>
      <c r="R795" s="109"/>
      <c r="S795" s="99">
        <f t="shared" si="694"/>
        <v>6275.2207300068303</v>
      </c>
      <c r="T795" s="108">
        <f t="shared" si="846"/>
        <v>3745.7177212287811</v>
      </c>
      <c r="U795" s="108">
        <f t="shared" si="847"/>
        <v>2529.5030087780492</v>
      </c>
      <c r="V795" s="108"/>
      <c r="W795" s="108"/>
      <c r="X795" s="109"/>
      <c r="Y795" s="99">
        <f t="shared" si="8"/>
        <v>12550.441460013661</v>
      </c>
      <c r="Z795" s="108">
        <f t="shared" ref="Z795:AA795" si="980">T795*$D$58/100</f>
        <v>7491.4354424575622</v>
      </c>
      <c r="AA795" s="108">
        <f t="shared" si="980"/>
        <v>5059.0060175560984</v>
      </c>
      <c r="AB795" s="108"/>
      <c r="AC795" s="108"/>
      <c r="AD795" s="109"/>
      <c r="AE795" s="99">
        <f t="shared" si="931"/>
        <v>18.484776131615998</v>
      </c>
      <c r="AF795" s="101">
        <f t="shared" si="849"/>
        <v>36</v>
      </c>
      <c r="AG795" s="101">
        <f t="shared" si="850"/>
        <v>59.001300000000001</v>
      </c>
      <c r="AH795" s="101">
        <f t="shared" si="851"/>
        <v>363</v>
      </c>
      <c r="AI795" s="101">
        <f t="shared" si="852"/>
        <v>200</v>
      </c>
      <c r="AJ795" s="112">
        <f t="shared" si="853"/>
        <v>1.7777777777777777</v>
      </c>
      <c r="AK795" s="101">
        <f t="shared" si="461"/>
        <v>5229.3506083390257</v>
      </c>
      <c r="AL795" s="101">
        <f t="shared" si="854"/>
        <v>3121.4314343573178</v>
      </c>
      <c r="AM795" s="101">
        <f t="shared" si="855"/>
        <v>2107.9191739817079</v>
      </c>
      <c r="AN795" s="101"/>
      <c r="AO795" s="1">
        <v>24</v>
      </c>
      <c r="AP795" s="2">
        <v>36</v>
      </c>
      <c r="AQ795" s="74">
        <f t="shared" si="856"/>
        <v>363</v>
      </c>
      <c r="AR795" s="31">
        <f t="shared" si="857"/>
        <v>0</v>
      </c>
      <c r="AS795" s="2">
        <f t="shared" si="858"/>
        <v>0.8</v>
      </c>
      <c r="AT795" s="33">
        <f t="shared" si="859"/>
        <v>1</v>
      </c>
      <c r="AU795" s="31">
        <f t="shared" si="860"/>
        <v>40</v>
      </c>
      <c r="AV795" s="2">
        <f t="shared" si="861"/>
        <v>0</v>
      </c>
      <c r="AW795" s="33" t="str">
        <f t="shared" si="862"/>
        <v>보스대상</v>
      </c>
      <c r="AX795" s="31">
        <f t="shared" si="863"/>
        <v>1</v>
      </c>
      <c r="AY795" s="33">
        <f t="shared" si="864"/>
        <v>1</v>
      </c>
      <c r="AZ795" s="2"/>
      <c r="BA795" s="101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</row>
    <row r="796" spans="1:71" ht="12" customHeight="1">
      <c r="A796" s="2"/>
      <c r="B796" s="107">
        <v>721</v>
      </c>
      <c r="C796" s="31">
        <v>7</v>
      </c>
      <c r="D796" s="111" t="s">
        <v>18</v>
      </c>
      <c r="E796" s="2" t="s">
        <v>101</v>
      </c>
      <c r="F796" s="2" t="s">
        <v>149</v>
      </c>
      <c r="G796" s="2"/>
      <c r="H796" s="33" t="s">
        <v>80</v>
      </c>
      <c r="I796" s="99">
        <f t="shared" si="0"/>
        <v>707.82342700325864</v>
      </c>
      <c r="J796" s="101">
        <f t="shared" si="1"/>
        <v>19.637781784066725</v>
      </c>
      <c r="K796" s="101">
        <f t="shared" si="2"/>
        <v>347</v>
      </c>
      <c r="L796" s="74">
        <f t="shared" si="535"/>
        <v>223</v>
      </c>
      <c r="M796" s="99">
        <f t="shared" si="191"/>
        <v>13083.957588868474</v>
      </c>
      <c r="N796" s="108">
        <f t="shared" si="690"/>
        <v>7809.8944902575713</v>
      </c>
      <c r="O796" s="108">
        <f t="shared" si="845"/>
        <v>5274.0630986109036</v>
      </c>
      <c r="P796" s="108"/>
      <c r="Q796" s="108"/>
      <c r="R796" s="109"/>
      <c r="S796" s="99">
        <f t="shared" si="694"/>
        <v>9412.8310950102441</v>
      </c>
      <c r="T796" s="108">
        <f t="shared" si="846"/>
        <v>5618.576581843171</v>
      </c>
      <c r="U796" s="108">
        <f t="shared" si="847"/>
        <v>3794.2545131670736</v>
      </c>
      <c r="V796" s="108"/>
      <c r="W796" s="108"/>
      <c r="X796" s="109"/>
      <c r="Y796" s="99">
        <f t="shared" si="8"/>
        <v>18825.662190020488</v>
      </c>
      <c r="Z796" s="108">
        <f t="shared" ref="Z796:AA796" si="981">T796*$D$58/100</f>
        <v>11237.153163686342</v>
      </c>
      <c r="AA796" s="108">
        <f t="shared" si="981"/>
        <v>7588.5090263341472</v>
      </c>
      <c r="AB796" s="108"/>
      <c r="AC796" s="108"/>
      <c r="AD796" s="109"/>
      <c r="AE796" s="99">
        <f t="shared" si="931"/>
        <v>18.484776131615998</v>
      </c>
      <c r="AF796" s="101">
        <f t="shared" si="849"/>
        <v>36</v>
      </c>
      <c r="AG796" s="101">
        <f t="shared" si="850"/>
        <v>19.001300000000001</v>
      </c>
      <c r="AH796" s="101">
        <f t="shared" si="851"/>
        <v>363</v>
      </c>
      <c r="AI796" s="101">
        <f t="shared" si="852"/>
        <v>200</v>
      </c>
      <c r="AJ796" s="112">
        <f t="shared" si="853"/>
        <v>1.7777777777777777</v>
      </c>
      <c r="AK796" s="101">
        <f t="shared" si="461"/>
        <v>7844.0259125085377</v>
      </c>
      <c r="AL796" s="101">
        <f t="shared" si="854"/>
        <v>4682.1471515359763</v>
      </c>
      <c r="AM796" s="101">
        <f t="shared" si="855"/>
        <v>3161.8787609725614</v>
      </c>
      <c r="AN796" s="101"/>
      <c r="AO796" s="1">
        <v>24</v>
      </c>
      <c r="AP796" s="2">
        <v>36</v>
      </c>
      <c r="AQ796" s="74">
        <f t="shared" si="856"/>
        <v>363</v>
      </c>
      <c r="AR796" s="31">
        <f t="shared" si="857"/>
        <v>0</v>
      </c>
      <c r="AS796" s="2">
        <f t="shared" si="858"/>
        <v>0.8</v>
      </c>
      <c r="AT796" s="33">
        <f t="shared" si="859"/>
        <v>1</v>
      </c>
      <c r="AU796" s="31">
        <f t="shared" si="860"/>
        <v>0</v>
      </c>
      <c r="AV796" s="2">
        <f t="shared" si="861"/>
        <v>1</v>
      </c>
      <c r="AW796" s="33" t="str">
        <f t="shared" si="862"/>
        <v>보스대상</v>
      </c>
      <c r="AX796" s="31">
        <f t="shared" si="863"/>
        <v>1</v>
      </c>
      <c r="AY796" s="33">
        <f t="shared" si="864"/>
        <v>1</v>
      </c>
      <c r="AZ796" s="2"/>
      <c r="BA796" s="101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</row>
    <row r="797" spans="1:71" ht="12" customHeight="1">
      <c r="A797" s="2"/>
      <c r="B797" s="107">
        <v>722</v>
      </c>
      <c r="C797" s="31">
        <v>7</v>
      </c>
      <c r="D797" s="111" t="s">
        <v>18</v>
      </c>
      <c r="E797" s="2" t="s">
        <v>103</v>
      </c>
      <c r="F797" s="2" t="s">
        <v>149</v>
      </c>
      <c r="G797" s="2" t="s">
        <v>186</v>
      </c>
      <c r="H797" s="33" t="s">
        <v>80</v>
      </c>
      <c r="I797" s="99">
        <f t="shared" si="0"/>
        <v>1063.5037971713248</v>
      </c>
      <c r="J797" s="101">
        <f t="shared" si="1"/>
        <v>44.258613162461806</v>
      </c>
      <c r="K797" s="101">
        <f t="shared" si="2"/>
        <v>134</v>
      </c>
      <c r="L797" s="74">
        <f t="shared" si="535"/>
        <v>109</v>
      </c>
      <c r="M797" s="99">
        <f t="shared" si="191"/>
        <v>8722.6383925789833</v>
      </c>
      <c r="N797" s="108">
        <f t="shared" si="690"/>
        <v>5206.5963268383812</v>
      </c>
      <c r="O797" s="108">
        <f t="shared" si="845"/>
        <v>3516.0420657406025</v>
      </c>
      <c r="P797" s="108"/>
      <c r="Q797" s="108"/>
      <c r="R797" s="109"/>
      <c r="S797" s="99">
        <f t="shared" si="694"/>
        <v>6275.2207300068303</v>
      </c>
      <c r="T797" s="108">
        <f t="shared" si="846"/>
        <v>3745.7177212287811</v>
      </c>
      <c r="U797" s="108">
        <f t="shared" si="847"/>
        <v>2529.5030087780492</v>
      </c>
      <c r="V797" s="108"/>
      <c r="W797" s="108"/>
      <c r="X797" s="109"/>
      <c r="Y797" s="99">
        <f t="shared" si="8"/>
        <v>12550.441460013661</v>
      </c>
      <c r="Z797" s="108">
        <f t="shared" ref="Z797:AA797" si="982">T797*$D$58/100</f>
        <v>7491.4354424575622</v>
      </c>
      <c r="AA797" s="108">
        <f t="shared" si="982"/>
        <v>5059.0060175560984</v>
      </c>
      <c r="AB797" s="108"/>
      <c r="AC797" s="108"/>
      <c r="AD797" s="109"/>
      <c r="AE797" s="99">
        <f t="shared" si="931"/>
        <v>8.2017933699712149</v>
      </c>
      <c r="AF797" s="101">
        <f t="shared" si="849"/>
        <v>36</v>
      </c>
      <c r="AG797" s="101">
        <f t="shared" si="850"/>
        <v>19.001300000000001</v>
      </c>
      <c r="AH797" s="101">
        <f t="shared" si="851"/>
        <v>363</v>
      </c>
      <c r="AI797" s="101">
        <f t="shared" si="852"/>
        <v>200</v>
      </c>
      <c r="AJ797" s="112">
        <f t="shared" si="853"/>
        <v>1.7777777777777777</v>
      </c>
      <c r="AK797" s="101">
        <f t="shared" si="461"/>
        <v>5229.3506083390257</v>
      </c>
      <c r="AL797" s="101">
        <f t="shared" si="854"/>
        <v>3121.4314343573178</v>
      </c>
      <c r="AM797" s="101">
        <f t="shared" si="855"/>
        <v>2107.9191739817079</v>
      </c>
      <c r="AN797" s="101"/>
      <c r="AO797" s="1">
        <v>24</v>
      </c>
      <c r="AP797" s="2">
        <v>36</v>
      </c>
      <c r="AQ797" s="74">
        <f t="shared" si="856"/>
        <v>363</v>
      </c>
      <c r="AR797" s="31">
        <f t="shared" si="857"/>
        <v>0</v>
      </c>
      <c r="AS797" s="2">
        <f t="shared" si="858"/>
        <v>0.8</v>
      </c>
      <c r="AT797" s="33">
        <f t="shared" si="859"/>
        <v>1</v>
      </c>
      <c r="AU797" s="31">
        <f t="shared" si="860"/>
        <v>0</v>
      </c>
      <c r="AV797" s="2">
        <f t="shared" si="861"/>
        <v>0</v>
      </c>
      <c r="AW797" s="33">
        <f t="shared" si="862"/>
        <v>5</v>
      </c>
      <c r="AX797" s="31">
        <f t="shared" si="863"/>
        <v>1</v>
      </c>
      <c r="AY797" s="33">
        <f t="shared" si="864"/>
        <v>1</v>
      </c>
      <c r="AZ797" s="2"/>
      <c r="BA797" s="101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</row>
    <row r="798" spans="1:71" ht="12" customHeight="1">
      <c r="A798" s="2"/>
      <c r="B798" s="107">
        <v>723</v>
      </c>
      <c r="C798" s="31">
        <v>7</v>
      </c>
      <c r="D798" s="111" t="s">
        <v>18</v>
      </c>
      <c r="E798" s="2" t="s">
        <v>179</v>
      </c>
      <c r="F798" s="2" t="s">
        <v>149</v>
      </c>
      <c r="G798" s="2"/>
      <c r="H798" s="33" t="s">
        <v>80</v>
      </c>
      <c r="I798" s="99">
        <f t="shared" si="0"/>
        <v>552.93747721341492</v>
      </c>
      <c r="J798" s="101">
        <f t="shared" si="1"/>
        <v>19.637781784066725</v>
      </c>
      <c r="K798" s="101">
        <f t="shared" si="2"/>
        <v>532</v>
      </c>
      <c r="L798" s="74">
        <f t="shared" si="535"/>
        <v>299</v>
      </c>
      <c r="M798" s="99">
        <f t="shared" si="191"/>
        <v>10220.925481070497</v>
      </c>
      <c r="N798" s="108">
        <f t="shared" si="690"/>
        <v>6704.883415329894</v>
      </c>
      <c r="O798" s="108">
        <f t="shared" si="845"/>
        <v>3516.0420657406025</v>
      </c>
      <c r="P798" s="108"/>
      <c r="Q798" s="108"/>
      <c r="R798" s="109"/>
      <c r="S798" s="99">
        <f t="shared" si="694"/>
        <v>6275.2207300068303</v>
      </c>
      <c r="T798" s="108">
        <f t="shared" si="846"/>
        <v>3745.7177212287811</v>
      </c>
      <c r="U798" s="108">
        <f t="shared" si="847"/>
        <v>2529.5030087780492</v>
      </c>
      <c r="V798" s="108"/>
      <c r="W798" s="108"/>
      <c r="X798" s="109"/>
      <c r="Y798" s="99">
        <f t="shared" si="8"/>
        <v>12550.441460013661</v>
      </c>
      <c r="Z798" s="108">
        <f t="shared" ref="Z798:AA798" si="983">T798*$D$58/100</f>
        <v>7491.4354424575622</v>
      </c>
      <c r="AA798" s="108">
        <f t="shared" si="983"/>
        <v>5059.0060175560984</v>
      </c>
      <c r="AB798" s="108"/>
      <c r="AC798" s="108"/>
      <c r="AD798" s="109"/>
      <c r="AE798" s="99">
        <f t="shared" si="931"/>
        <v>18.484776131615998</v>
      </c>
      <c r="AF798" s="101">
        <f t="shared" si="849"/>
        <v>36</v>
      </c>
      <c r="AG798" s="101">
        <f t="shared" si="850"/>
        <v>59.001300000000001</v>
      </c>
      <c r="AH798" s="101">
        <f t="shared" si="851"/>
        <v>363</v>
      </c>
      <c r="AI798" s="101">
        <f t="shared" si="852"/>
        <v>200</v>
      </c>
      <c r="AJ798" s="112">
        <f t="shared" si="853"/>
        <v>2.2222222222222223</v>
      </c>
      <c r="AK798" s="101">
        <f t="shared" si="461"/>
        <v>5229.3506083390257</v>
      </c>
      <c r="AL798" s="101">
        <f t="shared" si="854"/>
        <v>3121.4314343573178</v>
      </c>
      <c r="AM798" s="101">
        <f t="shared" si="855"/>
        <v>2107.9191739817079</v>
      </c>
      <c r="AN798" s="101"/>
      <c r="AO798" s="1">
        <v>24</v>
      </c>
      <c r="AP798" s="2">
        <v>36</v>
      </c>
      <c r="AQ798" s="74">
        <f t="shared" si="856"/>
        <v>363</v>
      </c>
      <c r="AR798" s="31">
        <f t="shared" si="857"/>
        <v>0</v>
      </c>
      <c r="AS798" s="2">
        <f t="shared" si="858"/>
        <v>1</v>
      </c>
      <c r="AT798" s="33">
        <f t="shared" si="859"/>
        <v>1.2</v>
      </c>
      <c r="AU798" s="31">
        <f t="shared" si="860"/>
        <v>40</v>
      </c>
      <c r="AV798" s="2">
        <f t="shared" si="861"/>
        <v>0</v>
      </c>
      <c r="AW798" s="33" t="str">
        <f t="shared" si="862"/>
        <v>보스대상</v>
      </c>
      <c r="AX798" s="31">
        <f t="shared" si="863"/>
        <v>1</v>
      </c>
      <c r="AY798" s="33">
        <f t="shared" si="864"/>
        <v>1</v>
      </c>
      <c r="AZ798" s="2"/>
      <c r="BA798" s="101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</row>
    <row r="799" spans="1:71" ht="12" customHeight="1">
      <c r="A799" s="2"/>
      <c r="B799" s="107">
        <v>724</v>
      </c>
      <c r="C799" s="31">
        <v>7</v>
      </c>
      <c r="D799" s="111" t="s">
        <v>18</v>
      </c>
      <c r="E799" s="2" t="s">
        <v>117</v>
      </c>
      <c r="F799" s="2" t="s">
        <v>149</v>
      </c>
      <c r="G799" s="2"/>
      <c r="H799" s="33" t="s">
        <v>80</v>
      </c>
      <c r="I799" s="99">
        <f t="shared" si="0"/>
        <v>849.38811240391044</v>
      </c>
      <c r="J799" s="101">
        <f t="shared" si="1"/>
        <v>19.637781784066725</v>
      </c>
      <c r="K799" s="101">
        <f t="shared" si="2"/>
        <v>243</v>
      </c>
      <c r="L799" s="74">
        <f t="shared" si="535"/>
        <v>170</v>
      </c>
      <c r="M799" s="99">
        <f t="shared" si="191"/>
        <v>15700.74910664217</v>
      </c>
      <c r="N799" s="108">
        <f t="shared" si="690"/>
        <v>9371.8733883090863</v>
      </c>
      <c r="O799" s="108">
        <f t="shared" si="845"/>
        <v>6328.8757183330836</v>
      </c>
      <c r="P799" s="108"/>
      <c r="Q799" s="108"/>
      <c r="R799" s="109"/>
      <c r="S799" s="99">
        <f t="shared" si="694"/>
        <v>11295.397314012294</v>
      </c>
      <c r="T799" s="108">
        <f t="shared" si="846"/>
        <v>6742.2918982118053</v>
      </c>
      <c r="U799" s="108">
        <f t="shared" si="847"/>
        <v>4553.1054158004881</v>
      </c>
      <c r="V799" s="108"/>
      <c r="W799" s="108"/>
      <c r="X799" s="109"/>
      <c r="Y799" s="99">
        <f t="shared" si="8"/>
        <v>22590.794628024589</v>
      </c>
      <c r="Z799" s="108">
        <f t="shared" ref="Z799:AA799" si="984">T799*$D$58/100</f>
        <v>13484.583796423611</v>
      </c>
      <c r="AA799" s="108">
        <f t="shared" si="984"/>
        <v>9106.2108316009762</v>
      </c>
      <c r="AB799" s="108"/>
      <c r="AC799" s="108"/>
      <c r="AD799" s="109"/>
      <c r="AE799" s="99">
        <f t="shared" si="931"/>
        <v>18.484776131615998</v>
      </c>
      <c r="AF799" s="101">
        <f t="shared" si="849"/>
        <v>36</v>
      </c>
      <c r="AG799" s="101">
        <f t="shared" si="850"/>
        <v>19.001300000000001</v>
      </c>
      <c r="AH799" s="101">
        <f t="shared" si="851"/>
        <v>363</v>
      </c>
      <c r="AI799" s="101">
        <f t="shared" si="852"/>
        <v>200</v>
      </c>
      <c r="AJ799" s="112">
        <f t="shared" si="853"/>
        <v>2.2222222222222223</v>
      </c>
      <c r="AK799" s="101">
        <f t="shared" si="461"/>
        <v>7844.0259125085377</v>
      </c>
      <c r="AL799" s="101">
        <f t="shared" si="854"/>
        <v>4682.1471515359763</v>
      </c>
      <c r="AM799" s="101">
        <f t="shared" si="855"/>
        <v>3161.8787609725614</v>
      </c>
      <c r="AN799" s="101"/>
      <c r="AO799" s="1">
        <v>24</v>
      </c>
      <c r="AP799" s="2">
        <v>36</v>
      </c>
      <c r="AQ799" s="74">
        <f t="shared" si="856"/>
        <v>363</v>
      </c>
      <c r="AR799" s="31">
        <f t="shared" si="857"/>
        <v>0</v>
      </c>
      <c r="AS799" s="2">
        <f t="shared" si="858"/>
        <v>1</v>
      </c>
      <c r="AT799" s="33">
        <f t="shared" si="859"/>
        <v>1.2</v>
      </c>
      <c r="AU799" s="31">
        <f t="shared" si="860"/>
        <v>0</v>
      </c>
      <c r="AV799" s="2">
        <f t="shared" si="861"/>
        <v>1</v>
      </c>
      <c r="AW799" s="33" t="str">
        <f t="shared" si="862"/>
        <v>보스대상</v>
      </c>
      <c r="AX799" s="31">
        <f t="shared" si="863"/>
        <v>1</v>
      </c>
      <c r="AY799" s="33">
        <f t="shared" si="864"/>
        <v>1</v>
      </c>
      <c r="AZ799" s="2"/>
      <c r="BA799" s="101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</row>
    <row r="800" spans="1:71" ht="12" customHeight="1">
      <c r="A800" s="2"/>
      <c r="B800" s="107">
        <v>725</v>
      </c>
      <c r="C800" s="31">
        <v>7</v>
      </c>
      <c r="D800" s="111" t="s">
        <v>18</v>
      </c>
      <c r="E800" s="2" t="s">
        <v>134</v>
      </c>
      <c r="F800" s="2" t="s">
        <v>149</v>
      </c>
      <c r="G800" s="2" t="s">
        <v>186</v>
      </c>
      <c r="H800" s="33" t="s">
        <v>80</v>
      </c>
      <c r="I800" s="99">
        <f t="shared" si="0"/>
        <v>1063.5037971713248</v>
      </c>
      <c r="J800" s="101">
        <f t="shared" si="1"/>
        <v>44.258613162461806</v>
      </c>
      <c r="K800" s="101">
        <f t="shared" si="2"/>
        <v>134</v>
      </c>
      <c r="L800" s="74">
        <f t="shared" si="535"/>
        <v>109</v>
      </c>
      <c r="M800" s="99">
        <f t="shared" si="191"/>
        <v>8722.6383925789833</v>
      </c>
      <c r="N800" s="108">
        <f t="shared" si="690"/>
        <v>5206.5963268383812</v>
      </c>
      <c r="O800" s="108">
        <f t="shared" si="845"/>
        <v>3516.0420657406025</v>
      </c>
      <c r="P800" s="108"/>
      <c r="Q800" s="108"/>
      <c r="R800" s="109"/>
      <c r="S800" s="99">
        <f t="shared" si="694"/>
        <v>6275.2207300068303</v>
      </c>
      <c r="T800" s="108">
        <f t="shared" si="846"/>
        <v>3745.7177212287811</v>
      </c>
      <c r="U800" s="108">
        <f t="shared" si="847"/>
        <v>2529.5030087780492</v>
      </c>
      <c r="V800" s="108"/>
      <c r="W800" s="108"/>
      <c r="X800" s="109"/>
      <c r="Y800" s="99">
        <f t="shared" si="8"/>
        <v>12550.441460013661</v>
      </c>
      <c r="Z800" s="108">
        <f t="shared" ref="Z800:AA800" si="985">T800*$D$58/100</f>
        <v>7491.4354424575622</v>
      </c>
      <c r="AA800" s="108">
        <f t="shared" si="985"/>
        <v>5059.0060175560984</v>
      </c>
      <c r="AB800" s="108"/>
      <c r="AC800" s="108"/>
      <c r="AD800" s="109"/>
      <c r="AE800" s="99">
        <f t="shared" si="931"/>
        <v>8.2017933699712149</v>
      </c>
      <c r="AF800" s="101">
        <f t="shared" si="849"/>
        <v>36</v>
      </c>
      <c r="AG800" s="101">
        <f t="shared" si="850"/>
        <v>19.001300000000001</v>
      </c>
      <c r="AH800" s="101">
        <f t="shared" si="851"/>
        <v>363</v>
      </c>
      <c r="AI800" s="101">
        <f t="shared" si="852"/>
        <v>200</v>
      </c>
      <c r="AJ800" s="112">
        <f t="shared" si="853"/>
        <v>2.2222222222222223</v>
      </c>
      <c r="AK800" s="101">
        <f t="shared" si="461"/>
        <v>5229.3506083390257</v>
      </c>
      <c r="AL800" s="101">
        <f t="shared" si="854"/>
        <v>3121.4314343573178</v>
      </c>
      <c r="AM800" s="101">
        <f t="shared" si="855"/>
        <v>2107.9191739817079</v>
      </c>
      <c r="AN800" s="101"/>
      <c r="AO800" s="1">
        <v>24</v>
      </c>
      <c r="AP800" s="2">
        <v>36</v>
      </c>
      <c r="AQ800" s="74">
        <f t="shared" si="856"/>
        <v>363</v>
      </c>
      <c r="AR800" s="31">
        <f t="shared" si="857"/>
        <v>0</v>
      </c>
      <c r="AS800" s="2">
        <f t="shared" si="858"/>
        <v>1</v>
      </c>
      <c r="AT800" s="33">
        <f t="shared" si="859"/>
        <v>1.2</v>
      </c>
      <c r="AU800" s="31">
        <f t="shared" si="860"/>
        <v>0</v>
      </c>
      <c r="AV800" s="2">
        <f t="shared" si="861"/>
        <v>0</v>
      </c>
      <c r="AW800" s="33">
        <f t="shared" si="862"/>
        <v>5</v>
      </c>
      <c r="AX800" s="31">
        <f t="shared" si="863"/>
        <v>1</v>
      </c>
      <c r="AY800" s="33">
        <f t="shared" si="864"/>
        <v>1</v>
      </c>
      <c r="AZ800" s="2"/>
      <c r="BA800" s="101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</row>
    <row r="801" spans="1:71" ht="12" customHeight="1">
      <c r="A801" s="2"/>
      <c r="B801" s="107">
        <v>726</v>
      </c>
      <c r="C801" s="31">
        <v>4</v>
      </c>
      <c r="D801" s="111" t="s">
        <v>18</v>
      </c>
      <c r="E801" s="2" t="s">
        <v>148</v>
      </c>
      <c r="F801" s="2" t="s">
        <v>149</v>
      </c>
      <c r="G801" s="2"/>
      <c r="H801" s="33" t="s">
        <v>80</v>
      </c>
      <c r="I801" s="99">
        <f t="shared" si="0"/>
        <v>557.7909762293807</v>
      </c>
      <c r="J801" s="101">
        <f t="shared" si="1"/>
        <v>13.738562349309744</v>
      </c>
      <c r="K801" s="101">
        <f t="shared" si="2"/>
        <v>519</v>
      </c>
      <c r="L801" s="74">
        <f t="shared" si="535"/>
        <v>293</v>
      </c>
      <c r="M801" s="99">
        <f t="shared" si="191"/>
        <v>8079.4774189181198</v>
      </c>
      <c r="N801" s="108">
        <f t="shared" si="690"/>
        <v>4822.5810675930497</v>
      </c>
      <c r="O801" s="108">
        <f t="shared" si="845"/>
        <v>3256.8963513250701</v>
      </c>
      <c r="P801" s="108"/>
      <c r="Q801" s="108"/>
      <c r="R801" s="109"/>
      <c r="S801" s="99">
        <f t="shared" si="694"/>
        <v>5812.5193209834151</v>
      </c>
      <c r="T801" s="108">
        <f t="shared" si="846"/>
        <v>3469.4503343443907</v>
      </c>
      <c r="U801" s="108">
        <f t="shared" si="847"/>
        <v>2343.0689866390244</v>
      </c>
      <c r="V801" s="108"/>
      <c r="W801" s="108"/>
      <c r="X801" s="109"/>
      <c r="Y801" s="99">
        <f t="shared" si="8"/>
        <v>11625.038641966832</v>
      </c>
      <c r="Z801" s="108">
        <f t="shared" ref="Z801:AA801" si="986">T801*$D$58/100</f>
        <v>6938.9006686887824</v>
      </c>
      <c r="AA801" s="108">
        <f t="shared" si="986"/>
        <v>4686.1379732780488</v>
      </c>
      <c r="AB801" s="108"/>
      <c r="AC801" s="108"/>
      <c r="AD801" s="109"/>
      <c r="AE801" s="99">
        <f t="shared" si="931"/>
        <v>14.484776131615998</v>
      </c>
      <c r="AF801" s="101">
        <f t="shared" si="849"/>
        <v>36</v>
      </c>
      <c r="AG801" s="101">
        <f t="shared" si="850"/>
        <v>19.001300000000001</v>
      </c>
      <c r="AH801" s="101">
        <f t="shared" si="851"/>
        <v>199</v>
      </c>
      <c r="AI801" s="101">
        <f t="shared" si="852"/>
        <v>200</v>
      </c>
      <c r="AJ801" s="112">
        <f t="shared" si="853"/>
        <v>2.2222222222222223</v>
      </c>
      <c r="AK801" s="101">
        <f t="shared" si="461"/>
        <v>4843.7661008195128</v>
      </c>
      <c r="AL801" s="101">
        <f t="shared" si="854"/>
        <v>2891.2086119536589</v>
      </c>
      <c r="AM801" s="101">
        <f t="shared" si="855"/>
        <v>1952.5574888658539</v>
      </c>
      <c r="AN801" s="101"/>
      <c r="AO801" s="1">
        <v>24</v>
      </c>
      <c r="AP801" s="2">
        <v>36</v>
      </c>
      <c r="AQ801" s="74">
        <f t="shared" si="856"/>
        <v>199</v>
      </c>
      <c r="AR801" s="31">
        <f t="shared" si="857"/>
        <v>4</v>
      </c>
      <c r="AS801" s="2">
        <f t="shared" si="858"/>
        <v>1</v>
      </c>
      <c r="AT801" s="33">
        <f t="shared" si="859"/>
        <v>1</v>
      </c>
      <c r="AU801" s="31">
        <f t="shared" si="860"/>
        <v>0</v>
      </c>
      <c r="AV801" s="2">
        <f t="shared" si="861"/>
        <v>0</v>
      </c>
      <c r="AW801" s="33" t="str">
        <f t="shared" si="862"/>
        <v>보스대상</v>
      </c>
      <c r="AX801" s="31">
        <f t="shared" si="863"/>
        <v>1</v>
      </c>
      <c r="AY801" s="33">
        <f t="shared" si="864"/>
        <v>1</v>
      </c>
      <c r="AZ801" s="2"/>
      <c r="BA801" s="101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</row>
    <row r="802" spans="1:71" ht="12" customHeight="1">
      <c r="A802" s="2"/>
      <c r="B802" s="107">
        <v>727</v>
      </c>
      <c r="C802" s="31">
        <v>4</v>
      </c>
      <c r="D802" s="111" t="s">
        <v>18</v>
      </c>
      <c r="E802" s="2" t="s">
        <v>79</v>
      </c>
      <c r="F802" s="2" t="s">
        <v>149</v>
      </c>
      <c r="G802" s="2"/>
      <c r="H802" s="33" t="s">
        <v>80</v>
      </c>
      <c r="I802" s="99">
        <f t="shared" si="0"/>
        <v>437.08819416531315</v>
      </c>
      <c r="J802" s="101">
        <f t="shared" si="1"/>
        <v>10.765615909171565</v>
      </c>
      <c r="K802" s="101">
        <f t="shared" si="2"/>
        <v>691</v>
      </c>
      <c r="L802" s="74">
        <f t="shared" si="535"/>
        <v>362</v>
      </c>
      <c r="M802" s="99">
        <f t="shared" si="191"/>
        <v>8079.4774189181198</v>
      </c>
      <c r="N802" s="108">
        <f t="shared" si="690"/>
        <v>4822.5810675930497</v>
      </c>
      <c r="O802" s="108">
        <f t="shared" si="845"/>
        <v>3256.8963513250701</v>
      </c>
      <c r="P802" s="108"/>
      <c r="Q802" s="108"/>
      <c r="R802" s="109"/>
      <c r="S802" s="99">
        <f t="shared" si="694"/>
        <v>5812.5193209834151</v>
      </c>
      <c r="T802" s="108">
        <f t="shared" si="846"/>
        <v>3469.4503343443907</v>
      </c>
      <c r="U802" s="108">
        <f t="shared" si="847"/>
        <v>2343.0689866390244</v>
      </c>
      <c r="V802" s="108"/>
      <c r="W802" s="108"/>
      <c r="X802" s="109"/>
      <c r="Y802" s="99">
        <f t="shared" si="8"/>
        <v>11625.038641966832</v>
      </c>
      <c r="Z802" s="108">
        <f t="shared" ref="Z802:AA802" si="987">T802*$D$58/100</f>
        <v>6938.9006686887824</v>
      </c>
      <c r="AA802" s="108">
        <f t="shared" si="987"/>
        <v>4686.1379732780488</v>
      </c>
      <c r="AB802" s="108"/>
      <c r="AC802" s="108"/>
      <c r="AD802" s="109"/>
      <c r="AE802" s="99">
        <f t="shared" si="931"/>
        <v>18.484776131615998</v>
      </c>
      <c r="AF802" s="101">
        <f t="shared" si="849"/>
        <v>36</v>
      </c>
      <c r="AG802" s="101">
        <f t="shared" si="850"/>
        <v>19.001300000000001</v>
      </c>
      <c r="AH802" s="101">
        <f t="shared" si="851"/>
        <v>199</v>
      </c>
      <c r="AI802" s="101">
        <f t="shared" si="852"/>
        <v>200</v>
      </c>
      <c r="AJ802" s="112">
        <f t="shared" si="853"/>
        <v>1.7777777777777777</v>
      </c>
      <c r="AK802" s="101">
        <f t="shared" si="461"/>
        <v>4843.7661008195128</v>
      </c>
      <c r="AL802" s="101">
        <f t="shared" si="854"/>
        <v>2891.2086119536589</v>
      </c>
      <c r="AM802" s="101">
        <f t="shared" si="855"/>
        <v>1952.5574888658539</v>
      </c>
      <c r="AN802" s="101"/>
      <c r="AO802" s="1">
        <v>24</v>
      </c>
      <c r="AP802" s="2">
        <v>36</v>
      </c>
      <c r="AQ802" s="74">
        <f t="shared" si="856"/>
        <v>199</v>
      </c>
      <c r="AR802" s="31">
        <f t="shared" si="857"/>
        <v>0</v>
      </c>
      <c r="AS802" s="2">
        <f t="shared" si="858"/>
        <v>0.8</v>
      </c>
      <c r="AT802" s="33">
        <f t="shared" si="859"/>
        <v>1</v>
      </c>
      <c r="AU802" s="31">
        <f t="shared" si="860"/>
        <v>0</v>
      </c>
      <c r="AV802" s="2">
        <f t="shared" si="861"/>
        <v>0</v>
      </c>
      <c r="AW802" s="33" t="str">
        <f t="shared" si="862"/>
        <v>보스대상</v>
      </c>
      <c r="AX802" s="31">
        <f t="shared" si="863"/>
        <v>1</v>
      </c>
      <c r="AY802" s="33">
        <f t="shared" si="864"/>
        <v>1</v>
      </c>
      <c r="AZ802" s="2"/>
      <c r="BA802" s="101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</row>
    <row r="803" spans="1:71" ht="12" customHeight="1">
      <c r="A803" s="2"/>
      <c r="B803" s="107">
        <v>728</v>
      </c>
      <c r="C803" s="31">
        <v>4</v>
      </c>
      <c r="D803" s="111" t="s">
        <v>18</v>
      </c>
      <c r="E803" s="2" t="s">
        <v>87</v>
      </c>
      <c r="F803" s="2" t="s">
        <v>149</v>
      </c>
      <c r="G803" s="2"/>
      <c r="H803" s="33" t="s">
        <v>80</v>
      </c>
      <c r="I803" s="99">
        <f t="shared" si="0"/>
        <v>437.08819416531315</v>
      </c>
      <c r="J803" s="101">
        <f t="shared" si="1"/>
        <v>10.765615909171565</v>
      </c>
      <c r="K803" s="101">
        <f t="shared" si="2"/>
        <v>691</v>
      </c>
      <c r="L803" s="74">
        <f t="shared" si="535"/>
        <v>362</v>
      </c>
      <c r="M803" s="99">
        <f t="shared" si="191"/>
        <v>8079.4774189181198</v>
      </c>
      <c r="N803" s="108">
        <f t="shared" si="690"/>
        <v>4822.5810675930497</v>
      </c>
      <c r="O803" s="108">
        <f t="shared" si="845"/>
        <v>3256.8963513250701</v>
      </c>
      <c r="P803" s="108"/>
      <c r="Q803" s="108"/>
      <c r="R803" s="109"/>
      <c r="S803" s="99">
        <f t="shared" si="694"/>
        <v>5812.5193209834151</v>
      </c>
      <c r="T803" s="108">
        <f t="shared" si="846"/>
        <v>3469.4503343443907</v>
      </c>
      <c r="U803" s="108">
        <f t="shared" si="847"/>
        <v>2343.0689866390244</v>
      </c>
      <c r="V803" s="108"/>
      <c r="W803" s="108"/>
      <c r="X803" s="109"/>
      <c r="Y803" s="99">
        <f t="shared" si="8"/>
        <v>11625.038641966832</v>
      </c>
      <c r="Z803" s="108">
        <f t="shared" ref="Z803:AA803" si="988">T803*$D$58/100</f>
        <v>6938.9006686887824</v>
      </c>
      <c r="AA803" s="108">
        <f t="shared" si="988"/>
        <v>4686.1379732780488</v>
      </c>
      <c r="AB803" s="108"/>
      <c r="AC803" s="108"/>
      <c r="AD803" s="109"/>
      <c r="AE803" s="99">
        <f t="shared" si="931"/>
        <v>18.484776131615998</v>
      </c>
      <c r="AF803" s="101">
        <f t="shared" si="849"/>
        <v>36</v>
      </c>
      <c r="AG803" s="101">
        <f t="shared" si="850"/>
        <v>19.001300000000001</v>
      </c>
      <c r="AH803" s="101">
        <f t="shared" si="851"/>
        <v>199</v>
      </c>
      <c r="AI803" s="101">
        <f t="shared" si="852"/>
        <v>200</v>
      </c>
      <c r="AJ803" s="112">
        <f t="shared" si="853"/>
        <v>2.2222222222222223</v>
      </c>
      <c r="AK803" s="101">
        <f t="shared" si="461"/>
        <v>4843.7661008195128</v>
      </c>
      <c r="AL803" s="101">
        <f t="shared" si="854"/>
        <v>2891.2086119536589</v>
      </c>
      <c r="AM803" s="101">
        <f t="shared" si="855"/>
        <v>1952.5574888658539</v>
      </c>
      <c r="AN803" s="101"/>
      <c r="AO803" s="1">
        <v>24</v>
      </c>
      <c r="AP803" s="2">
        <v>36</v>
      </c>
      <c r="AQ803" s="74">
        <f t="shared" si="856"/>
        <v>199</v>
      </c>
      <c r="AR803" s="31">
        <f t="shared" si="857"/>
        <v>0</v>
      </c>
      <c r="AS803" s="2">
        <f t="shared" si="858"/>
        <v>1</v>
      </c>
      <c r="AT803" s="33">
        <f t="shared" si="859"/>
        <v>1.2</v>
      </c>
      <c r="AU803" s="31">
        <f t="shared" si="860"/>
        <v>0</v>
      </c>
      <c r="AV803" s="2">
        <f t="shared" si="861"/>
        <v>0</v>
      </c>
      <c r="AW803" s="33" t="str">
        <f t="shared" si="862"/>
        <v>보스대상</v>
      </c>
      <c r="AX803" s="31">
        <f t="shared" si="863"/>
        <v>1</v>
      </c>
      <c r="AY803" s="33">
        <f t="shared" si="864"/>
        <v>1</v>
      </c>
      <c r="AZ803" s="2"/>
      <c r="BA803" s="101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</row>
    <row r="804" spans="1:71" ht="12" customHeight="1">
      <c r="A804" s="2"/>
      <c r="B804" s="107">
        <v>729</v>
      </c>
      <c r="C804" s="31">
        <v>1</v>
      </c>
      <c r="D804" s="111" t="s">
        <v>18</v>
      </c>
      <c r="E804" s="2" t="s">
        <v>67</v>
      </c>
      <c r="F804" s="2" t="s">
        <v>149</v>
      </c>
      <c r="G804" s="1"/>
      <c r="H804" s="33" t="s">
        <v>80</v>
      </c>
      <c r="I804" s="99">
        <f t="shared" si="0"/>
        <v>350.93065824889169</v>
      </c>
      <c r="J804" s="101">
        <f t="shared" si="1"/>
        <v>5.4639558131976278</v>
      </c>
      <c r="K804" s="101">
        <f t="shared" si="2"/>
        <v>779</v>
      </c>
      <c r="L804" s="74">
        <f t="shared" si="535"/>
        <v>391</v>
      </c>
      <c r="M804" s="99">
        <f t="shared" si="191"/>
        <v>6486.8746554514037</v>
      </c>
      <c r="N804" s="108">
        <f t="shared" si="690"/>
        <v>3872.4622392665096</v>
      </c>
      <c r="O804" s="108">
        <f t="shared" si="845"/>
        <v>2614.412416184894</v>
      </c>
      <c r="P804" s="108"/>
      <c r="Q804" s="108"/>
      <c r="R804" s="109"/>
      <c r="S804" s="99">
        <f t="shared" si="694"/>
        <v>4666.7726528107323</v>
      </c>
      <c r="T804" s="108">
        <f t="shared" si="846"/>
        <v>2785.9180016780488</v>
      </c>
      <c r="U804" s="108">
        <f t="shared" si="847"/>
        <v>1880.8546511326831</v>
      </c>
      <c r="V804" s="108"/>
      <c r="W804" s="108"/>
      <c r="X804" s="109"/>
      <c r="Y804" s="99">
        <f t="shared" si="8"/>
        <v>9333.5453056214646</v>
      </c>
      <c r="Z804" s="108">
        <f t="shared" ref="Z804:AA804" si="989">T804*$D$58/100</f>
        <v>5571.8360033560975</v>
      </c>
      <c r="AA804" s="108">
        <f t="shared" si="989"/>
        <v>3761.7093022653662</v>
      </c>
      <c r="AB804" s="108"/>
      <c r="AC804" s="108"/>
      <c r="AD804" s="109"/>
      <c r="AE804" s="99">
        <f t="shared" si="931"/>
        <v>18.484776131615998</v>
      </c>
      <c r="AF804" s="101">
        <f t="shared" si="849"/>
        <v>36</v>
      </c>
      <c r="AG804" s="101">
        <f t="shared" si="850"/>
        <v>19.001300000000001</v>
      </c>
      <c r="AH804" s="101">
        <f t="shared" si="851"/>
        <v>101</v>
      </c>
      <c r="AI804" s="101">
        <f t="shared" si="852"/>
        <v>200</v>
      </c>
      <c r="AJ804" s="112">
        <f t="shared" si="853"/>
        <v>2.2222222222222223</v>
      </c>
      <c r="AK804" s="101">
        <f t="shared" si="461"/>
        <v>3888.97721067561</v>
      </c>
      <c r="AL804" s="101">
        <f t="shared" si="854"/>
        <v>2321.5983347317074</v>
      </c>
      <c r="AM804" s="101">
        <f t="shared" si="855"/>
        <v>1567.3788759439026</v>
      </c>
      <c r="AN804" s="101"/>
      <c r="AO804" s="1">
        <v>24</v>
      </c>
      <c r="AP804" s="2">
        <v>36</v>
      </c>
      <c r="AQ804" s="74">
        <f t="shared" si="856"/>
        <v>101</v>
      </c>
      <c r="AR804" s="31">
        <f t="shared" si="857"/>
        <v>0</v>
      </c>
      <c r="AS804" s="2">
        <f t="shared" si="858"/>
        <v>1</v>
      </c>
      <c r="AT804" s="33">
        <f t="shared" si="859"/>
        <v>1</v>
      </c>
      <c r="AU804" s="31">
        <f t="shared" si="860"/>
        <v>0</v>
      </c>
      <c r="AV804" s="2">
        <f t="shared" si="861"/>
        <v>0</v>
      </c>
      <c r="AW804" s="33" t="str">
        <f t="shared" si="862"/>
        <v>보스대상</v>
      </c>
      <c r="AX804" s="31">
        <f t="shared" si="863"/>
        <v>1</v>
      </c>
      <c r="AY804" s="33">
        <f t="shared" si="864"/>
        <v>1</v>
      </c>
      <c r="AZ804" s="2"/>
      <c r="BA804" s="101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</row>
    <row r="805" spans="1:71" ht="12" customHeight="1">
      <c r="A805" s="2"/>
      <c r="B805" s="107">
        <v>730</v>
      </c>
      <c r="C805" s="31">
        <v>10</v>
      </c>
      <c r="D805" s="111" t="s">
        <v>21</v>
      </c>
      <c r="E805" s="2" t="s">
        <v>144</v>
      </c>
      <c r="F805" s="2"/>
      <c r="G805" s="2"/>
      <c r="H805" s="33"/>
      <c r="I805" s="99">
        <f t="shared" si="0"/>
        <v>596.0250701654943</v>
      </c>
      <c r="J805" s="101">
        <f t="shared" si="1"/>
        <v>23.695174714659018</v>
      </c>
      <c r="K805" s="101">
        <f t="shared" si="2"/>
        <v>477</v>
      </c>
      <c r="L805" s="74">
        <f t="shared" si="535"/>
        <v>277</v>
      </c>
      <c r="M805" s="99">
        <f t="shared" si="191"/>
        <v>16526.084986259822</v>
      </c>
      <c r="N805" s="108">
        <f t="shared" si="690"/>
        <v>16526.084986259822</v>
      </c>
      <c r="O805" s="108"/>
      <c r="P805" s="108"/>
      <c r="Q805" s="108"/>
      <c r="R805" s="109">
        <f t="shared" ref="R805:R866" si="990">X805*(1+(AG805/100)*(AI805/100-1))</f>
        <v>0</v>
      </c>
      <c r="S805" s="99">
        <f t="shared" si="694"/>
        <v>13887.314664848051</v>
      </c>
      <c r="T805" s="108">
        <f t="shared" ref="T805:T866" si="991">AL805*AW805*AX805*AY805*IF(F805="백어택",1.2,1)</f>
        <v>13887.314664848051</v>
      </c>
      <c r="U805" s="108"/>
      <c r="V805" s="108"/>
      <c r="W805" s="108"/>
      <c r="X805" s="109">
        <f t="shared" ref="X805:X866" si="992">AL805*AS805+IF(AX805=1,AL805*AU805,AL805*AU805*2)</f>
        <v>0</v>
      </c>
      <c r="Y805" s="99">
        <f t="shared" si="8"/>
        <v>27774.629329696101</v>
      </c>
      <c r="Z805" s="108">
        <f t="shared" ref="Z805:Z910" si="993">T805*$D$58/100</f>
        <v>27774.629329696101</v>
      </c>
      <c r="AA805" s="108"/>
      <c r="AB805" s="108"/>
      <c r="AC805" s="108"/>
      <c r="AD805" s="109">
        <f t="shared" ref="AD805:AD910" si="994">X805*$D$58/100</f>
        <v>0</v>
      </c>
      <c r="AE805" s="99">
        <f>AO805*(1-$D$20/100)*(1-$D$17/100)-AR805</f>
        <v>27.727164197424003</v>
      </c>
      <c r="AF805" s="101">
        <f t="shared" si="849"/>
        <v>36</v>
      </c>
      <c r="AG805" s="101">
        <f t="shared" ref="AG805:AG866" si="995">IF($D$57&gt;100,100,$D$57)</f>
        <v>19.001300000000001</v>
      </c>
      <c r="AH805" s="101">
        <f t="shared" si="851"/>
        <v>657</v>
      </c>
      <c r="AI805" s="101">
        <f t="shared" si="852"/>
        <v>200</v>
      </c>
      <c r="AJ805" s="108">
        <f t="shared" ref="AJ805:AJ866" si="996">10/6</f>
        <v>1.6666666666666667</v>
      </c>
      <c r="AK805" s="101">
        <f t="shared" si="461"/>
        <v>9919.5104748914655</v>
      </c>
      <c r="AL805" s="101">
        <f t="shared" ref="AL805:AL866" si="997">(VLOOKUP(C805,$B$36:$AG$39,31,FALSE)+VLOOKUP(C805,$B$40:$AG$43,31,FALSE)*$D$54)*$D$59/100</f>
        <v>9919.5104748914655</v>
      </c>
      <c r="AM805" s="101"/>
      <c r="AN805" s="101"/>
      <c r="AO805" s="1">
        <v>36</v>
      </c>
      <c r="AP805" s="2">
        <v>36</v>
      </c>
      <c r="AQ805" s="74">
        <f t="shared" ref="AQ805:AQ866" si="998">VLOOKUP(C805,$B$45:$AG$48,31,FALSE)</f>
        <v>657</v>
      </c>
      <c r="AR805" s="31">
        <f t="shared" ref="AR805:AR866" si="999">IF(LEFT(E805,1)*1=1,$S$71,$R$71)</f>
        <v>0</v>
      </c>
      <c r="AS805" s="2">
        <f t="shared" ref="AS805:AS866" si="1000">IF(LEFT(E805,1)*1=2,$U$71,$T$71)</f>
        <v>0</v>
      </c>
      <c r="AT805" s="33">
        <f t="shared" ref="AT805:AT866" si="1001">IF(LEFT(E805,1)*1=3,$W$71,$V$71)</f>
        <v>0</v>
      </c>
      <c r="AU805" s="31">
        <f t="shared" ref="AU805:AU866" si="1002">IF(MID(E805,3,1)*1=1,$Y$71,$X$71)</f>
        <v>0</v>
      </c>
      <c r="AV805" s="2">
        <f t="shared" ref="AV805:AV866" si="1003">IF(MID(E805,3,1)*1=2,$AA$71,$Z$71)</f>
        <v>0</v>
      </c>
      <c r="AW805" s="33">
        <f t="shared" ref="AW805:AW866" si="1004">IF(MID(E805,3,1)*1=3,$AC$71,$AB$71)</f>
        <v>1</v>
      </c>
      <c r="AX805" s="31">
        <f t="shared" ref="AX805:AX866" si="1005">IF(MID(E805,5,1)*1=1,$AE$71,$AD$71)</f>
        <v>1.4</v>
      </c>
      <c r="AY805" s="33">
        <f t="shared" ref="AY805:AY866" si="1006">IF(MID(E805,5,1)*1=2,$AG$71,$AF$71)</f>
        <v>1</v>
      </c>
      <c r="AZ805" s="2"/>
      <c r="BA805" s="101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</row>
    <row r="806" spans="1:71" ht="12" customHeight="1">
      <c r="A806" s="2"/>
      <c r="B806" s="107">
        <v>731</v>
      </c>
      <c r="C806" s="31">
        <v>10</v>
      </c>
      <c r="D806" s="111" t="s">
        <v>21</v>
      </c>
      <c r="E806" s="2" t="s">
        <v>138</v>
      </c>
      <c r="F806" s="2"/>
      <c r="G806" s="2"/>
      <c r="H806" s="33"/>
      <c r="I806" s="99">
        <f t="shared" si="0"/>
        <v>851.46438595070617</v>
      </c>
      <c r="J806" s="101">
        <f t="shared" si="1"/>
        <v>23.695174714659018</v>
      </c>
      <c r="K806" s="101">
        <f t="shared" si="2"/>
        <v>242</v>
      </c>
      <c r="L806" s="74">
        <f t="shared" si="535"/>
        <v>169</v>
      </c>
      <c r="M806" s="99">
        <f t="shared" si="191"/>
        <v>23608.692837514034</v>
      </c>
      <c r="N806" s="108">
        <f t="shared" si="690"/>
        <v>16526.084986259822</v>
      </c>
      <c r="O806" s="108"/>
      <c r="P806" s="108"/>
      <c r="Q806" s="108"/>
      <c r="R806" s="109">
        <f t="shared" si="990"/>
        <v>7082.6078512542108</v>
      </c>
      <c r="S806" s="99">
        <f t="shared" si="694"/>
        <v>19839.020949782931</v>
      </c>
      <c r="T806" s="108">
        <f t="shared" si="991"/>
        <v>13887.314664848051</v>
      </c>
      <c r="U806" s="108"/>
      <c r="V806" s="108"/>
      <c r="W806" s="108"/>
      <c r="X806" s="109">
        <f t="shared" si="992"/>
        <v>5951.7062849348795</v>
      </c>
      <c r="Y806" s="99">
        <f t="shared" si="8"/>
        <v>39678.041899565862</v>
      </c>
      <c r="Z806" s="108">
        <f t="shared" si="993"/>
        <v>27774.629329696101</v>
      </c>
      <c r="AA806" s="108"/>
      <c r="AB806" s="108"/>
      <c r="AC806" s="108"/>
      <c r="AD806" s="109">
        <f t="shared" si="994"/>
        <v>11903.412569869759</v>
      </c>
      <c r="AE806" s="99">
        <f t="shared" ref="AE806:AE866" si="1007">AO806*(1-$D$20/100)*(1-$D$17/100)-AR806</f>
        <v>27.727164197424003</v>
      </c>
      <c r="AF806" s="101">
        <f t="shared" si="849"/>
        <v>36</v>
      </c>
      <c r="AG806" s="101">
        <f t="shared" si="995"/>
        <v>19.001300000000001</v>
      </c>
      <c r="AH806" s="101">
        <f t="shared" si="851"/>
        <v>657</v>
      </c>
      <c r="AI806" s="101">
        <f t="shared" si="852"/>
        <v>200</v>
      </c>
      <c r="AJ806" s="108">
        <f t="shared" si="996"/>
        <v>1.6666666666666667</v>
      </c>
      <c r="AK806" s="101">
        <f t="shared" si="461"/>
        <v>9919.5104748914655</v>
      </c>
      <c r="AL806" s="101">
        <f t="shared" si="997"/>
        <v>9919.5104748914655</v>
      </c>
      <c r="AM806" s="101"/>
      <c r="AN806" s="101"/>
      <c r="AO806" s="1">
        <v>36</v>
      </c>
      <c r="AP806" s="2">
        <v>36</v>
      </c>
      <c r="AQ806" s="74">
        <f t="shared" si="998"/>
        <v>657</v>
      </c>
      <c r="AR806" s="31">
        <f t="shared" si="999"/>
        <v>0</v>
      </c>
      <c r="AS806" s="2">
        <f t="shared" si="1000"/>
        <v>0</v>
      </c>
      <c r="AT806" s="33">
        <f t="shared" si="1001"/>
        <v>0</v>
      </c>
      <c r="AU806" s="31">
        <f t="shared" si="1002"/>
        <v>0.3</v>
      </c>
      <c r="AV806" s="2">
        <f t="shared" si="1003"/>
        <v>0</v>
      </c>
      <c r="AW806" s="33">
        <f t="shared" si="1004"/>
        <v>1</v>
      </c>
      <c r="AX806" s="31">
        <f t="shared" si="1005"/>
        <v>1.4</v>
      </c>
      <c r="AY806" s="33">
        <f t="shared" si="1006"/>
        <v>1</v>
      </c>
      <c r="AZ806" s="2"/>
      <c r="BA806" s="101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</row>
    <row r="807" spans="1:71" ht="12" customHeight="1">
      <c r="A807" s="2"/>
      <c r="B807" s="107">
        <v>732</v>
      </c>
      <c r="C807" s="31">
        <v>10</v>
      </c>
      <c r="D807" s="111" t="s">
        <v>21</v>
      </c>
      <c r="E807" s="2" t="s">
        <v>141</v>
      </c>
      <c r="F807" s="2"/>
      <c r="G807" s="2" t="s">
        <v>177</v>
      </c>
      <c r="H807" s="33"/>
      <c r="I807" s="99">
        <f t="shared" si="0"/>
        <v>894.03760524824133</v>
      </c>
      <c r="J807" s="101">
        <f t="shared" si="1"/>
        <v>23.695174714659018</v>
      </c>
      <c r="K807" s="101">
        <f t="shared" si="2"/>
        <v>209</v>
      </c>
      <c r="L807" s="74">
        <f t="shared" si="535"/>
        <v>155</v>
      </c>
      <c r="M807" s="99">
        <f t="shared" si="191"/>
        <v>24789.127479389732</v>
      </c>
      <c r="N807" s="108">
        <f t="shared" si="690"/>
        <v>24789.127479389732</v>
      </c>
      <c r="O807" s="108"/>
      <c r="P807" s="108"/>
      <c r="Q807" s="108"/>
      <c r="R807" s="109">
        <f t="shared" si="990"/>
        <v>0</v>
      </c>
      <c r="S807" s="99">
        <f t="shared" si="694"/>
        <v>20830.971997272074</v>
      </c>
      <c r="T807" s="108">
        <f t="shared" si="991"/>
        <v>20830.971997272074</v>
      </c>
      <c r="U807" s="108"/>
      <c r="V807" s="108"/>
      <c r="W807" s="108"/>
      <c r="X807" s="109">
        <f t="shared" si="992"/>
        <v>0</v>
      </c>
      <c r="Y807" s="99">
        <f t="shared" si="8"/>
        <v>41661.943994544148</v>
      </c>
      <c r="Z807" s="108">
        <f t="shared" si="993"/>
        <v>41661.943994544148</v>
      </c>
      <c r="AA807" s="108"/>
      <c r="AB807" s="108"/>
      <c r="AC807" s="108"/>
      <c r="AD807" s="109">
        <f t="shared" si="994"/>
        <v>0</v>
      </c>
      <c r="AE807" s="99">
        <f t="shared" si="1007"/>
        <v>27.727164197424003</v>
      </c>
      <c r="AF807" s="101">
        <f t="shared" si="849"/>
        <v>36</v>
      </c>
      <c r="AG807" s="101">
        <f t="shared" si="995"/>
        <v>19.001300000000001</v>
      </c>
      <c r="AH807" s="101">
        <f t="shared" si="851"/>
        <v>657</v>
      </c>
      <c r="AI807" s="101">
        <f t="shared" si="852"/>
        <v>200</v>
      </c>
      <c r="AJ807" s="108">
        <f t="shared" si="996"/>
        <v>1.6666666666666667</v>
      </c>
      <c r="AK807" s="101">
        <f t="shared" si="461"/>
        <v>9919.5104748914655</v>
      </c>
      <c r="AL807" s="101">
        <f t="shared" si="997"/>
        <v>9919.5104748914655</v>
      </c>
      <c r="AM807" s="101"/>
      <c r="AN807" s="101"/>
      <c r="AO807" s="1">
        <v>36</v>
      </c>
      <c r="AP807" s="2">
        <v>36</v>
      </c>
      <c r="AQ807" s="74">
        <f t="shared" si="998"/>
        <v>657</v>
      </c>
      <c r="AR807" s="31">
        <f t="shared" si="999"/>
        <v>0</v>
      </c>
      <c r="AS807" s="2">
        <f t="shared" si="1000"/>
        <v>0</v>
      </c>
      <c r="AT807" s="33">
        <f t="shared" si="1001"/>
        <v>0</v>
      </c>
      <c r="AU807" s="31">
        <f t="shared" si="1002"/>
        <v>0</v>
      </c>
      <c r="AV807" s="2">
        <f t="shared" si="1003"/>
        <v>0</v>
      </c>
      <c r="AW807" s="33">
        <f t="shared" si="1004"/>
        <v>1.5</v>
      </c>
      <c r="AX807" s="31">
        <f t="shared" si="1005"/>
        <v>1.4</v>
      </c>
      <c r="AY807" s="33">
        <f t="shared" si="1006"/>
        <v>1</v>
      </c>
      <c r="AZ807" s="2"/>
      <c r="BA807" s="101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</row>
    <row r="808" spans="1:71" ht="12" customHeight="1">
      <c r="A808" s="2"/>
      <c r="B808" s="107">
        <v>733</v>
      </c>
      <c r="C808" s="31">
        <v>10</v>
      </c>
      <c r="D808" s="111" t="s">
        <v>21</v>
      </c>
      <c r="E808" s="2" t="s">
        <v>150</v>
      </c>
      <c r="F808" s="2"/>
      <c r="G808" s="2"/>
      <c r="H808" s="33"/>
      <c r="I808" s="99">
        <f t="shared" si="0"/>
        <v>760.61858952670752</v>
      </c>
      <c r="J808" s="101">
        <f t="shared" si="1"/>
        <v>30.238644768832497</v>
      </c>
      <c r="K808" s="101">
        <f t="shared" si="2"/>
        <v>294</v>
      </c>
      <c r="L808" s="74">
        <f t="shared" si="535"/>
        <v>201</v>
      </c>
      <c r="M808" s="99">
        <f t="shared" si="191"/>
        <v>16526.084986259822</v>
      </c>
      <c r="N808" s="108">
        <f t="shared" si="690"/>
        <v>16526.084986259822</v>
      </c>
      <c r="O808" s="108"/>
      <c r="P808" s="108"/>
      <c r="Q808" s="108"/>
      <c r="R808" s="109">
        <f t="shared" si="990"/>
        <v>0</v>
      </c>
      <c r="S808" s="99">
        <f t="shared" si="694"/>
        <v>13887.314664848051</v>
      </c>
      <c r="T808" s="108">
        <f t="shared" si="991"/>
        <v>13887.314664848051</v>
      </c>
      <c r="U808" s="108"/>
      <c r="V808" s="108"/>
      <c r="W808" s="108"/>
      <c r="X808" s="109">
        <f t="shared" si="992"/>
        <v>0</v>
      </c>
      <c r="Y808" s="99">
        <f t="shared" si="8"/>
        <v>27774.629329696101</v>
      </c>
      <c r="Z808" s="108">
        <f t="shared" si="993"/>
        <v>27774.629329696101</v>
      </c>
      <c r="AA808" s="108"/>
      <c r="AB808" s="108"/>
      <c r="AC808" s="108"/>
      <c r="AD808" s="109">
        <f t="shared" si="994"/>
        <v>0</v>
      </c>
      <c r="AE808" s="99">
        <f t="shared" si="1007"/>
        <v>21.727164197424003</v>
      </c>
      <c r="AF808" s="101">
        <f t="shared" si="849"/>
        <v>36</v>
      </c>
      <c r="AG808" s="101">
        <f t="shared" si="995"/>
        <v>19.001300000000001</v>
      </c>
      <c r="AH808" s="101">
        <f t="shared" si="851"/>
        <v>657</v>
      </c>
      <c r="AI808" s="101">
        <f t="shared" si="852"/>
        <v>200</v>
      </c>
      <c r="AJ808" s="108">
        <f t="shared" si="996"/>
        <v>1.6666666666666667</v>
      </c>
      <c r="AK808" s="101">
        <f t="shared" si="461"/>
        <v>9919.5104748914655</v>
      </c>
      <c r="AL808" s="101">
        <f t="shared" si="997"/>
        <v>9919.5104748914655</v>
      </c>
      <c r="AM808" s="101"/>
      <c r="AN808" s="101"/>
      <c r="AO808" s="1">
        <v>36</v>
      </c>
      <c r="AP808" s="2">
        <v>36</v>
      </c>
      <c r="AQ808" s="74">
        <f t="shared" si="998"/>
        <v>657</v>
      </c>
      <c r="AR808" s="31">
        <f t="shared" si="999"/>
        <v>6</v>
      </c>
      <c r="AS808" s="2">
        <f t="shared" si="1000"/>
        <v>0</v>
      </c>
      <c r="AT808" s="33">
        <f t="shared" si="1001"/>
        <v>0</v>
      </c>
      <c r="AU808" s="31">
        <f t="shared" si="1002"/>
        <v>0</v>
      </c>
      <c r="AV808" s="2">
        <f t="shared" si="1003"/>
        <v>0</v>
      </c>
      <c r="AW808" s="33">
        <f t="shared" si="1004"/>
        <v>1</v>
      </c>
      <c r="AX808" s="31">
        <f t="shared" si="1005"/>
        <v>1.4</v>
      </c>
      <c r="AY808" s="33">
        <f t="shared" si="1006"/>
        <v>1</v>
      </c>
      <c r="AZ808" s="2"/>
      <c r="BA808" s="101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</row>
    <row r="809" spans="1:71" ht="12" customHeight="1">
      <c r="A809" s="2"/>
      <c r="B809" s="107">
        <v>734</v>
      </c>
      <c r="C809" s="31">
        <v>10</v>
      </c>
      <c r="D809" s="111" t="s">
        <v>21</v>
      </c>
      <c r="E809" s="2" t="s">
        <v>164</v>
      </c>
      <c r="F809" s="2"/>
      <c r="G809" s="2"/>
      <c r="H809" s="33"/>
      <c r="I809" s="99">
        <f t="shared" si="0"/>
        <v>1086.5979850381536</v>
      </c>
      <c r="J809" s="101">
        <f t="shared" si="1"/>
        <v>30.238644768832497</v>
      </c>
      <c r="K809" s="101">
        <f t="shared" si="2"/>
        <v>126</v>
      </c>
      <c r="L809" s="74">
        <f t="shared" si="535"/>
        <v>104</v>
      </c>
      <c r="M809" s="99">
        <f t="shared" si="191"/>
        <v>23608.692837514034</v>
      </c>
      <c r="N809" s="108">
        <f t="shared" si="690"/>
        <v>16526.084986259822</v>
      </c>
      <c r="O809" s="108"/>
      <c r="P809" s="108"/>
      <c r="Q809" s="108"/>
      <c r="R809" s="109">
        <f t="shared" si="990"/>
        <v>7082.6078512542108</v>
      </c>
      <c r="S809" s="99">
        <f t="shared" si="694"/>
        <v>19839.020949782931</v>
      </c>
      <c r="T809" s="108">
        <f t="shared" si="991"/>
        <v>13887.314664848051</v>
      </c>
      <c r="U809" s="108"/>
      <c r="V809" s="108"/>
      <c r="W809" s="108"/>
      <c r="X809" s="109">
        <f t="shared" si="992"/>
        <v>5951.7062849348795</v>
      </c>
      <c r="Y809" s="99">
        <f t="shared" si="8"/>
        <v>39678.041899565862</v>
      </c>
      <c r="Z809" s="108">
        <f t="shared" si="993"/>
        <v>27774.629329696101</v>
      </c>
      <c r="AA809" s="108"/>
      <c r="AB809" s="108"/>
      <c r="AC809" s="108"/>
      <c r="AD809" s="109">
        <f t="shared" si="994"/>
        <v>11903.412569869759</v>
      </c>
      <c r="AE809" s="99">
        <f t="shared" si="1007"/>
        <v>21.727164197424003</v>
      </c>
      <c r="AF809" s="101">
        <f t="shared" si="849"/>
        <v>36</v>
      </c>
      <c r="AG809" s="101">
        <f t="shared" si="995"/>
        <v>19.001300000000001</v>
      </c>
      <c r="AH809" s="101">
        <f t="shared" si="851"/>
        <v>657</v>
      </c>
      <c r="AI809" s="101">
        <f t="shared" si="852"/>
        <v>200</v>
      </c>
      <c r="AJ809" s="108">
        <f t="shared" si="996"/>
        <v>1.6666666666666667</v>
      </c>
      <c r="AK809" s="101">
        <f t="shared" si="461"/>
        <v>9919.5104748914655</v>
      </c>
      <c r="AL809" s="101">
        <f t="shared" si="997"/>
        <v>9919.5104748914655</v>
      </c>
      <c r="AM809" s="101"/>
      <c r="AN809" s="101"/>
      <c r="AO809" s="1">
        <v>36</v>
      </c>
      <c r="AP809" s="2">
        <v>36</v>
      </c>
      <c r="AQ809" s="74">
        <f t="shared" si="998"/>
        <v>657</v>
      </c>
      <c r="AR809" s="31">
        <f t="shared" si="999"/>
        <v>6</v>
      </c>
      <c r="AS809" s="2">
        <f t="shared" si="1000"/>
        <v>0</v>
      </c>
      <c r="AT809" s="33">
        <f t="shared" si="1001"/>
        <v>0</v>
      </c>
      <c r="AU809" s="31">
        <f t="shared" si="1002"/>
        <v>0.3</v>
      </c>
      <c r="AV809" s="2">
        <f t="shared" si="1003"/>
        <v>0</v>
      </c>
      <c r="AW809" s="33">
        <f t="shared" si="1004"/>
        <v>1</v>
      </c>
      <c r="AX809" s="31">
        <f t="shared" si="1005"/>
        <v>1.4</v>
      </c>
      <c r="AY809" s="33">
        <f t="shared" si="1006"/>
        <v>1</v>
      </c>
      <c r="AZ809" s="2"/>
      <c r="BA809" s="101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</row>
    <row r="810" spans="1:71" ht="12" customHeight="1">
      <c r="A810" s="2"/>
      <c r="B810" s="107">
        <v>735</v>
      </c>
      <c r="C810" s="31">
        <v>10</v>
      </c>
      <c r="D810" s="111" t="s">
        <v>21</v>
      </c>
      <c r="E810" s="2" t="s">
        <v>156</v>
      </c>
      <c r="F810" s="2"/>
      <c r="G810" s="2" t="s">
        <v>177</v>
      </c>
      <c r="H810" s="33"/>
      <c r="I810" s="99">
        <f t="shared" si="0"/>
        <v>1140.9278842900612</v>
      </c>
      <c r="J810" s="101">
        <f t="shared" si="1"/>
        <v>30.238644768832497</v>
      </c>
      <c r="K810" s="101">
        <f t="shared" si="2"/>
        <v>109</v>
      </c>
      <c r="L810" s="74">
        <f t="shared" si="535"/>
        <v>92</v>
      </c>
      <c r="M810" s="99">
        <f t="shared" si="191"/>
        <v>24789.127479389732</v>
      </c>
      <c r="N810" s="108">
        <f t="shared" si="690"/>
        <v>24789.127479389732</v>
      </c>
      <c r="O810" s="108"/>
      <c r="P810" s="108"/>
      <c r="Q810" s="108"/>
      <c r="R810" s="109">
        <f t="shared" si="990"/>
        <v>0</v>
      </c>
      <c r="S810" s="99">
        <f t="shared" si="694"/>
        <v>20830.971997272074</v>
      </c>
      <c r="T810" s="108">
        <f t="shared" si="991"/>
        <v>20830.971997272074</v>
      </c>
      <c r="U810" s="108"/>
      <c r="V810" s="108"/>
      <c r="W810" s="108"/>
      <c r="X810" s="109">
        <f t="shared" si="992"/>
        <v>0</v>
      </c>
      <c r="Y810" s="99">
        <f t="shared" si="8"/>
        <v>41661.943994544148</v>
      </c>
      <c r="Z810" s="108">
        <f t="shared" si="993"/>
        <v>41661.943994544148</v>
      </c>
      <c r="AA810" s="108"/>
      <c r="AB810" s="108"/>
      <c r="AC810" s="108"/>
      <c r="AD810" s="109">
        <f t="shared" si="994"/>
        <v>0</v>
      </c>
      <c r="AE810" s="99">
        <f t="shared" si="1007"/>
        <v>21.727164197424003</v>
      </c>
      <c r="AF810" s="101">
        <f t="shared" si="849"/>
        <v>36</v>
      </c>
      <c r="AG810" s="101">
        <f t="shared" si="995"/>
        <v>19.001300000000001</v>
      </c>
      <c r="AH810" s="101">
        <f t="shared" si="851"/>
        <v>657</v>
      </c>
      <c r="AI810" s="101">
        <f t="shared" si="852"/>
        <v>200</v>
      </c>
      <c r="AJ810" s="108">
        <f t="shared" si="996"/>
        <v>1.6666666666666667</v>
      </c>
      <c r="AK810" s="101">
        <f t="shared" si="461"/>
        <v>9919.5104748914655</v>
      </c>
      <c r="AL810" s="101">
        <f t="shared" si="997"/>
        <v>9919.5104748914655</v>
      </c>
      <c r="AM810" s="101"/>
      <c r="AN810" s="101"/>
      <c r="AO810" s="1">
        <v>36</v>
      </c>
      <c r="AP810" s="2">
        <v>36</v>
      </c>
      <c r="AQ810" s="74">
        <f t="shared" si="998"/>
        <v>657</v>
      </c>
      <c r="AR810" s="31">
        <f t="shared" si="999"/>
        <v>6</v>
      </c>
      <c r="AS810" s="2">
        <f t="shared" si="1000"/>
        <v>0</v>
      </c>
      <c r="AT810" s="33">
        <f t="shared" si="1001"/>
        <v>0</v>
      </c>
      <c r="AU810" s="31">
        <f t="shared" si="1002"/>
        <v>0</v>
      </c>
      <c r="AV810" s="2">
        <f t="shared" si="1003"/>
        <v>0</v>
      </c>
      <c r="AW810" s="33">
        <f t="shared" si="1004"/>
        <v>1.5</v>
      </c>
      <c r="AX810" s="31">
        <f t="shared" si="1005"/>
        <v>1.4</v>
      </c>
      <c r="AY810" s="33">
        <f t="shared" si="1006"/>
        <v>1</v>
      </c>
      <c r="AZ810" s="2"/>
      <c r="BA810" s="101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</row>
    <row r="811" spans="1:71" ht="12" customHeight="1">
      <c r="A811" s="2"/>
      <c r="B811" s="107">
        <v>736</v>
      </c>
      <c r="C811" s="31">
        <v>10</v>
      </c>
      <c r="D811" s="111" t="s">
        <v>21</v>
      </c>
      <c r="E811" s="2" t="s">
        <v>161</v>
      </c>
      <c r="F811" s="2"/>
      <c r="G811" s="2"/>
      <c r="H811" s="33"/>
      <c r="I811" s="99">
        <f t="shared" si="0"/>
        <v>681.17150876056485</v>
      </c>
      <c r="J811" s="101">
        <f t="shared" si="1"/>
        <v>23.695174714659018</v>
      </c>
      <c r="K811" s="101">
        <f t="shared" si="2"/>
        <v>373</v>
      </c>
      <c r="L811" s="74">
        <f t="shared" si="535"/>
        <v>239</v>
      </c>
      <c r="M811" s="99">
        <f t="shared" si="191"/>
        <v>18886.954270011225</v>
      </c>
      <c r="N811" s="108">
        <f t="shared" si="690"/>
        <v>16526.084986259822</v>
      </c>
      <c r="O811" s="108"/>
      <c r="P811" s="108"/>
      <c r="Q811" s="108"/>
      <c r="R811" s="109">
        <f t="shared" si="990"/>
        <v>2360.8692837514036</v>
      </c>
      <c r="S811" s="99">
        <f t="shared" si="694"/>
        <v>15871.216759826344</v>
      </c>
      <c r="T811" s="108">
        <f t="shared" si="991"/>
        <v>13887.314664848051</v>
      </c>
      <c r="U811" s="108"/>
      <c r="V811" s="108"/>
      <c r="W811" s="108"/>
      <c r="X811" s="109">
        <f t="shared" si="992"/>
        <v>1983.9020949782932</v>
      </c>
      <c r="Y811" s="99">
        <f t="shared" si="8"/>
        <v>31742.433519652688</v>
      </c>
      <c r="Z811" s="108">
        <f t="shared" si="993"/>
        <v>27774.629329696101</v>
      </c>
      <c r="AA811" s="108"/>
      <c r="AB811" s="108"/>
      <c r="AC811" s="108"/>
      <c r="AD811" s="109">
        <f t="shared" si="994"/>
        <v>3967.8041899565865</v>
      </c>
      <c r="AE811" s="99">
        <f t="shared" si="1007"/>
        <v>27.727164197424003</v>
      </c>
      <c r="AF811" s="101">
        <f t="shared" si="849"/>
        <v>36</v>
      </c>
      <c r="AG811" s="101">
        <f t="shared" si="995"/>
        <v>19.001300000000001</v>
      </c>
      <c r="AH811" s="101">
        <f t="shared" si="851"/>
        <v>657</v>
      </c>
      <c r="AI811" s="101">
        <f t="shared" si="852"/>
        <v>200</v>
      </c>
      <c r="AJ811" s="108">
        <f t="shared" si="996"/>
        <v>1.6666666666666667</v>
      </c>
      <c r="AK811" s="101">
        <f t="shared" si="461"/>
        <v>9919.5104748914655</v>
      </c>
      <c r="AL811" s="101">
        <f t="shared" si="997"/>
        <v>9919.5104748914655</v>
      </c>
      <c r="AM811" s="101"/>
      <c r="AN811" s="101"/>
      <c r="AO811" s="1">
        <v>36</v>
      </c>
      <c r="AP811" s="2">
        <v>36</v>
      </c>
      <c r="AQ811" s="74">
        <f t="shared" si="998"/>
        <v>657</v>
      </c>
      <c r="AR811" s="31">
        <f t="shared" si="999"/>
        <v>0</v>
      </c>
      <c r="AS811" s="2">
        <f t="shared" si="1000"/>
        <v>0.2</v>
      </c>
      <c r="AT811" s="33">
        <f t="shared" si="1001"/>
        <v>0</v>
      </c>
      <c r="AU811" s="31">
        <f t="shared" si="1002"/>
        <v>0</v>
      </c>
      <c r="AV811" s="2">
        <f t="shared" si="1003"/>
        <v>0</v>
      </c>
      <c r="AW811" s="33">
        <f t="shared" si="1004"/>
        <v>1</v>
      </c>
      <c r="AX811" s="31">
        <f t="shared" si="1005"/>
        <v>1.4</v>
      </c>
      <c r="AY811" s="33">
        <f t="shared" si="1006"/>
        <v>1</v>
      </c>
      <c r="AZ811" s="2"/>
      <c r="BA811" s="101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</row>
    <row r="812" spans="1:71" ht="12" customHeight="1">
      <c r="A812" s="2"/>
      <c r="B812" s="107">
        <v>737</v>
      </c>
      <c r="C812" s="31">
        <v>10</v>
      </c>
      <c r="D812" s="111" t="s">
        <v>21</v>
      </c>
      <c r="E812" s="2" t="s">
        <v>169</v>
      </c>
      <c r="F812" s="2"/>
      <c r="G812" s="2"/>
      <c r="H812" s="33"/>
      <c r="I812" s="99">
        <f t="shared" si="0"/>
        <v>936.61082454577684</v>
      </c>
      <c r="J812" s="101">
        <f t="shared" si="1"/>
        <v>23.695174714659018</v>
      </c>
      <c r="K812" s="101">
        <f t="shared" si="2"/>
        <v>188</v>
      </c>
      <c r="L812" s="74">
        <f t="shared" si="535"/>
        <v>143</v>
      </c>
      <c r="M812" s="99">
        <f t="shared" si="191"/>
        <v>25969.562121265437</v>
      </c>
      <c r="N812" s="108">
        <f t="shared" si="690"/>
        <v>16526.084986259822</v>
      </c>
      <c r="O812" s="108"/>
      <c r="P812" s="108"/>
      <c r="Q812" s="108"/>
      <c r="R812" s="109">
        <f t="shared" si="990"/>
        <v>9443.4771350056144</v>
      </c>
      <c r="S812" s="99">
        <f t="shared" si="694"/>
        <v>21822.923044761224</v>
      </c>
      <c r="T812" s="108">
        <f t="shared" si="991"/>
        <v>13887.314664848051</v>
      </c>
      <c r="U812" s="108"/>
      <c r="V812" s="108"/>
      <c r="W812" s="108"/>
      <c r="X812" s="109">
        <f t="shared" si="992"/>
        <v>7935.6083799131729</v>
      </c>
      <c r="Y812" s="99">
        <f t="shared" si="8"/>
        <v>43645.846089522449</v>
      </c>
      <c r="Z812" s="108">
        <f t="shared" si="993"/>
        <v>27774.629329696101</v>
      </c>
      <c r="AA812" s="108"/>
      <c r="AB812" s="108"/>
      <c r="AC812" s="108"/>
      <c r="AD812" s="109">
        <f t="shared" si="994"/>
        <v>15871.216759826346</v>
      </c>
      <c r="AE812" s="99">
        <f t="shared" si="1007"/>
        <v>27.727164197424003</v>
      </c>
      <c r="AF812" s="101">
        <f t="shared" si="849"/>
        <v>36</v>
      </c>
      <c r="AG812" s="101">
        <f t="shared" si="995"/>
        <v>19.001300000000001</v>
      </c>
      <c r="AH812" s="101">
        <f t="shared" si="851"/>
        <v>657</v>
      </c>
      <c r="AI812" s="101">
        <f t="shared" si="852"/>
        <v>200</v>
      </c>
      <c r="AJ812" s="108">
        <f t="shared" si="996"/>
        <v>1.6666666666666667</v>
      </c>
      <c r="AK812" s="101">
        <f t="shared" si="461"/>
        <v>9919.5104748914655</v>
      </c>
      <c r="AL812" s="101">
        <f t="shared" si="997"/>
        <v>9919.5104748914655</v>
      </c>
      <c r="AM812" s="101"/>
      <c r="AN812" s="101"/>
      <c r="AO812" s="1">
        <v>36</v>
      </c>
      <c r="AP812" s="2">
        <v>36</v>
      </c>
      <c r="AQ812" s="74">
        <f t="shared" si="998"/>
        <v>657</v>
      </c>
      <c r="AR812" s="31">
        <f t="shared" si="999"/>
        <v>0</v>
      </c>
      <c r="AS812" s="2">
        <f t="shared" si="1000"/>
        <v>0.2</v>
      </c>
      <c r="AT812" s="33">
        <f t="shared" si="1001"/>
        <v>0</v>
      </c>
      <c r="AU812" s="31">
        <f t="shared" si="1002"/>
        <v>0.3</v>
      </c>
      <c r="AV812" s="2">
        <f t="shared" si="1003"/>
        <v>0</v>
      </c>
      <c r="AW812" s="33">
        <f t="shared" si="1004"/>
        <v>1</v>
      </c>
      <c r="AX812" s="31">
        <f t="shared" si="1005"/>
        <v>1.4</v>
      </c>
      <c r="AY812" s="33">
        <f t="shared" si="1006"/>
        <v>1</v>
      </c>
      <c r="AZ812" s="2"/>
      <c r="BA812" s="101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</row>
    <row r="813" spans="1:71" ht="12" customHeight="1">
      <c r="A813" s="2"/>
      <c r="B813" s="107">
        <v>738</v>
      </c>
      <c r="C813" s="31">
        <v>10</v>
      </c>
      <c r="D813" s="111" t="s">
        <v>21</v>
      </c>
      <c r="E813" s="2" t="s">
        <v>171</v>
      </c>
      <c r="F813" s="2"/>
      <c r="G813" s="2" t="s">
        <v>177</v>
      </c>
      <c r="H813" s="33"/>
      <c r="I813" s="99">
        <f t="shared" si="0"/>
        <v>979.184043843312</v>
      </c>
      <c r="J813" s="101">
        <f t="shared" si="1"/>
        <v>23.695174714659018</v>
      </c>
      <c r="K813" s="101">
        <f t="shared" si="2"/>
        <v>172</v>
      </c>
      <c r="L813" s="74">
        <f t="shared" si="535"/>
        <v>132</v>
      </c>
      <c r="M813" s="99">
        <f t="shared" si="191"/>
        <v>27149.996763141135</v>
      </c>
      <c r="N813" s="108">
        <f t="shared" si="690"/>
        <v>24789.127479389732</v>
      </c>
      <c r="O813" s="108"/>
      <c r="P813" s="108"/>
      <c r="Q813" s="108"/>
      <c r="R813" s="109">
        <f t="shared" si="990"/>
        <v>2360.8692837514036</v>
      </c>
      <c r="S813" s="99">
        <f t="shared" si="694"/>
        <v>22814.874092250368</v>
      </c>
      <c r="T813" s="108">
        <f t="shared" si="991"/>
        <v>20830.971997272074</v>
      </c>
      <c r="U813" s="108"/>
      <c r="V813" s="108"/>
      <c r="W813" s="108"/>
      <c r="X813" s="109">
        <f t="shared" si="992"/>
        <v>1983.9020949782932</v>
      </c>
      <c r="Y813" s="99">
        <f t="shared" si="8"/>
        <v>45629.748184500735</v>
      </c>
      <c r="Z813" s="108">
        <f t="shared" si="993"/>
        <v>41661.943994544148</v>
      </c>
      <c r="AA813" s="108"/>
      <c r="AB813" s="108"/>
      <c r="AC813" s="108"/>
      <c r="AD813" s="109">
        <f t="shared" si="994"/>
        <v>3967.8041899565865</v>
      </c>
      <c r="AE813" s="99">
        <f t="shared" si="1007"/>
        <v>27.727164197424003</v>
      </c>
      <c r="AF813" s="101">
        <f t="shared" si="849"/>
        <v>36</v>
      </c>
      <c r="AG813" s="101">
        <f t="shared" si="995"/>
        <v>19.001300000000001</v>
      </c>
      <c r="AH813" s="101">
        <f t="shared" si="851"/>
        <v>657</v>
      </c>
      <c r="AI813" s="101">
        <f t="shared" si="852"/>
        <v>200</v>
      </c>
      <c r="AJ813" s="108">
        <f t="shared" si="996"/>
        <v>1.6666666666666667</v>
      </c>
      <c r="AK813" s="101">
        <f t="shared" si="461"/>
        <v>9919.5104748914655</v>
      </c>
      <c r="AL813" s="101">
        <f t="shared" si="997"/>
        <v>9919.5104748914655</v>
      </c>
      <c r="AM813" s="101"/>
      <c r="AN813" s="101"/>
      <c r="AO813" s="1">
        <v>36</v>
      </c>
      <c r="AP813" s="2">
        <v>36</v>
      </c>
      <c r="AQ813" s="74">
        <f t="shared" si="998"/>
        <v>657</v>
      </c>
      <c r="AR813" s="31">
        <f t="shared" si="999"/>
        <v>0</v>
      </c>
      <c r="AS813" s="2">
        <f t="shared" si="1000"/>
        <v>0.2</v>
      </c>
      <c r="AT813" s="33">
        <f t="shared" si="1001"/>
        <v>0</v>
      </c>
      <c r="AU813" s="31">
        <f t="shared" si="1002"/>
        <v>0</v>
      </c>
      <c r="AV813" s="2">
        <f t="shared" si="1003"/>
        <v>0</v>
      </c>
      <c r="AW813" s="33">
        <f t="shared" si="1004"/>
        <v>1.5</v>
      </c>
      <c r="AX813" s="31">
        <f t="shared" si="1005"/>
        <v>1.4</v>
      </c>
      <c r="AY813" s="33">
        <f t="shared" si="1006"/>
        <v>1</v>
      </c>
      <c r="AZ813" s="2"/>
      <c r="BA813" s="101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</row>
    <row r="814" spans="1:71" ht="12" customHeight="1">
      <c r="A814" s="2"/>
      <c r="B814" s="107">
        <v>739</v>
      </c>
      <c r="C814" s="31">
        <v>10</v>
      </c>
      <c r="D814" s="111" t="s">
        <v>21</v>
      </c>
      <c r="E814" s="2" t="s">
        <v>92</v>
      </c>
      <c r="F814" s="2"/>
      <c r="G814" s="2"/>
      <c r="H814" s="33"/>
      <c r="I814" s="99">
        <f t="shared" si="0"/>
        <v>681.17150876056508</v>
      </c>
      <c r="J814" s="101">
        <f t="shared" si="1"/>
        <v>23.695174714659018</v>
      </c>
      <c r="K814" s="101">
        <f t="shared" si="2"/>
        <v>372</v>
      </c>
      <c r="L814" s="74">
        <f t="shared" si="535"/>
        <v>238</v>
      </c>
      <c r="M814" s="99">
        <f t="shared" si="191"/>
        <v>18886.954270011229</v>
      </c>
      <c r="N814" s="108">
        <f t="shared" si="690"/>
        <v>18886.954270011229</v>
      </c>
      <c r="O814" s="108"/>
      <c r="P814" s="108"/>
      <c r="Q814" s="108"/>
      <c r="R814" s="109">
        <f t="shared" si="990"/>
        <v>0</v>
      </c>
      <c r="S814" s="99">
        <f t="shared" si="694"/>
        <v>15871.216759826346</v>
      </c>
      <c r="T814" s="108">
        <f t="shared" si="991"/>
        <v>15871.216759826346</v>
      </c>
      <c r="U814" s="108"/>
      <c r="V814" s="108"/>
      <c r="W814" s="108"/>
      <c r="X814" s="109">
        <f t="shared" si="992"/>
        <v>0</v>
      </c>
      <c r="Y814" s="99">
        <f t="shared" si="8"/>
        <v>31742.433519652692</v>
      </c>
      <c r="Z814" s="108">
        <f t="shared" si="993"/>
        <v>31742.433519652692</v>
      </c>
      <c r="AA814" s="108"/>
      <c r="AB814" s="108"/>
      <c r="AC814" s="108"/>
      <c r="AD814" s="109">
        <f t="shared" si="994"/>
        <v>0</v>
      </c>
      <c r="AE814" s="99">
        <f t="shared" si="1007"/>
        <v>27.727164197424003</v>
      </c>
      <c r="AF814" s="101">
        <f t="shared" si="849"/>
        <v>36</v>
      </c>
      <c r="AG814" s="101">
        <f t="shared" si="995"/>
        <v>19.001300000000001</v>
      </c>
      <c r="AH814" s="101">
        <f t="shared" si="851"/>
        <v>657</v>
      </c>
      <c r="AI814" s="101">
        <f t="shared" si="852"/>
        <v>200</v>
      </c>
      <c r="AJ814" s="108">
        <f t="shared" si="996"/>
        <v>1.6666666666666667</v>
      </c>
      <c r="AK814" s="101">
        <f t="shared" si="461"/>
        <v>9919.5104748914655</v>
      </c>
      <c r="AL814" s="101">
        <f t="shared" si="997"/>
        <v>9919.5104748914655</v>
      </c>
      <c r="AM814" s="101"/>
      <c r="AN814" s="101"/>
      <c r="AO814" s="1">
        <v>36</v>
      </c>
      <c r="AP814" s="2">
        <v>36</v>
      </c>
      <c r="AQ814" s="74">
        <f t="shared" si="998"/>
        <v>657</v>
      </c>
      <c r="AR814" s="31">
        <f t="shared" si="999"/>
        <v>0</v>
      </c>
      <c r="AS814" s="2">
        <f t="shared" si="1000"/>
        <v>0</v>
      </c>
      <c r="AT814" s="33">
        <f t="shared" si="1001"/>
        <v>0</v>
      </c>
      <c r="AU814" s="31">
        <f t="shared" si="1002"/>
        <v>0</v>
      </c>
      <c r="AV814" s="2">
        <f t="shared" si="1003"/>
        <v>0</v>
      </c>
      <c r="AW814" s="33">
        <f t="shared" si="1004"/>
        <v>1</v>
      </c>
      <c r="AX814" s="31">
        <f t="shared" si="1005"/>
        <v>1</v>
      </c>
      <c r="AY814" s="33">
        <f t="shared" si="1006"/>
        <v>1.6</v>
      </c>
      <c r="AZ814" s="2"/>
      <c r="BA814" s="101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</row>
    <row r="815" spans="1:71" ht="12" customHeight="1">
      <c r="A815" s="2"/>
      <c r="B815" s="107">
        <v>740</v>
      </c>
      <c r="C815" s="31">
        <v>10</v>
      </c>
      <c r="D815" s="111" t="s">
        <v>21</v>
      </c>
      <c r="E815" s="2" t="s">
        <v>139</v>
      </c>
      <c r="F815" s="2"/>
      <c r="G815" s="2"/>
      <c r="H815" s="33"/>
      <c r="I815" s="99">
        <f t="shared" si="0"/>
        <v>808.8911666531709</v>
      </c>
      <c r="J815" s="101">
        <f t="shared" si="1"/>
        <v>23.695174714659018</v>
      </c>
      <c r="K815" s="101">
        <f t="shared" si="2"/>
        <v>264</v>
      </c>
      <c r="L815" s="74">
        <f t="shared" si="535"/>
        <v>186</v>
      </c>
      <c r="M815" s="99">
        <f t="shared" si="191"/>
        <v>22428.258195638333</v>
      </c>
      <c r="N815" s="108">
        <f t="shared" si="690"/>
        <v>18886.954270011229</v>
      </c>
      <c r="O815" s="108"/>
      <c r="P815" s="108"/>
      <c r="Q815" s="108"/>
      <c r="R815" s="109">
        <f t="shared" si="990"/>
        <v>3541.3039256271054</v>
      </c>
      <c r="S815" s="99">
        <f t="shared" si="694"/>
        <v>18847.069902293784</v>
      </c>
      <c r="T815" s="108">
        <f t="shared" si="991"/>
        <v>15871.216759826346</v>
      </c>
      <c r="U815" s="108"/>
      <c r="V815" s="108"/>
      <c r="W815" s="108"/>
      <c r="X815" s="109">
        <f t="shared" si="992"/>
        <v>2975.8531424674397</v>
      </c>
      <c r="Y815" s="99">
        <f t="shared" si="8"/>
        <v>37694.139804587569</v>
      </c>
      <c r="Z815" s="108">
        <f t="shared" si="993"/>
        <v>31742.433519652692</v>
      </c>
      <c r="AA815" s="108"/>
      <c r="AB815" s="108"/>
      <c r="AC815" s="108"/>
      <c r="AD815" s="109">
        <f t="shared" si="994"/>
        <v>5951.7062849348795</v>
      </c>
      <c r="AE815" s="99">
        <f t="shared" si="1007"/>
        <v>27.727164197424003</v>
      </c>
      <c r="AF815" s="101">
        <f t="shared" si="849"/>
        <v>36</v>
      </c>
      <c r="AG815" s="101">
        <f t="shared" si="995"/>
        <v>19.001300000000001</v>
      </c>
      <c r="AH815" s="101">
        <f t="shared" si="851"/>
        <v>657</v>
      </c>
      <c r="AI815" s="101">
        <f t="shared" si="852"/>
        <v>200</v>
      </c>
      <c r="AJ815" s="108">
        <f t="shared" si="996"/>
        <v>1.6666666666666667</v>
      </c>
      <c r="AK815" s="101">
        <f t="shared" si="461"/>
        <v>9919.5104748914655</v>
      </c>
      <c r="AL815" s="101">
        <f t="shared" si="997"/>
        <v>9919.5104748914655</v>
      </c>
      <c r="AM815" s="101"/>
      <c r="AN815" s="101"/>
      <c r="AO815" s="1">
        <v>36</v>
      </c>
      <c r="AP815" s="2">
        <v>36</v>
      </c>
      <c r="AQ815" s="74">
        <f t="shared" si="998"/>
        <v>657</v>
      </c>
      <c r="AR815" s="31">
        <f t="shared" si="999"/>
        <v>0</v>
      </c>
      <c r="AS815" s="2">
        <f t="shared" si="1000"/>
        <v>0</v>
      </c>
      <c r="AT815" s="33">
        <f t="shared" si="1001"/>
        <v>0</v>
      </c>
      <c r="AU815" s="31">
        <f t="shared" si="1002"/>
        <v>0.3</v>
      </c>
      <c r="AV815" s="2">
        <f t="shared" si="1003"/>
        <v>0</v>
      </c>
      <c r="AW815" s="33">
        <f t="shared" si="1004"/>
        <v>1</v>
      </c>
      <c r="AX815" s="31">
        <f t="shared" si="1005"/>
        <v>1</v>
      </c>
      <c r="AY815" s="33">
        <f t="shared" si="1006"/>
        <v>1.6</v>
      </c>
      <c r="AZ815" s="2"/>
      <c r="BA815" s="101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</row>
    <row r="816" spans="1:71" ht="12" customHeight="1">
      <c r="A816" s="2"/>
      <c r="B816" s="107">
        <v>741</v>
      </c>
      <c r="C816" s="31">
        <v>10</v>
      </c>
      <c r="D816" s="111" t="s">
        <v>21</v>
      </c>
      <c r="E816" s="2" t="s">
        <v>98</v>
      </c>
      <c r="F816" s="2"/>
      <c r="G816" s="2" t="s">
        <v>177</v>
      </c>
      <c r="H816" s="33"/>
      <c r="I816" s="99">
        <f t="shared" si="0"/>
        <v>1021.7572631408475</v>
      </c>
      <c r="J816" s="101">
        <f t="shared" si="1"/>
        <v>23.695174714659018</v>
      </c>
      <c r="K816" s="101">
        <f t="shared" si="2"/>
        <v>153</v>
      </c>
      <c r="L816" s="74">
        <f t="shared" si="535"/>
        <v>120</v>
      </c>
      <c r="M816" s="99">
        <f t="shared" si="191"/>
        <v>28330.431405016843</v>
      </c>
      <c r="N816" s="108">
        <f t="shared" si="690"/>
        <v>28330.431405016843</v>
      </c>
      <c r="O816" s="108"/>
      <c r="P816" s="108"/>
      <c r="Q816" s="108"/>
      <c r="R816" s="109">
        <f t="shared" si="990"/>
        <v>0</v>
      </c>
      <c r="S816" s="99">
        <f t="shared" si="694"/>
        <v>23806.825139739518</v>
      </c>
      <c r="T816" s="108">
        <f t="shared" si="991"/>
        <v>23806.825139739518</v>
      </c>
      <c r="U816" s="108"/>
      <c r="V816" s="108"/>
      <c r="W816" s="108"/>
      <c r="X816" s="109">
        <f t="shared" si="992"/>
        <v>0</v>
      </c>
      <c r="Y816" s="99">
        <f t="shared" si="8"/>
        <v>47613.650279479036</v>
      </c>
      <c r="Z816" s="108">
        <f t="shared" si="993"/>
        <v>47613.650279479036</v>
      </c>
      <c r="AA816" s="108"/>
      <c r="AB816" s="108"/>
      <c r="AC816" s="108"/>
      <c r="AD816" s="109">
        <f t="shared" si="994"/>
        <v>0</v>
      </c>
      <c r="AE816" s="99">
        <f t="shared" si="1007"/>
        <v>27.727164197424003</v>
      </c>
      <c r="AF816" s="101">
        <f t="shared" si="849"/>
        <v>36</v>
      </c>
      <c r="AG816" s="101">
        <f t="shared" si="995"/>
        <v>19.001300000000001</v>
      </c>
      <c r="AH816" s="101">
        <f t="shared" si="851"/>
        <v>657</v>
      </c>
      <c r="AI816" s="101">
        <f t="shared" si="852"/>
        <v>200</v>
      </c>
      <c r="AJ816" s="108">
        <f t="shared" si="996"/>
        <v>1.6666666666666667</v>
      </c>
      <c r="AK816" s="101">
        <f t="shared" si="461"/>
        <v>9919.5104748914655</v>
      </c>
      <c r="AL816" s="101">
        <f t="shared" si="997"/>
        <v>9919.5104748914655</v>
      </c>
      <c r="AM816" s="101"/>
      <c r="AN816" s="101"/>
      <c r="AO816" s="1">
        <v>36</v>
      </c>
      <c r="AP816" s="2">
        <v>36</v>
      </c>
      <c r="AQ816" s="74">
        <f t="shared" si="998"/>
        <v>657</v>
      </c>
      <c r="AR816" s="31">
        <f t="shared" si="999"/>
        <v>0</v>
      </c>
      <c r="AS816" s="2">
        <f t="shared" si="1000"/>
        <v>0</v>
      </c>
      <c r="AT816" s="33">
        <f t="shared" si="1001"/>
        <v>0</v>
      </c>
      <c r="AU816" s="31">
        <f t="shared" si="1002"/>
        <v>0</v>
      </c>
      <c r="AV816" s="2">
        <f t="shared" si="1003"/>
        <v>0</v>
      </c>
      <c r="AW816" s="33">
        <f t="shared" si="1004"/>
        <v>1.5</v>
      </c>
      <c r="AX816" s="31">
        <f t="shared" si="1005"/>
        <v>1</v>
      </c>
      <c r="AY816" s="33">
        <f t="shared" si="1006"/>
        <v>1.6</v>
      </c>
      <c r="AZ816" s="2"/>
      <c r="BA816" s="101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</row>
    <row r="817" spans="1:71" ht="12" customHeight="1">
      <c r="A817" s="2"/>
      <c r="B817" s="107">
        <v>742</v>
      </c>
      <c r="C817" s="31">
        <v>10</v>
      </c>
      <c r="D817" s="111" t="s">
        <v>21</v>
      </c>
      <c r="E817" s="2" t="s">
        <v>151</v>
      </c>
      <c r="F817" s="2"/>
      <c r="G817" s="2"/>
      <c r="H817" s="33"/>
      <c r="I817" s="99">
        <f t="shared" si="0"/>
        <v>869.27838803052305</v>
      </c>
      <c r="J817" s="101">
        <f t="shared" si="1"/>
        <v>30.238644768832497</v>
      </c>
      <c r="K817" s="101">
        <f t="shared" si="2"/>
        <v>230</v>
      </c>
      <c r="L817" s="74">
        <f t="shared" si="535"/>
        <v>164</v>
      </c>
      <c r="M817" s="99">
        <f t="shared" si="191"/>
        <v>18886.954270011229</v>
      </c>
      <c r="N817" s="108">
        <f t="shared" si="690"/>
        <v>18886.954270011229</v>
      </c>
      <c r="O817" s="108"/>
      <c r="P817" s="108"/>
      <c r="Q817" s="108"/>
      <c r="R817" s="109">
        <f t="shared" si="990"/>
        <v>0</v>
      </c>
      <c r="S817" s="99">
        <f t="shared" si="694"/>
        <v>15871.216759826346</v>
      </c>
      <c r="T817" s="108">
        <f t="shared" si="991"/>
        <v>15871.216759826346</v>
      </c>
      <c r="U817" s="108"/>
      <c r="V817" s="108"/>
      <c r="W817" s="108"/>
      <c r="X817" s="109">
        <f t="shared" si="992"/>
        <v>0</v>
      </c>
      <c r="Y817" s="99">
        <f t="shared" si="8"/>
        <v>31742.433519652692</v>
      </c>
      <c r="Z817" s="108">
        <f t="shared" si="993"/>
        <v>31742.433519652692</v>
      </c>
      <c r="AA817" s="108"/>
      <c r="AB817" s="108"/>
      <c r="AC817" s="108"/>
      <c r="AD817" s="109">
        <f t="shared" si="994"/>
        <v>0</v>
      </c>
      <c r="AE817" s="99">
        <f t="shared" si="1007"/>
        <v>21.727164197424003</v>
      </c>
      <c r="AF817" s="101">
        <f t="shared" si="849"/>
        <v>36</v>
      </c>
      <c r="AG817" s="101">
        <f t="shared" si="995"/>
        <v>19.001300000000001</v>
      </c>
      <c r="AH817" s="101">
        <f t="shared" si="851"/>
        <v>657</v>
      </c>
      <c r="AI817" s="101">
        <f t="shared" si="852"/>
        <v>200</v>
      </c>
      <c r="AJ817" s="108">
        <f t="shared" si="996"/>
        <v>1.6666666666666667</v>
      </c>
      <c r="AK817" s="101">
        <f t="shared" si="461"/>
        <v>9919.5104748914655</v>
      </c>
      <c r="AL817" s="101">
        <f t="shared" si="997"/>
        <v>9919.5104748914655</v>
      </c>
      <c r="AM817" s="101"/>
      <c r="AN817" s="101"/>
      <c r="AO817" s="1">
        <v>36</v>
      </c>
      <c r="AP817" s="2">
        <v>36</v>
      </c>
      <c r="AQ817" s="74">
        <f t="shared" si="998"/>
        <v>657</v>
      </c>
      <c r="AR817" s="31">
        <f t="shared" si="999"/>
        <v>6</v>
      </c>
      <c r="AS817" s="2">
        <f t="shared" si="1000"/>
        <v>0</v>
      </c>
      <c r="AT817" s="33">
        <f t="shared" si="1001"/>
        <v>0</v>
      </c>
      <c r="AU817" s="31">
        <f t="shared" si="1002"/>
        <v>0</v>
      </c>
      <c r="AV817" s="2">
        <f t="shared" si="1003"/>
        <v>0</v>
      </c>
      <c r="AW817" s="33">
        <f t="shared" si="1004"/>
        <v>1</v>
      </c>
      <c r="AX817" s="31">
        <f t="shared" si="1005"/>
        <v>1</v>
      </c>
      <c r="AY817" s="33">
        <f t="shared" si="1006"/>
        <v>1.6</v>
      </c>
      <c r="AZ817" s="2"/>
      <c r="BA817" s="101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</row>
    <row r="818" spans="1:71" ht="12" customHeight="1">
      <c r="A818" s="2"/>
      <c r="B818" s="107">
        <v>743</v>
      </c>
      <c r="C818" s="31">
        <v>10</v>
      </c>
      <c r="D818" s="111" t="s">
        <v>21</v>
      </c>
      <c r="E818" s="2" t="s">
        <v>165</v>
      </c>
      <c r="F818" s="2"/>
      <c r="G818" s="2"/>
      <c r="H818" s="33"/>
      <c r="I818" s="99">
        <f t="shared" si="0"/>
        <v>1032.268085786246</v>
      </c>
      <c r="J818" s="101">
        <f t="shared" si="1"/>
        <v>30.238644768832497</v>
      </c>
      <c r="K818" s="101">
        <f t="shared" si="2"/>
        <v>149</v>
      </c>
      <c r="L818" s="74">
        <f t="shared" si="535"/>
        <v>118</v>
      </c>
      <c r="M818" s="99">
        <f t="shared" si="191"/>
        <v>22428.258195638333</v>
      </c>
      <c r="N818" s="108">
        <f t="shared" si="690"/>
        <v>18886.954270011229</v>
      </c>
      <c r="O818" s="108"/>
      <c r="P818" s="108"/>
      <c r="Q818" s="108"/>
      <c r="R818" s="109">
        <f t="shared" si="990"/>
        <v>3541.3039256271054</v>
      </c>
      <c r="S818" s="99">
        <f t="shared" si="694"/>
        <v>18847.069902293784</v>
      </c>
      <c r="T818" s="108">
        <f t="shared" si="991"/>
        <v>15871.216759826346</v>
      </c>
      <c r="U818" s="108"/>
      <c r="V818" s="108"/>
      <c r="W818" s="108"/>
      <c r="X818" s="109">
        <f t="shared" si="992"/>
        <v>2975.8531424674397</v>
      </c>
      <c r="Y818" s="99">
        <f t="shared" si="8"/>
        <v>37694.139804587569</v>
      </c>
      <c r="Z818" s="108">
        <f t="shared" si="993"/>
        <v>31742.433519652692</v>
      </c>
      <c r="AA818" s="108"/>
      <c r="AB818" s="108"/>
      <c r="AC818" s="108"/>
      <c r="AD818" s="109">
        <f t="shared" si="994"/>
        <v>5951.7062849348795</v>
      </c>
      <c r="AE818" s="99">
        <f t="shared" si="1007"/>
        <v>21.727164197424003</v>
      </c>
      <c r="AF818" s="101">
        <f t="shared" si="849"/>
        <v>36</v>
      </c>
      <c r="AG818" s="101">
        <f t="shared" si="995"/>
        <v>19.001300000000001</v>
      </c>
      <c r="AH818" s="101">
        <f t="shared" si="851"/>
        <v>657</v>
      </c>
      <c r="AI818" s="101">
        <f t="shared" si="852"/>
        <v>200</v>
      </c>
      <c r="AJ818" s="108">
        <f t="shared" si="996"/>
        <v>1.6666666666666667</v>
      </c>
      <c r="AK818" s="101">
        <f t="shared" si="461"/>
        <v>9919.5104748914655</v>
      </c>
      <c r="AL818" s="101">
        <f t="shared" si="997"/>
        <v>9919.5104748914655</v>
      </c>
      <c r="AM818" s="101"/>
      <c r="AN818" s="101"/>
      <c r="AO818" s="1">
        <v>36</v>
      </c>
      <c r="AP818" s="2">
        <v>36</v>
      </c>
      <c r="AQ818" s="74">
        <f t="shared" si="998"/>
        <v>657</v>
      </c>
      <c r="AR818" s="31">
        <f t="shared" si="999"/>
        <v>6</v>
      </c>
      <c r="AS818" s="2">
        <f t="shared" si="1000"/>
        <v>0</v>
      </c>
      <c r="AT818" s="33">
        <f t="shared" si="1001"/>
        <v>0</v>
      </c>
      <c r="AU818" s="31">
        <f t="shared" si="1002"/>
        <v>0.3</v>
      </c>
      <c r="AV818" s="2">
        <f t="shared" si="1003"/>
        <v>0</v>
      </c>
      <c r="AW818" s="33">
        <f t="shared" si="1004"/>
        <v>1</v>
      </c>
      <c r="AX818" s="31">
        <f t="shared" si="1005"/>
        <v>1</v>
      </c>
      <c r="AY818" s="33">
        <f t="shared" si="1006"/>
        <v>1.6</v>
      </c>
      <c r="AZ818" s="2"/>
      <c r="BA818" s="101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</row>
    <row r="819" spans="1:71" ht="12" customHeight="1">
      <c r="A819" s="2"/>
      <c r="B819" s="107">
        <v>744</v>
      </c>
      <c r="C819" s="31">
        <v>10</v>
      </c>
      <c r="D819" s="111" t="s">
        <v>21</v>
      </c>
      <c r="E819" s="2" t="s">
        <v>157</v>
      </c>
      <c r="F819" s="2"/>
      <c r="G819" s="2" t="s">
        <v>177</v>
      </c>
      <c r="H819" s="33"/>
      <c r="I819" s="99">
        <f t="shared" si="0"/>
        <v>1303.9175820457845</v>
      </c>
      <c r="J819" s="101">
        <f t="shared" si="1"/>
        <v>30.238644768832497</v>
      </c>
      <c r="K819" s="101">
        <f t="shared" si="2"/>
        <v>75</v>
      </c>
      <c r="L819" s="74">
        <f t="shared" si="535"/>
        <v>69</v>
      </c>
      <c r="M819" s="99">
        <f t="shared" si="191"/>
        <v>28330.431405016843</v>
      </c>
      <c r="N819" s="108">
        <f t="shared" si="690"/>
        <v>28330.431405016843</v>
      </c>
      <c r="O819" s="108"/>
      <c r="P819" s="108"/>
      <c r="Q819" s="108"/>
      <c r="R819" s="109">
        <f t="shared" si="990"/>
        <v>0</v>
      </c>
      <c r="S819" s="99">
        <f t="shared" si="694"/>
        <v>23806.825139739518</v>
      </c>
      <c r="T819" s="108">
        <f t="shared" si="991"/>
        <v>23806.825139739518</v>
      </c>
      <c r="U819" s="108"/>
      <c r="V819" s="108"/>
      <c r="W819" s="108"/>
      <c r="X819" s="109">
        <f t="shared" si="992"/>
        <v>0</v>
      </c>
      <c r="Y819" s="99">
        <f t="shared" si="8"/>
        <v>47613.650279479036</v>
      </c>
      <c r="Z819" s="108">
        <f t="shared" si="993"/>
        <v>47613.650279479036</v>
      </c>
      <c r="AA819" s="108"/>
      <c r="AB819" s="108"/>
      <c r="AC819" s="108"/>
      <c r="AD819" s="109">
        <f t="shared" si="994"/>
        <v>0</v>
      </c>
      <c r="AE819" s="99">
        <f t="shared" si="1007"/>
        <v>21.727164197424003</v>
      </c>
      <c r="AF819" s="101">
        <f t="shared" si="849"/>
        <v>36</v>
      </c>
      <c r="AG819" s="101">
        <f t="shared" si="995"/>
        <v>19.001300000000001</v>
      </c>
      <c r="AH819" s="101">
        <f t="shared" si="851"/>
        <v>657</v>
      </c>
      <c r="AI819" s="101">
        <f t="shared" si="852"/>
        <v>200</v>
      </c>
      <c r="AJ819" s="108">
        <f t="shared" si="996"/>
        <v>1.6666666666666667</v>
      </c>
      <c r="AK819" s="101">
        <f t="shared" si="461"/>
        <v>9919.5104748914655</v>
      </c>
      <c r="AL819" s="101">
        <f t="shared" si="997"/>
        <v>9919.5104748914655</v>
      </c>
      <c r="AM819" s="101"/>
      <c r="AN819" s="101"/>
      <c r="AO819" s="1">
        <v>36</v>
      </c>
      <c r="AP819" s="2">
        <v>36</v>
      </c>
      <c r="AQ819" s="74">
        <f t="shared" si="998"/>
        <v>657</v>
      </c>
      <c r="AR819" s="31">
        <f t="shared" si="999"/>
        <v>6</v>
      </c>
      <c r="AS819" s="2">
        <f t="shared" si="1000"/>
        <v>0</v>
      </c>
      <c r="AT819" s="33">
        <f t="shared" si="1001"/>
        <v>0</v>
      </c>
      <c r="AU819" s="31">
        <f t="shared" si="1002"/>
        <v>0</v>
      </c>
      <c r="AV819" s="2">
        <f t="shared" si="1003"/>
        <v>0</v>
      </c>
      <c r="AW819" s="33">
        <f t="shared" si="1004"/>
        <v>1.5</v>
      </c>
      <c r="AX819" s="31">
        <f t="shared" si="1005"/>
        <v>1</v>
      </c>
      <c r="AY819" s="33">
        <f t="shared" si="1006"/>
        <v>1.6</v>
      </c>
      <c r="AZ819" s="2"/>
      <c r="BA819" s="101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</row>
    <row r="820" spans="1:71" ht="12" customHeight="1">
      <c r="A820" s="2"/>
      <c r="B820" s="107">
        <v>745</v>
      </c>
      <c r="C820" s="31">
        <v>10</v>
      </c>
      <c r="D820" s="111" t="s">
        <v>21</v>
      </c>
      <c r="E820" s="2" t="s">
        <v>99</v>
      </c>
      <c r="F820" s="2"/>
      <c r="G820" s="2"/>
      <c r="H820" s="33"/>
      <c r="I820" s="99">
        <f t="shared" si="0"/>
        <v>766.31794735563562</v>
      </c>
      <c r="J820" s="101">
        <f t="shared" si="1"/>
        <v>23.695174714659018</v>
      </c>
      <c r="K820" s="101">
        <f t="shared" si="2"/>
        <v>289</v>
      </c>
      <c r="L820" s="74">
        <f t="shared" si="535"/>
        <v>200</v>
      </c>
      <c r="M820" s="99">
        <f t="shared" si="191"/>
        <v>21247.823553762631</v>
      </c>
      <c r="N820" s="108">
        <f t="shared" si="690"/>
        <v>18886.954270011229</v>
      </c>
      <c r="O820" s="108"/>
      <c r="P820" s="108"/>
      <c r="Q820" s="108"/>
      <c r="R820" s="109">
        <f t="shared" si="990"/>
        <v>2360.8692837514036</v>
      </c>
      <c r="S820" s="99">
        <f t="shared" si="694"/>
        <v>17855.118854804638</v>
      </c>
      <c r="T820" s="108">
        <f t="shared" si="991"/>
        <v>15871.216759826346</v>
      </c>
      <c r="U820" s="108"/>
      <c r="V820" s="108"/>
      <c r="W820" s="108"/>
      <c r="X820" s="109">
        <f t="shared" si="992"/>
        <v>1983.9020949782932</v>
      </c>
      <c r="Y820" s="99">
        <f t="shared" si="8"/>
        <v>35710.237709609275</v>
      </c>
      <c r="Z820" s="108">
        <f t="shared" si="993"/>
        <v>31742.433519652692</v>
      </c>
      <c r="AA820" s="108"/>
      <c r="AB820" s="108"/>
      <c r="AC820" s="108"/>
      <c r="AD820" s="109">
        <f t="shared" si="994"/>
        <v>3967.8041899565865</v>
      </c>
      <c r="AE820" s="99">
        <f t="shared" si="1007"/>
        <v>27.727164197424003</v>
      </c>
      <c r="AF820" s="101">
        <f t="shared" si="849"/>
        <v>36</v>
      </c>
      <c r="AG820" s="101">
        <f t="shared" si="995"/>
        <v>19.001300000000001</v>
      </c>
      <c r="AH820" s="101">
        <f t="shared" si="851"/>
        <v>657</v>
      </c>
      <c r="AI820" s="101">
        <f t="shared" si="852"/>
        <v>200</v>
      </c>
      <c r="AJ820" s="108">
        <f t="shared" si="996"/>
        <v>1.6666666666666667</v>
      </c>
      <c r="AK820" s="101">
        <f t="shared" si="461"/>
        <v>9919.5104748914655</v>
      </c>
      <c r="AL820" s="101">
        <f t="shared" si="997"/>
        <v>9919.5104748914655</v>
      </c>
      <c r="AM820" s="101"/>
      <c r="AN820" s="101"/>
      <c r="AO820" s="1">
        <v>36</v>
      </c>
      <c r="AP820" s="2">
        <v>36</v>
      </c>
      <c r="AQ820" s="74">
        <f t="shared" si="998"/>
        <v>657</v>
      </c>
      <c r="AR820" s="31">
        <f t="shared" si="999"/>
        <v>0</v>
      </c>
      <c r="AS820" s="2">
        <f t="shared" si="1000"/>
        <v>0.2</v>
      </c>
      <c r="AT820" s="33">
        <f t="shared" si="1001"/>
        <v>0</v>
      </c>
      <c r="AU820" s="31">
        <f t="shared" si="1002"/>
        <v>0</v>
      </c>
      <c r="AV820" s="2">
        <f t="shared" si="1003"/>
        <v>0</v>
      </c>
      <c r="AW820" s="33">
        <f t="shared" si="1004"/>
        <v>1</v>
      </c>
      <c r="AX820" s="31">
        <f t="shared" si="1005"/>
        <v>1</v>
      </c>
      <c r="AY820" s="33">
        <f t="shared" si="1006"/>
        <v>1.6</v>
      </c>
      <c r="AZ820" s="2"/>
      <c r="BA820" s="101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</row>
    <row r="821" spans="1:71" ht="12" customHeight="1">
      <c r="A821" s="2"/>
      <c r="B821" s="107">
        <v>746</v>
      </c>
      <c r="C821" s="31">
        <v>10</v>
      </c>
      <c r="D821" s="111" t="s">
        <v>21</v>
      </c>
      <c r="E821" s="2" t="s">
        <v>170</v>
      </c>
      <c r="F821" s="2"/>
      <c r="G821" s="2"/>
      <c r="H821" s="33"/>
      <c r="I821" s="99">
        <f t="shared" si="0"/>
        <v>894.03760524824168</v>
      </c>
      <c r="J821" s="101">
        <f t="shared" si="1"/>
        <v>23.695174714659018</v>
      </c>
      <c r="K821" s="101">
        <f t="shared" si="2"/>
        <v>208</v>
      </c>
      <c r="L821" s="74">
        <f t="shared" si="535"/>
        <v>154</v>
      </c>
      <c r="M821" s="99">
        <f t="shared" si="191"/>
        <v>24789.127479389739</v>
      </c>
      <c r="N821" s="108">
        <f t="shared" si="690"/>
        <v>18886.954270011229</v>
      </c>
      <c r="O821" s="108"/>
      <c r="P821" s="108"/>
      <c r="Q821" s="108"/>
      <c r="R821" s="109">
        <f t="shared" si="990"/>
        <v>5902.1732093785085</v>
      </c>
      <c r="S821" s="99">
        <f t="shared" si="694"/>
        <v>20830.971997272078</v>
      </c>
      <c r="T821" s="108">
        <f t="shared" si="991"/>
        <v>15871.216759826346</v>
      </c>
      <c r="U821" s="108"/>
      <c r="V821" s="108"/>
      <c r="W821" s="108"/>
      <c r="X821" s="109">
        <f t="shared" si="992"/>
        <v>4959.7552374457327</v>
      </c>
      <c r="Y821" s="99">
        <f t="shared" si="8"/>
        <v>41661.943994544155</v>
      </c>
      <c r="Z821" s="108">
        <f t="shared" si="993"/>
        <v>31742.433519652692</v>
      </c>
      <c r="AA821" s="108"/>
      <c r="AB821" s="108"/>
      <c r="AC821" s="108"/>
      <c r="AD821" s="109">
        <f t="shared" si="994"/>
        <v>9919.5104748914655</v>
      </c>
      <c r="AE821" s="99">
        <f t="shared" si="1007"/>
        <v>27.727164197424003</v>
      </c>
      <c r="AF821" s="101">
        <f t="shared" si="849"/>
        <v>36</v>
      </c>
      <c r="AG821" s="101">
        <f t="shared" si="995"/>
        <v>19.001300000000001</v>
      </c>
      <c r="AH821" s="101">
        <f t="shared" si="851"/>
        <v>657</v>
      </c>
      <c r="AI821" s="101">
        <f t="shared" si="852"/>
        <v>200</v>
      </c>
      <c r="AJ821" s="108">
        <f t="shared" si="996"/>
        <v>1.6666666666666667</v>
      </c>
      <c r="AK821" s="101">
        <f t="shared" si="461"/>
        <v>9919.5104748914655</v>
      </c>
      <c r="AL821" s="101">
        <f t="shared" si="997"/>
        <v>9919.5104748914655</v>
      </c>
      <c r="AM821" s="101"/>
      <c r="AN821" s="101"/>
      <c r="AO821" s="1">
        <v>36</v>
      </c>
      <c r="AP821" s="2">
        <v>36</v>
      </c>
      <c r="AQ821" s="74">
        <f t="shared" si="998"/>
        <v>657</v>
      </c>
      <c r="AR821" s="31">
        <f t="shared" si="999"/>
        <v>0</v>
      </c>
      <c r="AS821" s="2">
        <f t="shared" si="1000"/>
        <v>0.2</v>
      </c>
      <c r="AT821" s="33">
        <f t="shared" si="1001"/>
        <v>0</v>
      </c>
      <c r="AU821" s="31">
        <f t="shared" si="1002"/>
        <v>0.3</v>
      </c>
      <c r="AV821" s="2">
        <f t="shared" si="1003"/>
        <v>0</v>
      </c>
      <c r="AW821" s="33">
        <f t="shared" si="1004"/>
        <v>1</v>
      </c>
      <c r="AX821" s="31">
        <f t="shared" si="1005"/>
        <v>1</v>
      </c>
      <c r="AY821" s="33">
        <f t="shared" si="1006"/>
        <v>1.6</v>
      </c>
      <c r="AZ821" s="2"/>
      <c r="BA821" s="101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</row>
    <row r="822" spans="1:71" ht="12" customHeight="1">
      <c r="A822" s="2"/>
      <c r="B822" s="107">
        <v>747</v>
      </c>
      <c r="C822" s="31">
        <v>10</v>
      </c>
      <c r="D822" s="111" t="s">
        <v>21</v>
      </c>
      <c r="E822" s="2" t="s">
        <v>108</v>
      </c>
      <c r="F822" s="2"/>
      <c r="G822" s="2" t="s">
        <v>177</v>
      </c>
      <c r="H822" s="33"/>
      <c r="I822" s="99">
        <f t="shared" si="0"/>
        <v>1106.903701735918</v>
      </c>
      <c r="J822" s="101">
        <f t="shared" si="1"/>
        <v>23.695174714659018</v>
      </c>
      <c r="K822" s="101">
        <f t="shared" si="2"/>
        <v>120</v>
      </c>
      <c r="L822" s="74">
        <f t="shared" si="535"/>
        <v>99</v>
      </c>
      <c r="M822" s="99">
        <f t="shared" si="191"/>
        <v>30691.300688768246</v>
      </c>
      <c r="N822" s="108">
        <f t="shared" si="690"/>
        <v>28330.431405016843</v>
      </c>
      <c r="O822" s="108"/>
      <c r="P822" s="108"/>
      <c r="Q822" s="108"/>
      <c r="R822" s="109">
        <f t="shared" si="990"/>
        <v>2360.8692837514036</v>
      </c>
      <c r="S822" s="99">
        <f t="shared" si="694"/>
        <v>25790.727234717811</v>
      </c>
      <c r="T822" s="108">
        <f t="shared" si="991"/>
        <v>23806.825139739518</v>
      </c>
      <c r="U822" s="108"/>
      <c r="V822" s="108"/>
      <c r="W822" s="108"/>
      <c r="X822" s="109">
        <f t="shared" si="992"/>
        <v>1983.9020949782932</v>
      </c>
      <c r="Y822" s="99">
        <f t="shared" si="8"/>
        <v>51581.454469435623</v>
      </c>
      <c r="Z822" s="108">
        <f t="shared" si="993"/>
        <v>47613.650279479036</v>
      </c>
      <c r="AA822" s="108"/>
      <c r="AB822" s="108"/>
      <c r="AC822" s="108"/>
      <c r="AD822" s="109">
        <f t="shared" si="994"/>
        <v>3967.8041899565865</v>
      </c>
      <c r="AE822" s="99">
        <f t="shared" si="1007"/>
        <v>27.727164197424003</v>
      </c>
      <c r="AF822" s="101">
        <f t="shared" si="849"/>
        <v>36</v>
      </c>
      <c r="AG822" s="101">
        <f t="shared" si="995"/>
        <v>19.001300000000001</v>
      </c>
      <c r="AH822" s="101">
        <f t="shared" si="851"/>
        <v>657</v>
      </c>
      <c r="AI822" s="101">
        <f t="shared" si="852"/>
        <v>200</v>
      </c>
      <c r="AJ822" s="108">
        <f t="shared" si="996"/>
        <v>1.6666666666666667</v>
      </c>
      <c r="AK822" s="101">
        <f t="shared" si="461"/>
        <v>9919.5104748914655</v>
      </c>
      <c r="AL822" s="101">
        <f t="shared" si="997"/>
        <v>9919.5104748914655</v>
      </c>
      <c r="AM822" s="101"/>
      <c r="AN822" s="101"/>
      <c r="AO822" s="1">
        <v>36</v>
      </c>
      <c r="AP822" s="2">
        <v>36</v>
      </c>
      <c r="AQ822" s="74">
        <f t="shared" si="998"/>
        <v>657</v>
      </c>
      <c r="AR822" s="31">
        <f t="shared" si="999"/>
        <v>0</v>
      </c>
      <c r="AS822" s="2">
        <f t="shared" si="1000"/>
        <v>0.2</v>
      </c>
      <c r="AT822" s="33">
        <f t="shared" si="1001"/>
        <v>0</v>
      </c>
      <c r="AU822" s="31">
        <f t="shared" si="1002"/>
        <v>0</v>
      </c>
      <c r="AV822" s="2">
        <f t="shared" si="1003"/>
        <v>0</v>
      </c>
      <c r="AW822" s="33">
        <f t="shared" si="1004"/>
        <v>1.5</v>
      </c>
      <c r="AX822" s="31">
        <f t="shared" si="1005"/>
        <v>1</v>
      </c>
      <c r="AY822" s="33">
        <f t="shared" si="1006"/>
        <v>1.6</v>
      </c>
      <c r="AZ822" s="2"/>
      <c r="BA822" s="101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</row>
    <row r="823" spans="1:71" ht="12" customHeight="1">
      <c r="A823" s="2"/>
      <c r="B823" s="107">
        <v>748</v>
      </c>
      <c r="C823" s="31">
        <v>7</v>
      </c>
      <c r="D823" s="111" t="s">
        <v>21</v>
      </c>
      <c r="E823" s="2" t="s">
        <v>67</v>
      </c>
      <c r="F823" s="2"/>
      <c r="G823" s="2"/>
      <c r="H823" s="33"/>
      <c r="I823" s="99">
        <f t="shared" si="0"/>
        <v>407.61974084795605</v>
      </c>
      <c r="J823" s="101">
        <f t="shared" si="1"/>
        <v>16.518097441877977</v>
      </c>
      <c r="K823" s="101">
        <f t="shared" si="2"/>
        <v>722</v>
      </c>
      <c r="L823" s="74">
        <f t="shared" si="535"/>
        <v>374</v>
      </c>
      <c r="M823" s="99">
        <f t="shared" si="191"/>
        <v>11302.139484602698</v>
      </c>
      <c r="N823" s="108">
        <f t="shared" si="690"/>
        <v>11302.139484602698</v>
      </c>
      <c r="O823" s="108"/>
      <c r="P823" s="108"/>
      <c r="Q823" s="108"/>
      <c r="R823" s="109">
        <f t="shared" si="990"/>
        <v>0</v>
      </c>
      <c r="S823" s="99">
        <f t="shared" si="694"/>
        <v>9497.4924514292688</v>
      </c>
      <c r="T823" s="108">
        <f t="shared" si="991"/>
        <v>9497.4924514292688</v>
      </c>
      <c r="U823" s="108"/>
      <c r="V823" s="108"/>
      <c r="W823" s="108"/>
      <c r="X823" s="109">
        <f t="shared" si="992"/>
        <v>0</v>
      </c>
      <c r="Y823" s="99">
        <f t="shared" si="8"/>
        <v>18994.984902858538</v>
      </c>
      <c r="Z823" s="108">
        <f t="shared" si="993"/>
        <v>18994.984902858538</v>
      </c>
      <c r="AA823" s="108"/>
      <c r="AB823" s="108"/>
      <c r="AC823" s="108"/>
      <c r="AD823" s="109">
        <f t="shared" si="994"/>
        <v>0</v>
      </c>
      <c r="AE823" s="99">
        <f t="shared" si="1007"/>
        <v>27.727164197424003</v>
      </c>
      <c r="AF823" s="101">
        <f t="shared" si="849"/>
        <v>36</v>
      </c>
      <c r="AG823" s="101">
        <f t="shared" si="995"/>
        <v>19.001300000000001</v>
      </c>
      <c r="AH823" s="101">
        <f t="shared" si="851"/>
        <v>458</v>
      </c>
      <c r="AI823" s="101">
        <f t="shared" si="852"/>
        <v>200</v>
      </c>
      <c r="AJ823" s="108">
        <f t="shared" si="996"/>
        <v>1.6666666666666667</v>
      </c>
      <c r="AK823" s="101">
        <f t="shared" si="461"/>
        <v>9497.4924514292688</v>
      </c>
      <c r="AL823" s="101">
        <f t="shared" si="997"/>
        <v>9497.4924514292688</v>
      </c>
      <c r="AM823" s="101"/>
      <c r="AN823" s="101"/>
      <c r="AO823" s="1">
        <v>36</v>
      </c>
      <c r="AP823" s="2">
        <v>36</v>
      </c>
      <c r="AQ823" s="74">
        <f t="shared" si="998"/>
        <v>458</v>
      </c>
      <c r="AR823" s="31">
        <f t="shared" si="999"/>
        <v>0</v>
      </c>
      <c r="AS823" s="2">
        <f t="shared" si="1000"/>
        <v>0</v>
      </c>
      <c r="AT823" s="33">
        <f t="shared" si="1001"/>
        <v>0</v>
      </c>
      <c r="AU823" s="31">
        <f t="shared" si="1002"/>
        <v>0</v>
      </c>
      <c r="AV823" s="2">
        <f t="shared" si="1003"/>
        <v>0</v>
      </c>
      <c r="AW823" s="33">
        <f t="shared" si="1004"/>
        <v>1</v>
      </c>
      <c r="AX823" s="31">
        <f t="shared" si="1005"/>
        <v>1</v>
      </c>
      <c r="AY823" s="33">
        <f t="shared" si="1006"/>
        <v>1</v>
      </c>
      <c r="AZ823" s="2"/>
      <c r="BA823" s="101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</row>
    <row r="824" spans="1:71" ht="12" customHeight="1">
      <c r="A824" s="2"/>
      <c r="B824" s="107">
        <v>749</v>
      </c>
      <c r="C824" s="31">
        <v>7</v>
      </c>
      <c r="D824" s="111" t="s">
        <v>21</v>
      </c>
      <c r="E824" s="2" t="s">
        <v>136</v>
      </c>
      <c r="F824" s="2"/>
      <c r="G824" s="2"/>
      <c r="H824" s="33"/>
      <c r="I824" s="99">
        <f t="shared" si="0"/>
        <v>529.90566310234294</v>
      </c>
      <c r="J824" s="101">
        <f t="shared" si="1"/>
        <v>16.518097441877977</v>
      </c>
      <c r="K824" s="101">
        <f t="shared" si="2"/>
        <v>563</v>
      </c>
      <c r="L824" s="74">
        <f t="shared" si="535"/>
        <v>308</v>
      </c>
      <c r="M824" s="99">
        <f t="shared" si="191"/>
        <v>14692.781329983507</v>
      </c>
      <c r="N824" s="108">
        <f t="shared" si="690"/>
        <v>11302.139484602698</v>
      </c>
      <c r="O824" s="108"/>
      <c r="P824" s="108"/>
      <c r="Q824" s="108"/>
      <c r="R824" s="109">
        <f t="shared" si="990"/>
        <v>3390.6418453808096</v>
      </c>
      <c r="S824" s="99">
        <f t="shared" si="694"/>
        <v>12346.740186858049</v>
      </c>
      <c r="T824" s="108">
        <f t="shared" si="991"/>
        <v>9497.4924514292688</v>
      </c>
      <c r="U824" s="108"/>
      <c r="V824" s="108"/>
      <c r="W824" s="108"/>
      <c r="X824" s="109">
        <f t="shared" si="992"/>
        <v>2849.2477354287807</v>
      </c>
      <c r="Y824" s="99">
        <f t="shared" si="8"/>
        <v>24693.480373716098</v>
      </c>
      <c r="Z824" s="108">
        <f t="shared" si="993"/>
        <v>18994.984902858538</v>
      </c>
      <c r="AA824" s="108"/>
      <c r="AB824" s="108"/>
      <c r="AC824" s="108"/>
      <c r="AD824" s="109">
        <f t="shared" si="994"/>
        <v>5698.4954708575624</v>
      </c>
      <c r="AE824" s="99">
        <f t="shared" si="1007"/>
        <v>27.727164197424003</v>
      </c>
      <c r="AF824" s="101">
        <f t="shared" si="849"/>
        <v>36</v>
      </c>
      <c r="AG824" s="101">
        <f t="shared" si="995"/>
        <v>19.001300000000001</v>
      </c>
      <c r="AH824" s="101">
        <f t="shared" si="851"/>
        <v>458</v>
      </c>
      <c r="AI824" s="101">
        <f t="shared" si="852"/>
        <v>200</v>
      </c>
      <c r="AJ824" s="108">
        <f t="shared" si="996"/>
        <v>1.6666666666666667</v>
      </c>
      <c r="AK824" s="101">
        <f t="shared" si="461"/>
        <v>9497.4924514292688</v>
      </c>
      <c r="AL824" s="101">
        <f t="shared" si="997"/>
        <v>9497.4924514292688</v>
      </c>
      <c r="AM824" s="101"/>
      <c r="AN824" s="101"/>
      <c r="AO824" s="1">
        <v>36</v>
      </c>
      <c r="AP824" s="2">
        <v>36</v>
      </c>
      <c r="AQ824" s="74">
        <f t="shared" si="998"/>
        <v>458</v>
      </c>
      <c r="AR824" s="31">
        <f t="shared" si="999"/>
        <v>0</v>
      </c>
      <c r="AS824" s="2">
        <f t="shared" si="1000"/>
        <v>0</v>
      </c>
      <c r="AT824" s="33">
        <f t="shared" si="1001"/>
        <v>0</v>
      </c>
      <c r="AU824" s="31">
        <f t="shared" si="1002"/>
        <v>0.3</v>
      </c>
      <c r="AV824" s="2">
        <f t="shared" si="1003"/>
        <v>0</v>
      </c>
      <c r="AW824" s="33">
        <f t="shared" si="1004"/>
        <v>1</v>
      </c>
      <c r="AX824" s="31">
        <f t="shared" si="1005"/>
        <v>1</v>
      </c>
      <c r="AY824" s="33">
        <f t="shared" si="1006"/>
        <v>1</v>
      </c>
      <c r="AZ824" s="2"/>
      <c r="BA824" s="101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</row>
    <row r="825" spans="1:71" ht="12" customHeight="1">
      <c r="A825" s="2"/>
      <c r="B825" s="107">
        <v>750</v>
      </c>
      <c r="C825" s="31">
        <v>7</v>
      </c>
      <c r="D825" s="111" t="s">
        <v>21</v>
      </c>
      <c r="E825" s="2" t="s">
        <v>91</v>
      </c>
      <c r="F825" s="2"/>
      <c r="G825" s="2" t="s">
        <v>177</v>
      </c>
      <c r="H825" s="33"/>
      <c r="I825" s="99">
        <f t="shared" si="0"/>
        <v>611.42961127193416</v>
      </c>
      <c r="J825" s="101">
        <f t="shared" si="1"/>
        <v>16.518097441877977</v>
      </c>
      <c r="K825" s="101">
        <f t="shared" si="2"/>
        <v>450</v>
      </c>
      <c r="L825" s="74">
        <f t="shared" si="535"/>
        <v>263</v>
      </c>
      <c r="M825" s="99">
        <f t="shared" si="191"/>
        <v>16953.209226904048</v>
      </c>
      <c r="N825" s="108">
        <f t="shared" si="690"/>
        <v>16953.209226904048</v>
      </c>
      <c r="O825" s="108"/>
      <c r="P825" s="108"/>
      <c r="Q825" s="108"/>
      <c r="R825" s="109">
        <f t="shared" si="990"/>
        <v>0</v>
      </c>
      <c r="S825" s="99">
        <f t="shared" si="694"/>
        <v>14246.238677143903</v>
      </c>
      <c r="T825" s="108">
        <f t="shared" si="991"/>
        <v>14246.238677143903</v>
      </c>
      <c r="U825" s="108"/>
      <c r="V825" s="108"/>
      <c r="W825" s="108"/>
      <c r="X825" s="109">
        <f t="shared" si="992"/>
        <v>0</v>
      </c>
      <c r="Y825" s="99">
        <f t="shared" si="8"/>
        <v>28492.477354287807</v>
      </c>
      <c r="Z825" s="108">
        <f t="shared" si="993"/>
        <v>28492.477354287807</v>
      </c>
      <c r="AA825" s="108"/>
      <c r="AB825" s="108"/>
      <c r="AC825" s="108"/>
      <c r="AD825" s="109">
        <f t="shared" si="994"/>
        <v>0</v>
      </c>
      <c r="AE825" s="99">
        <f t="shared" si="1007"/>
        <v>27.727164197424003</v>
      </c>
      <c r="AF825" s="101">
        <f t="shared" si="849"/>
        <v>36</v>
      </c>
      <c r="AG825" s="101">
        <f t="shared" si="995"/>
        <v>19.001300000000001</v>
      </c>
      <c r="AH825" s="101">
        <f t="shared" si="851"/>
        <v>458</v>
      </c>
      <c r="AI825" s="101">
        <f t="shared" si="852"/>
        <v>200</v>
      </c>
      <c r="AJ825" s="108">
        <f t="shared" si="996"/>
        <v>1.6666666666666667</v>
      </c>
      <c r="AK825" s="101">
        <f t="shared" si="461"/>
        <v>9497.4924514292688</v>
      </c>
      <c r="AL825" s="101">
        <f t="shared" si="997"/>
        <v>9497.4924514292688</v>
      </c>
      <c r="AM825" s="101"/>
      <c r="AN825" s="101"/>
      <c r="AO825" s="1">
        <v>36</v>
      </c>
      <c r="AP825" s="2">
        <v>36</v>
      </c>
      <c r="AQ825" s="74">
        <f t="shared" si="998"/>
        <v>458</v>
      </c>
      <c r="AR825" s="31">
        <f t="shared" si="999"/>
        <v>0</v>
      </c>
      <c r="AS825" s="2">
        <f t="shared" si="1000"/>
        <v>0</v>
      </c>
      <c r="AT825" s="33">
        <f t="shared" si="1001"/>
        <v>0</v>
      </c>
      <c r="AU825" s="31">
        <f t="shared" si="1002"/>
        <v>0</v>
      </c>
      <c r="AV825" s="2">
        <f t="shared" si="1003"/>
        <v>0</v>
      </c>
      <c r="AW825" s="33">
        <f t="shared" si="1004"/>
        <v>1.5</v>
      </c>
      <c r="AX825" s="31">
        <f t="shared" si="1005"/>
        <v>1</v>
      </c>
      <c r="AY825" s="33">
        <f t="shared" si="1006"/>
        <v>1</v>
      </c>
      <c r="AZ825" s="2"/>
      <c r="BA825" s="101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</row>
    <row r="826" spans="1:71" ht="12" customHeight="1">
      <c r="A826" s="2"/>
      <c r="B826" s="107">
        <v>751</v>
      </c>
      <c r="C826" s="31">
        <v>7</v>
      </c>
      <c r="D826" s="111" t="s">
        <v>21</v>
      </c>
      <c r="E826" s="2" t="s">
        <v>148</v>
      </c>
      <c r="F826" s="2"/>
      <c r="G826" s="2"/>
      <c r="H826" s="33"/>
      <c r="I826" s="99">
        <f t="shared" si="0"/>
        <v>520.18475038462191</v>
      </c>
      <c r="J826" s="101">
        <f t="shared" si="1"/>
        <v>21.079603202626</v>
      </c>
      <c r="K826" s="101">
        <f t="shared" si="2"/>
        <v>575</v>
      </c>
      <c r="L826" s="74">
        <f t="shared" si="535"/>
        <v>316</v>
      </c>
      <c r="M826" s="99">
        <f t="shared" si="191"/>
        <v>11302.139484602698</v>
      </c>
      <c r="N826" s="108">
        <f t="shared" si="690"/>
        <v>11302.139484602698</v>
      </c>
      <c r="O826" s="108"/>
      <c r="P826" s="108"/>
      <c r="Q826" s="108"/>
      <c r="R826" s="109">
        <f t="shared" si="990"/>
        <v>0</v>
      </c>
      <c r="S826" s="99">
        <f t="shared" si="694"/>
        <v>9497.4924514292688</v>
      </c>
      <c r="T826" s="108">
        <f t="shared" si="991"/>
        <v>9497.4924514292688</v>
      </c>
      <c r="U826" s="108"/>
      <c r="V826" s="108"/>
      <c r="W826" s="108"/>
      <c r="X826" s="109">
        <f t="shared" si="992"/>
        <v>0</v>
      </c>
      <c r="Y826" s="99">
        <f t="shared" si="8"/>
        <v>18994.984902858538</v>
      </c>
      <c r="Z826" s="108">
        <f t="shared" si="993"/>
        <v>18994.984902858538</v>
      </c>
      <c r="AA826" s="108"/>
      <c r="AB826" s="108"/>
      <c r="AC826" s="108"/>
      <c r="AD826" s="109">
        <f t="shared" si="994"/>
        <v>0</v>
      </c>
      <c r="AE826" s="99">
        <f t="shared" si="1007"/>
        <v>21.727164197424003</v>
      </c>
      <c r="AF826" s="101">
        <f t="shared" si="849"/>
        <v>36</v>
      </c>
      <c r="AG826" s="101">
        <f t="shared" si="995"/>
        <v>19.001300000000001</v>
      </c>
      <c r="AH826" s="101">
        <f t="shared" si="851"/>
        <v>458</v>
      </c>
      <c r="AI826" s="101">
        <f t="shared" si="852"/>
        <v>200</v>
      </c>
      <c r="AJ826" s="108">
        <f t="shared" si="996"/>
        <v>1.6666666666666667</v>
      </c>
      <c r="AK826" s="101">
        <f t="shared" si="461"/>
        <v>9497.4924514292688</v>
      </c>
      <c r="AL826" s="101">
        <f t="shared" si="997"/>
        <v>9497.4924514292688</v>
      </c>
      <c r="AM826" s="101"/>
      <c r="AN826" s="101"/>
      <c r="AO826" s="1">
        <v>36</v>
      </c>
      <c r="AP826" s="2">
        <v>36</v>
      </c>
      <c r="AQ826" s="74">
        <f t="shared" si="998"/>
        <v>458</v>
      </c>
      <c r="AR826" s="31">
        <f t="shared" si="999"/>
        <v>6</v>
      </c>
      <c r="AS826" s="2">
        <f t="shared" si="1000"/>
        <v>0</v>
      </c>
      <c r="AT826" s="33">
        <f t="shared" si="1001"/>
        <v>0</v>
      </c>
      <c r="AU826" s="31">
        <f t="shared" si="1002"/>
        <v>0</v>
      </c>
      <c r="AV826" s="2">
        <f t="shared" si="1003"/>
        <v>0</v>
      </c>
      <c r="AW826" s="33">
        <f t="shared" si="1004"/>
        <v>1</v>
      </c>
      <c r="AX826" s="31">
        <f t="shared" si="1005"/>
        <v>1</v>
      </c>
      <c r="AY826" s="33">
        <f t="shared" si="1006"/>
        <v>1</v>
      </c>
      <c r="AZ826" s="2"/>
      <c r="BA826" s="101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</row>
    <row r="827" spans="1:71" ht="12" customHeight="1">
      <c r="A827" s="2"/>
      <c r="B827" s="107">
        <v>752</v>
      </c>
      <c r="C827" s="31">
        <v>7</v>
      </c>
      <c r="D827" s="111" t="s">
        <v>21</v>
      </c>
      <c r="E827" s="2" t="s">
        <v>163</v>
      </c>
      <c r="F827" s="2"/>
      <c r="G827" s="2"/>
      <c r="H827" s="33"/>
      <c r="I827" s="99">
        <f t="shared" si="0"/>
        <v>676.24017550000838</v>
      </c>
      <c r="J827" s="101">
        <f t="shared" si="1"/>
        <v>21.079603202626</v>
      </c>
      <c r="K827" s="101">
        <f t="shared" si="2"/>
        <v>378</v>
      </c>
      <c r="L827" s="74">
        <f t="shared" si="535"/>
        <v>241</v>
      </c>
      <c r="M827" s="99">
        <f t="shared" si="191"/>
        <v>14692.781329983507</v>
      </c>
      <c r="N827" s="108">
        <f t="shared" si="690"/>
        <v>11302.139484602698</v>
      </c>
      <c r="O827" s="108"/>
      <c r="P827" s="108"/>
      <c r="Q827" s="108"/>
      <c r="R827" s="109">
        <f t="shared" si="990"/>
        <v>3390.6418453808096</v>
      </c>
      <c r="S827" s="99">
        <f t="shared" si="694"/>
        <v>12346.740186858049</v>
      </c>
      <c r="T827" s="108">
        <f t="shared" si="991"/>
        <v>9497.4924514292688</v>
      </c>
      <c r="U827" s="108"/>
      <c r="V827" s="108"/>
      <c r="W827" s="108"/>
      <c r="X827" s="109">
        <f t="shared" si="992"/>
        <v>2849.2477354287807</v>
      </c>
      <c r="Y827" s="99">
        <f t="shared" si="8"/>
        <v>24693.480373716098</v>
      </c>
      <c r="Z827" s="108">
        <f t="shared" si="993"/>
        <v>18994.984902858538</v>
      </c>
      <c r="AA827" s="108"/>
      <c r="AB827" s="108"/>
      <c r="AC827" s="108"/>
      <c r="AD827" s="109">
        <f t="shared" si="994"/>
        <v>5698.4954708575624</v>
      </c>
      <c r="AE827" s="99">
        <f t="shared" si="1007"/>
        <v>21.727164197424003</v>
      </c>
      <c r="AF827" s="101">
        <f t="shared" si="849"/>
        <v>36</v>
      </c>
      <c r="AG827" s="101">
        <f t="shared" si="995"/>
        <v>19.001300000000001</v>
      </c>
      <c r="AH827" s="101">
        <f t="shared" si="851"/>
        <v>458</v>
      </c>
      <c r="AI827" s="101">
        <f t="shared" si="852"/>
        <v>200</v>
      </c>
      <c r="AJ827" s="108">
        <f t="shared" si="996"/>
        <v>1.6666666666666667</v>
      </c>
      <c r="AK827" s="101">
        <f t="shared" si="461"/>
        <v>9497.4924514292688</v>
      </c>
      <c r="AL827" s="101">
        <f t="shared" si="997"/>
        <v>9497.4924514292688</v>
      </c>
      <c r="AM827" s="101"/>
      <c r="AN827" s="101"/>
      <c r="AO827" s="1">
        <v>36</v>
      </c>
      <c r="AP827" s="2">
        <v>36</v>
      </c>
      <c r="AQ827" s="74">
        <f t="shared" si="998"/>
        <v>458</v>
      </c>
      <c r="AR827" s="31">
        <f t="shared" si="999"/>
        <v>6</v>
      </c>
      <c r="AS827" s="2">
        <f t="shared" si="1000"/>
        <v>0</v>
      </c>
      <c r="AT827" s="33">
        <f t="shared" si="1001"/>
        <v>0</v>
      </c>
      <c r="AU827" s="31">
        <f t="shared" si="1002"/>
        <v>0.3</v>
      </c>
      <c r="AV827" s="2">
        <f t="shared" si="1003"/>
        <v>0</v>
      </c>
      <c r="AW827" s="33">
        <f t="shared" si="1004"/>
        <v>1</v>
      </c>
      <c r="AX827" s="31">
        <f t="shared" si="1005"/>
        <v>1</v>
      </c>
      <c r="AY827" s="33">
        <f t="shared" si="1006"/>
        <v>1</v>
      </c>
      <c r="AZ827" s="2"/>
      <c r="BA827" s="101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</row>
    <row r="828" spans="1:71" ht="12" customHeight="1">
      <c r="A828" s="2"/>
      <c r="B828" s="107">
        <v>753</v>
      </c>
      <c r="C828" s="31">
        <v>7</v>
      </c>
      <c r="D828" s="111" t="s">
        <v>21</v>
      </c>
      <c r="E828" s="2" t="s">
        <v>155</v>
      </c>
      <c r="F828" s="2"/>
      <c r="G828" s="2" t="s">
        <v>177</v>
      </c>
      <c r="H828" s="33"/>
      <c r="I828" s="99">
        <f t="shared" si="0"/>
        <v>780.2771255769328</v>
      </c>
      <c r="J828" s="101">
        <f t="shared" si="1"/>
        <v>21.079603202626</v>
      </c>
      <c r="K828" s="101">
        <f t="shared" si="2"/>
        <v>278</v>
      </c>
      <c r="L828" s="74">
        <f t="shared" si="535"/>
        <v>194</v>
      </c>
      <c r="M828" s="99">
        <f t="shared" si="191"/>
        <v>16953.209226904048</v>
      </c>
      <c r="N828" s="108">
        <f t="shared" si="690"/>
        <v>16953.209226904048</v>
      </c>
      <c r="O828" s="108"/>
      <c r="P828" s="108"/>
      <c r="Q828" s="108"/>
      <c r="R828" s="109">
        <f t="shared" si="990"/>
        <v>0</v>
      </c>
      <c r="S828" s="99">
        <f t="shared" si="694"/>
        <v>14246.238677143903</v>
      </c>
      <c r="T828" s="108">
        <f t="shared" si="991"/>
        <v>14246.238677143903</v>
      </c>
      <c r="U828" s="108"/>
      <c r="V828" s="108"/>
      <c r="W828" s="108"/>
      <c r="X828" s="109">
        <f t="shared" si="992"/>
        <v>0</v>
      </c>
      <c r="Y828" s="99">
        <f t="shared" si="8"/>
        <v>28492.477354287807</v>
      </c>
      <c r="Z828" s="108">
        <f t="shared" si="993"/>
        <v>28492.477354287807</v>
      </c>
      <c r="AA828" s="108"/>
      <c r="AB828" s="108"/>
      <c r="AC828" s="108"/>
      <c r="AD828" s="109">
        <f t="shared" si="994"/>
        <v>0</v>
      </c>
      <c r="AE828" s="99">
        <f t="shared" si="1007"/>
        <v>21.727164197424003</v>
      </c>
      <c r="AF828" s="101">
        <f t="shared" si="849"/>
        <v>36</v>
      </c>
      <c r="AG828" s="101">
        <f t="shared" si="995"/>
        <v>19.001300000000001</v>
      </c>
      <c r="AH828" s="101">
        <f t="shared" si="851"/>
        <v>458</v>
      </c>
      <c r="AI828" s="101">
        <f t="shared" si="852"/>
        <v>200</v>
      </c>
      <c r="AJ828" s="108">
        <f t="shared" si="996"/>
        <v>1.6666666666666667</v>
      </c>
      <c r="AK828" s="101">
        <f t="shared" si="461"/>
        <v>9497.4924514292688</v>
      </c>
      <c r="AL828" s="101">
        <f t="shared" si="997"/>
        <v>9497.4924514292688</v>
      </c>
      <c r="AM828" s="101"/>
      <c r="AN828" s="101"/>
      <c r="AO828" s="1">
        <v>36</v>
      </c>
      <c r="AP828" s="2">
        <v>36</v>
      </c>
      <c r="AQ828" s="74">
        <f t="shared" si="998"/>
        <v>458</v>
      </c>
      <c r="AR828" s="31">
        <f t="shared" si="999"/>
        <v>6</v>
      </c>
      <c r="AS828" s="2">
        <f t="shared" si="1000"/>
        <v>0</v>
      </c>
      <c r="AT828" s="33">
        <f t="shared" si="1001"/>
        <v>0</v>
      </c>
      <c r="AU828" s="31">
        <f t="shared" si="1002"/>
        <v>0</v>
      </c>
      <c r="AV828" s="2">
        <f t="shared" si="1003"/>
        <v>0</v>
      </c>
      <c r="AW828" s="33">
        <f t="shared" si="1004"/>
        <v>1.5</v>
      </c>
      <c r="AX828" s="31">
        <f t="shared" si="1005"/>
        <v>1</v>
      </c>
      <c r="AY828" s="33">
        <f t="shared" si="1006"/>
        <v>1</v>
      </c>
      <c r="AZ828" s="2"/>
      <c r="BA828" s="101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</row>
    <row r="829" spans="1:71" ht="12" customHeight="1">
      <c r="A829" s="2"/>
      <c r="B829" s="107">
        <v>754</v>
      </c>
      <c r="C829" s="31">
        <v>7</v>
      </c>
      <c r="D829" s="111" t="s">
        <v>21</v>
      </c>
      <c r="E829" s="2" t="s">
        <v>79</v>
      </c>
      <c r="F829" s="2"/>
      <c r="G829" s="2"/>
      <c r="H829" s="33"/>
      <c r="I829" s="99">
        <f t="shared" si="0"/>
        <v>489.14368901754727</v>
      </c>
      <c r="J829" s="101">
        <f t="shared" si="1"/>
        <v>16.518097441877977</v>
      </c>
      <c r="K829" s="101">
        <f t="shared" si="2"/>
        <v>615</v>
      </c>
      <c r="L829" s="74">
        <f t="shared" si="535"/>
        <v>335</v>
      </c>
      <c r="M829" s="99">
        <f t="shared" si="191"/>
        <v>13562.567381523237</v>
      </c>
      <c r="N829" s="108">
        <f t="shared" si="690"/>
        <v>11302.139484602698</v>
      </c>
      <c r="O829" s="108"/>
      <c r="P829" s="108"/>
      <c r="Q829" s="108"/>
      <c r="R829" s="109">
        <f t="shared" si="990"/>
        <v>2260.4278969205398</v>
      </c>
      <c r="S829" s="99">
        <f t="shared" si="694"/>
        <v>11396.990941715123</v>
      </c>
      <c r="T829" s="108">
        <f t="shared" si="991"/>
        <v>9497.4924514292688</v>
      </c>
      <c r="U829" s="108"/>
      <c r="V829" s="108"/>
      <c r="W829" s="108"/>
      <c r="X829" s="109">
        <f t="shared" si="992"/>
        <v>1899.4984902858539</v>
      </c>
      <c r="Y829" s="99">
        <f t="shared" si="8"/>
        <v>22793.981883430246</v>
      </c>
      <c r="Z829" s="108">
        <f t="shared" si="993"/>
        <v>18994.984902858538</v>
      </c>
      <c r="AA829" s="108"/>
      <c r="AB829" s="108"/>
      <c r="AC829" s="108"/>
      <c r="AD829" s="109">
        <f t="shared" si="994"/>
        <v>3798.9969805717078</v>
      </c>
      <c r="AE829" s="99">
        <f t="shared" si="1007"/>
        <v>27.727164197424003</v>
      </c>
      <c r="AF829" s="101">
        <f t="shared" si="849"/>
        <v>36</v>
      </c>
      <c r="AG829" s="101">
        <f t="shared" si="995"/>
        <v>19.001300000000001</v>
      </c>
      <c r="AH829" s="101">
        <f t="shared" si="851"/>
        <v>458</v>
      </c>
      <c r="AI829" s="101">
        <f t="shared" si="852"/>
        <v>200</v>
      </c>
      <c r="AJ829" s="108">
        <f t="shared" si="996"/>
        <v>1.6666666666666667</v>
      </c>
      <c r="AK829" s="101">
        <f t="shared" si="461"/>
        <v>9497.4924514292688</v>
      </c>
      <c r="AL829" s="101">
        <f t="shared" si="997"/>
        <v>9497.4924514292688</v>
      </c>
      <c r="AM829" s="101"/>
      <c r="AN829" s="101"/>
      <c r="AO829" s="1">
        <v>36</v>
      </c>
      <c r="AP829" s="2">
        <v>36</v>
      </c>
      <c r="AQ829" s="74">
        <f t="shared" si="998"/>
        <v>458</v>
      </c>
      <c r="AR829" s="31">
        <f t="shared" si="999"/>
        <v>0</v>
      </c>
      <c r="AS829" s="2">
        <f t="shared" si="1000"/>
        <v>0.2</v>
      </c>
      <c r="AT829" s="33">
        <f t="shared" si="1001"/>
        <v>0</v>
      </c>
      <c r="AU829" s="31">
        <f t="shared" si="1002"/>
        <v>0</v>
      </c>
      <c r="AV829" s="2">
        <f t="shared" si="1003"/>
        <v>0</v>
      </c>
      <c r="AW829" s="33">
        <f t="shared" si="1004"/>
        <v>1</v>
      </c>
      <c r="AX829" s="31">
        <f t="shared" si="1005"/>
        <v>1</v>
      </c>
      <c r="AY829" s="33">
        <f t="shared" si="1006"/>
        <v>1</v>
      </c>
      <c r="AZ829" s="2"/>
      <c r="BA829" s="101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</row>
    <row r="830" spans="1:71" ht="12" customHeight="1">
      <c r="A830" s="2"/>
      <c r="B830" s="107">
        <v>755</v>
      </c>
      <c r="C830" s="31">
        <v>7</v>
      </c>
      <c r="D830" s="111" t="s">
        <v>21</v>
      </c>
      <c r="E830" s="2" t="s">
        <v>168</v>
      </c>
      <c r="F830" s="2"/>
      <c r="G830" s="2"/>
      <c r="H830" s="33"/>
      <c r="I830" s="99">
        <f t="shared" si="0"/>
        <v>611.42961127193416</v>
      </c>
      <c r="J830" s="101">
        <f t="shared" si="1"/>
        <v>16.518097441877977</v>
      </c>
      <c r="K830" s="101">
        <f t="shared" si="2"/>
        <v>450</v>
      </c>
      <c r="L830" s="74">
        <f t="shared" si="535"/>
        <v>263</v>
      </c>
      <c r="M830" s="99">
        <f t="shared" si="191"/>
        <v>16953.209226904048</v>
      </c>
      <c r="N830" s="108">
        <f t="shared" si="690"/>
        <v>11302.139484602698</v>
      </c>
      <c r="O830" s="108"/>
      <c r="P830" s="108"/>
      <c r="Q830" s="108"/>
      <c r="R830" s="109">
        <f t="shared" si="990"/>
        <v>5651.0697423013489</v>
      </c>
      <c r="S830" s="99">
        <f t="shared" si="694"/>
        <v>14246.238677143903</v>
      </c>
      <c r="T830" s="108">
        <f t="shared" si="991"/>
        <v>9497.4924514292688</v>
      </c>
      <c r="U830" s="108"/>
      <c r="V830" s="108"/>
      <c r="W830" s="108"/>
      <c r="X830" s="109">
        <f t="shared" si="992"/>
        <v>4748.7462257146344</v>
      </c>
      <c r="Y830" s="99">
        <f t="shared" si="8"/>
        <v>28492.477354287807</v>
      </c>
      <c r="Z830" s="108">
        <f t="shared" si="993"/>
        <v>18994.984902858538</v>
      </c>
      <c r="AA830" s="108"/>
      <c r="AB830" s="108"/>
      <c r="AC830" s="108"/>
      <c r="AD830" s="109">
        <f t="shared" si="994"/>
        <v>9497.4924514292688</v>
      </c>
      <c r="AE830" s="99">
        <f t="shared" si="1007"/>
        <v>27.727164197424003</v>
      </c>
      <c r="AF830" s="101">
        <f t="shared" si="849"/>
        <v>36</v>
      </c>
      <c r="AG830" s="101">
        <f t="shared" si="995"/>
        <v>19.001300000000001</v>
      </c>
      <c r="AH830" s="101">
        <f t="shared" si="851"/>
        <v>458</v>
      </c>
      <c r="AI830" s="101">
        <f t="shared" si="852"/>
        <v>200</v>
      </c>
      <c r="AJ830" s="108">
        <f t="shared" si="996"/>
        <v>1.6666666666666667</v>
      </c>
      <c r="AK830" s="101">
        <f t="shared" si="461"/>
        <v>9497.4924514292688</v>
      </c>
      <c r="AL830" s="101">
        <f t="shared" si="997"/>
        <v>9497.4924514292688</v>
      </c>
      <c r="AM830" s="101"/>
      <c r="AN830" s="101"/>
      <c r="AO830" s="1">
        <v>36</v>
      </c>
      <c r="AP830" s="2">
        <v>36</v>
      </c>
      <c r="AQ830" s="74">
        <f t="shared" si="998"/>
        <v>458</v>
      </c>
      <c r="AR830" s="31">
        <f t="shared" si="999"/>
        <v>0</v>
      </c>
      <c r="AS830" s="2">
        <f t="shared" si="1000"/>
        <v>0.2</v>
      </c>
      <c r="AT830" s="33">
        <f t="shared" si="1001"/>
        <v>0</v>
      </c>
      <c r="AU830" s="31">
        <f t="shared" si="1002"/>
        <v>0.3</v>
      </c>
      <c r="AV830" s="2">
        <f t="shared" si="1003"/>
        <v>0</v>
      </c>
      <c r="AW830" s="33">
        <f t="shared" si="1004"/>
        <v>1</v>
      </c>
      <c r="AX830" s="31">
        <f t="shared" si="1005"/>
        <v>1</v>
      </c>
      <c r="AY830" s="33">
        <f t="shared" si="1006"/>
        <v>1</v>
      </c>
      <c r="AZ830" s="2"/>
      <c r="BA830" s="101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</row>
    <row r="831" spans="1:71" ht="12" customHeight="1">
      <c r="A831" s="2"/>
      <c r="B831" s="107">
        <v>756</v>
      </c>
      <c r="C831" s="31">
        <v>7</v>
      </c>
      <c r="D831" s="111" t="s">
        <v>21</v>
      </c>
      <c r="E831" s="2" t="s">
        <v>103</v>
      </c>
      <c r="F831" s="2"/>
      <c r="G831" s="2" t="s">
        <v>177</v>
      </c>
      <c r="H831" s="33"/>
      <c r="I831" s="99">
        <f t="shared" si="0"/>
        <v>692.95355944152539</v>
      </c>
      <c r="J831" s="101">
        <f t="shared" si="1"/>
        <v>16.518097441877977</v>
      </c>
      <c r="K831" s="101">
        <f t="shared" si="2"/>
        <v>366</v>
      </c>
      <c r="L831" s="74">
        <f t="shared" si="535"/>
        <v>234</v>
      </c>
      <c r="M831" s="99">
        <f t="shared" si="191"/>
        <v>19213.637123824588</v>
      </c>
      <c r="N831" s="108">
        <f t="shared" si="690"/>
        <v>16953.209226904048</v>
      </c>
      <c r="O831" s="108"/>
      <c r="P831" s="108"/>
      <c r="Q831" s="108"/>
      <c r="R831" s="109">
        <f t="shared" si="990"/>
        <v>2260.4278969205398</v>
      </c>
      <c r="S831" s="99">
        <f t="shared" si="694"/>
        <v>16145.737167429757</v>
      </c>
      <c r="T831" s="108">
        <f t="shared" si="991"/>
        <v>14246.238677143903</v>
      </c>
      <c r="U831" s="108"/>
      <c r="V831" s="108"/>
      <c r="W831" s="108"/>
      <c r="X831" s="109">
        <f t="shared" si="992"/>
        <v>1899.4984902858539</v>
      </c>
      <c r="Y831" s="99">
        <f t="shared" si="8"/>
        <v>32291.474334859515</v>
      </c>
      <c r="Z831" s="108">
        <f t="shared" si="993"/>
        <v>28492.477354287807</v>
      </c>
      <c r="AA831" s="108"/>
      <c r="AB831" s="108"/>
      <c r="AC831" s="108"/>
      <c r="AD831" s="109">
        <f t="shared" si="994"/>
        <v>3798.9969805717078</v>
      </c>
      <c r="AE831" s="99">
        <f t="shared" si="1007"/>
        <v>27.727164197424003</v>
      </c>
      <c r="AF831" s="101">
        <f t="shared" si="849"/>
        <v>36</v>
      </c>
      <c r="AG831" s="101">
        <f t="shared" si="995"/>
        <v>19.001300000000001</v>
      </c>
      <c r="AH831" s="101">
        <f t="shared" si="851"/>
        <v>458</v>
      </c>
      <c r="AI831" s="101">
        <f t="shared" si="852"/>
        <v>200</v>
      </c>
      <c r="AJ831" s="108">
        <f t="shared" si="996"/>
        <v>1.6666666666666667</v>
      </c>
      <c r="AK831" s="101">
        <f t="shared" si="461"/>
        <v>9497.4924514292688</v>
      </c>
      <c r="AL831" s="101">
        <f t="shared" si="997"/>
        <v>9497.4924514292688</v>
      </c>
      <c r="AM831" s="101"/>
      <c r="AN831" s="101"/>
      <c r="AO831" s="1">
        <v>36</v>
      </c>
      <c r="AP831" s="2">
        <v>36</v>
      </c>
      <c r="AQ831" s="74">
        <f t="shared" si="998"/>
        <v>458</v>
      </c>
      <c r="AR831" s="31">
        <f t="shared" si="999"/>
        <v>0</v>
      </c>
      <c r="AS831" s="2">
        <f t="shared" si="1000"/>
        <v>0.2</v>
      </c>
      <c r="AT831" s="33">
        <f t="shared" si="1001"/>
        <v>0</v>
      </c>
      <c r="AU831" s="31">
        <f t="shared" si="1002"/>
        <v>0</v>
      </c>
      <c r="AV831" s="2">
        <f t="shared" si="1003"/>
        <v>0</v>
      </c>
      <c r="AW831" s="33">
        <f t="shared" si="1004"/>
        <v>1.5</v>
      </c>
      <c r="AX831" s="31">
        <f t="shared" si="1005"/>
        <v>1</v>
      </c>
      <c r="AY831" s="33">
        <f t="shared" si="1006"/>
        <v>1</v>
      </c>
      <c r="AZ831" s="2"/>
      <c r="BA831" s="101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</row>
    <row r="832" spans="1:71" ht="12" customHeight="1">
      <c r="A832" s="2"/>
      <c r="B832" s="107">
        <v>757</v>
      </c>
      <c r="C832" s="31">
        <v>4</v>
      </c>
      <c r="D832" s="111" t="s">
        <v>21</v>
      </c>
      <c r="E832" s="2" t="s">
        <v>67</v>
      </c>
      <c r="F832" s="2"/>
      <c r="G832" s="2"/>
      <c r="H832" s="33"/>
      <c r="I832" s="99">
        <f t="shared" si="0"/>
        <v>377.68193922961717</v>
      </c>
      <c r="J832" s="101">
        <f t="shared" si="1"/>
        <v>9.0885601645267471</v>
      </c>
      <c r="K832" s="101">
        <f t="shared" si="2"/>
        <v>751</v>
      </c>
      <c r="L832" s="74">
        <f t="shared" si="535"/>
        <v>386</v>
      </c>
      <c r="M832" s="99">
        <f t="shared" si="191"/>
        <v>10472.049143421109</v>
      </c>
      <c r="N832" s="108">
        <f t="shared" si="690"/>
        <v>10472.049143421109</v>
      </c>
      <c r="O832" s="108"/>
      <c r="P832" s="108"/>
      <c r="Q832" s="108"/>
      <c r="R832" s="109">
        <f t="shared" si="990"/>
        <v>0</v>
      </c>
      <c r="S832" s="99">
        <f t="shared" si="694"/>
        <v>8799.9451631378051</v>
      </c>
      <c r="T832" s="108">
        <f t="shared" si="991"/>
        <v>8799.9451631378051</v>
      </c>
      <c r="U832" s="108"/>
      <c r="V832" s="108"/>
      <c r="W832" s="108"/>
      <c r="X832" s="109">
        <f t="shared" si="992"/>
        <v>0</v>
      </c>
      <c r="Y832" s="99">
        <f t="shared" si="8"/>
        <v>17599.89032627561</v>
      </c>
      <c r="Z832" s="108">
        <f t="shared" si="993"/>
        <v>17599.89032627561</v>
      </c>
      <c r="AA832" s="108"/>
      <c r="AB832" s="108"/>
      <c r="AC832" s="108"/>
      <c r="AD832" s="109">
        <f t="shared" si="994"/>
        <v>0</v>
      </c>
      <c r="AE832" s="99">
        <f t="shared" si="1007"/>
        <v>27.727164197424003</v>
      </c>
      <c r="AF832" s="101">
        <f t="shared" si="849"/>
        <v>36</v>
      </c>
      <c r="AG832" s="101">
        <f t="shared" si="995"/>
        <v>19.001300000000001</v>
      </c>
      <c r="AH832" s="101">
        <f t="shared" si="851"/>
        <v>252</v>
      </c>
      <c r="AI832" s="101">
        <f t="shared" si="852"/>
        <v>200</v>
      </c>
      <c r="AJ832" s="108">
        <f t="shared" si="996"/>
        <v>1.6666666666666667</v>
      </c>
      <c r="AK832" s="101">
        <f t="shared" si="461"/>
        <v>8799.9451631378051</v>
      </c>
      <c r="AL832" s="101">
        <f t="shared" si="997"/>
        <v>8799.9451631378051</v>
      </c>
      <c r="AM832" s="101"/>
      <c r="AN832" s="101"/>
      <c r="AO832" s="1">
        <v>36</v>
      </c>
      <c r="AP832" s="2">
        <v>36</v>
      </c>
      <c r="AQ832" s="74">
        <f t="shared" si="998"/>
        <v>252</v>
      </c>
      <c r="AR832" s="31">
        <f t="shared" si="999"/>
        <v>0</v>
      </c>
      <c r="AS832" s="2">
        <f t="shared" si="1000"/>
        <v>0</v>
      </c>
      <c r="AT832" s="33">
        <f t="shared" si="1001"/>
        <v>0</v>
      </c>
      <c r="AU832" s="31">
        <f t="shared" si="1002"/>
        <v>0</v>
      </c>
      <c r="AV832" s="2">
        <f t="shared" si="1003"/>
        <v>0</v>
      </c>
      <c r="AW832" s="33">
        <f t="shared" si="1004"/>
        <v>1</v>
      </c>
      <c r="AX832" s="31">
        <f t="shared" si="1005"/>
        <v>1</v>
      </c>
      <c r="AY832" s="33">
        <f t="shared" si="1006"/>
        <v>1</v>
      </c>
      <c r="AZ832" s="2"/>
      <c r="BA832" s="101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</row>
    <row r="833" spans="1:71" ht="12" customHeight="1">
      <c r="A833" s="2"/>
      <c r="B833" s="107">
        <v>758</v>
      </c>
      <c r="C833" s="31">
        <v>4</v>
      </c>
      <c r="D833" s="111" t="s">
        <v>21</v>
      </c>
      <c r="E833" s="2" t="s">
        <v>148</v>
      </c>
      <c r="F833" s="2"/>
      <c r="G833" s="2"/>
      <c r="H833" s="33"/>
      <c r="I833" s="99">
        <f t="shared" si="0"/>
        <v>481.97956476357308</v>
      </c>
      <c r="J833" s="101">
        <f t="shared" si="1"/>
        <v>11.598384294894656</v>
      </c>
      <c r="K833" s="101">
        <f t="shared" si="2"/>
        <v>630</v>
      </c>
      <c r="L833" s="74">
        <f t="shared" si="535"/>
        <v>339</v>
      </c>
      <c r="M833" s="99">
        <f t="shared" si="191"/>
        <v>10472.049143421109</v>
      </c>
      <c r="N833" s="108">
        <f t="shared" si="690"/>
        <v>10472.049143421109</v>
      </c>
      <c r="O833" s="108"/>
      <c r="P833" s="108"/>
      <c r="Q833" s="108"/>
      <c r="R833" s="109">
        <f t="shared" si="990"/>
        <v>0</v>
      </c>
      <c r="S833" s="99">
        <f t="shared" si="694"/>
        <v>8799.9451631378051</v>
      </c>
      <c r="T833" s="108">
        <f t="shared" si="991"/>
        <v>8799.9451631378051</v>
      </c>
      <c r="U833" s="108"/>
      <c r="V833" s="108"/>
      <c r="W833" s="108"/>
      <c r="X833" s="109">
        <f t="shared" si="992"/>
        <v>0</v>
      </c>
      <c r="Y833" s="99">
        <f t="shared" si="8"/>
        <v>17599.89032627561</v>
      </c>
      <c r="Z833" s="108">
        <f t="shared" si="993"/>
        <v>17599.89032627561</v>
      </c>
      <c r="AA833" s="108"/>
      <c r="AB833" s="108"/>
      <c r="AC833" s="108"/>
      <c r="AD833" s="109">
        <f t="shared" si="994"/>
        <v>0</v>
      </c>
      <c r="AE833" s="99">
        <f t="shared" si="1007"/>
        <v>21.727164197424003</v>
      </c>
      <c r="AF833" s="101">
        <f t="shared" si="849"/>
        <v>36</v>
      </c>
      <c r="AG833" s="101">
        <f t="shared" si="995"/>
        <v>19.001300000000001</v>
      </c>
      <c r="AH833" s="101">
        <f t="shared" si="851"/>
        <v>252</v>
      </c>
      <c r="AI833" s="101">
        <f t="shared" si="852"/>
        <v>200</v>
      </c>
      <c r="AJ833" s="108">
        <f t="shared" si="996"/>
        <v>1.6666666666666667</v>
      </c>
      <c r="AK833" s="101">
        <f t="shared" si="461"/>
        <v>8799.9451631378051</v>
      </c>
      <c r="AL833" s="101">
        <f t="shared" si="997"/>
        <v>8799.9451631378051</v>
      </c>
      <c r="AM833" s="101"/>
      <c r="AN833" s="101"/>
      <c r="AO833" s="1">
        <v>36</v>
      </c>
      <c r="AP833" s="2">
        <v>36</v>
      </c>
      <c r="AQ833" s="74">
        <f t="shared" si="998"/>
        <v>252</v>
      </c>
      <c r="AR833" s="31">
        <f t="shared" si="999"/>
        <v>6</v>
      </c>
      <c r="AS833" s="2">
        <f t="shared" si="1000"/>
        <v>0</v>
      </c>
      <c r="AT833" s="33">
        <f t="shared" si="1001"/>
        <v>0</v>
      </c>
      <c r="AU833" s="31">
        <f t="shared" si="1002"/>
        <v>0</v>
      </c>
      <c r="AV833" s="2">
        <f t="shared" si="1003"/>
        <v>0</v>
      </c>
      <c r="AW833" s="33">
        <f t="shared" si="1004"/>
        <v>1</v>
      </c>
      <c r="AX833" s="31">
        <f t="shared" si="1005"/>
        <v>1</v>
      </c>
      <c r="AY833" s="33">
        <f t="shared" si="1006"/>
        <v>1</v>
      </c>
      <c r="AZ833" s="2"/>
      <c r="BA833" s="101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</row>
    <row r="834" spans="1:71" ht="12" customHeight="1">
      <c r="A834" s="2"/>
      <c r="B834" s="107">
        <v>759</v>
      </c>
      <c r="C834" s="31">
        <v>4</v>
      </c>
      <c r="D834" s="111" t="s">
        <v>21</v>
      </c>
      <c r="E834" s="2" t="s">
        <v>79</v>
      </c>
      <c r="F834" s="2"/>
      <c r="G834" s="2"/>
      <c r="H834" s="33"/>
      <c r="I834" s="99">
        <f t="shared" si="0"/>
        <v>453.21832707554057</v>
      </c>
      <c r="J834" s="101">
        <f t="shared" si="1"/>
        <v>9.0885601645267471</v>
      </c>
      <c r="K834" s="101">
        <f t="shared" si="2"/>
        <v>668</v>
      </c>
      <c r="L834" s="74">
        <f t="shared" si="535"/>
        <v>353</v>
      </c>
      <c r="M834" s="99">
        <f t="shared" si="191"/>
        <v>12566.458972105331</v>
      </c>
      <c r="N834" s="108">
        <f t="shared" si="690"/>
        <v>10472.049143421109</v>
      </c>
      <c r="O834" s="108"/>
      <c r="P834" s="108"/>
      <c r="Q834" s="108"/>
      <c r="R834" s="109">
        <f t="shared" si="990"/>
        <v>2094.4098286842218</v>
      </c>
      <c r="S834" s="99">
        <f t="shared" si="694"/>
        <v>10559.934195765367</v>
      </c>
      <c r="T834" s="108">
        <f t="shared" si="991"/>
        <v>8799.9451631378051</v>
      </c>
      <c r="U834" s="108"/>
      <c r="V834" s="108"/>
      <c r="W834" s="108"/>
      <c r="X834" s="109">
        <f t="shared" si="992"/>
        <v>1759.9890326275611</v>
      </c>
      <c r="Y834" s="99">
        <f t="shared" si="8"/>
        <v>21119.868391530734</v>
      </c>
      <c r="Z834" s="108">
        <f t="shared" si="993"/>
        <v>17599.89032627561</v>
      </c>
      <c r="AA834" s="108"/>
      <c r="AB834" s="108"/>
      <c r="AC834" s="108"/>
      <c r="AD834" s="109">
        <f t="shared" si="994"/>
        <v>3519.9780652551217</v>
      </c>
      <c r="AE834" s="99">
        <f t="shared" si="1007"/>
        <v>27.727164197424003</v>
      </c>
      <c r="AF834" s="101">
        <f t="shared" si="849"/>
        <v>36</v>
      </c>
      <c r="AG834" s="101">
        <f t="shared" si="995"/>
        <v>19.001300000000001</v>
      </c>
      <c r="AH834" s="101">
        <f t="shared" si="851"/>
        <v>252</v>
      </c>
      <c r="AI834" s="101">
        <f t="shared" si="852"/>
        <v>200</v>
      </c>
      <c r="AJ834" s="108">
        <f t="shared" si="996"/>
        <v>1.6666666666666667</v>
      </c>
      <c r="AK834" s="101">
        <f t="shared" si="461"/>
        <v>8799.9451631378051</v>
      </c>
      <c r="AL834" s="101">
        <f t="shared" si="997"/>
        <v>8799.9451631378051</v>
      </c>
      <c r="AM834" s="101"/>
      <c r="AN834" s="101"/>
      <c r="AO834" s="1">
        <v>36</v>
      </c>
      <c r="AP834" s="2">
        <v>36</v>
      </c>
      <c r="AQ834" s="74">
        <f t="shared" si="998"/>
        <v>252</v>
      </c>
      <c r="AR834" s="31">
        <f t="shared" si="999"/>
        <v>0</v>
      </c>
      <c r="AS834" s="2">
        <f t="shared" si="1000"/>
        <v>0.2</v>
      </c>
      <c r="AT834" s="33">
        <f t="shared" si="1001"/>
        <v>0</v>
      </c>
      <c r="AU834" s="31">
        <f t="shared" si="1002"/>
        <v>0</v>
      </c>
      <c r="AV834" s="2">
        <f t="shared" si="1003"/>
        <v>0</v>
      </c>
      <c r="AW834" s="33">
        <f t="shared" si="1004"/>
        <v>1</v>
      </c>
      <c r="AX834" s="31">
        <f t="shared" si="1005"/>
        <v>1</v>
      </c>
      <c r="AY834" s="33">
        <f t="shared" si="1006"/>
        <v>1</v>
      </c>
      <c r="AZ834" s="2"/>
      <c r="BA834" s="101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</row>
    <row r="835" spans="1:71" ht="12" customHeight="1">
      <c r="A835" s="2"/>
      <c r="B835" s="107">
        <v>760</v>
      </c>
      <c r="C835" s="31">
        <v>1</v>
      </c>
      <c r="D835" s="111" t="s">
        <v>21</v>
      </c>
      <c r="E835" s="2" t="s">
        <v>67</v>
      </c>
      <c r="F835" s="2"/>
      <c r="G835" s="2"/>
      <c r="H835" s="33"/>
      <c r="I835" s="99">
        <f t="shared" si="0"/>
        <v>303.11748173658549</v>
      </c>
      <c r="J835" s="101">
        <f t="shared" si="1"/>
        <v>4.5803457972019714</v>
      </c>
      <c r="K835" s="101">
        <f t="shared" si="2"/>
        <v>834</v>
      </c>
      <c r="L835" s="74">
        <f t="shared" si="535"/>
        <v>409</v>
      </c>
      <c r="M835" s="99">
        <f t="shared" si="191"/>
        <v>8404.588187219977</v>
      </c>
      <c r="N835" s="108">
        <f t="shared" si="690"/>
        <v>8404.588187219977</v>
      </c>
      <c r="O835" s="108"/>
      <c r="P835" s="108"/>
      <c r="Q835" s="108"/>
      <c r="R835" s="109">
        <f t="shared" si="990"/>
        <v>0</v>
      </c>
      <c r="S835" s="99">
        <f t="shared" si="694"/>
        <v>7062.6019944487816</v>
      </c>
      <c r="T835" s="108">
        <f t="shared" si="991"/>
        <v>7062.6019944487816</v>
      </c>
      <c r="U835" s="108"/>
      <c r="V835" s="108"/>
      <c r="W835" s="108"/>
      <c r="X835" s="109">
        <f t="shared" si="992"/>
        <v>0</v>
      </c>
      <c r="Y835" s="99">
        <f t="shared" si="8"/>
        <v>14125.203988897563</v>
      </c>
      <c r="Z835" s="108">
        <f t="shared" si="993"/>
        <v>14125.203988897563</v>
      </c>
      <c r="AA835" s="108"/>
      <c r="AB835" s="108"/>
      <c r="AC835" s="108"/>
      <c r="AD835" s="109">
        <f t="shared" si="994"/>
        <v>0</v>
      </c>
      <c r="AE835" s="99">
        <f t="shared" si="1007"/>
        <v>27.727164197424003</v>
      </c>
      <c r="AF835" s="101">
        <f t="shared" si="849"/>
        <v>36</v>
      </c>
      <c r="AG835" s="101">
        <f t="shared" si="995"/>
        <v>19.001300000000001</v>
      </c>
      <c r="AH835" s="101">
        <f t="shared" si="851"/>
        <v>127</v>
      </c>
      <c r="AI835" s="101">
        <f t="shared" si="852"/>
        <v>200</v>
      </c>
      <c r="AJ835" s="108">
        <f t="shared" si="996"/>
        <v>1.6666666666666667</v>
      </c>
      <c r="AK835" s="101">
        <f t="shared" si="461"/>
        <v>7062.6019944487816</v>
      </c>
      <c r="AL835" s="101">
        <f t="shared" si="997"/>
        <v>7062.6019944487816</v>
      </c>
      <c r="AM835" s="101"/>
      <c r="AN835" s="101"/>
      <c r="AO835" s="1">
        <v>36</v>
      </c>
      <c r="AP835" s="2">
        <v>36</v>
      </c>
      <c r="AQ835" s="74">
        <f t="shared" si="998"/>
        <v>127</v>
      </c>
      <c r="AR835" s="31">
        <f t="shared" si="999"/>
        <v>0</v>
      </c>
      <c r="AS835" s="2">
        <f t="shared" si="1000"/>
        <v>0</v>
      </c>
      <c r="AT835" s="33">
        <f t="shared" si="1001"/>
        <v>0</v>
      </c>
      <c r="AU835" s="31">
        <f t="shared" si="1002"/>
        <v>0</v>
      </c>
      <c r="AV835" s="2">
        <f t="shared" si="1003"/>
        <v>0</v>
      </c>
      <c r="AW835" s="33">
        <f t="shared" si="1004"/>
        <v>1</v>
      </c>
      <c r="AX835" s="31">
        <f t="shared" si="1005"/>
        <v>1</v>
      </c>
      <c r="AY835" s="33">
        <f t="shared" si="1006"/>
        <v>1</v>
      </c>
      <c r="AZ835" s="2"/>
      <c r="BA835" s="101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</row>
    <row r="836" spans="1:71" ht="12" customHeight="1">
      <c r="A836" s="2"/>
      <c r="B836" s="107">
        <v>761</v>
      </c>
      <c r="C836" s="31">
        <v>10</v>
      </c>
      <c r="D836" s="111" t="s">
        <v>21</v>
      </c>
      <c r="E836" s="2" t="s">
        <v>144</v>
      </c>
      <c r="F836" s="2" t="s">
        <v>149</v>
      </c>
      <c r="G836" s="2"/>
      <c r="H836" s="33"/>
      <c r="I836" s="99">
        <f t="shared" si="0"/>
        <v>835.43550787019899</v>
      </c>
      <c r="J836" s="101">
        <f t="shared" si="1"/>
        <v>23.695174714659018</v>
      </c>
      <c r="K836" s="101">
        <f t="shared" si="2"/>
        <v>249</v>
      </c>
      <c r="L836" s="74">
        <f t="shared" si="535"/>
        <v>176</v>
      </c>
      <c r="M836" s="99">
        <f t="shared" si="191"/>
        <v>23164.257503075321</v>
      </c>
      <c r="N836" s="108">
        <f t="shared" si="690"/>
        <v>23164.257503075321</v>
      </c>
      <c r="O836" s="108"/>
      <c r="P836" s="108"/>
      <c r="Q836" s="108"/>
      <c r="R836" s="109">
        <f t="shared" si="990"/>
        <v>0</v>
      </c>
      <c r="S836" s="99">
        <f t="shared" si="694"/>
        <v>16664.777597817661</v>
      </c>
      <c r="T836" s="108">
        <f t="shared" si="991"/>
        <v>16664.777597817661</v>
      </c>
      <c r="U836" s="108"/>
      <c r="V836" s="108"/>
      <c r="W836" s="108"/>
      <c r="X836" s="109">
        <f t="shared" si="992"/>
        <v>0</v>
      </c>
      <c r="Y836" s="99">
        <f t="shared" si="8"/>
        <v>33329.555195635323</v>
      </c>
      <c r="Z836" s="108">
        <f t="shared" si="993"/>
        <v>33329.555195635323</v>
      </c>
      <c r="AA836" s="108"/>
      <c r="AB836" s="108"/>
      <c r="AC836" s="108"/>
      <c r="AD836" s="109">
        <f t="shared" si="994"/>
        <v>0</v>
      </c>
      <c r="AE836" s="99">
        <f t="shared" si="1007"/>
        <v>27.727164197424003</v>
      </c>
      <c r="AF836" s="101">
        <f t="shared" si="849"/>
        <v>36</v>
      </c>
      <c r="AG836" s="101">
        <f t="shared" si="995"/>
        <v>19.001300000000001</v>
      </c>
      <c r="AH836" s="101">
        <f t="shared" si="851"/>
        <v>657</v>
      </c>
      <c r="AI836" s="101">
        <f t="shared" si="852"/>
        <v>200</v>
      </c>
      <c r="AJ836" s="108">
        <f t="shared" si="996"/>
        <v>1.6666666666666667</v>
      </c>
      <c r="AK836" s="101">
        <f t="shared" si="461"/>
        <v>9919.5104748914655</v>
      </c>
      <c r="AL836" s="101">
        <f t="shared" si="997"/>
        <v>9919.5104748914655</v>
      </c>
      <c r="AM836" s="101"/>
      <c r="AN836" s="101"/>
      <c r="AO836" s="1">
        <v>36</v>
      </c>
      <c r="AP836" s="2">
        <v>36</v>
      </c>
      <c r="AQ836" s="74">
        <f t="shared" si="998"/>
        <v>657</v>
      </c>
      <c r="AR836" s="31">
        <f t="shared" si="999"/>
        <v>0</v>
      </c>
      <c r="AS836" s="2">
        <f t="shared" si="1000"/>
        <v>0</v>
      </c>
      <c r="AT836" s="33">
        <f t="shared" si="1001"/>
        <v>0</v>
      </c>
      <c r="AU836" s="31">
        <f t="shared" si="1002"/>
        <v>0</v>
      </c>
      <c r="AV836" s="2">
        <f t="shared" si="1003"/>
        <v>0</v>
      </c>
      <c r="AW836" s="33">
        <f t="shared" si="1004"/>
        <v>1</v>
      </c>
      <c r="AX836" s="31">
        <f t="shared" si="1005"/>
        <v>1.4</v>
      </c>
      <c r="AY836" s="33">
        <f t="shared" si="1006"/>
        <v>1</v>
      </c>
      <c r="AZ836" s="2"/>
      <c r="BA836" s="101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</row>
    <row r="837" spans="1:71" ht="12" customHeight="1">
      <c r="A837" s="2"/>
      <c r="B837" s="107">
        <v>762</v>
      </c>
      <c r="C837" s="31">
        <v>10</v>
      </c>
      <c r="D837" s="111" t="s">
        <v>21</v>
      </c>
      <c r="E837" s="2" t="s">
        <v>138</v>
      </c>
      <c r="F837" s="2" t="s">
        <v>149</v>
      </c>
      <c r="G837" s="2"/>
      <c r="H837" s="33"/>
      <c r="I837" s="99">
        <f t="shared" si="0"/>
        <v>1090.8748236554109</v>
      </c>
      <c r="J837" s="101">
        <f t="shared" si="1"/>
        <v>23.695174714659018</v>
      </c>
      <c r="K837" s="101">
        <f t="shared" si="2"/>
        <v>122</v>
      </c>
      <c r="L837" s="74">
        <f t="shared" si="535"/>
        <v>101</v>
      </c>
      <c r="M837" s="99">
        <f t="shared" si="191"/>
        <v>30246.865354329533</v>
      </c>
      <c r="N837" s="108">
        <f t="shared" si="690"/>
        <v>23164.257503075321</v>
      </c>
      <c r="O837" s="108"/>
      <c r="P837" s="108"/>
      <c r="Q837" s="108"/>
      <c r="R837" s="109">
        <f t="shared" si="990"/>
        <v>7082.6078512542108</v>
      </c>
      <c r="S837" s="99">
        <f t="shared" si="694"/>
        <v>22616.483882752542</v>
      </c>
      <c r="T837" s="108">
        <f t="shared" si="991"/>
        <v>16664.777597817661</v>
      </c>
      <c r="U837" s="108"/>
      <c r="V837" s="108"/>
      <c r="W837" s="108"/>
      <c r="X837" s="109">
        <f t="shared" si="992"/>
        <v>5951.7062849348795</v>
      </c>
      <c r="Y837" s="99">
        <f t="shared" si="8"/>
        <v>45232.967765505084</v>
      </c>
      <c r="Z837" s="108">
        <f t="shared" si="993"/>
        <v>33329.555195635323</v>
      </c>
      <c r="AA837" s="108"/>
      <c r="AB837" s="108"/>
      <c r="AC837" s="108"/>
      <c r="AD837" s="109">
        <f t="shared" si="994"/>
        <v>11903.412569869759</v>
      </c>
      <c r="AE837" s="99">
        <f t="shared" si="1007"/>
        <v>27.727164197424003</v>
      </c>
      <c r="AF837" s="101">
        <f t="shared" si="849"/>
        <v>36</v>
      </c>
      <c r="AG837" s="101">
        <f t="shared" si="995"/>
        <v>19.001300000000001</v>
      </c>
      <c r="AH837" s="101">
        <f t="shared" si="851"/>
        <v>657</v>
      </c>
      <c r="AI837" s="101">
        <f t="shared" si="852"/>
        <v>200</v>
      </c>
      <c r="AJ837" s="108">
        <f t="shared" si="996"/>
        <v>1.6666666666666667</v>
      </c>
      <c r="AK837" s="101">
        <f t="shared" si="461"/>
        <v>9919.5104748914655</v>
      </c>
      <c r="AL837" s="101">
        <f t="shared" si="997"/>
        <v>9919.5104748914655</v>
      </c>
      <c r="AM837" s="101"/>
      <c r="AN837" s="101"/>
      <c r="AO837" s="1">
        <v>36</v>
      </c>
      <c r="AP837" s="2">
        <v>36</v>
      </c>
      <c r="AQ837" s="74">
        <f t="shared" si="998"/>
        <v>657</v>
      </c>
      <c r="AR837" s="31">
        <f t="shared" si="999"/>
        <v>0</v>
      </c>
      <c r="AS837" s="2">
        <f t="shared" si="1000"/>
        <v>0</v>
      </c>
      <c r="AT837" s="33">
        <f t="shared" si="1001"/>
        <v>0</v>
      </c>
      <c r="AU837" s="31">
        <f t="shared" si="1002"/>
        <v>0.3</v>
      </c>
      <c r="AV837" s="2">
        <f t="shared" si="1003"/>
        <v>0</v>
      </c>
      <c r="AW837" s="33">
        <f t="shared" si="1004"/>
        <v>1</v>
      </c>
      <c r="AX837" s="31">
        <f t="shared" si="1005"/>
        <v>1.4</v>
      </c>
      <c r="AY837" s="33">
        <f t="shared" si="1006"/>
        <v>1</v>
      </c>
      <c r="AZ837" s="2"/>
      <c r="BA837" s="101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</row>
    <row r="838" spans="1:71" ht="12" customHeight="1">
      <c r="A838" s="2"/>
      <c r="B838" s="107">
        <v>763</v>
      </c>
      <c r="C838" s="31">
        <v>10</v>
      </c>
      <c r="D838" s="111" t="s">
        <v>21</v>
      </c>
      <c r="E838" s="2" t="s">
        <v>141</v>
      </c>
      <c r="F838" s="2" t="s">
        <v>149</v>
      </c>
      <c r="G838" s="2" t="s">
        <v>177</v>
      </c>
      <c r="H838" s="33"/>
      <c r="I838" s="99">
        <f t="shared" si="0"/>
        <v>1253.1532618052984</v>
      </c>
      <c r="J838" s="101">
        <f t="shared" si="1"/>
        <v>23.695174714659018</v>
      </c>
      <c r="K838" s="101">
        <f t="shared" si="2"/>
        <v>84</v>
      </c>
      <c r="L838" s="74">
        <f t="shared" si="535"/>
        <v>73</v>
      </c>
      <c r="M838" s="99">
        <f t="shared" si="191"/>
        <v>34746.386254612975</v>
      </c>
      <c r="N838" s="108">
        <f t="shared" si="690"/>
        <v>34746.386254612975</v>
      </c>
      <c r="O838" s="108"/>
      <c r="P838" s="108"/>
      <c r="Q838" s="108"/>
      <c r="R838" s="109">
        <f t="shared" si="990"/>
        <v>0</v>
      </c>
      <c r="S838" s="99">
        <f t="shared" si="694"/>
        <v>24997.166396726487</v>
      </c>
      <c r="T838" s="108">
        <f t="shared" si="991"/>
        <v>24997.166396726487</v>
      </c>
      <c r="U838" s="108"/>
      <c r="V838" s="108"/>
      <c r="W838" s="108"/>
      <c r="X838" s="109">
        <f t="shared" si="992"/>
        <v>0</v>
      </c>
      <c r="Y838" s="99">
        <f t="shared" si="8"/>
        <v>49994.332793452973</v>
      </c>
      <c r="Z838" s="108">
        <f t="shared" si="993"/>
        <v>49994.332793452973</v>
      </c>
      <c r="AA838" s="108"/>
      <c r="AB838" s="108"/>
      <c r="AC838" s="108"/>
      <c r="AD838" s="109">
        <f t="shared" si="994"/>
        <v>0</v>
      </c>
      <c r="AE838" s="99">
        <f t="shared" si="1007"/>
        <v>27.727164197424003</v>
      </c>
      <c r="AF838" s="101">
        <f t="shared" si="849"/>
        <v>36</v>
      </c>
      <c r="AG838" s="101">
        <f t="shared" si="995"/>
        <v>19.001300000000001</v>
      </c>
      <c r="AH838" s="101">
        <f t="shared" si="851"/>
        <v>657</v>
      </c>
      <c r="AI838" s="101">
        <f t="shared" si="852"/>
        <v>200</v>
      </c>
      <c r="AJ838" s="108">
        <f t="shared" si="996"/>
        <v>1.6666666666666667</v>
      </c>
      <c r="AK838" s="101">
        <f t="shared" si="461"/>
        <v>9919.5104748914655</v>
      </c>
      <c r="AL838" s="101">
        <f t="shared" si="997"/>
        <v>9919.5104748914655</v>
      </c>
      <c r="AM838" s="101"/>
      <c r="AN838" s="101"/>
      <c r="AO838" s="1">
        <v>36</v>
      </c>
      <c r="AP838" s="2">
        <v>36</v>
      </c>
      <c r="AQ838" s="74">
        <f t="shared" si="998"/>
        <v>657</v>
      </c>
      <c r="AR838" s="31">
        <f t="shared" si="999"/>
        <v>0</v>
      </c>
      <c r="AS838" s="2">
        <f t="shared" si="1000"/>
        <v>0</v>
      </c>
      <c r="AT838" s="33">
        <f t="shared" si="1001"/>
        <v>0</v>
      </c>
      <c r="AU838" s="31">
        <f t="shared" si="1002"/>
        <v>0</v>
      </c>
      <c r="AV838" s="2">
        <f t="shared" si="1003"/>
        <v>0</v>
      </c>
      <c r="AW838" s="33">
        <f t="shared" si="1004"/>
        <v>1.5</v>
      </c>
      <c r="AX838" s="31">
        <f t="shared" si="1005"/>
        <v>1.4</v>
      </c>
      <c r="AY838" s="33">
        <f t="shared" si="1006"/>
        <v>1</v>
      </c>
      <c r="AZ838" s="2"/>
      <c r="BA838" s="101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</row>
    <row r="839" spans="1:71" ht="12" customHeight="1">
      <c r="A839" s="2"/>
      <c r="B839" s="107">
        <v>764</v>
      </c>
      <c r="C839" s="31">
        <v>10</v>
      </c>
      <c r="D839" s="111" t="s">
        <v>21</v>
      </c>
      <c r="E839" s="2" t="s">
        <v>150</v>
      </c>
      <c r="F839" s="2" t="s">
        <v>149</v>
      </c>
      <c r="G839" s="2"/>
      <c r="H839" s="33"/>
      <c r="I839" s="99">
        <f t="shared" si="0"/>
        <v>1066.1427001054146</v>
      </c>
      <c r="J839" s="101">
        <f t="shared" si="1"/>
        <v>30.238644768832497</v>
      </c>
      <c r="K839" s="101">
        <f t="shared" si="2"/>
        <v>132</v>
      </c>
      <c r="L839" s="74">
        <f t="shared" si="535"/>
        <v>107</v>
      </c>
      <c r="M839" s="99">
        <f t="shared" si="191"/>
        <v>23164.257503075321</v>
      </c>
      <c r="N839" s="108">
        <f t="shared" si="690"/>
        <v>23164.257503075321</v>
      </c>
      <c r="O839" s="108"/>
      <c r="P839" s="108"/>
      <c r="Q839" s="108"/>
      <c r="R839" s="109">
        <f t="shared" si="990"/>
        <v>0</v>
      </c>
      <c r="S839" s="99">
        <f t="shared" si="694"/>
        <v>16664.777597817661</v>
      </c>
      <c r="T839" s="108">
        <f t="shared" si="991"/>
        <v>16664.777597817661</v>
      </c>
      <c r="U839" s="108"/>
      <c r="V839" s="108"/>
      <c r="W839" s="108"/>
      <c r="X839" s="109">
        <f t="shared" si="992"/>
        <v>0</v>
      </c>
      <c r="Y839" s="99">
        <f t="shared" si="8"/>
        <v>33329.555195635323</v>
      </c>
      <c r="Z839" s="108">
        <f t="shared" si="993"/>
        <v>33329.555195635323</v>
      </c>
      <c r="AA839" s="108"/>
      <c r="AB839" s="108"/>
      <c r="AC839" s="108"/>
      <c r="AD839" s="109">
        <f t="shared" si="994"/>
        <v>0</v>
      </c>
      <c r="AE839" s="99">
        <f t="shared" si="1007"/>
        <v>21.727164197424003</v>
      </c>
      <c r="AF839" s="101">
        <f t="shared" si="849"/>
        <v>36</v>
      </c>
      <c r="AG839" s="101">
        <f t="shared" si="995"/>
        <v>19.001300000000001</v>
      </c>
      <c r="AH839" s="101">
        <f t="shared" si="851"/>
        <v>657</v>
      </c>
      <c r="AI839" s="101">
        <f t="shared" si="852"/>
        <v>200</v>
      </c>
      <c r="AJ839" s="108">
        <f t="shared" si="996"/>
        <v>1.6666666666666667</v>
      </c>
      <c r="AK839" s="101">
        <f t="shared" si="461"/>
        <v>9919.5104748914655</v>
      </c>
      <c r="AL839" s="101">
        <f t="shared" si="997"/>
        <v>9919.5104748914655</v>
      </c>
      <c r="AM839" s="101"/>
      <c r="AN839" s="101"/>
      <c r="AO839" s="1">
        <v>36</v>
      </c>
      <c r="AP839" s="2">
        <v>36</v>
      </c>
      <c r="AQ839" s="74">
        <f t="shared" si="998"/>
        <v>657</v>
      </c>
      <c r="AR839" s="31">
        <f t="shared" si="999"/>
        <v>6</v>
      </c>
      <c r="AS839" s="2">
        <f t="shared" si="1000"/>
        <v>0</v>
      </c>
      <c r="AT839" s="33">
        <f t="shared" si="1001"/>
        <v>0</v>
      </c>
      <c r="AU839" s="31">
        <f t="shared" si="1002"/>
        <v>0</v>
      </c>
      <c r="AV839" s="2">
        <f t="shared" si="1003"/>
        <v>0</v>
      </c>
      <c r="AW839" s="33">
        <f t="shared" si="1004"/>
        <v>1</v>
      </c>
      <c r="AX839" s="31">
        <f t="shared" si="1005"/>
        <v>1.4</v>
      </c>
      <c r="AY839" s="33">
        <f t="shared" si="1006"/>
        <v>1</v>
      </c>
      <c r="AZ839" s="2"/>
      <c r="BA839" s="101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</row>
    <row r="840" spans="1:71" ht="12" customHeight="1">
      <c r="A840" s="2"/>
      <c r="B840" s="107">
        <v>765</v>
      </c>
      <c r="C840" s="31">
        <v>10</v>
      </c>
      <c r="D840" s="111" t="s">
        <v>21</v>
      </c>
      <c r="E840" s="2" t="s">
        <v>164</v>
      </c>
      <c r="F840" s="2" t="s">
        <v>149</v>
      </c>
      <c r="G840" s="2"/>
      <c r="H840" s="33"/>
      <c r="I840" s="99">
        <f t="shared" si="0"/>
        <v>1392.1220956168609</v>
      </c>
      <c r="J840" s="101">
        <f t="shared" si="1"/>
        <v>30.238644768832497</v>
      </c>
      <c r="K840" s="101">
        <f t="shared" si="2"/>
        <v>58</v>
      </c>
      <c r="L840" s="74">
        <f t="shared" si="535"/>
        <v>54</v>
      </c>
      <c r="M840" s="99">
        <f t="shared" si="191"/>
        <v>30246.865354329533</v>
      </c>
      <c r="N840" s="108">
        <f t="shared" si="690"/>
        <v>23164.257503075321</v>
      </c>
      <c r="O840" s="108"/>
      <c r="P840" s="108"/>
      <c r="Q840" s="108"/>
      <c r="R840" s="109">
        <f t="shared" si="990"/>
        <v>7082.6078512542108</v>
      </c>
      <c r="S840" s="99">
        <f t="shared" si="694"/>
        <v>22616.483882752542</v>
      </c>
      <c r="T840" s="108">
        <f t="shared" si="991"/>
        <v>16664.777597817661</v>
      </c>
      <c r="U840" s="108"/>
      <c r="V840" s="108"/>
      <c r="W840" s="108"/>
      <c r="X840" s="109">
        <f t="shared" si="992"/>
        <v>5951.7062849348795</v>
      </c>
      <c r="Y840" s="99">
        <f t="shared" si="8"/>
        <v>45232.967765505084</v>
      </c>
      <c r="Z840" s="108">
        <f t="shared" si="993"/>
        <v>33329.555195635323</v>
      </c>
      <c r="AA840" s="108"/>
      <c r="AB840" s="108"/>
      <c r="AC840" s="108"/>
      <c r="AD840" s="109">
        <f t="shared" si="994"/>
        <v>11903.412569869759</v>
      </c>
      <c r="AE840" s="99">
        <f t="shared" si="1007"/>
        <v>21.727164197424003</v>
      </c>
      <c r="AF840" s="101">
        <f t="shared" si="849"/>
        <v>36</v>
      </c>
      <c r="AG840" s="101">
        <f t="shared" si="995"/>
        <v>19.001300000000001</v>
      </c>
      <c r="AH840" s="101">
        <f t="shared" si="851"/>
        <v>657</v>
      </c>
      <c r="AI840" s="101">
        <f t="shared" si="852"/>
        <v>200</v>
      </c>
      <c r="AJ840" s="108">
        <f t="shared" si="996"/>
        <v>1.6666666666666667</v>
      </c>
      <c r="AK840" s="101">
        <f t="shared" si="461"/>
        <v>9919.5104748914655</v>
      </c>
      <c r="AL840" s="101">
        <f t="shared" si="997"/>
        <v>9919.5104748914655</v>
      </c>
      <c r="AM840" s="101"/>
      <c r="AN840" s="101"/>
      <c r="AO840" s="1">
        <v>36</v>
      </c>
      <c r="AP840" s="2">
        <v>36</v>
      </c>
      <c r="AQ840" s="74">
        <f t="shared" si="998"/>
        <v>657</v>
      </c>
      <c r="AR840" s="31">
        <f t="shared" si="999"/>
        <v>6</v>
      </c>
      <c r="AS840" s="2">
        <f t="shared" si="1000"/>
        <v>0</v>
      </c>
      <c r="AT840" s="33">
        <f t="shared" si="1001"/>
        <v>0</v>
      </c>
      <c r="AU840" s="31">
        <f t="shared" si="1002"/>
        <v>0.3</v>
      </c>
      <c r="AV840" s="2">
        <f t="shared" si="1003"/>
        <v>0</v>
      </c>
      <c r="AW840" s="33">
        <f t="shared" si="1004"/>
        <v>1</v>
      </c>
      <c r="AX840" s="31">
        <f t="shared" si="1005"/>
        <v>1.4</v>
      </c>
      <c r="AY840" s="33">
        <f t="shared" si="1006"/>
        <v>1</v>
      </c>
      <c r="AZ840" s="2"/>
      <c r="BA840" s="101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</row>
    <row r="841" spans="1:71" ht="12" customHeight="1">
      <c r="A841" s="2"/>
      <c r="B841" s="107">
        <v>766</v>
      </c>
      <c r="C841" s="31">
        <v>10</v>
      </c>
      <c r="D841" s="111" t="s">
        <v>21</v>
      </c>
      <c r="E841" s="2" t="s">
        <v>156</v>
      </c>
      <c r="F841" s="2" t="s">
        <v>149</v>
      </c>
      <c r="G841" s="2" t="s">
        <v>177</v>
      </c>
      <c r="H841" s="33"/>
      <c r="I841" s="99">
        <f t="shared" si="0"/>
        <v>1599.2140501581216</v>
      </c>
      <c r="J841" s="101">
        <f t="shared" si="1"/>
        <v>30.238644768832497</v>
      </c>
      <c r="K841" s="101">
        <f t="shared" si="2"/>
        <v>33</v>
      </c>
      <c r="L841" s="74">
        <f t="shared" si="535"/>
        <v>33</v>
      </c>
      <c r="M841" s="99">
        <f t="shared" si="191"/>
        <v>34746.386254612975</v>
      </c>
      <c r="N841" s="108">
        <f t="shared" si="690"/>
        <v>34746.386254612975</v>
      </c>
      <c r="O841" s="108"/>
      <c r="P841" s="108"/>
      <c r="Q841" s="108"/>
      <c r="R841" s="109">
        <f t="shared" si="990"/>
        <v>0</v>
      </c>
      <c r="S841" s="99">
        <f t="shared" si="694"/>
        <v>24997.166396726487</v>
      </c>
      <c r="T841" s="108">
        <f t="shared" si="991"/>
        <v>24997.166396726487</v>
      </c>
      <c r="U841" s="108"/>
      <c r="V841" s="108"/>
      <c r="W841" s="108"/>
      <c r="X841" s="109">
        <f t="shared" si="992"/>
        <v>0</v>
      </c>
      <c r="Y841" s="99">
        <f t="shared" si="8"/>
        <v>49994.332793452973</v>
      </c>
      <c r="Z841" s="108">
        <f t="shared" si="993"/>
        <v>49994.332793452973</v>
      </c>
      <c r="AA841" s="108"/>
      <c r="AB841" s="108"/>
      <c r="AC841" s="108"/>
      <c r="AD841" s="109">
        <f t="shared" si="994"/>
        <v>0</v>
      </c>
      <c r="AE841" s="99">
        <f t="shared" si="1007"/>
        <v>21.727164197424003</v>
      </c>
      <c r="AF841" s="101">
        <f t="shared" si="849"/>
        <v>36</v>
      </c>
      <c r="AG841" s="101">
        <f t="shared" si="995"/>
        <v>19.001300000000001</v>
      </c>
      <c r="AH841" s="101">
        <f t="shared" si="851"/>
        <v>657</v>
      </c>
      <c r="AI841" s="101">
        <f t="shared" si="852"/>
        <v>200</v>
      </c>
      <c r="AJ841" s="108">
        <f t="shared" si="996"/>
        <v>1.6666666666666667</v>
      </c>
      <c r="AK841" s="101">
        <f t="shared" si="461"/>
        <v>9919.5104748914655</v>
      </c>
      <c r="AL841" s="101">
        <f t="shared" si="997"/>
        <v>9919.5104748914655</v>
      </c>
      <c r="AM841" s="101"/>
      <c r="AN841" s="101"/>
      <c r="AO841" s="1">
        <v>36</v>
      </c>
      <c r="AP841" s="2">
        <v>36</v>
      </c>
      <c r="AQ841" s="74">
        <f t="shared" si="998"/>
        <v>657</v>
      </c>
      <c r="AR841" s="31">
        <f t="shared" si="999"/>
        <v>6</v>
      </c>
      <c r="AS841" s="2">
        <f t="shared" si="1000"/>
        <v>0</v>
      </c>
      <c r="AT841" s="33">
        <f t="shared" si="1001"/>
        <v>0</v>
      </c>
      <c r="AU841" s="31">
        <f t="shared" si="1002"/>
        <v>0</v>
      </c>
      <c r="AV841" s="2">
        <f t="shared" si="1003"/>
        <v>0</v>
      </c>
      <c r="AW841" s="33">
        <f t="shared" si="1004"/>
        <v>1.5</v>
      </c>
      <c r="AX841" s="31">
        <f t="shared" si="1005"/>
        <v>1.4</v>
      </c>
      <c r="AY841" s="33">
        <f t="shared" si="1006"/>
        <v>1</v>
      </c>
      <c r="AZ841" s="2"/>
      <c r="BA841" s="101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</row>
    <row r="842" spans="1:71" ht="12" customHeight="1">
      <c r="A842" s="2"/>
      <c r="B842" s="107">
        <v>767</v>
      </c>
      <c r="C842" s="31">
        <v>10</v>
      </c>
      <c r="D842" s="111" t="s">
        <v>21</v>
      </c>
      <c r="E842" s="2" t="s">
        <v>161</v>
      </c>
      <c r="F842" s="2" t="s">
        <v>149</v>
      </c>
      <c r="G842" s="2"/>
      <c r="H842" s="33"/>
      <c r="I842" s="99">
        <f t="shared" si="0"/>
        <v>920.58194646526965</v>
      </c>
      <c r="J842" s="101">
        <f t="shared" si="1"/>
        <v>23.695174714659018</v>
      </c>
      <c r="K842" s="101">
        <f t="shared" si="2"/>
        <v>196</v>
      </c>
      <c r="L842" s="74">
        <f t="shared" si="535"/>
        <v>145</v>
      </c>
      <c r="M842" s="99">
        <f t="shared" si="191"/>
        <v>25525.126786826724</v>
      </c>
      <c r="N842" s="108">
        <f t="shared" si="690"/>
        <v>23164.257503075321</v>
      </c>
      <c r="O842" s="108"/>
      <c r="P842" s="108"/>
      <c r="Q842" s="108"/>
      <c r="R842" s="109">
        <f t="shared" si="990"/>
        <v>2360.8692837514036</v>
      </c>
      <c r="S842" s="99">
        <f t="shared" si="694"/>
        <v>18648.679692795955</v>
      </c>
      <c r="T842" s="108">
        <f t="shared" si="991"/>
        <v>16664.777597817661</v>
      </c>
      <c r="U842" s="108"/>
      <c r="V842" s="108"/>
      <c r="W842" s="108"/>
      <c r="X842" s="109">
        <f t="shared" si="992"/>
        <v>1983.9020949782932</v>
      </c>
      <c r="Y842" s="99">
        <f t="shared" si="8"/>
        <v>37297.35938559191</v>
      </c>
      <c r="Z842" s="108">
        <f t="shared" si="993"/>
        <v>33329.555195635323</v>
      </c>
      <c r="AA842" s="108"/>
      <c r="AB842" s="108"/>
      <c r="AC842" s="108"/>
      <c r="AD842" s="109">
        <f t="shared" si="994"/>
        <v>3967.8041899565865</v>
      </c>
      <c r="AE842" s="99">
        <f t="shared" si="1007"/>
        <v>27.727164197424003</v>
      </c>
      <c r="AF842" s="101">
        <f t="shared" si="849"/>
        <v>36</v>
      </c>
      <c r="AG842" s="101">
        <f t="shared" si="995"/>
        <v>19.001300000000001</v>
      </c>
      <c r="AH842" s="101">
        <f t="shared" si="851"/>
        <v>657</v>
      </c>
      <c r="AI842" s="101">
        <f t="shared" si="852"/>
        <v>200</v>
      </c>
      <c r="AJ842" s="108">
        <f t="shared" si="996"/>
        <v>1.6666666666666667</v>
      </c>
      <c r="AK842" s="101">
        <f t="shared" si="461"/>
        <v>9919.5104748914655</v>
      </c>
      <c r="AL842" s="101">
        <f t="shared" si="997"/>
        <v>9919.5104748914655</v>
      </c>
      <c r="AM842" s="101"/>
      <c r="AN842" s="101"/>
      <c r="AO842" s="1">
        <v>36</v>
      </c>
      <c r="AP842" s="2">
        <v>36</v>
      </c>
      <c r="AQ842" s="74">
        <f t="shared" si="998"/>
        <v>657</v>
      </c>
      <c r="AR842" s="31">
        <f t="shared" si="999"/>
        <v>0</v>
      </c>
      <c r="AS842" s="2">
        <f t="shared" si="1000"/>
        <v>0.2</v>
      </c>
      <c r="AT842" s="33">
        <f t="shared" si="1001"/>
        <v>0</v>
      </c>
      <c r="AU842" s="31">
        <f t="shared" si="1002"/>
        <v>0</v>
      </c>
      <c r="AV842" s="2">
        <f t="shared" si="1003"/>
        <v>0</v>
      </c>
      <c r="AW842" s="33">
        <f t="shared" si="1004"/>
        <v>1</v>
      </c>
      <c r="AX842" s="31">
        <f t="shared" si="1005"/>
        <v>1.4</v>
      </c>
      <c r="AY842" s="33">
        <f t="shared" si="1006"/>
        <v>1</v>
      </c>
      <c r="AZ842" s="2"/>
      <c r="BA842" s="101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</row>
    <row r="843" spans="1:71" ht="12" customHeight="1">
      <c r="A843" s="2"/>
      <c r="B843" s="107">
        <v>768</v>
      </c>
      <c r="C843" s="31">
        <v>10</v>
      </c>
      <c r="D843" s="111" t="s">
        <v>21</v>
      </c>
      <c r="E843" s="2" t="s">
        <v>169</v>
      </c>
      <c r="F843" s="2" t="s">
        <v>149</v>
      </c>
      <c r="G843" s="2"/>
      <c r="H843" s="33"/>
      <c r="I843" s="99">
        <f t="shared" si="0"/>
        <v>1176.0212622504816</v>
      </c>
      <c r="J843" s="101">
        <f t="shared" si="1"/>
        <v>23.695174714659018</v>
      </c>
      <c r="K843" s="101">
        <f t="shared" si="2"/>
        <v>101</v>
      </c>
      <c r="L843" s="74">
        <f t="shared" si="535"/>
        <v>86</v>
      </c>
      <c r="M843" s="99">
        <f t="shared" si="191"/>
        <v>32607.734638080936</v>
      </c>
      <c r="N843" s="108">
        <f t="shared" si="690"/>
        <v>23164.257503075321</v>
      </c>
      <c r="O843" s="108"/>
      <c r="P843" s="108"/>
      <c r="Q843" s="108"/>
      <c r="R843" s="109">
        <f t="shared" si="990"/>
        <v>9443.4771350056144</v>
      </c>
      <c r="S843" s="99">
        <f t="shared" si="694"/>
        <v>24600.385977730835</v>
      </c>
      <c r="T843" s="108">
        <f t="shared" si="991"/>
        <v>16664.777597817661</v>
      </c>
      <c r="U843" s="108"/>
      <c r="V843" s="108"/>
      <c r="W843" s="108"/>
      <c r="X843" s="109">
        <f t="shared" si="992"/>
        <v>7935.6083799131729</v>
      </c>
      <c r="Y843" s="99">
        <f t="shared" si="8"/>
        <v>49200.771955461671</v>
      </c>
      <c r="Z843" s="108">
        <f t="shared" si="993"/>
        <v>33329.555195635323</v>
      </c>
      <c r="AA843" s="108"/>
      <c r="AB843" s="108"/>
      <c r="AC843" s="108"/>
      <c r="AD843" s="109">
        <f t="shared" si="994"/>
        <v>15871.216759826346</v>
      </c>
      <c r="AE843" s="99">
        <f t="shared" si="1007"/>
        <v>27.727164197424003</v>
      </c>
      <c r="AF843" s="101">
        <f t="shared" si="849"/>
        <v>36</v>
      </c>
      <c r="AG843" s="101">
        <f t="shared" si="995"/>
        <v>19.001300000000001</v>
      </c>
      <c r="AH843" s="101">
        <f t="shared" si="851"/>
        <v>657</v>
      </c>
      <c r="AI843" s="101">
        <f t="shared" si="852"/>
        <v>200</v>
      </c>
      <c r="AJ843" s="108">
        <f t="shared" si="996"/>
        <v>1.6666666666666667</v>
      </c>
      <c r="AK843" s="101">
        <f t="shared" si="461"/>
        <v>9919.5104748914655</v>
      </c>
      <c r="AL843" s="101">
        <f t="shared" si="997"/>
        <v>9919.5104748914655</v>
      </c>
      <c r="AM843" s="101"/>
      <c r="AN843" s="101"/>
      <c r="AO843" s="1">
        <v>36</v>
      </c>
      <c r="AP843" s="2">
        <v>36</v>
      </c>
      <c r="AQ843" s="74">
        <f t="shared" si="998"/>
        <v>657</v>
      </c>
      <c r="AR843" s="31">
        <f t="shared" si="999"/>
        <v>0</v>
      </c>
      <c r="AS843" s="2">
        <f t="shared" si="1000"/>
        <v>0.2</v>
      </c>
      <c r="AT843" s="33">
        <f t="shared" si="1001"/>
        <v>0</v>
      </c>
      <c r="AU843" s="31">
        <f t="shared" si="1002"/>
        <v>0.3</v>
      </c>
      <c r="AV843" s="2">
        <f t="shared" si="1003"/>
        <v>0</v>
      </c>
      <c r="AW843" s="33">
        <f t="shared" si="1004"/>
        <v>1</v>
      </c>
      <c r="AX843" s="31">
        <f t="shared" si="1005"/>
        <v>1.4</v>
      </c>
      <c r="AY843" s="33">
        <f t="shared" si="1006"/>
        <v>1</v>
      </c>
      <c r="AZ843" s="2"/>
      <c r="BA843" s="101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</row>
    <row r="844" spans="1:71" ht="12" customHeight="1">
      <c r="A844" s="2"/>
      <c r="B844" s="107">
        <v>769</v>
      </c>
      <c r="C844" s="31">
        <v>10</v>
      </c>
      <c r="D844" s="111" t="s">
        <v>21</v>
      </c>
      <c r="E844" s="2" t="s">
        <v>171</v>
      </c>
      <c r="F844" s="2" t="s">
        <v>149</v>
      </c>
      <c r="G844" s="2" t="s">
        <v>177</v>
      </c>
      <c r="H844" s="33"/>
      <c r="I844" s="99">
        <f t="shared" si="0"/>
        <v>1338.2997004003689</v>
      </c>
      <c r="J844" s="101">
        <f t="shared" si="1"/>
        <v>23.695174714659018</v>
      </c>
      <c r="K844" s="101">
        <f t="shared" si="2"/>
        <v>67</v>
      </c>
      <c r="L844" s="74">
        <f t="shared" si="535"/>
        <v>63</v>
      </c>
      <c r="M844" s="99">
        <f t="shared" si="191"/>
        <v>37107.255538364378</v>
      </c>
      <c r="N844" s="108">
        <f t="shared" si="690"/>
        <v>34746.386254612975</v>
      </c>
      <c r="O844" s="108"/>
      <c r="P844" s="108"/>
      <c r="Q844" s="108"/>
      <c r="R844" s="109">
        <f t="shared" si="990"/>
        <v>2360.8692837514036</v>
      </c>
      <c r="S844" s="99">
        <f t="shared" si="694"/>
        <v>26981.06849170478</v>
      </c>
      <c r="T844" s="108">
        <f t="shared" si="991"/>
        <v>24997.166396726487</v>
      </c>
      <c r="U844" s="108"/>
      <c r="V844" s="108"/>
      <c r="W844" s="108"/>
      <c r="X844" s="109">
        <f t="shared" si="992"/>
        <v>1983.9020949782932</v>
      </c>
      <c r="Y844" s="99">
        <f t="shared" si="8"/>
        <v>53962.13698340956</v>
      </c>
      <c r="Z844" s="108">
        <f t="shared" si="993"/>
        <v>49994.332793452973</v>
      </c>
      <c r="AA844" s="108"/>
      <c r="AB844" s="108"/>
      <c r="AC844" s="108"/>
      <c r="AD844" s="109">
        <f t="shared" si="994"/>
        <v>3967.8041899565865</v>
      </c>
      <c r="AE844" s="99">
        <f t="shared" si="1007"/>
        <v>27.727164197424003</v>
      </c>
      <c r="AF844" s="101">
        <f t="shared" si="849"/>
        <v>36</v>
      </c>
      <c r="AG844" s="101">
        <f t="shared" si="995"/>
        <v>19.001300000000001</v>
      </c>
      <c r="AH844" s="101">
        <f t="shared" si="851"/>
        <v>657</v>
      </c>
      <c r="AI844" s="101">
        <f t="shared" si="852"/>
        <v>200</v>
      </c>
      <c r="AJ844" s="108">
        <f t="shared" si="996"/>
        <v>1.6666666666666667</v>
      </c>
      <c r="AK844" s="101">
        <f t="shared" si="461"/>
        <v>9919.5104748914655</v>
      </c>
      <c r="AL844" s="101">
        <f t="shared" si="997"/>
        <v>9919.5104748914655</v>
      </c>
      <c r="AM844" s="101"/>
      <c r="AN844" s="101"/>
      <c r="AO844" s="1">
        <v>36</v>
      </c>
      <c r="AP844" s="2">
        <v>36</v>
      </c>
      <c r="AQ844" s="74">
        <f t="shared" si="998"/>
        <v>657</v>
      </c>
      <c r="AR844" s="31">
        <f t="shared" si="999"/>
        <v>0</v>
      </c>
      <c r="AS844" s="2">
        <f t="shared" si="1000"/>
        <v>0.2</v>
      </c>
      <c r="AT844" s="33">
        <f t="shared" si="1001"/>
        <v>0</v>
      </c>
      <c r="AU844" s="31">
        <f t="shared" si="1002"/>
        <v>0</v>
      </c>
      <c r="AV844" s="2">
        <f t="shared" si="1003"/>
        <v>0</v>
      </c>
      <c r="AW844" s="33">
        <f t="shared" si="1004"/>
        <v>1.5</v>
      </c>
      <c r="AX844" s="31">
        <f t="shared" si="1005"/>
        <v>1.4</v>
      </c>
      <c r="AY844" s="33">
        <f t="shared" si="1006"/>
        <v>1</v>
      </c>
      <c r="AZ844" s="2"/>
      <c r="BA844" s="101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</row>
    <row r="845" spans="1:71" ht="12" customHeight="1">
      <c r="A845" s="2"/>
      <c r="B845" s="107">
        <v>770</v>
      </c>
      <c r="C845" s="31">
        <v>10</v>
      </c>
      <c r="D845" s="111" t="s">
        <v>21</v>
      </c>
      <c r="E845" s="2" t="s">
        <v>92</v>
      </c>
      <c r="F845" s="2" t="s">
        <v>149</v>
      </c>
      <c r="G845" s="2"/>
      <c r="H845" s="33"/>
      <c r="I845" s="99">
        <f t="shared" si="0"/>
        <v>954.78343756594165</v>
      </c>
      <c r="J845" s="101">
        <f t="shared" si="1"/>
        <v>23.695174714659018</v>
      </c>
      <c r="K845" s="101">
        <f t="shared" si="2"/>
        <v>179</v>
      </c>
      <c r="L845" s="74">
        <f t="shared" si="535"/>
        <v>137</v>
      </c>
      <c r="M845" s="99">
        <f t="shared" si="191"/>
        <v>26473.437146371794</v>
      </c>
      <c r="N845" s="108">
        <f t="shared" si="690"/>
        <v>26473.437146371794</v>
      </c>
      <c r="O845" s="108"/>
      <c r="P845" s="108"/>
      <c r="Q845" s="108"/>
      <c r="R845" s="109">
        <f t="shared" si="990"/>
        <v>0</v>
      </c>
      <c r="S845" s="99">
        <f t="shared" si="694"/>
        <v>19045.460111791614</v>
      </c>
      <c r="T845" s="108">
        <f t="shared" si="991"/>
        <v>19045.460111791614</v>
      </c>
      <c r="U845" s="108"/>
      <c r="V845" s="108"/>
      <c r="W845" s="108"/>
      <c r="X845" s="109">
        <f t="shared" si="992"/>
        <v>0</v>
      </c>
      <c r="Y845" s="99">
        <f t="shared" si="8"/>
        <v>38090.920223583227</v>
      </c>
      <c r="Z845" s="108">
        <f t="shared" si="993"/>
        <v>38090.920223583227</v>
      </c>
      <c r="AA845" s="108"/>
      <c r="AB845" s="108"/>
      <c r="AC845" s="108"/>
      <c r="AD845" s="109">
        <f t="shared" si="994"/>
        <v>0</v>
      </c>
      <c r="AE845" s="99">
        <f t="shared" si="1007"/>
        <v>27.727164197424003</v>
      </c>
      <c r="AF845" s="101">
        <f t="shared" si="849"/>
        <v>36</v>
      </c>
      <c r="AG845" s="101">
        <f t="shared" si="995"/>
        <v>19.001300000000001</v>
      </c>
      <c r="AH845" s="101">
        <f t="shared" si="851"/>
        <v>657</v>
      </c>
      <c r="AI845" s="101">
        <f t="shared" si="852"/>
        <v>200</v>
      </c>
      <c r="AJ845" s="108">
        <f t="shared" si="996"/>
        <v>1.6666666666666667</v>
      </c>
      <c r="AK845" s="101">
        <f t="shared" si="461"/>
        <v>9919.5104748914655</v>
      </c>
      <c r="AL845" s="101">
        <f t="shared" si="997"/>
        <v>9919.5104748914655</v>
      </c>
      <c r="AM845" s="101"/>
      <c r="AN845" s="101"/>
      <c r="AO845" s="1">
        <v>36</v>
      </c>
      <c r="AP845" s="2">
        <v>36</v>
      </c>
      <c r="AQ845" s="74">
        <f t="shared" si="998"/>
        <v>657</v>
      </c>
      <c r="AR845" s="31">
        <f t="shared" si="999"/>
        <v>0</v>
      </c>
      <c r="AS845" s="2">
        <f t="shared" si="1000"/>
        <v>0</v>
      </c>
      <c r="AT845" s="33">
        <f t="shared" si="1001"/>
        <v>0</v>
      </c>
      <c r="AU845" s="31">
        <f t="shared" si="1002"/>
        <v>0</v>
      </c>
      <c r="AV845" s="2">
        <f t="shared" si="1003"/>
        <v>0</v>
      </c>
      <c r="AW845" s="33">
        <f t="shared" si="1004"/>
        <v>1</v>
      </c>
      <c r="AX845" s="31">
        <f t="shared" si="1005"/>
        <v>1</v>
      </c>
      <c r="AY845" s="33">
        <f t="shared" si="1006"/>
        <v>1.6</v>
      </c>
      <c r="AZ845" s="2"/>
      <c r="BA845" s="101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</row>
    <row r="846" spans="1:71" ht="12" customHeight="1">
      <c r="A846" s="2"/>
      <c r="B846" s="107">
        <v>771</v>
      </c>
      <c r="C846" s="31">
        <v>10</v>
      </c>
      <c r="D846" s="111" t="s">
        <v>21</v>
      </c>
      <c r="E846" s="2" t="s">
        <v>139</v>
      </c>
      <c r="F846" s="2" t="s">
        <v>149</v>
      </c>
      <c r="G846" s="2"/>
      <c r="H846" s="33"/>
      <c r="I846" s="99">
        <f t="shared" si="0"/>
        <v>1082.5030954585477</v>
      </c>
      <c r="J846" s="101">
        <f t="shared" si="1"/>
        <v>23.695174714659018</v>
      </c>
      <c r="K846" s="101">
        <f t="shared" si="2"/>
        <v>127</v>
      </c>
      <c r="L846" s="74">
        <f t="shared" si="535"/>
        <v>105</v>
      </c>
      <c r="M846" s="99">
        <f t="shared" si="191"/>
        <v>30014.741071998898</v>
      </c>
      <c r="N846" s="108">
        <f t="shared" si="690"/>
        <v>26473.437146371794</v>
      </c>
      <c r="O846" s="108"/>
      <c r="P846" s="108"/>
      <c r="Q846" s="108"/>
      <c r="R846" s="109">
        <f t="shared" si="990"/>
        <v>3541.3039256271054</v>
      </c>
      <c r="S846" s="99">
        <f t="shared" si="694"/>
        <v>22021.313254259054</v>
      </c>
      <c r="T846" s="108">
        <f t="shared" si="991"/>
        <v>19045.460111791614</v>
      </c>
      <c r="U846" s="108"/>
      <c r="V846" s="108"/>
      <c r="W846" s="108"/>
      <c r="X846" s="109">
        <f t="shared" si="992"/>
        <v>2975.8531424674397</v>
      </c>
      <c r="Y846" s="99">
        <f t="shared" si="8"/>
        <v>44042.626508518108</v>
      </c>
      <c r="Z846" s="108">
        <f t="shared" si="993"/>
        <v>38090.920223583227</v>
      </c>
      <c r="AA846" s="108"/>
      <c r="AB846" s="108"/>
      <c r="AC846" s="108"/>
      <c r="AD846" s="109">
        <f t="shared" si="994"/>
        <v>5951.7062849348795</v>
      </c>
      <c r="AE846" s="99">
        <f t="shared" si="1007"/>
        <v>27.727164197424003</v>
      </c>
      <c r="AF846" s="101">
        <f t="shared" si="849"/>
        <v>36</v>
      </c>
      <c r="AG846" s="101">
        <f t="shared" si="995"/>
        <v>19.001300000000001</v>
      </c>
      <c r="AH846" s="101">
        <f t="shared" si="851"/>
        <v>657</v>
      </c>
      <c r="AI846" s="101">
        <f t="shared" si="852"/>
        <v>200</v>
      </c>
      <c r="AJ846" s="108">
        <f t="shared" si="996"/>
        <v>1.6666666666666667</v>
      </c>
      <c r="AK846" s="101">
        <f t="shared" si="461"/>
        <v>9919.5104748914655</v>
      </c>
      <c r="AL846" s="101">
        <f t="shared" si="997"/>
        <v>9919.5104748914655</v>
      </c>
      <c r="AM846" s="101"/>
      <c r="AN846" s="101"/>
      <c r="AO846" s="1">
        <v>36</v>
      </c>
      <c r="AP846" s="2">
        <v>36</v>
      </c>
      <c r="AQ846" s="74">
        <f t="shared" si="998"/>
        <v>657</v>
      </c>
      <c r="AR846" s="31">
        <f t="shared" si="999"/>
        <v>0</v>
      </c>
      <c r="AS846" s="2">
        <f t="shared" si="1000"/>
        <v>0</v>
      </c>
      <c r="AT846" s="33">
        <f t="shared" si="1001"/>
        <v>0</v>
      </c>
      <c r="AU846" s="31">
        <f t="shared" si="1002"/>
        <v>0.3</v>
      </c>
      <c r="AV846" s="2">
        <f t="shared" si="1003"/>
        <v>0</v>
      </c>
      <c r="AW846" s="33">
        <f t="shared" si="1004"/>
        <v>1</v>
      </c>
      <c r="AX846" s="31">
        <f t="shared" si="1005"/>
        <v>1</v>
      </c>
      <c r="AY846" s="33">
        <f t="shared" si="1006"/>
        <v>1.6</v>
      </c>
      <c r="AZ846" s="2"/>
      <c r="BA846" s="101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</row>
    <row r="847" spans="1:71" ht="12" customHeight="1">
      <c r="A847" s="2"/>
      <c r="B847" s="107">
        <v>772</v>
      </c>
      <c r="C847" s="31">
        <v>10</v>
      </c>
      <c r="D847" s="111" t="s">
        <v>21</v>
      </c>
      <c r="E847" s="2" t="s">
        <v>98</v>
      </c>
      <c r="F847" s="2" t="s">
        <v>149</v>
      </c>
      <c r="G847" s="2" t="s">
        <v>177</v>
      </c>
      <c r="H847" s="33"/>
      <c r="I847" s="99">
        <f t="shared" si="0"/>
        <v>1432.1751563489127</v>
      </c>
      <c r="J847" s="101">
        <f t="shared" si="1"/>
        <v>23.695174714659018</v>
      </c>
      <c r="K847" s="101">
        <f t="shared" si="2"/>
        <v>52</v>
      </c>
      <c r="L847" s="74">
        <f t="shared" si="535"/>
        <v>49</v>
      </c>
      <c r="M847" s="99">
        <f t="shared" si="191"/>
        <v>39710.155719557697</v>
      </c>
      <c r="N847" s="108">
        <f t="shared" si="690"/>
        <v>39710.155719557697</v>
      </c>
      <c r="O847" s="108"/>
      <c r="P847" s="108"/>
      <c r="Q847" s="108"/>
      <c r="R847" s="109">
        <f t="shared" si="990"/>
        <v>0</v>
      </c>
      <c r="S847" s="99">
        <f t="shared" si="694"/>
        <v>28568.190167687422</v>
      </c>
      <c r="T847" s="108">
        <f t="shared" si="991"/>
        <v>28568.190167687422</v>
      </c>
      <c r="U847" s="108"/>
      <c r="V847" s="108"/>
      <c r="W847" s="108"/>
      <c r="X847" s="109">
        <f t="shared" si="992"/>
        <v>0</v>
      </c>
      <c r="Y847" s="99">
        <f t="shared" si="8"/>
        <v>57136.380335374844</v>
      </c>
      <c r="Z847" s="108">
        <f t="shared" si="993"/>
        <v>57136.380335374844</v>
      </c>
      <c r="AA847" s="108"/>
      <c r="AB847" s="108"/>
      <c r="AC847" s="108"/>
      <c r="AD847" s="109">
        <f t="shared" si="994"/>
        <v>0</v>
      </c>
      <c r="AE847" s="99">
        <f t="shared" si="1007"/>
        <v>27.727164197424003</v>
      </c>
      <c r="AF847" s="101">
        <f t="shared" si="849"/>
        <v>36</v>
      </c>
      <c r="AG847" s="101">
        <f t="shared" si="995"/>
        <v>19.001300000000001</v>
      </c>
      <c r="AH847" s="101">
        <f t="shared" si="851"/>
        <v>657</v>
      </c>
      <c r="AI847" s="101">
        <f t="shared" si="852"/>
        <v>200</v>
      </c>
      <c r="AJ847" s="108">
        <f t="shared" si="996"/>
        <v>1.6666666666666667</v>
      </c>
      <c r="AK847" s="101">
        <f t="shared" si="461"/>
        <v>9919.5104748914655</v>
      </c>
      <c r="AL847" s="101">
        <f t="shared" si="997"/>
        <v>9919.5104748914655</v>
      </c>
      <c r="AM847" s="101"/>
      <c r="AN847" s="101"/>
      <c r="AO847" s="1">
        <v>36</v>
      </c>
      <c r="AP847" s="2">
        <v>36</v>
      </c>
      <c r="AQ847" s="74">
        <f t="shared" si="998"/>
        <v>657</v>
      </c>
      <c r="AR847" s="31">
        <f t="shared" si="999"/>
        <v>0</v>
      </c>
      <c r="AS847" s="2">
        <f t="shared" si="1000"/>
        <v>0</v>
      </c>
      <c r="AT847" s="33">
        <f t="shared" si="1001"/>
        <v>0</v>
      </c>
      <c r="AU847" s="31">
        <f t="shared" si="1002"/>
        <v>0</v>
      </c>
      <c r="AV847" s="2">
        <f t="shared" si="1003"/>
        <v>0</v>
      </c>
      <c r="AW847" s="33">
        <f t="shared" si="1004"/>
        <v>1.5</v>
      </c>
      <c r="AX847" s="31">
        <f t="shared" si="1005"/>
        <v>1</v>
      </c>
      <c r="AY847" s="33">
        <f t="shared" si="1006"/>
        <v>1.6</v>
      </c>
      <c r="AZ847" s="2"/>
      <c r="BA847" s="101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</row>
    <row r="848" spans="1:71" ht="12" customHeight="1">
      <c r="A848" s="2"/>
      <c r="B848" s="107">
        <v>773</v>
      </c>
      <c r="C848" s="31">
        <v>10</v>
      </c>
      <c r="D848" s="111" t="s">
        <v>21</v>
      </c>
      <c r="E848" s="2" t="s">
        <v>151</v>
      </c>
      <c r="F848" s="2" t="s">
        <v>149</v>
      </c>
      <c r="G848" s="2"/>
      <c r="H848" s="33"/>
      <c r="I848" s="99">
        <f t="shared" si="0"/>
        <v>1218.4488001204738</v>
      </c>
      <c r="J848" s="101">
        <f t="shared" si="1"/>
        <v>30.238644768832497</v>
      </c>
      <c r="K848" s="101">
        <f t="shared" si="2"/>
        <v>92</v>
      </c>
      <c r="L848" s="74">
        <f t="shared" si="535"/>
        <v>81</v>
      </c>
      <c r="M848" s="99">
        <f t="shared" si="191"/>
        <v>26473.437146371794</v>
      </c>
      <c r="N848" s="108">
        <f t="shared" si="690"/>
        <v>26473.437146371794</v>
      </c>
      <c r="O848" s="108"/>
      <c r="P848" s="108"/>
      <c r="Q848" s="108"/>
      <c r="R848" s="109">
        <f t="shared" si="990"/>
        <v>0</v>
      </c>
      <c r="S848" s="99">
        <f t="shared" si="694"/>
        <v>19045.460111791614</v>
      </c>
      <c r="T848" s="108">
        <f t="shared" si="991"/>
        <v>19045.460111791614</v>
      </c>
      <c r="U848" s="108"/>
      <c r="V848" s="108"/>
      <c r="W848" s="108"/>
      <c r="X848" s="109">
        <f t="shared" si="992"/>
        <v>0</v>
      </c>
      <c r="Y848" s="99">
        <f t="shared" si="8"/>
        <v>38090.920223583227</v>
      </c>
      <c r="Z848" s="108">
        <f t="shared" si="993"/>
        <v>38090.920223583227</v>
      </c>
      <c r="AA848" s="108"/>
      <c r="AB848" s="108"/>
      <c r="AC848" s="108"/>
      <c r="AD848" s="109">
        <f t="shared" si="994"/>
        <v>0</v>
      </c>
      <c r="AE848" s="99">
        <f t="shared" si="1007"/>
        <v>21.727164197424003</v>
      </c>
      <c r="AF848" s="101">
        <f t="shared" si="849"/>
        <v>36</v>
      </c>
      <c r="AG848" s="101">
        <f t="shared" si="995"/>
        <v>19.001300000000001</v>
      </c>
      <c r="AH848" s="101">
        <f t="shared" si="851"/>
        <v>657</v>
      </c>
      <c r="AI848" s="101">
        <f t="shared" si="852"/>
        <v>200</v>
      </c>
      <c r="AJ848" s="108">
        <f t="shared" si="996"/>
        <v>1.6666666666666667</v>
      </c>
      <c r="AK848" s="101">
        <f t="shared" si="461"/>
        <v>9919.5104748914655</v>
      </c>
      <c r="AL848" s="101">
        <f t="shared" si="997"/>
        <v>9919.5104748914655</v>
      </c>
      <c r="AM848" s="101"/>
      <c r="AN848" s="101"/>
      <c r="AO848" s="1">
        <v>36</v>
      </c>
      <c r="AP848" s="2">
        <v>36</v>
      </c>
      <c r="AQ848" s="74">
        <f t="shared" si="998"/>
        <v>657</v>
      </c>
      <c r="AR848" s="31">
        <f t="shared" si="999"/>
        <v>6</v>
      </c>
      <c r="AS848" s="2">
        <f t="shared" si="1000"/>
        <v>0</v>
      </c>
      <c r="AT848" s="33">
        <f t="shared" si="1001"/>
        <v>0</v>
      </c>
      <c r="AU848" s="31">
        <f t="shared" si="1002"/>
        <v>0</v>
      </c>
      <c r="AV848" s="2">
        <f t="shared" si="1003"/>
        <v>0</v>
      </c>
      <c r="AW848" s="33">
        <f t="shared" si="1004"/>
        <v>1</v>
      </c>
      <c r="AX848" s="31">
        <f t="shared" si="1005"/>
        <v>1</v>
      </c>
      <c r="AY848" s="33">
        <f t="shared" si="1006"/>
        <v>1.6</v>
      </c>
      <c r="AZ848" s="2"/>
      <c r="BA848" s="101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</row>
    <row r="849" spans="1:71" ht="12" customHeight="1">
      <c r="A849" s="2"/>
      <c r="B849" s="107">
        <v>774</v>
      </c>
      <c r="C849" s="31">
        <v>10</v>
      </c>
      <c r="D849" s="111" t="s">
        <v>21</v>
      </c>
      <c r="E849" s="2" t="s">
        <v>165</v>
      </c>
      <c r="F849" s="2" t="s">
        <v>149</v>
      </c>
      <c r="G849" s="2"/>
      <c r="H849" s="33"/>
      <c r="I849" s="99">
        <f t="shared" si="0"/>
        <v>1381.4384978761968</v>
      </c>
      <c r="J849" s="101">
        <f t="shared" si="1"/>
        <v>30.238644768832497</v>
      </c>
      <c r="K849" s="101">
        <f t="shared" si="2"/>
        <v>59</v>
      </c>
      <c r="L849" s="74">
        <f t="shared" si="535"/>
        <v>55</v>
      </c>
      <c r="M849" s="99">
        <f t="shared" si="191"/>
        <v>30014.741071998898</v>
      </c>
      <c r="N849" s="108">
        <f t="shared" si="690"/>
        <v>26473.437146371794</v>
      </c>
      <c r="O849" s="108"/>
      <c r="P849" s="108"/>
      <c r="Q849" s="108"/>
      <c r="R849" s="109">
        <f t="shared" si="990"/>
        <v>3541.3039256271054</v>
      </c>
      <c r="S849" s="99">
        <f t="shared" si="694"/>
        <v>22021.313254259054</v>
      </c>
      <c r="T849" s="108">
        <f t="shared" si="991"/>
        <v>19045.460111791614</v>
      </c>
      <c r="U849" s="108"/>
      <c r="V849" s="108"/>
      <c r="W849" s="108"/>
      <c r="X849" s="109">
        <f>AL849*AS849+IF(AX849=1,AL849*AU849,AL849*AU849*2)</f>
        <v>2975.8531424674397</v>
      </c>
      <c r="Y849" s="99">
        <f t="shared" si="8"/>
        <v>44042.626508518108</v>
      </c>
      <c r="Z849" s="108">
        <f t="shared" si="993"/>
        <v>38090.920223583227</v>
      </c>
      <c r="AA849" s="108"/>
      <c r="AB849" s="108"/>
      <c r="AC849" s="108"/>
      <c r="AD849" s="109">
        <f t="shared" si="994"/>
        <v>5951.7062849348795</v>
      </c>
      <c r="AE849" s="99">
        <f t="shared" si="1007"/>
        <v>21.727164197424003</v>
      </c>
      <c r="AF849" s="101">
        <f t="shared" si="849"/>
        <v>36</v>
      </c>
      <c r="AG849" s="101">
        <f t="shared" si="995"/>
        <v>19.001300000000001</v>
      </c>
      <c r="AH849" s="101">
        <f t="shared" si="851"/>
        <v>657</v>
      </c>
      <c r="AI849" s="101">
        <f t="shared" si="852"/>
        <v>200</v>
      </c>
      <c r="AJ849" s="108">
        <f t="shared" si="996"/>
        <v>1.6666666666666667</v>
      </c>
      <c r="AK849" s="101">
        <f t="shared" si="461"/>
        <v>9919.5104748914655</v>
      </c>
      <c r="AL849" s="101">
        <f t="shared" si="997"/>
        <v>9919.5104748914655</v>
      </c>
      <c r="AM849" s="101"/>
      <c r="AN849" s="101"/>
      <c r="AO849" s="1">
        <v>36</v>
      </c>
      <c r="AP849" s="2">
        <v>36</v>
      </c>
      <c r="AQ849" s="74">
        <f t="shared" si="998"/>
        <v>657</v>
      </c>
      <c r="AR849" s="31">
        <f t="shared" si="999"/>
        <v>6</v>
      </c>
      <c r="AS849" s="2">
        <f t="shared" si="1000"/>
        <v>0</v>
      </c>
      <c r="AT849" s="33">
        <f t="shared" si="1001"/>
        <v>0</v>
      </c>
      <c r="AU849" s="31">
        <f t="shared" si="1002"/>
        <v>0.3</v>
      </c>
      <c r="AV849" s="2">
        <f t="shared" si="1003"/>
        <v>0</v>
      </c>
      <c r="AW849" s="33">
        <f t="shared" si="1004"/>
        <v>1</v>
      </c>
      <c r="AX849" s="31">
        <f t="shared" si="1005"/>
        <v>1</v>
      </c>
      <c r="AY849" s="33">
        <f t="shared" si="1006"/>
        <v>1.6</v>
      </c>
      <c r="AZ849" s="2"/>
      <c r="BA849" s="101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</row>
    <row r="850" spans="1:71" ht="12" customHeight="1">
      <c r="A850" s="2"/>
      <c r="B850" s="107">
        <v>775</v>
      </c>
      <c r="C850" s="31">
        <v>10</v>
      </c>
      <c r="D850" s="111" t="s">
        <v>21</v>
      </c>
      <c r="E850" s="2" t="s">
        <v>157</v>
      </c>
      <c r="F850" s="2" t="s">
        <v>149</v>
      </c>
      <c r="G850" s="2" t="s">
        <v>177</v>
      </c>
      <c r="H850" s="33"/>
      <c r="I850" s="99">
        <f t="shared" si="0"/>
        <v>1827.6732001807111</v>
      </c>
      <c r="J850" s="101">
        <f t="shared" si="1"/>
        <v>30.238644768832497</v>
      </c>
      <c r="K850" s="101">
        <f t="shared" si="2"/>
        <v>24</v>
      </c>
      <c r="L850" s="74">
        <f t="shared" si="535"/>
        <v>24</v>
      </c>
      <c r="M850" s="99">
        <f t="shared" si="191"/>
        <v>39710.155719557697</v>
      </c>
      <c r="N850" s="108">
        <f t="shared" si="690"/>
        <v>39710.155719557697</v>
      </c>
      <c r="O850" s="108"/>
      <c r="P850" s="108"/>
      <c r="Q850" s="108"/>
      <c r="R850" s="109">
        <f t="shared" si="990"/>
        <v>0</v>
      </c>
      <c r="S850" s="99">
        <f t="shared" si="694"/>
        <v>28568.190167687422</v>
      </c>
      <c r="T850" s="108">
        <f t="shared" si="991"/>
        <v>28568.190167687422</v>
      </c>
      <c r="U850" s="108"/>
      <c r="V850" s="108"/>
      <c r="W850" s="108"/>
      <c r="X850" s="109">
        <f t="shared" si="992"/>
        <v>0</v>
      </c>
      <c r="Y850" s="99">
        <f t="shared" si="8"/>
        <v>57136.380335374844</v>
      </c>
      <c r="Z850" s="108">
        <f t="shared" si="993"/>
        <v>57136.380335374844</v>
      </c>
      <c r="AA850" s="108"/>
      <c r="AB850" s="108"/>
      <c r="AC850" s="108"/>
      <c r="AD850" s="109">
        <f t="shared" si="994"/>
        <v>0</v>
      </c>
      <c r="AE850" s="99">
        <f t="shared" si="1007"/>
        <v>21.727164197424003</v>
      </c>
      <c r="AF850" s="101">
        <f t="shared" si="849"/>
        <v>36</v>
      </c>
      <c r="AG850" s="101">
        <f t="shared" si="995"/>
        <v>19.001300000000001</v>
      </c>
      <c r="AH850" s="101">
        <f t="shared" si="851"/>
        <v>657</v>
      </c>
      <c r="AI850" s="101">
        <f t="shared" si="852"/>
        <v>200</v>
      </c>
      <c r="AJ850" s="108">
        <f t="shared" si="996"/>
        <v>1.6666666666666667</v>
      </c>
      <c r="AK850" s="101">
        <f t="shared" si="461"/>
        <v>9919.5104748914655</v>
      </c>
      <c r="AL850" s="101">
        <f t="shared" si="997"/>
        <v>9919.5104748914655</v>
      </c>
      <c r="AM850" s="101"/>
      <c r="AN850" s="101"/>
      <c r="AO850" s="1">
        <v>36</v>
      </c>
      <c r="AP850" s="2">
        <v>36</v>
      </c>
      <c r="AQ850" s="74">
        <f t="shared" si="998"/>
        <v>657</v>
      </c>
      <c r="AR850" s="31">
        <f t="shared" si="999"/>
        <v>6</v>
      </c>
      <c r="AS850" s="2">
        <f t="shared" si="1000"/>
        <v>0</v>
      </c>
      <c r="AT850" s="33">
        <f t="shared" si="1001"/>
        <v>0</v>
      </c>
      <c r="AU850" s="31">
        <f t="shared" si="1002"/>
        <v>0</v>
      </c>
      <c r="AV850" s="2">
        <f t="shared" si="1003"/>
        <v>0</v>
      </c>
      <c r="AW850" s="33">
        <f t="shared" si="1004"/>
        <v>1.5</v>
      </c>
      <c r="AX850" s="31">
        <f t="shared" si="1005"/>
        <v>1</v>
      </c>
      <c r="AY850" s="33">
        <f t="shared" si="1006"/>
        <v>1.6</v>
      </c>
      <c r="AZ850" s="2"/>
      <c r="BA850" s="101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</row>
    <row r="851" spans="1:71" ht="12" customHeight="1">
      <c r="A851" s="2"/>
      <c r="B851" s="107">
        <v>776</v>
      </c>
      <c r="C851" s="31">
        <v>10</v>
      </c>
      <c r="D851" s="111" t="s">
        <v>21</v>
      </c>
      <c r="E851" s="2" t="s">
        <v>99</v>
      </c>
      <c r="F851" s="2" t="s">
        <v>149</v>
      </c>
      <c r="G851" s="2"/>
      <c r="H851" s="33"/>
      <c r="I851" s="99">
        <f t="shared" si="0"/>
        <v>1039.9298761610123</v>
      </c>
      <c r="J851" s="101">
        <f t="shared" si="1"/>
        <v>23.695174714659018</v>
      </c>
      <c r="K851" s="101">
        <f t="shared" si="2"/>
        <v>148</v>
      </c>
      <c r="L851" s="74">
        <f t="shared" si="535"/>
        <v>117</v>
      </c>
      <c r="M851" s="99">
        <f t="shared" si="191"/>
        <v>28834.306430123197</v>
      </c>
      <c r="N851" s="108">
        <f t="shared" si="690"/>
        <v>26473.437146371794</v>
      </c>
      <c r="O851" s="108"/>
      <c r="P851" s="108"/>
      <c r="Q851" s="108"/>
      <c r="R851" s="109">
        <f t="shared" si="990"/>
        <v>2360.8692837514036</v>
      </c>
      <c r="S851" s="99">
        <f t="shared" si="694"/>
        <v>21029.362206769907</v>
      </c>
      <c r="T851" s="108">
        <f t="shared" si="991"/>
        <v>19045.460111791614</v>
      </c>
      <c r="U851" s="108"/>
      <c r="V851" s="108"/>
      <c r="W851" s="108"/>
      <c r="X851" s="109">
        <f t="shared" si="992"/>
        <v>1983.9020949782932</v>
      </c>
      <c r="Y851" s="99">
        <f t="shared" si="8"/>
        <v>42058.724413539814</v>
      </c>
      <c r="Z851" s="108">
        <f t="shared" si="993"/>
        <v>38090.920223583227</v>
      </c>
      <c r="AA851" s="108"/>
      <c r="AB851" s="108"/>
      <c r="AC851" s="108"/>
      <c r="AD851" s="109">
        <f t="shared" si="994"/>
        <v>3967.8041899565865</v>
      </c>
      <c r="AE851" s="99">
        <f t="shared" si="1007"/>
        <v>27.727164197424003</v>
      </c>
      <c r="AF851" s="101">
        <f t="shared" si="849"/>
        <v>36</v>
      </c>
      <c r="AG851" s="101">
        <f t="shared" si="995"/>
        <v>19.001300000000001</v>
      </c>
      <c r="AH851" s="101">
        <f t="shared" si="851"/>
        <v>657</v>
      </c>
      <c r="AI851" s="101">
        <f t="shared" si="852"/>
        <v>200</v>
      </c>
      <c r="AJ851" s="108">
        <f t="shared" si="996"/>
        <v>1.6666666666666667</v>
      </c>
      <c r="AK851" s="101">
        <f t="shared" si="461"/>
        <v>9919.5104748914655</v>
      </c>
      <c r="AL851" s="101">
        <f t="shared" si="997"/>
        <v>9919.5104748914655</v>
      </c>
      <c r="AM851" s="101"/>
      <c r="AN851" s="101"/>
      <c r="AO851" s="1">
        <v>36</v>
      </c>
      <c r="AP851" s="2">
        <v>36</v>
      </c>
      <c r="AQ851" s="74">
        <f t="shared" si="998"/>
        <v>657</v>
      </c>
      <c r="AR851" s="31">
        <f t="shared" si="999"/>
        <v>0</v>
      </c>
      <c r="AS851" s="2">
        <f t="shared" si="1000"/>
        <v>0.2</v>
      </c>
      <c r="AT851" s="33">
        <f t="shared" si="1001"/>
        <v>0</v>
      </c>
      <c r="AU851" s="31">
        <f t="shared" si="1002"/>
        <v>0</v>
      </c>
      <c r="AV851" s="2">
        <f t="shared" si="1003"/>
        <v>0</v>
      </c>
      <c r="AW851" s="33">
        <f t="shared" si="1004"/>
        <v>1</v>
      </c>
      <c r="AX851" s="31">
        <f t="shared" si="1005"/>
        <v>1</v>
      </c>
      <c r="AY851" s="33">
        <f t="shared" si="1006"/>
        <v>1.6</v>
      </c>
      <c r="AZ851" s="2"/>
      <c r="BA851" s="101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</row>
    <row r="852" spans="1:71" ht="12" customHeight="1">
      <c r="A852" s="2"/>
      <c r="B852" s="107">
        <v>777</v>
      </c>
      <c r="C852" s="31">
        <v>10</v>
      </c>
      <c r="D852" s="111" t="s">
        <v>21</v>
      </c>
      <c r="E852" s="2" t="s">
        <v>170</v>
      </c>
      <c r="F852" s="2" t="s">
        <v>149</v>
      </c>
      <c r="G852" s="2"/>
      <c r="H852" s="33"/>
      <c r="I852" s="99">
        <f t="shared" si="0"/>
        <v>1167.6495340536183</v>
      </c>
      <c r="J852" s="101">
        <f t="shared" si="1"/>
        <v>23.695174714659018</v>
      </c>
      <c r="K852" s="101">
        <f t="shared" si="2"/>
        <v>103</v>
      </c>
      <c r="L852" s="74">
        <f t="shared" si="535"/>
        <v>88</v>
      </c>
      <c r="M852" s="99">
        <f t="shared" si="191"/>
        <v>32375.610355750301</v>
      </c>
      <c r="N852" s="108">
        <f t="shared" si="690"/>
        <v>26473.437146371794</v>
      </c>
      <c r="O852" s="108"/>
      <c r="P852" s="108"/>
      <c r="Q852" s="108"/>
      <c r="R852" s="109">
        <f t="shared" si="990"/>
        <v>5902.1732093785085</v>
      </c>
      <c r="S852" s="99">
        <f t="shared" si="694"/>
        <v>24005.215349237347</v>
      </c>
      <c r="T852" s="108">
        <f t="shared" si="991"/>
        <v>19045.460111791614</v>
      </c>
      <c r="U852" s="108"/>
      <c r="V852" s="108"/>
      <c r="W852" s="108"/>
      <c r="X852" s="109">
        <f t="shared" si="992"/>
        <v>4959.7552374457327</v>
      </c>
      <c r="Y852" s="99">
        <f t="shared" si="8"/>
        <v>48010.430698474695</v>
      </c>
      <c r="Z852" s="108">
        <f t="shared" si="993"/>
        <v>38090.920223583227</v>
      </c>
      <c r="AA852" s="108"/>
      <c r="AB852" s="108"/>
      <c r="AC852" s="108"/>
      <c r="AD852" s="109">
        <f t="shared" si="994"/>
        <v>9919.5104748914655</v>
      </c>
      <c r="AE852" s="99">
        <f t="shared" si="1007"/>
        <v>27.727164197424003</v>
      </c>
      <c r="AF852" s="101">
        <f t="shared" si="849"/>
        <v>36</v>
      </c>
      <c r="AG852" s="101">
        <f t="shared" si="995"/>
        <v>19.001300000000001</v>
      </c>
      <c r="AH852" s="101">
        <f t="shared" si="851"/>
        <v>657</v>
      </c>
      <c r="AI852" s="101">
        <f t="shared" si="852"/>
        <v>200</v>
      </c>
      <c r="AJ852" s="108">
        <f t="shared" si="996"/>
        <v>1.6666666666666667</v>
      </c>
      <c r="AK852" s="101">
        <f t="shared" si="461"/>
        <v>9919.5104748914655</v>
      </c>
      <c r="AL852" s="101">
        <f t="shared" si="997"/>
        <v>9919.5104748914655</v>
      </c>
      <c r="AM852" s="101"/>
      <c r="AN852" s="101"/>
      <c r="AO852" s="1">
        <v>36</v>
      </c>
      <c r="AP852" s="2">
        <v>36</v>
      </c>
      <c r="AQ852" s="74">
        <f t="shared" si="998"/>
        <v>657</v>
      </c>
      <c r="AR852" s="31">
        <f t="shared" si="999"/>
        <v>0</v>
      </c>
      <c r="AS852" s="2">
        <f t="shared" si="1000"/>
        <v>0.2</v>
      </c>
      <c r="AT852" s="33">
        <f t="shared" si="1001"/>
        <v>0</v>
      </c>
      <c r="AU852" s="31">
        <f t="shared" si="1002"/>
        <v>0.3</v>
      </c>
      <c r="AV852" s="2">
        <f t="shared" si="1003"/>
        <v>0</v>
      </c>
      <c r="AW852" s="33">
        <f t="shared" si="1004"/>
        <v>1</v>
      </c>
      <c r="AX852" s="31">
        <f t="shared" si="1005"/>
        <v>1</v>
      </c>
      <c r="AY852" s="33">
        <f t="shared" si="1006"/>
        <v>1.6</v>
      </c>
      <c r="AZ852" s="2"/>
      <c r="BA852" s="101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</row>
    <row r="853" spans="1:71" ht="12" customHeight="1">
      <c r="A853" s="2"/>
      <c r="B853" s="107">
        <v>778</v>
      </c>
      <c r="C853" s="31">
        <v>10</v>
      </c>
      <c r="D853" s="111" t="s">
        <v>21</v>
      </c>
      <c r="E853" s="2" t="s">
        <v>108</v>
      </c>
      <c r="F853" s="2" t="s">
        <v>149</v>
      </c>
      <c r="G853" s="2" t="s">
        <v>177</v>
      </c>
      <c r="H853" s="33"/>
      <c r="I853" s="99">
        <f t="shared" si="0"/>
        <v>1517.3215949439834</v>
      </c>
      <c r="J853" s="101">
        <f t="shared" si="1"/>
        <v>23.695174714659018</v>
      </c>
      <c r="K853" s="101">
        <f t="shared" si="2"/>
        <v>40</v>
      </c>
      <c r="L853" s="74">
        <f t="shared" si="535"/>
        <v>39</v>
      </c>
      <c r="M853" s="99">
        <f t="shared" si="191"/>
        <v>42071.0250033091</v>
      </c>
      <c r="N853" s="108">
        <f t="shared" si="690"/>
        <v>39710.155719557697</v>
      </c>
      <c r="O853" s="108"/>
      <c r="P853" s="108"/>
      <c r="Q853" s="108"/>
      <c r="R853" s="109">
        <f t="shared" si="990"/>
        <v>2360.8692837514036</v>
      </c>
      <c r="S853" s="99">
        <f t="shared" si="694"/>
        <v>30552.092262665716</v>
      </c>
      <c r="T853" s="108">
        <f t="shared" si="991"/>
        <v>28568.190167687422</v>
      </c>
      <c r="U853" s="108"/>
      <c r="V853" s="108"/>
      <c r="W853" s="108"/>
      <c r="X853" s="109">
        <f t="shared" si="992"/>
        <v>1983.9020949782932</v>
      </c>
      <c r="Y853" s="99">
        <f t="shared" si="8"/>
        <v>61104.184525331431</v>
      </c>
      <c r="Z853" s="108">
        <f t="shared" si="993"/>
        <v>57136.380335374844</v>
      </c>
      <c r="AA853" s="108"/>
      <c r="AB853" s="108"/>
      <c r="AC853" s="108"/>
      <c r="AD853" s="109">
        <f t="shared" si="994"/>
        <v>3967.8041899565865</v>
      </c>
      <c r="AE853" s="99">
        <f t="shared" si="1007"/>
        <v>27.727164197424003</v>
      </c>
      <c r="AF853" s="101">
        <f t="shared" si="849"/>
        <v>36</v>
      </c>
      <c r="AG853" s="101">
        <f t="shared" si="995"/>
        <v>19.001300000000001</v>
      </c>
      <c r="AH853" s="101">
        <f t="shared" si="851"/>
        <v>657</v>
      </c>
      <c r="AI853" s="101">
        <f t="shared" si="852"/>
        <v>200</v>
      </c>
      <c r="AJ853" s="108">
        <f t="shared" si="996"/>
        <v>1.6666666666666667</v>
      </c>
      <c r="AK853" s="101">
        <f t="shared" si="461"/>
        <v>9919.5104748914655</v>
      </c>
      <c r="AL853" s="101">
        <f t="shared" si="997"/>
        <v>9919.5104748914655</v>
      </c>
      <c r="AM853" s="101"/>
      <c r="AN853" s="101"/>
      <c r="AO853" s="1">
        <v>36</v>
      </c>
      <c r="AP853" s="2">
        <v>36</v>
      </c>
      <c r="AQ853" s="74">
        <f t="shared" si="998"/>
        <v>657</v>
      </c>
      <c r="AR853" s="31">
        <f t="shared" si="999"/>
        <v>0</v>
      </c>
      <c r="AS853" s="2">
        <f t="shared" si="1000"/>
        <v>0.2</v>
      </c>
      <c r="AT853" s="33">
        <f t="shared" si="1001"/>
        <v>0</v>
      </c>
      <c r="AU853" s="31">
        <f t="shared" si="1002"/>
        <v>0</v>
      </c>
      <c r="AV853" s="2">
        <f t="shared" si="1003"/>
        <v>0</v>
      </c>
      <c r="AW853" s="33">
        <f t="shared" si="1004"/>
        <v>1.5</v>
      </c>
      <c r="AX853" s="31">
        <f t="shared" si="1005"/>
        <v>1</v>
      </c>
      <c r="AY853" s="33">
        <f t="shared" si="1006"/>
        <v>1.6</v>
      </c>
      <c r="AZ853" s="2"/>
      <c r="BA853" s="101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</row>
    <row r="854" spans="1:71" ht="12" customHeight="1">
      <c r="A854" s="2"/>
      <c r="B854" s="107">
        <v>779</v>
      </c>
      <c r="C854" s="31">
        <v>7</v>
      </c>
      <c r="D854" s="111" t="s">
        <v>21</v>
      </c>
      <c r="E854" s="2" t="s">
        <v>67</v>
      </c>
      <c r="F854" s="2" t="s">
        <v>149</v>
      </c>
      <c r="G854" s="2"/>
      <c r="H854" s="33"/>
      <c r="I854" s="99">
        <f t="shared" si="0"/>
        <v>571.35181430988405</v>
      </c>
      <c r="J854" s="101">
        <f t="shared" si="1"/>
        <v>16.518097441877977</v>
      </c>
      <c r="K854" s="101">
        <f t="shared" si="2"/>
        <v>503</v>
      </c>
      <c r="L854" s="74">
        <f t="shared" si="535"/>
        <v>289</v>
      </c>
      <c r="M854" s="99">
        <f t="shared" si="191"/>
        <v>15841.965569866263</v>
      </c>
      <c r="N854" s="108">
        <f t="shared" si="690"/>
        <v>15841.965569866263</v>
      </c>
      <c r="O854" s="108"/>
      <c r="P854" s="108"/>
      <c r="Q854" s="108"/>
      <c r="R854" s="109">
        <f t="shared" si="990"/>
        <v>0</v>
      </c>
      <c r="S854" s="99">
        <f t="shared" si="694"/>
        <v>11396.990941715123</v>
      </c>
      <c r="T854" s="108">
        <f t="shared" si="991"/>
        <v>11396.990941715123</v>
      </c>
      <c r="U854" s="108"/>
      <c r="V854" s="108"/>
      <c r="W854" s="108"/>
      <c r="X854" s="109">
        <f t="shared" si="992"/>
        <v>0</v>
      </c>
      <c r="Y854" s="99">
        <f t="shared" si="8"/>
        <v>22793.98188343025</v>
      </c>
      <c r="Z854" s="108">
        <f t="shared" si="993"/>
        <v>22793.98188343025</v>
      </c>
      <c r="AA854" s="108"/>
      <c r="AB854" s="108"/>
      <c r="AC854" s="108"/>
      <c r="AD854" s="109">
        <f t="shared" si="994"/>
        <v>0</v>
      </c>
      <c r="AE854" s="99">
        <f t="shared" si="1007"/>
        <v>27.727164197424003</v>
      </c>
      <c r="AF854" s="101">
        <f t="shared" si="849"/>
        <v>36</v>
      </c>
      <c r="AG854" s="101">
        <f t="shared" si="995"/>
        <v>19.001300000000001</v>
      </c>
      <c r="AH854" s="101">
        <f t="shared" si="851"/>
        <v>458</v>
      </c>
      <c r="AI854" s="101">
        <f t="shared" si="852"/>
        <v>200</v>
      </c>
      <c r="AJ854" s="108">
        <f t="shared" si="996"/>
        <v>1.6666666666666667</v>
      </c>
      <c r="AK854" s="101">
        <f t="shared" si="461"/>
        <v>9497.4924514292688</v>
      </c>
      <c r="AL854" s="101">
        <f t="shared" si="997"/>
        <v>9497.4924514292688</v>
      </c>
      <c r="AM854" s="101"/>
      <c r="AN854" s="101"/>
      <c r="AO854" s="1">
        <v>36</v>
      </c>
      <c r="AP854" s="2">
        <v>36</v>
      </c>
      <c r="AQ854" s="74">
        <f t="shared" si="998"/>
        <v>458</v>
      </c>
      <c r="AR854" s="31">
        <f t="shared" si="999"/>
        <v>0</v>
      </c>
      <c r="AS854" s="2">
        <f t="shared" si="1000"/>
        <v>0</v>
      </c>
      <c r="AT854" s="33">
        <f t="shared" si="1001"/>
        <v>0</v>
      </c>
      <c r="AU854" s="31">
        <f t="shared" si="1002"/>
        <v>0</v>
      </c>
      <c r="AV854" s="2">
        <f t="shared" si="1003"/>
        <v>0</v>
      </c>
      <c r="AW854" s="33">
        <f t="shared" si="1004"/>
        <v>1</v>
      </c>
      <c r="AX854" s="31">
        <f t="shared" si="1005"/>
        <v>1</v>
      </c>
      <c r="AY854" s="33">
        <f t="shared" si="1006"/>
        <v>1</v>
      </c>
      <c r="AZ854" s="2"/>
      <c r="BA854" s="101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</row>
    <row r="855" spans="1:71" ht="12" customHeight="1">
      <c r="A855" s="2"/>
      <c r="B855" s="107">
        <v>780</v>
      </c>
      <c r="C855" s="31">
        <v>7</v>
      </c>
      <c r="D855" s="111" t="s">
        <v>21</v>
      </c>
      <c r="E855" s="2" t="s">
        <v>136</v>
      </c>
      <c r="F855" s="2" t="s">
        <v>149</v>
      </c>
      <c r="G855" s="2"/>
      <c r="H855" s="33"/>
      <c r="I855" s="99">
        <f t="shared" si="0"/>
        <v>693.63773656427077</v>
      </c>
      <c r="J855" s="101">
        <f t="shared" si="1"/>
        <v>16.518097441877977</v>
      </c>
      <c r="K855" s="101">
        <f t="shared" si="2"/>
        <v>363</v>
      </c>
      <c r="L855" s="74">
        <f t="shared" si="535"/>
        <v>233</v>
      </c>
      <c r="M855" s="99">
        <f t="shared" si="191"/>
        <v>19232.607415247072</v>
      </c>
      <c r="N855" s="108">
        <f t="shared" si="690"/>
        <v>15841.965569866263</v>
      </c>
      <c r="O855" s="108"/>
      <c r="P855" s="108"/>
      <c r="Q855" s="108"/>
      <c r="R855" s="109">
        <f t="shared" si="990"/>
        <v>3390.6418453808096</v>
      </c>
      <c r="S855" s="99">
        <f t="shared" si="694"/>
        <v>14246.238677143903</v>
      </c>
      <c r="T855" s="108">
        <f t="shared" si="991"/>
        <v>11396.990941715123</v>
      </c>
      <c r="U855" s="108"/>
      <c r="V855" s="108"/>
      <c r="W855" s="108"/>
      <c r="X855" s="109">
        <f t="shared" si="992"/>
        <v>2849.2477354287807</v>
      </c>
      <c r="Y855" s="99">
        <f t="shared" si="8"/>
        <v>28492.47735428781</v>
      </c>
      <c r="Z855" s="108">
        <f t="shared" si="993"/>
        <v>22793.98188343025</v>
      </c>
      <c r="AA855" s="108"/>
      <c r="AB855" s="108"/>
      <c r="AC855" s="108"/>
      <c r="AD855" s="109">
        <f t="shared" si="994"/>
        <v>5698.4954708575624</v>
      </c>
      <c r="AE855" s="99">
        <f t="shared" si="1007"/>
        <v>27.727164197424003</v>
      </c>
      <c r="AF855" s="101">
        <f t="shared" si="849"/>
        <v>36</v>
      </c>
      <c r="AG855" s="101">
        <f t="shared" si="995"/>
        <v>19.001300000000001</v>
      </c>
      <c r="AH855" s="101">
        <f t="shared" si="851"/>
        <v>458</v>
      </c>
      <c r="AI855" s="101">
        <f t="shared" si="852"/>
        <v>200</v>
      </c>
      <c r="AJ855" s="108">
        <f t="shared" si="996"/>
        <v>1.6666666666666667</v>
      </c>
      <c r="AK855" s="101">
        <f t="shared" si="461"/>
        <v>9497.4924514292688</v>
      </c>
      <c r="AL855" s="101">
        <f t="shared" si="997"/>
        <v>9497.4924514292688</v>
      </c>
      <c r="AM855" s="101"/>
      <c r="AN855" s="101"/>
      <c r="AO855" s="1">
        <v>36</v>
      </c>
      <c r="AP855" s="2">
        <v>36</v>
      </c>
      <c r="AQ855" s="74">
        <f t="shared" si="998"/>
        <v>458</v>
      </c>
      <c r="AR855" s="31">
        <f t="shared" si="999"/>
        <v>0</v>
      </c>
      <c r="AS855" s="2">
        <f t="shared" si="1000"/>
        <v>0</v>
      </c>
      <c r="AT855" s="33">
        <f t="shared" si="1001"/>
        <v>0</v>
      </c>
      <c r="AU855" s="31">
        <f t="shared" si="1002"/>
        <v>0.3</v>
      </c>
      <c r="AV855" s="2">
        <f t="shared" si="1003"/>
        <v>0</v>
      </c>
      <c r="AW855" s="33">
        <f t="shared" si="1004"/>
        <v>1</v>
      </c>
      <c r="AX855" s="31">
        <f t="shared" si="1005"/>
        <v>1</v>
      </c>
      <c r="AY855" s="33">
        <f t="shared" si="1006"/>
        <v>1</v>
      </c>
      <c r="AZ855" s="2"/>
      <c r="BA855" s="101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</row>
    <row r="856" spans="1:71" ht="12" customHeight="1">
      <c r="A856" s="2"/>
      <c r="B856" s="107">
        <v>781</v>
      </c>
      <c r="C856" s="31">
        <v>7</v>
      </c>
      <c r="D856" s="111" t="s">
        <v>21</v>
      </c>
      <c r="E856" s="2" t="s">
        <v>91</v>
      </c>
      <c r="F856" s="2" t="s">
        <v>149</v>
      </c>
      <c r="G856" s="2" t="s">
        <v>177</v>
      </c>
      <c r="H856" s="33"/>
      <c r="I856" s="99">
        <f t="shared" si="0"/>
        <v>857.02772146482596</v>
      </c>
      <c r="J856" s="101">
        <f t="shared" si="1"/>
        <v>16.518097441877977</v>
      </c>
      <c r="K856" s="101">
        <f t="shared" si="2"/>
        <v>237</v>
      </c>
      <c r="L856" s="74">
        <f t="shared" si="535"/>
        <v>168</v>
      </c>
      <c r="M856" s="99">
        <f t="shared" si="191"/>
        <v>23762.948354799391</v>
      </c>
      <c r="N856" s="108">
        <f t="shared" si="690"/>
        <v>23762.948354799391</v>
      </c>
      <c r="O856" s="108"/>
      <c r="P856" s="108"/>
      <c r="Q856" s="108"/>
      <c r="R856" s="109">
        <f t="shared" si="990"/>
        <v>0</v>
      </c>
      <c r="S856" s="99">
        <f t="shared" si="694"/>
        <v>17095.486412572682</v>
      </c>
      <c r="T856" s="108">
        <f t="shared" si="991"/>
        <v>17095.486412572682</v>
      </c>
      <c r="U856" s="108"/>
      <c r="V856" s="108"/>
      <c r="W856" s="108"/>
      <c r="X856" s="109">
        <f t="shared" si="992"/>
        <v>0</v>
      </c>
      <c r="Y856" s="99">
        <f t="shared" si="8"/>
        <v>34190.972825145363</v>
      </c>
      <c r="Z856" s="108">
        <f t="shared" si="993"/>
        <v>34190.972825145363</v>
      </c>
      <c r="AA856" s="108"/>
      <c r="AB856" s="108"/>
      <c r="AC856" s="108"/>
      <c r="AD856" s="109">
        <f t="shared" si="994"/>
        <v>0</v>
      </c>
      <c r="AE856" s="99">
        <f t="shared" si="1007"/>
        <v>27.727164197424003</v>
      </c>
      <c r="AF856" s="101">
        <f t="shared" si="849"/>
        <v>36</v>
      </c>
      <c r="AG856" s="101">
        <f t="shared" si="995"/>
        <v>19.001300000000001</v>
      </c>
      <c r="AH856" s="101">
        <f t="shared" si="851"/>
        <v>458</v>
      </c>
      <c r="AI856" s="101">
        <f t="shared" si="852"/>
        <v>200</v>
      </c>
      <c r="AJ856" s="108">
        <f t="shared" si="996"/>
        <v>1.6666666666666667</v>
      </c>
      <c r="AK856" s="101">
        <f t="shared" si="461"/>
        <v>9497.4924514292688</v>
      </c>
      <c r="AL856" s="101">
        <f t="shared" si="997"/>
        <v>9497.4924514292688</v>
      </c>
      <c r="AM856" s="101"/>
      <c r="AN856" s="101"/>
      <c r="AO856" s="1">
        <v>36</v>
      </c>
      <c r="AP856" s="2">
        <v>36</v>
      </c>
      <c r="AQ856" s="74">
        <f t="shared" si="998"/>
        <v>458</v>
      </c>
      <c r="AR856" s="31">
        <f t="shared" si="999"/>
        <v>0</v>
      </c>
      <c r="AS856" s="2">
        <f t="shared" si="1000"/>
        <v>0</v>
      </c>
      <c r="AT856" s="33">
        <f t="shared" si="1001"/>
        <v>0</v>
      </c>
      <c r="AU856" s="31">
        <f t="shared" si="1002"/>
        <v>0</v>
      </c>
      <c r="AV856" s="2">
        <f t="shared" si="1003"/>
        <v>0</v>
      </c>
      <c r="AW856" s="33">
        <f t="shared" si="1004"/>
        <v>1.5</v>
      </c>
      <c r="AX856" s="31">
        <f t="shared" si="1005"/>
        <v>1</v>
      </c>
      <c r="AY856" s="33">
        <f t="shared" si="1006"/>
        <v>1</v>
      </c>
      <c r="AZ856" s="2"/>
      <c r="BA856" s="101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</row>
    <row r="857" spans="1:71" ht="12" customHeight="1">
      <c r="A857" s="2"/>
      <c r="B857" s="107">
        <v>782</v>
      </c>
      <c r="C857" s="31">
        <v>7</v>
      </c>
      <c r="D857" s="111" t="s">
        <v>21</v>
      </c>
      <c r="E857" s="2" t="s">
        <v>148</v>
      </c>
      <c r="F857" s="2" t="s">
        <v>149</v>
      </c>
      <c r="G857" s="2"/>
      <c r="H857" s="33"/>
      <c r="I857" s="99">
        <f t="shared" si="0"/>
        <v>729.13176454682036</v>
      </c>
      <c r="J857" s="101">
        <f t="shared" si="1"/>
        <v>21.079603202626</v>
      </c>
      <c r="K857" s="101">
        <f t="shared" si="2"/>
        <v>322</v>
      </c>
      <c r="L857" s="74">
        <f t="shared" si="535"/>
        <v>215</v>
      </c>
      <c r="M857" s="99">
        <f t="shared" si="191"/>
        <v>15841.965569866263</v>
      </c>
      <c r="N857" s="108">
        <f t="shared" si="690"/>
        <v>15841.965569866263</v>
      </c>
      <c r="O857" s="108"/>
      <c r="P857" s="108"/>
      <c r="Q857" s="108"/>
      <c r="R857" s="109">
        <f t="shared" si="990"/>
        <v>0</v>
      </c>
      <c r="S857" s="99">
        <f t="shared" si="694"/>
        <v>11396.990941715123</v>
      </c>
      <c r="T857" s="108">
        <f t="shared" si="991"/>
        <v>11396.990941715123</v>
      </c>
      <c r="U857" s="108"/>
      <c r="V857" s="108"/>
      <c r="W857" s="108"/>
      <c r="X857" s="109">
        <f t="shared" si="992"/>
        <v>0</v>
      </c>
      <c r="Y857" s="99">
        <f t="shared" si="8"/>
        <v>22793.98188343025</v>
      </c>
      <c r="Z857" s="108">
        <f t="shared" si="993"/>
        <v>22793.98188343025</v>
      </c>
      <c r="AA857" s="108"/>
      <c r="AB857" s="108"/>
      <c r="AC857" s="108"/>
      <c r="AD857" s="109">
        <f t="shared" si="994"/>
        <v>0</v>
      </c>
      <c r="AE857" s="99">
        <f t="shared" si="1007"/>
        <v>21.727164197424003</v>
      </c>
      <c r="AF857" s="101">
        <f t="shared" si="849"/>
        <v>36</v>
      </c>
      <c r="AG857" s="101">
        <f t="shared" si="995"/>
        <v>19.001300000000001</v>
      </c>
      <c r="AH857" s="101">
        <f t="shared" si="851"/>
        <v>458</v>
      </c>
      <c r="AI857" s="101">
        <f t="shared" si="852"/>
        <v>200</v>
      </c>
      <c r="AJ857" s="108">
        <f t="shared" si="996"/>
        <v>1.6666666666666667</v>
      </c>
      <c r="AK857" s="101">
        <f t="shared" si="461"/>
        <v>9497.4924514292688</v>
      </c>
      <c r="AL857" s="101">
        <f t="shared" si="997"/>
        <v>9497.4924514292688</v>
      </c>
      <c r="AM857" s="101"/>
      <c r="AN857" s="101"/>
      <c r="AO857" s="1">
        <v>36</v>
      </c>
      <c r="AP857" s="2">
        <v>36</v>
      </c>
      <c r="AQ857" s="74">
        <f t="shared" si="998"/>
        <v>458</v>
      </c>
      <c r="AR857" s="31">
        <f t="shared" si="999"/>
        <v>6</v>
      </c>
      <c r="AS857" s="2">
        <f t="shared" si="1000"/>
        <v>0</v>
      </c>
      <c r="AT857" s="33">
        <f t="shared" si="1001"/>
        <v>0</v>
      </c>
      <c r="AU857" s="31">
        <f t="shared" si="1002"/>
        <v>0</v>
      </c>
      <c r="AV857" s="2">
        <f t="shared" si="1003"/>
        <v>0</v>
      </c>
      <c r="AW857" s="33">
        <f t="shared" si="1004"/>
        <v>1</v>
      </c>
      <c r="AX857" s="31">
        <f t="shared" si="1005"/>
        <v>1</v>
      </c>
      <c r="AY857" s="33">
        <f t="shared" si="1006"/>
        <v>1</v>
      </c>
      <c r="AZ857" s="2"/>
      <c r="BA857" s="101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</row>
    <row r="858" spans="1:71" ht="12" customHeight="1">
      <c r="A858" s="2"/>
      <c r="B858" s="107">
        <v>783</v>
      </c>
      <c r="C858" s="31">
        <v>7</v>
      </c>
      <c r="D858" s="111" t="s">
        <v>21</v>
      </c>
      <c r="E858" s="2" t="s">
        <v>163</v>
      </c>
      <c r="F858" s="2" t="s">
        <v>149</v>
      </c>
      <c r="G858" s="2"/>
      <c r="H858" s="33"/>
      <c r="I858" s="99">
        <f t="shared" si="0"/>
        <v>885.18718966220695</v>
      </c>
      <c r="J858" s="101">
        <f t="shared" si="1"/>
        <v>21.079603202626</v>
      </c>
      <c r="K858" s="101">
        <f t="shared" si="2"/>
        <v>221</v>
      </c>
      <c r="L858" s="74">
        <f t="shared" si="535"/>
        <v>158</v>
      </c>
      <c r="M858" s="99">
        <f t="shared" si="191"/>
        <v>19232.607415247072</v>
      </c>
      <c r="N858" s="108">
        <f t="shared" si="690"/>
        <v>15841.965569866263</v>
      </c>
      <c r="O858" s="108"/>
      <c r="P858" s="108"/>
      <c r="Q858" s="108"/>
      <c r="R858" s="109">
        <f t="shared" si="990"/>
        <v>3390.6418453808096</v>
      </c>
      <c r="S858" s="99">
        <f t="shared" si="694"/>
        <v>14246.238677143903</v>
      </c>
      <c r="T858" s="108">
        <f t="shared" si="991"/>
        <v>11396.990941715123</v>
      </c>
      <c r="U858" s="108"/>
      <c r="V858" s="108"/>
      <c r="W858" s="108"/>
      <c r="X858" s="109">
        <f t="shared" si="992"/>
        <v>2849.2477354287807</v>
      </c>
      <c r="Y858" s="99">
        <f t="shared" si="8"/>
        <v>28492.47735428781</v>
      </c>
      <c r="Z858" s="108">
        <f t="shared" si="993"/>
        <v>22793.98188343025</v>
      </c>
      <c r="AA858" s="108"/>
      <c r="AB858" s="108"/>
      <c r="AC858" s="108"/>
      <c r="AD858" s="109">
        <f t="shared" si="994"/>
        <v>5698.4954708575624</v>
      </c>
      <c r="AE858" s="99">
        <f t="shared" si="1007"/>
        <v>21.727164197424003</v>
      </c>
      <c r="AF858" s="101">
        <f t="shared" si="849"/>
        <v>36</v>
      </c>
      <c r="AG858" s="101">
        <f t="shared" si="995"/>
        <v>19.001300000000001</v>
      </c>
      <c r="AH858" s="101">
        <f t="shared" si="851"/>
        <v>458</v>
      </c>
      <c r="AI858" s="101">
        <f t="shared" si="852"/>
        <v>200</v>
      </c>
      <c r="AJ858" s="108">
        <f t="shared" si="996"/>
        <v>1.6666666666666667</v>
      </c>
      <c r="AK858" s="101">
        <f t="shared" si="461"/>
        <v>9497.4924514292688</v>
      </c>
      <c r="AL858" s="101">
        <f t="shared" si="997"/>
        <v>9497.4924514292688</v>
      </c>
      <c r="AM858" s="101"/>
      <c r="AN858" s="101"/>
      <c r="AO858" s="1">
        <v>36</v>
      </c>
      <c r="AP858" s="2">
        <v>36</v>
      </c>
      <c r="AQ858" s="74">
        <f t="shared" si="998"/>
        <v>458</v>
      </c>
      <c r="AR858" s="31">
        <f t="shared" si="999"/>
        <v>6</v>
      </c>
      <c r="AS858" s="2">
        <f t="shared" si="1000"/>
        <v>0</v>
      </c>
      <c r="AT858" s="33">
        <f t="shared" si="1001"/>
        <v>0</v>
      </c>
      <c r="AU858" s="31">
        <f t="shared" si="1002"/>
        <v>0.3</v>
      </c>
      <c r="AV858" s="2">
        <f t="shared" si="1003"/>
        <v>0</v>
      </c>
      <c r="AW858" s="33">
        <f t="shared" si="1004"/>
        <v>1</v>
      </c>
      <c r="AX858" s="31">
        <f t="shared" si="1005"/>
        <v>1</v>
      </c>
      <c r="AY858" s="33">
        <f t="shared" si="1006"/>
        <v>1</v>
      </c>
      <c r="AZ858" s="2"/>
      <c r="BA858" s="101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</row>
    <row r="859" spans="1:71" ht="12" customHeight="1">
      <c r="A859" s="2"/>
      <c r="B859" s="107">
        <v>784</v>
      </c>
      <c r="C859" s="31">
        <v>7</v>
      </c>
      <c r="D859" s="111" t="s">
        <v>21</v>
      </c>
      <c r="E859" s="2" t="s">
        <v>155</v>
      </c>
      <c r="F859" s="2" t="s">
        <v>149</v>
      </c>
      <c r="G859" s="2" t="s">
        <v>177</v>
      </c>
      <c r="H859" s="33"/>
      <c r="I859" s="99">
        <f t="shared" si="0"/>
        <v>1093.6976468202304</v>
      </c>
      <c r="J859" s="101">
        <f t="shared" si="1"/>
        <v>21.079603202626</v>
      </c>
      <c r="K859" s="101">
        <f t="shared" si="2"/>
        <v>121</v>
      </c>
      <c r="L859" s="74">
        <f t="shared" si="535"/>
        <v>100</v>
      </c>
      <c r="M859" s="99">
        <f t="shared" si="191"/>
        <v>23762.948354799391</v>
      </c>
      <c r="N859" s="108">
        <f t="shared" si="690"/>
        <v>23762.948354799391</v>
      </c>
      <c r="O859" s="108"/>
      <c r="P859" s="108"/>
      <c r="Q859" s="108"/>
      <c r="R859" s="109">
        <f t="shared" si="990"/>
        <v>0</v>
      </c>
      <c r="S859" s="99">
        <f t="shared" si="694"/>
        <v>17095.486412572682</v>
      </c>
      <c r="T859" s="108">
        <f t="shared" si="991"/>
        <v>17095.486412572682</v>
      </c>
      <c r="U859" s="108"/>
      <c r="V859" s="108"/>
      <c r="W859" s="108"/>
      <c r="X859" s="109">
        <f t="shared" si="992"/>
        <v>0</v>
      </c>
      <c r="Y859" s="99">
        <f t="shared" si="8"/>
        <v>34190.972825145363</v>
      </c>
      <c r="Z859" s="108">
        <f t="shared" si="993"/>
        <v>34190.972825145363</v>
      </c>
      <c r="AA859" s="108"/>
      <c r="AB859" s="108"/>
      <c r="AC859" s="108"/>
      <c r="AD859" s="109">
        <f t="shared" si="994"/>
        <v>0</v>
      </c>
      <c r="AE859" s="99">
        <f t="shared" si="1007"/>
        <v>21.727164197424003</v>
      </c>
      <c r="AF859" s="101">
        <f t="shared" si="849"/>
        <v>36</v>
      </c>
      <c r="AG859" s="101">
        <f t="shared" si="995"/>
        <v>19.001300000000001</v>
      </c>
      <c r="AH859" s="101">
        <f t="shared" si="851"/>
        <v>458</v>
      </c>
      <c r="AI859" s="101">
        <f t="shared" si="852"/>
        <v>200</v>
      </c>
      <c r="AJ859" s="108">
        <f t="shared" si="996"/>
        <v>1.6666666666666667</v>
      </c>
      <c r="AK859" s="101">
        <f t="shared" si="461"/>
        <v>9497.4924514292688</v>
      </c>
      <c r="AL859" s="101">
        <f t="shared" si="997"/>
        <v>9497.4924514292688</v>
      </c>
      <c r="AM859" s="101"/>
      <c r="AN859" s="101"/>
      <c r="AO859" s="1">
        <v>36</v>
      </c>
      <c r="AP859" s="2">
        <v>36</v>
      </c>
      <c r="AQ859" s="74">
        <f t="shared" si="998"/>
        <v>458</v>
      </c>
      <c r="AR859" s="31">
        <f t="shared" si="999"/>
        <v>6</v>
      </c>
      <c r="AS859" s="2">
        <f t="shared" si="1000"/>
        <v>0</v>
      </c>
      <c r="AT859" s="33">
        <f t="shared" si="1001"/>
        <v>0</v>
      </c>
      <c r="AU859" s="31">
        <f t="shared" si="1002"/>
        <v>0</v>
      </c>
      <c r="AV859" s="2">
        <f t="shared" si="1003"/>
        <v>0</v>
      </c>
      <c r="AW859" s="33">
        <f t="shared" si="1004"/>
        <v>1.5</v>
      </c>
      <c r="AX859" s="31">
        <f t="shared" si="1005"/>
        <v>1</v>
      </c>
      <c r="AY859" s="33">
        <f t="shared" si="1006"/>
        <v>1</v>
      </c>
      <c r="AZ859" s="2"/>
      <c r="BA859" s="101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</row>
    <row r="860" spans="1:71" ht="12" customHeight="1">
      <c r="A860" s="2"/>
      <c r="B860" s="107">
        <v>785</v>
      </c>
      <c r="C860" s="31">
        <v>7</v>
      </c>
      <c r="D860" s="111" t="s">
        <v>21</v>
      </c>
      <c r="E860" s="2" t="s">
        <v>79</v>
      </c>
      <c r="F860" s="2" t="s">
        <v>149</v>
      </c>
      <c r="G860" s="2"/>
      <c r="H860" s="33"/>
      <c r="I860" s="99">
        <f t="shared" si="0"/>
        <v>652.87576247947516</v>
      </c>
      <c r="J860" s="101">
        <f t="shared" si="1"/>
        <v>16.518097441877977</v>
      </c>
      <c r="K860" s="101">
        <f t="shared" si="2"/>
        <v>400</v>
      </c>
      <c r="L860" s="74">
        <f t="shared" si="535"/>
        <v>252</v>
      </c>
      <c r="M860" s="99">
        <f t="shared" si="191"/>
        <v>18102.393466786802</v>
      </c>
      <c r="N860" s="108">
        <f t="shared" si="690"/>
        <v>15841.965569866263</v>
      </c>
      <c r="O860" s="108"/>
      <c r="P860" s="108"/>
      <c r="Q860" s="108"/>
      <c r="R860" s="109">
        <f t="shared" si="990"/>
        <v>2260.4278969205398</v>
      </c>
      <c r="S860" s="99">
        <f t="shared" si="694"/>
        <v>13296.489432000977</v>
      </c>
      <c r="T860" s="108">
        <f t="shared" si="991"/>
        <v>11396.990941715123</v>
      </c>
      <c r="U860" s="108"/>
      <c r="V860" s="108"/>
      <c r="W860" s="108"/>
      <c r="X860" s="109">
        <f t="shared" si="992"/>
        <v>1899.4984902858539</v>
      </c>
      <c r="Y860" s="99">
        <f t="shared" si="8"/>
        <v>26592.978864001958</v>
      </c>
      <c r="Z860" s="108">
        <f t="shared" si="993"/>
        <v>22793.98188343025</v>
      </c>
      <c r="AA860" s="108"/>
      <c r="AB860" s="108"/>
      <c r="AC860" s="108"/>
      <c r="AD860" s="109">
        <f t="shared" si="994"/>
        <v>3798.9969805717078</v>
      </c>
      <c r="AE860" s="99">
        <f t="shared" si="1007"/>
        <v>27.727164197424003</v>
      </c>
      <c r="AF860" s="101">
        <f t="shared" si="849"/>
        <v>36</v>
      </c>
      <c r="AG860" s="101">
        <f t="shared" si="995"/>
        <v>19.001300000000001</v>
      </c>
      <c r="AH860" s="101">
        <f t="shared" si="851"/>
        <v>458</v>
      </c>
      <c r="AI860" s="101">
        <f t="shared" si="852"/>
        <v>200</v>
      </c>
      <c r="AJ860" s="108">
        <f t="shared" si="996"/>
        <v>1.6666666666666667</v>
      </c>
      <c r="AK860" s="101">
        <f t="shared" si="461"/>
        <v>9497.4924514292688</v>
      </c>
      <c r="AL860" s="101">
        <f t="shared" si="997"/>
        <v>9497.4924514292688</v>
      </c>
      <c r="AM860" s="101"/>
      <c r="AN860" s="101"/>
      <c r="AO860" s="1">
        <v>36</v>
      </c>
      <c r="AP860" s="2">
        <v>36</v>
      </c>
      <c r="AQ860" s="74">
        <f t="shared" si="998"/>
        <v>458</v>
      </c>
      <c r="AR860" s="31">
        <f t="shared" si="999"/>
        <v>0</v>
      </c>
      <c r="AS860" s="2">
        <f t="shared" si="1000"/>
        <v>0.2</v>
      </c>
      <c r="AT860" s="33">
        <f t="shared" si="1001"/>
        <v>0</v>
      </c>
      <c r="AU860" s="31">
        <f t="shared" si="1002"/>
        <v>0</v>
      </c>
      <c r="AV860" s="2">
        <f t="shared" si="1003"/>
        <v>0</v>
      </c>
      <c r="AW860" s="33">
        <f t="shared" si="1004"/>
        <v>1</v>
      </c>
      <c r="AX860" s="31">
        <f t="shared" si="1005"/>
        <v>1</v>
      </c>
      <c r="AY860" s="33">
        <f t="shared" si="1006"/>
        <v>1</v>
      </c>
      <c r="AZ860" s="2"/>
      <c r="BA860" s="101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</row>
    <row r="861" spans="1:71" ht="12" customHeight="1">
      <c r="A861" s="2"/>
      <c r="B861" s="107">
        <v>786</v>
      </c>
      <c r="C861" s="31">
        <v>7</v>
      </c>
      <c r="D861" s="111" t="s">
        <v>21</v>
      </c>
      <c r="E861" s="2" t="s">
        <v>168</v>
      </c>
      <c r="F861" s="2" t="s">
        <v>149</v>
      </c>
      <c r="G861" s="2"/>
      <c r="H861" s="33"/>
      <c r="I861" s="99">
        <f t="shared" si="0"/>
        <v>775.1616847338621</v>
      </c>
      <c r="J861" s="101">
        <f t="shared" si="1"/>
        <v>16.518097441877977</v>
      </c>
      <c r="K861" s="101">
        <f t="shared" si="2"/>
        <v>280</v>
      </c>
      <c r="L861" s="74">
        <f t="shared" si="535"/>
        <v>195</v>
      </c>
      <c r="M861" s="99">
        <f t="shared" si="191"/>
        <v>21493.035312167613</v>
      </c>
      <c r="N861" s="108">
        <f t="shared" si="690"/>
        <v>15841.965569866263</v>
      </c>
      <c r="O861" s="108"/>
      <c r="P861" s="108"/>
      <c r="Q861" s="108"/>
      <c r="R861" s="109">
        <f t="shared" si="990"/>
        <v>5651.0697423013489</v>
      </c>
      <c r="S861" s="99">
        <f t="shared" si="694"/>
        <v>16145.737167429757</v>
      </c>
      <c r="T861" s="108">
        <f t="shared" si="991"/>
        <v>11396.990941715123</v>
      </c>
      <c r="U861" s="108"/>
      <c r="V861" s="108"/>
      <c r="W861" s="108"/>
      <c r="X861" s="109">
        <f t="shared" si="992"/>
        <v>4748.7462257146344</v>
      </c>
      <c r="Y861" s="99">
        <f t="shared" si="8"/>
        <v>32291.474334859518</v>
      </c>
      <c r="Z861" s="108">
        <f t="shared" si="993"/>
        <v>22793.98188343025</v>
      </c>
      <c r="AA861" s="108"/>
      <c r="AB861" s="108"/>
      <c r="AC861" s="108"/>
      <c r="AD861" s="109">
        <f t="shared" si="994"/>
        <v>9497.4924514292688</v>
      </c>
      <c r="AE861" s="99">
        <f t="shared" si="1007"/>
        <v>27.727164197424003</v>
      </c>
      <c r="AF861" s="101">
        <f t="shared" si="849"/>
        <v>36</v>
      </c>
      <c r="AG861" s="101">
        <f t="shared" si="995"/>
        <v>19.001300000000001</v>
      </c>
      <c r="AH861" s="101">
        <f t="shared" si="851"/>
        <v>458</v>
      </c>
      <c r="AI861" s="101">
        <f t="shared" si="852"/>
        <v>200</v>
      </c>
      <c r="AJ861" s="108">
        <f t="shared" si="996"/>
        <v>1.6666666666666667</v>
      </c>
      <c r="AK861" s="101">
        <f t="shared" si="461"/>
        <v>9497.4924514292688</v>
      </c>
      <c r="AL861" s="101">
        <f t="shared" si="997"/>
        <v>9497.4924514292688</v>
      </c>
      <c r="AM861" s="101"/>
      <c r="AN861" s="101"/>
      <c r="AO861" s="1">
        <v>36</v>
      </c>
      <c r="AP861" s="2">
        <v>36</v>
      </c>
      <c r="AQ861" s="74">
        <f t="shared" si="998"/>
        <v>458</v>
      </c>
      <c r="AR861" s="31">
        <f t="shared" si="999"/>
        <v>0</v>
      </c>
      <c r="AS861" s="2">
        <f t="shared" si="1000"/>
        <v>0.2</v>
      </c>
      <c r="AT861" s="33">
        <f t="shared" si="1001"/>
        <v>0</v>
      </c>
      <c r="AU861" s="31">
        <f t="shared" si="1002"/>
        <v>0.3</v>
      </c>
      <c r="AV861" s="2">
        <f t="shared" si="1003"/>
        <v>0</v>
      </c>
      <c r="AW861" s="33">
        <f t="shared" si="1004"/>
        <v>1</v>
      </c>
      <c r="AX861" s="31">
        <f t="shared" si="1005"/>
        <v>1</v>
      </c>
      <c r="AY861" s="33">
        <f t="shared" si="1006"/>
        <v>1</v>
      </c>
      <c r="AZ861" s="2"/>
      <c r="BA861" s="101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</row>
    <row r="862" spans="1:71" ht="12" customHeight="1">
      <c r="A862" s="2"/>
      <c r="B862" s="107">
        <v>787</v>
      </c>
      <c r="C862" s="31">
        <v>7</v>
      </c>
      <c r="D862" s="111" t="s">
        <v>21</v>
      </c>
      <c r="E862" s="2" t="s">
        <v>103</v>
      </c>
      <c r="F862" s="2" t="s">
        <v>149</v>
      </c>
      <c r="G862" s="2" t="s">
        <v>177</v>
      </c>
      <c r="H862" s="33"/>
      <c r="I862" s="99">
        <f t="shared" si="0"/>
        <v>938.55166963441718</v>
      </c>
      <c r="J862" s="101">
        <f t="shared" si="1"/>
        <v>16.518097441877977</v>
      </c>
      <c r="K862" s="101">
        <f t="shared" si="2"/>
        <v>187</v>
      </c>
      <c r="L862" s="74">
        <f t="shared" si="535"/>
        <v>142</v>
      </c>
      <c r="M862" s="99">
        <f t="shared" si="191"/>
        <v>26023.376251719932</v>
      </c>
      <c r="N862" s="108">
        <f t="shared" si="690"/>
        <v>23762.948354799391</v>
      </c>
      <c r="O862" s="108"/>
      <c r="P862" s="108"/>
      <c r="Q862" s="108"/>
      <c r="R862" s="109">
        <f t="shared" si="990"/>
        <v>2260.4278969205398</v>
      </c>
      <c r="S862" s="99">
        <f t="shared" si="694"/>
        <v>18994.984902858534</v>
      </c>
      <c r="T862" s="108">
        <f t="shared" si="991"/>
        <v>17095.486412572682</v>
      </c>
      <c r="U862" s="108"/>
      <c r="V862" s="108"/>
      <c r="W862" s="108"/>
      <c r="X862" s="109">
        <f t="shared" si="992"/>
        <v>1899.4984902858539</v>
      </c>
      <c r="Y862" s="99">
        <f t="shared" si="8"/>
        <v>37989.969805717068</v>
      </c>
      <c r="Z862" s="108">
        <f t="shared" si="993"/>
        <v>34190.972825145363</v>
      </c>
      <c r="AA862" s="108"/>
      <c r="AB862" s="108"/>
      <c r="AC862" s="108"/>
      <c r="AD862" s="109">
        <f t="shared" si="994"/>
        <v>3798.9969805717078</v>
      </c>
      <c r="AE862" s="99">
        <f t="shared" si="1007"/>
        <v>27.727164197424003</v>
      </c>
      <c r="AF862" s="101">
        <f t="shared" si="849"/>
        <v>36</v>
      </c>
      <c r="AG862" s="101">
        <f t="shared" si="995"/>
        <v>19.001300000000001</v>
      </c>
      <c r="AH862" s="101">
        <f t="shared" si="851"/>
        <v>458</v>
      </c>
      <c r="AI862" s="101">
        <f t="shared" si="852"/>
        <v>200</v>
      </c>
      <c r="AJ862" s="108">
        <f t="shared" si="996"/>
        <v>1.6666666666666667</v>
      </c>
      <c r="AK862" s="101">
        <f t="shared" si="461"/>
        <v>9497.4924514292688</v>
      </c>
      <c r="AL862" s="101">
        <f t="shared" si="997"/>
        <v>9497.4924514292688</v>
      </c>
      <c r="AM862" s="101"/>
      <c r="AN862" s="101"/>
      <c r="AO862" s="1">
        <v>36</v>
      </c>
      <c r="AP862" s="2">
        <v>36</v>
      </c>
      <c r="AQ862" s="74">
        <f t="shared" si="998"/>
        <v>458</v>
      </c>
      <c r="AR862" s="31">
        <f t="shared" si="999"/>
        <v>0</v>
      </c>
      <c r="AS862" s="2">
        <f t="shared" si="1000"/>
        <v>0.2</v>
      </c>
      <c r="AT862" s="33">
        <f t="shared" si="1001"/>
        <v>0</v>
      </c>
      <c r="AU862" s="31">
        <f t="shared" si="1002"/>
        <v>0</v>
      </c>
      <c r="AV862" s="2">
        <f t="shared" si="1003"/>
        <v>0</v>
      </c>
      <c r="AW862" s="33">
        <f t="shared" si="1004"/>
        <v>1.5</v>
      </c>
      <c r="AX862" s="31">
        <f t="shared" si="1005"/>
        <v>1</v>
      </c>
      <c r="AY862" s="33">
        <f t="shared" si="1006"/>
        <v>1</v>
      </c>
      <c r="AZ862" s="2"/>
      <c r="BA862" s="101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</row>
    <row r="863" spans="1:71" ht="12" customHeight="1">
      <c r="A863" s="2"/>
      <c r="B863" s="107">
        <v>788</v>
      </c>
      <c r="C863" s="31">
        <v>4</v>
      </c>
      <c r="D863" s="111" t="s">
        <v>21</v>
      </c>
      <c r="E863" s="2" t="s">
        <v>67</v>
      </c>
      <c r="F863" s="2" t="s">
        <v>149</v>
      </c>
      <c r="G863" s="2"/>
      <c r="H863" s="33"/>
      <c r="I863" s="99">
        <f t="shared" si="0"/>
        <v>529.38864237050632</v>
      </c>
      <c r="J863" s="101">
        <f t="shared" si="1"/>
        <v>9.0885601645267471</v>
      </c>
      <c r="K863" s="101">
        <f t="shared" si="2"/>
        <v>564</v>
      </c>
      <c r="L863" s="74">
        <f t="shared" si="535"/>
        <v>309</v>
      </c>
      <c r="M863" s="99">
        <f t="shared" si="191"/>
        <v>14678.445811258402</v>
      </c>
      <c r="N863" s="108">
        <f t="shared" si="690"/>
        <v>14678.445811258402</v>
      </c>
      <c r="O863" s="108"/>
      <c r="P863" s="108"/>
      <c r="Q863" s="108"/>
      <c r="R863" s="109">
        <f t="shared" si="990"/>
        <v>0</v>
      </c>
      <c r="S863" s="99">
        <f t="shared" si="694"/>
        <v>10559.934195765365</v>
      </c>
      <c r="T863" s="108">
        <f t="shared" si="991"/>
        <v>10559.934195765365</v>
      </c>
      <c r="U863" s="108"/>
      <c r="V863" s="108"/>
      <c r="W863" s="108"/>
      <c r="X863" s="109">
        <f t="shared" si="992"/>
        <v>0</v>
      </c>
      <c r="Y863" s="99">
        <f t="shared" si="8"/>
        <v>21119.868391530727</v>
      </c>
      <c r="Z863" s="108">
        <f t="shared" si="993"/>
        <v>21119.868391530727</v>
      </c>
      <c r="AA863" s="108"/>
      <c r="AB863" s="108"/>
      <c r="AC863" s="108"/>
      <c r="AD863" s="109">
        <f t="shared" si="994"/>
        <v>0</v>
      </c>
      <c r="AE863" s="99">
        <f t="shared" si="1007"/>
        <v>27.727164197424003</v>
      </c>
      <c r="AF863" s="101">
        <f t="shared" si="849"/>
        <v>36</v>
      </c>
      <c r="AG863" s="101">
        <f t="shared" si="995"/>
        <v>19.001300000000001</v>
      </c>
      <c r="AH863" s="101">
        <f t="shared" si="851"/>
        <v>252</v>
      </c>
      <c r="AI863" s="101">
        <f t="shared" si="852"/>
        <v>200</v>
      </c>
      <c r="AJ863" s="108">
        <f t="shared" si="996"/>
        <v>1.6666666666666667</v>
      </c>
      <c r="AK863" s="101">
        <f t="shared" si="461"/>
        <v>8799.9451631378051</v>
      </c>
      <c r="AL863" s="101">
        <f t="shared" si="997"/>
        <v>8799.9451631378051</v>
      </c>
      <c r="AM863" s="101"/>
      <c r="AN863" s="101"/>
      <c r="AO863" s="1">
        <v>36</v>
      </c>
      <c r="AP863" s="2">
        <v>36</v>
      </c>
      <c r="AQ863" s="74">
        <f t="shared" si="998"/>
        <v>252</v>
      </c>
      <c r="AR863" s="31">
        <f t="shared" si="999"/>
        <v>0</v>
      </c>
      <c r="AS863" s="2">
        <f t="shared" si="1000"/>
        <v>0</v>
      </c>
      <c r="AT863" s="33">
        <f t="shared" si="1001"/>
        <v>0</v>
      </c>
      <c r="AU863" s="31">
        <f t="shared" si="1002"/>
        <v>0</v>
      </c>
      <c r="AV863" s="2">
        <f t="shared" si="1003"/>
        <v>0</v>
      </c>
      <c r="AW863" s="33">
        <f t="shared" si="1004"/>
        <v>1</v>
      </c>
      <c r="AX863" s="31">
        <f t="shared" si="1005"/>
        <v>1</v>
      </c>
      <c r="AY863" s="33">
        <f t="shared" si="1006"/>
        <v>1</v>
      </c>
      <c r="AZ863" s="2"/>
      <c r="BA863" s="101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</row>
    <row r="864" spans="1:71" ht="12" customHeight="1">
      <c r="A864" s="2"/>
      <c r="B864" s="107">
        <v>789</v>
      </c>
      <c r="C864" s="31">
        <v>4</v>
      </c>
      <c r="D864" s="111" t="s">
        <v>21</v>
      </c>
      <c r="E864" s="2" t="s">
        <v>148</v>
      </c>
      <c r="F864" s="2" t="s">
        <v>149</v>
      </c>
      <c r="G864" s="2"/>
      <c r="H864" s="33"/>
      <c r="I864" s="99">
        <f t="shared" si="0"/>
        <v>675.58037845540355</v>
      </c>
      <c r="J864" s="101">
        <f t="shared" si="1"/>
        <v>11.598384294894656</v>
      </c>
      <c r="K864" s="101">
        <f t="shared" si="2"/>
        <v>380</v>
      </c>
      <c r="L864" s="74">
        <f t="shared" si="535"/>
        <v>242</v>
      </c>
      <c r="M864" s="99">
        <f t="shared" si="191"/>
        <v>14678.445811258402</v>
      </c>
      <c r="N864" s="108">
        <f t="shared" si="690"/>
        <v>14678.445811258402</v>
      </c>
      <c r="O864" s="108"/>
      <c r="P864" s="108"/>
      <c r="Q864" s="108"/>
      <c r="R864" s="109">
        <f t="shared" si="990"/>
        <v>0</v>
      </c>
      <c r="S864" s="99">
        <f t="shared" si="694"/>
        <v>10559.934195765365</v>
      </c>
      <c r="T864" s="108">
        <f t="shared" si="991"/>
        <v>10559.934195765365</v>
      </c>
      <c r="U864" s="108"/>
      <c r="V864" s="108"/>
      <c r="W864" s="108"/>
      <c r="X864" s="109">
        <f t="shared" si="992"/>
        <v>0</v>
      </c>
      <c r="Y864" s="99">
        <f t="shared" si="8"/>
        <v>21119.868391530727</v>
      </c>
      <c r="Z864" s="108">
        <f t="shared" si="993"/>
        <v>21119.868391530727</v>
      </c>
      <c r="AA864" s="108"/>
      <c r="AB864" s="108"/>
      <c r="AC864" s="108"/>
      <c r="AD864" s="109">
        <f t="shared" si="994"/>
        <v>0</v>
      </c>
      <c r="AE864" s="99">
        <f t="shared" si="1007"/>
        <v>21.727164197424003</v>
      </c>
      <c r="AF864" s="101">
        <f t="shared" si="849"/>
        <v>36</v>
      </c>
      <c r="AG864" s="101">
        <f t="shared" si="995"/>
        <v>19.001300000000001</v>
      </c>
      <c r="AH864" s="101">
        <f t="shared" si="851"/>
        <v>252</v>
      </c>
      <c r="AI864" s="101">
        <f t="shared" si="852"/>
        <v>200</v>
      </c>
      <c r="AJ864" s="108">
        <f t="shared" si="996"/>
        <v>1.6666666666666667</v>
      </c>
      <c r="AK864" s="101">
        <f t="shared" si="461"/>
        <v>8799.9451631378051</v>
      </c>
      <c r="AL864" s="101">
        <f t="shared" si="997"/>
        <v>8799.9451631378051</v>
      </c>
      <c r="AM864" s="101"/>
      <c r="AN864" s="101"/>
      <c r="AO864" s="1">
        <v>36</v>
      </c>
      <c r="AP864" s="2">
        <v>36</v>
      </c>
      <c r="AQ864" s="74">
        <f t="shared" si="998"/>
        <v>252</v>
      </c>
      <c r="AR864" s="31">
        <f t="shared" si="999"/>
        <v>6</v>
      </c>
      <c r="AS864" s="2">
        <f t="shared" si="1000"/>
        <v>0</v>
      </c>
      <c r="AT864" s="33">
        <f t="shared" si="1001"/>
        <v>0</v>
      </c>
      <c r="AU864" s="31">
        <f t="shared" si="1002"/>
        <v>0</v>
      </c>
      <c r="AV864" s="2">
        <f t="shared" si="1003"/>
        <v>0</v>
      </c>
      <c r="AW864" s="33">
        <f t="shared" si="1004"/>
        <v>1</v>
      </c>
      <c r="AX864" s="31">
        <f t="shared" si="1005"/>
        <v>1</v>
      </c>
      <c r="AY864" s="33">
        <f t="shared" si="1006"/>
        <v>1</v>
      </c>
      <c r="AZ864" s="2"/>
      <c r="BA864" s="101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</row>
    <row r="865" spans="1:71" ht="12" customHeight="1">
      <c r="A865" s="2"/>
      <c r="B865" s="107">
        <v>790</v>
      </c>
      <c r="C865" s="31">
        <v>4</v>
      </c>
      <c r="D865" s="111" t="s">
        <v>21</v>
      </c>
      <c r="E865" s="2" t="s">
        <v>79</v>
      </c>
      <c r="F865" s="2" t="s">
        <v>149</v>
      </c>
      <c r="G865" s="2"/>
      <c r="H865" s="33"/>
      <c r="I865" s="99">
        <f t="shared" si="0"/>
        <v>604.92503021642972</v>
      </c>
      <c r="J865" s="101">
        <f t="shared" si="1"/>
        <v>9.0885601645267471</v>
      </c>
      <c r="K865" s="101">
        <f t="shared" si="2"/>
        <v>459</v>
      </c>
      <c r="L865" s="74">
        <f t="shared" si="535"/>
        <v>270</v>
      </c>
      <c r="M865" s="99">
        <f t="shared" si="191"/>
        <v>16772.855639942623</v>
      </c>
      <c r="N865" s="108">
        <f t="shared" si="690"/>
        <v>14678.445811258402</v>
      </c>
      <c r="O865" s="108"/>
      <c r="P865" s="108"/>
      <c r="Q865" s="108"/>
      <c r="R865" s="109">
        <f t="shared" si="990"/>
        <v>2094.4098286842218</v>
      </c>
      <c r="S865" s="99">
        <f t="shared" si="694"/>
        <v>12319.923228392927</v>
      </c>
      <c r="T865" s="108">
        <f t="shared" si="991"/>
        <v>10559.934195765365</v>
      </c>
      <c r="U865" s="108"/>
      <c r="V865" s="108"/>
      <c r="W865" s="108"/>
      <c r="X865" s="109">
        <f t="shared" si="992"/>
        <v>1759.9890326275611</v>
      </c>
      <c r="Y865" s="99">
        <f t="shared" si="8"/>
        <v>24639.846456785846</v>
      </c>
      <c r="Z865" s="108">
        <f t="shared" si="993"/>
        <v>21119.868391530727</v>
      </c>
      <c r="AA865" s="108"/>
      <c r="AB865" s="108"/>
      <c r="AC865" s="108"/>
      <c r="AD865" s="109">
        <f t="shared" si="994"/>
        <v>3519.9780652551217</v>
      </c>
      <c r="AE865" s="99">
        <f t="shared" si="1007"/>
        <v>27.727164197424003</v>
      </c>
      <c r="AF865" s="101">
        <f t="shared" si="849"/>
        <v>36</v>
      </c>
      <c r="AG865" s="101">
        <f t="shared" si="995"/>
        <v>19.001300000000001</v>
      </c>
      <c r="AH865" s="101">
        <f t="shared" si="851"/>
        <v>252</v>
      </c>
      <c r="AI865" s="101">
        <f t="shared" si="852"/>
        <v>200</v>
      </c>
      <c r="AJ865" s="108">
        <f t="shared" si="996"/>
        <v>1.6666666666666667</v>
      </c>
      <c r="AK865" s="101">
        <f t="shared" si="461"/>
        <v>8799.9451631378051</v>
      </c>
      <c r="AL865" s="101">
        <f t="shared" si="997"/>
        <v>8799.9451631378051</v>
      </c>
      <c r="AM865" s="101"/>
      <c r="AN865" s="101"/>
      <c r="AO865" s="1">
        <v>36</v>
      </c>
      <c r="AP865" s="2">
        <v>36</v>
      </c>
      <c r="AQ865" s="74">
        <f t="shared" si="998"/>
        <v>252</v>
      </c>
      <c r="AR865" s="31">
        <f t="shared" si="999"/>
        <v>0</v>
      </c>
      <c r="AS865" s="2">
        <f t="shared" si="1000"/>
        <v>0.2</v>
      </c>
      <c r="AT865" s="33">
        <f t="shared" si="1001"/>
        <v>0</v>
      </c>
      <c r="AU865" s="31">
        <f t="shared" si="1002"/>
        <v>0</v>
      </c>
      <c r="AV865" s="2">
        <f t="shared" si="1003"/>
        <v>0</v>
      </c>
      <c r="AW865" s="33">
        <f t="shared" si="1004"/>
        <v>1</v>
      </c>
      <c r="AX865" s="31">
        <f t="shared" si="1005"/>
        <v>1</v>
      </c>
      <c r="AY865" s="33">
        <f t="shared" si="1006"/>
        <v>1</v>
      </c>
      <c r="AZ865" s="2"/>
      <c r="BA865" s="101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</row>
    <row r="866" spans="1:71" ht="12" customHeight="1">
      <c r="A866" s="2"/>
      <c r="B866" s="107">
        <v>791</v>
      </c>
      <c r="C866" s="31">
        <v>1</v>
      </c>
      <c r="D866" s="111" t="s">
        <v>21</v>
      </c>
      <c r="E866" s="2" t="s">
        <v>67</v>
      </c>
      <c r="F866" s="2" t="s">
        <v>149</v>
      </c>
      <c r="G866" s="2"/>
      <c r="H866" s="33"/>
      <c r="I866" s="99">
        <f t="shared" si="0"/>
        <v>424.87324774547812</v>
      </c>
      <c r="J866" s="101">
        <f t="shared" si="1"/>
        <v>4.5803457972019714</v>
      </c>
      <c r="K866" s="101">
        <f t="shared" si="2"/>
        <v>705</v>
      </c>
      <c r="L866" s="74">
        <f t="shared" si="535"/>
        <v>370</v>
      </c>
      <c r="M866" s="99">
        <f t="shared" si="191"/>
        <v>11780.53030333168</v>
      </c>
      <c r="N866" s="108">
        <f t="shared" si="690"/>
        <v>11780.53030333168</v>
      </c>
      <c r="O866" s="108"/>
      <c r="P866" s="108"/>
      <c r="Q866" s="108"/>
      <c r="R866" s="109">
        <f t="shared" si="990"/>
        <v>0</v>
      </c>
      <c r="S866" s="99">
        <f t="shared" si="694"/>
        <v>8475.1223933385372</v>
      </c>
      <c r="T866" s="108">
        <f t="shared" si="991"/>
        <v>8475.1223933385372</v>
      </c>
      <c r="U866" s="108"/>
      <c r="V866" s="108"/>
      <c r="W866" s="108"/>
      <c r="X866" s="109">
        <f t="shared" si="992"/>
        <v>0</v>
      </c>
      <c r="Y866" s="99">
        <f t="shared" si="8"/>
        <v>16950.244786677074</v>
      </c>
      <c r="Z866" s="108">
        <f t="shared" si="993"/>
        <v>16950.244786677074</v>
      </c>
      <c r="AA866" s="108"/>
      <c r="AB866" s="108"/>
      <c r="AC866" s="108"/>
      <c r="AD866" s="109">
        <f t="shared" si="994"/>
        <v>0</v>
      </c>
      <c r="AE866" s="99">
        <f t="shared" si="1007"/>
        <v>27.727164197424003</v>
      </c>
      <c r="AF866" s="101">
        <f t="shared" si="849"/>
        <v>36</v>
      </c>
      <c r="AG866" s="101">
        <f t="shared" si="995"/>
        <v>19.001300000000001</v>
      </c>
      <c r="AH866" s="101">
        <f t="shared" si="851"/>
        <v>127</v>
      </c>
      <c r="AI866" s="101">
        <f t="shared" si="852"/>
        <v>200</v>
      </c>
      <c r="AJ866" s="108">
        <f t="shared" si="996"/>
        <v>1.6666666666666667</v>
      </c>
      <c r="AK866" s="101">
        <f t="shared" si="461"/>
        <v>7062.6019944487816</v>
      </c>
      <c r="AL866" s="101">
        <f t="shared" si="997"/>
        <v>7062.6019944487816</v>
      </c>
      <c r="AM866" s="101"/>
      <c r="AN866" s="101"/>
      <c r="AO866" s="1">
        <v>36</v>
      </c>
      <c r="AP866" s="2">
        <v>36</v>
      </c>
      <c r="AQ866" s="74">
        <f t="shared" si="998"/>
        <v>127</v>
      </c>
      <c r="AR866" s="31">
        <f t="shared" si="999"/>
        <v>0</v>
      </c>
      <c r="AS866" s="2">
        <f t="shared" si="1000"/>
        <v>0</v>
      </c>
      <c r="AT866" s="33">
        <f t="shared" si="1001"/>
        <v>0</v>
      </c>
      <c r="AU866" s="31">
        <f t="shared" si="1002"/>
        <v>0</v>
      </c>
      <c r="AV866" s="2">
        <f t="shared" si="1003"/>
        <v>0</v>
      </c>
      <c r="AW866" s="33">
        <f t="shared" si="1004"/>
        <v>1</v>
      </c>
      <c r="AX866" s="31">
        <f t="shared" si="1005"/>
        <v>1</v>
      </c>
      <c r="AY866" s="33">
        <f t="shared" si="1006"/>
        <v>1</v>
      </c>
      <c r="AZ866" s="2"/>
      <c r="BA866" s="101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</row>
    <row r="867" spans="1:71" ht="12" customHeight="1">
      <c r="A867" s="2"/>
      <c r="B867" s="107">
        <v>792</v>
      </c>
      <c r="C867" s="31">
        <v>10</v>
      </c>
      <c r="D867" s="113" t="s">
        <v>9</v>
      </c>
      <c r="E867" s="2" t="s">
        <v>144</v>
      </c>
      <c r="F867" s="2"/>
      <c r="G867" s="2"/>
      <c r="H867" s="33"/>
      <c r="I867" s="99">
        <f t="shared" si="0"/>
        <v>441.67173860423429</v>
      </c>
      <c r="J867" s="101">
        <f t="shared" si="1"/>
        <v>18.25</v>
      </c>
      <c r="K867" s="101">
        <f t="shared" si="2"/>
        <v>683</v>
      </c>
      <c r="L867" s="74">
        <f t="shared" ref="L867:L977" si="1008">RANK(I867,$I$867:$I$977)</f>
        <v>74</v>
      </c>
      <c r="M867" s="99">
        <f>SUM(N867:R867)*(1+$D$22/100)</f>
        <v>15900.182589752434</v>
      </c>
      <c r="N867" s="108">
        <f t="shared" ref="N867:N941" si="1009">T867*(1+(AG867/100)*(AI867/100-1))</f>
        <v>8192.8588629081605</v>
      </c>
      <c r="O867" s="108">
        <f t="shared" ref="O867:O910" si="1010">U867*(1+($D$57/100)*(AI867/100-1))</f>
        <v>6133.2200223811205</v>
      </c>
      <c r="P867" s="108"/>
      <c r="Q867" s="108"/>
      <c r="R867" s="109">
        <f t="shared" ref="R867:R910" si="1011">X867*(1+($D$57/100)*(AI867/100-1))</f>
        <v>0</v>
      </c>
      <c r="S867" s="99">
        <f t="shared" si="694"/>
        <v>12038.590238332927</v>
      </c>
      <c r="T867" s="108">
        <f t="shared" ref="T867:T897" si="1012">AL867*AU867*AY867</f>
        <v>6884.6801361902444</v>
      </c>
      <c r="U867" s="108">
        <f t="shared" ref="U867:U897" si="1013">AM867*AX867</f>
        <v>5153.9101021426832</v>
      </c>
      <c r="V867" s="108"/>
      <c r="W867" s="108"/>
      <c r="X867" s="109">
        <f t="shared" ref="X867:X897" si="1014">AM867*AS867</f>
        <v>0</v>
      </c>
      <c r="Y867" s="99">
        <f t="shared" si="8"/>
        <v>24077.180476665853</v>
      </c>
      <c r="Z867" s="108">
        <f t="shared" si="993"/>
        <v>13769.360272380489</v>
      </c>
      <c r="AA867" s="108">
        <f t="shared" ref="AA867:AA910" si="1015">U867*$D$58/100</f>
        <v>10307.820204285366</v>
      </c>
      <c r="AB867" s="108"/>
      <c r="AC867" s="108"/>
      <c r="AD867" s="109">
        <f t="shared" si="994"/>
        <v>0</v>
      </c>
      <c r="AE867" s="99">
        <f t="shared" ref="AE867:AF867" si="1016">AO867</f>
        <v>36</v>
      </c>
      <c r="AF867" s="101">
        <f t="shared" si="1016"/>
        <v>36</v>
      </c>
      <c r="AG867" s="101">
        <f t="shared" ref="AG867:AG897" si="1017">IF($D$57+AW867&gt;100,100,$D$57+AW867)</f>
        <v>19.001300000000001</v>
      </c>
      <c r="AH867" s="101">
        <f t="shared" si="851"/>
        <v>657</v>
      </c>
      <c r="AI867" s="101">
        <f t="shared" si="852"/>
        <v>200</v>
      </c>
      <c r="AJ867" s="108">
        <f t="shared" ref="AJ867:AJ897" si="1018">10/(6+AT867)</f>
        <v>1.6666666666666667</v>
      </c>
      <c r="AK867" s="101">
        <f t="shared" si="461"/>
        <v>8602.6501702378046</v>
      </c>
      <c r="AL867" s="101">
        <f t="shared" ref="AL867:AL897" si="1019">(VLOOKUP(C867,$B$36:$AG$39,11,FALSE)+VLOOKUP(C867,$B$40:$AG$43,11,FALSE)*$D$54)*$D$59/100</f>
        <v>6884.6801361902444</v>
      </c>
      <c r="AM867" s="101">
        <f t="shared" ref="AM867:AM897" si="1020">(3*(VLOOKUP(C867,$B$36:$AG$39,12,FALSE)+VLOOKUP(C867,$B$40:$AG$43,12,FALSE)*$D$54))*$D$59/100</f>
        <v>1717.9700340475611</v>
      </c>
      <c r="AN867" s="101"/>
      <c r="AO867" s="1">
        <v>36</v>
      </c>
      <c r="AP867" s="2">
        <v>36</v>
      </c>
      <c r="AQ867" s="74">
        <f t="shared" ref="AQ867:AQ897" si="1021">VLOOKUP(C867,$B$45:$AA$48,11,FALSE)</f>
        <v>657</v>
      </c>
      <c r="AR867" s="31">
        <f t="shared" ref="AR867:AR897" si="1022">IF(LEFT(E867,1)*1=1,$S$59,$R$59)</f>
        <v>0</v>
      </c>
      <c r="AS867" s="2">
        <f t="shared" ref="AS867:AS897" si="1023">IF(LEFT(E867,1)*1=2,$U$59,$T$59)</f>
        <v>0</v>
      </c>
      <c r="AT867" s="33">
        <f t="shared" ref="AT867:AT897" si="1024">IF(LEFT(E867,1)*1=3,$W$59,$V$59)</f>
        <v>0</v>
      </c>
      <c r="AU867" s="31">
        <f t="shared" ref="AU867:AU897" si="1025">IF(MID(E867,3,1)*1=1,$Y$59,$X$59)</f>
        <v>1</v>
      </c>
      <c r="AV867" s="2">
        <f t="shared" ref="AV867:AV897" si="1026">IF(MID(E867,3,1)*1=2,$AA$59,$Z$59)</f>
        <v>0</v>
      </c>
      <c r="AW867" s="33">
        <f t="shared" ref="AW867:AW897" si="1027">IF(MID(E867,3,1)*1=3,$AC$59,$AB$59)</f>
        <v>0</v>
      </c>
      <c r="AX867" s="31">
        <f t="shared" ref="AX867:AX897" si="1028">IF(MID(E867,5,1)*1=1,$AE$59,$AD$59)</f>
        <v>3</v>
      </c>
      <c r="AY867" s="33">
        <f t="shared" ref="AY867:AY897" si="1029">IF(MID(E867,5,1)*1=2,$AG$59,$AF$59)</f>
        <v>1</v>
      </c>
      <c r="AZ867" s="2"/>
      <c r="BA867" s="101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</row>
    <row r="868" spans="1:71" ht="12" customHeight="1">
      <c r="A868" s="2"/>
      <c r="B868" s="107">
        <v>793</v>
      </c>
      <c r="C868" s="31">
        <v>10</v>
      </c>
      <c r="D868" s="113" t="s">
        <v>9</v>
      </c>
      <c r="E868" s="2" t="s">
        <v>138</v>
      </c>
      <c r="F868" s="2"/>
      <c r="G868" s="2"/>
      <c r="H868" s="33"/>
      <c r="I868" s="99">
        <f t="shared" si="0"/>
        <v>567.96429384890303</v>
      </c>
      <c r="J868" s="101">
        <f t="shared" si="1"/>
        <v>18.25</v>
      </c>
      <c r="K868" s="101">
        <f t="shared" si="2"/>
        <v>512</v>
      </c>
      <c r="L868" s="74">
        <f t="shared" si="1008"/>
        <v>44</v>
      </c>
      <c r="M868" s="99">
        <f t="shared" ref="M868:M931" si="1030">SUM(N868:R868)*(1+$D$22/100)</f>
        <v>20446.71457856051</v>
      </c>
      <c r="N868" s="108">
        <f t="shared" si="1009"/>
        <v>12289.288294362243</v>
      </c>
      <c r="O868" s="108">
        <f t="shared" si="1010"/>
        <v>6133.2200223811205</v>
      </c>
      <c r="P868" s="108"/>
      <c r="Q868" s="108"/>
      <c r="R868" s="109">
        <f t="shared" si="1011"/>
        <v>0</v>
      </c>
      <c r="S868" s="99">
        <f t="shared" si="694"/>
        <v>15480.93030642805</v>
      </c>
      <c r="T868" s="108">
        <f t="shared" si="1012"/>
        <v>10327.020204285367</v>
      </c>
      <c r="U868" s="108">
        <f t="shared" si="1013"/>
        <v>5153.9101021426832</v>
      </c>
      <c r="V868" s="108"/>
      <c r="W868" s="108"/>
      <c r="X868" s="109">
        <f t="shared" si="1014"/>
        <v>0</v>
      </c>
      <c r="Y868" s="99">
        <f t="shared" si="8"/>
        <v>30961.8606128561</v>
      </c>
      <c r="Z868" s="108">
        <f t="shared" si="993"/>
        <v>20654.040408570734</v>
      </c>
      <c r="AA868" s="108">
        <f t="shared" si="1015"/>
        <v>10307.820204285366</v>
      </c>
      <c r="AB868" s="108"/>
      <c r="AC868" s="108"/>
      <c r="AD868" s="109">
        <f t="shared" si="994"/>
        <v>0</v>
      </c>
      <c r="AE868" s="99">
        <f t="shared" ref="AE868:AF868" si="1031">AO868</f>
        <v>36</v>
      </c>
      <c r="AF868" s="101">
        <f t="shared" si="1031"/>
        <v>36</v>
      </c>
      <c r="AG868" s="101">
        <f t="shared" si="1017"/>
        <v>19.001300000000001</v>
      </c>
      <c r="AH868" s="101">
        <f t="shared" si="851"/>
        <v>657</v>
      </c>
      <c r="AI868" s="101">
        <f t="shared" si="852"/>
        <v>200</v>
      </c>
      <c r="AJ868" s="108">
        <f t="shared" si="1018"/>
        <v>1.6666666666666667</v>
      </c>
      <c r="AK868" s="101">
        <f t="shared" si="461"/>
        <v>8602.6501702378046</v>
      </c>
      <c r="AL868" s="101">
        <f t="shared" si="1019"/>
        <v>6884.6801361902444</v>
      </c>
      <c r="AM868" s="101">
        <f t="shared" si="1020"/>
        <v>1717.9700340475611</v>
      </c>
      <c r="AN868" s="101"/>
      <c r="AO868" s="1">
        <v>36</v>
      </c>
      <c r="AP868" s="2">
        <v>36</v>
      </c>
      <c r="AQ868" s="74">
        <f t="shared" si="1021"/>
        <v>657</v>
      </c>
      <c r="AR868" s="31">
        <f t="shared" si="1022"/>
        <v>0</v>
      </c>
      <c r="AS868" s="2">
        <f t="shared" si="1023"/>
        <v>0</v>
      </c>
      <c r="AT868" s="33">
        <f t="shared" si="1024"/>
        <v>0</v>
      </c>
      <c r="AU868" s="31">
        <f t="shared" si="1025"/>
        <v>1.5</v>
      </c>
      <c r="AV868" s="2">
        <f t="shared" si="1026"/>
        <v>0</v>
      </c>
      <c r="AW868" s="33">
        <f t="shared" si="1027"/>
        <v>0</v>
      </c>
      <c r="AX868" s="31">
        <f t="shared" si="1028"/>
        <v>3</v>
      </c>
      <c r="AY868" s="33">
        <f t="shared" si="1029"/>
        <v>1</v>
      </c>
      <c r="AZ868" s="2"/>
      <c r="BA868" s="101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</row>
    <row r="869" spans="1:71" ht="12" customHeight="1">
      <c r="A869" s="2"/>
      <c r="B869" s="107">
        <v>794</v>
      </c>
      <c r="C869" s="31">
        <v>10</v>
      </c>
      <c r="D869" s="113" t="s">
        <v>9</v>
      </c>
      <c r="E869" s="2" t="s">
        <v>141</v>
      </c>
      <c r="F869" s="2"/>
      <c r="G869" s="2" t="s">
        <v>166</v>
      </c>
      <c r="H869" s="33"/>
      <c r="I869" s="99">
        <f t="shared" si="0"/>
        <v>569.02418458054092</v>
      </c>
      <c r="J869" s="101">
        <f t="shared" si="1"/>
        <v>18.25</v>
      </c>
      <c r="K869" s="101">
        <f t="shared" si="2"/>
        <v>510</v>
      </c>
      <c r="L869" s="74">
        <f t="shared" si="1008"/>
        <v>42</v>
      </c>
      <c r="M869" s="99">
        <f t="shared" si="1030"/>
        <v>20484.870644899474</v>
      </c>
      <c r="N869" s="108">
        <f t="shared" si="1009"/>
        <v>12323.666944622308</v>
      </c>
      <c r="O869" s="108">
        <f t="shared" si="1010"/>
        <v>6133.2200223811205</v>
      </c>
      <c r="P869" s="108"/>
      <c r="Q869" s="108"/>
      <c r="R869" s="109">
        <f t="shared" si="1011"/>
        <v>0</v>
      </c>
      <c r="S869" s="99">
        <f t="shared" si="694"/>
        <v>12038.590238332927</v>
      </c>
      <c r="T869" s="108">
        <f t="shared" si="1012"/>
        <v>6884.6801361902444</v>
      </c>
      <c r="U869" s="108">
        <f t="shared" si="1013"/>
        <v>5153.9101021426832</v>
      </c>
      <c r="V869" s="108"/>
      <c r="W869" s="108"/>
      <c r="X869" s="109">
        <f t="shared" si="1014"/>
        <v>0</v>
      </c>
      <c r="Y869" s="99">
        <f t="shared" si="8"/>
        <v>24077.180476665853</v>
      </c>
      <c r="Z869" s="108">
        <f t="shared" si="993"/>
        <v>13769.360272380489</v>
      </c>
      <c r="AA869" s="108">
        <f t="shared" si="1015"/>
        <v>10307.820204285366</v>
      </c>
      <c r="AB869" s="108"/>
      <c r="AC869" s="108"/>
      <c r="AD869" s="109">
        <f t="shared" si="994"/>
        <v>0</v>
      </c>
      <c r="AE869" s="99">
        <f t="shared" ref="AE869:AF869" si="1032">AO869</f>
        <v>36</v>
      </c>
      <c r="AF869" s="101">
        <f t="shared" si="1032"/>
        <v>36</v>
      </c>
      <c r="AG869" s="101">
        <f t="shared" si="1017"/>
        <v>79.001300000000001</v>
      </c>
      <c r="AH869" s="101">
        <f t="shared" si="851"/>
        <v>657</v>
      </c>
      <c r="AI869" s="101">
        <f t="shared" si="852"/>
        <v>200</v>
      </c>
      <c r="AJ869" s="108">
        <f t="shared" si="1018"/>
        <v>1.6666666666666667</v>
      </c>
      <c r="AK869" s="101">
        <f t="shared" si="461"/>
        <v>8602.6501702378046</v>
      </c>
      <c r="AL869" s="101">
        <f t="shared" si="1019"/>
        <v>6884.6801361902444</v>
      </c>
      <c r="AM869" s="101">
        <f t="shared" si="1020"/>
        <v>1717.9700340475611</v>
      </c>
      <c r="AN869" s="101"/>
      <c r="AO869" s="1">
        <v>36</v>
      </c>
      <c r="AP869" s="2">
        <v>36</v>
      </c>
      <c r="AQ869" s="74">
        <f t="shared" si="1021"/>
        <v>657</v>
      </c>
      <c r="AR869" s="31">
        <f t="shared" si="1022"/>
        <v>0</v>
      </c>
      <c r="AS869" s="2">
        <f t="shared" si="1023"/>
        <v>0</v>
      </c>
      <c r="AT869" s="33">
        <f t="shared" si="1024"/>
        <v>0</v>
      </c>
      <c r="AU869" s="31">
        <f t="shared" si="1025"/>
        <v>1</v>
      </c>
      <c r="AV869" s="2">
        <f t="shared" si="1026"/>
        <v>0</v>
      </c>
      <c r="AW869" s="33">
        <f t="shared" si="1027"/>
        <v>60</v>
      </c>
      <c r="AX869" s="31">
        <f t="shared" si="1028"/>
        <v>3</v>
      </c>
      <c r="AY869" s="33">
        <f t="shared" si="1029"/>
        <v>1</v>
      </c>
      <c r="AZ869" s="2"/>
      <c r="BA869" s="101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</row>
    <row r="870" spans="1:71" ht="12" customHeight="1">
      <c r="A870" s="2"/>
      <c r="B870" s="107">
        <v>795</v>
      </c>
      <c r="C870" s="31">
        <v>10</v>
      </c>
      <c r="D870" s="113" t="s">
        <v>9</v>
      </c>
      <c r="E870" s="2" t="s">
        <v>161</v>
      </c>
      <c r="F870" s="2"/>
      <c r="G870" s="2"/>
      <c r="H870" s="33"/>
      <c r="I870" s="99">
        <f t="shared" si="0"/>
        <v>504.70061464253325</v>
      </c>
      <c r="J870" s="101">
        <f t="shared" si="1"/>
        <v>18.25</v>
      </c>
      <c r="K870" s="101">
        <f t="shared" si="2"/>
        <v>591</v>
      </c>
      <c r="L870" s="74">
        <f t="shared" si="1008"/>
        <v>60</v>
      </c>
      <c r="M870" s="99">
        <f t="shared" si="1030"/>
        <v>18169.222127131197</v>
      </c>
      <c r="N870" s="108">
        <f t="shared" si="1009"/>
        <v>8192.8588629081605</v>
      </c>
      <c r="O870" s="108">
        <f t="shared" si="1010"/>
        <v>6133.2200223811205</v>
      </c>
      <c r="P870" s="108"/>
      <c r="Q870" s="108"/>
      <c r="R870" s="109">
        <f t="shared" si="1011"/>
        <v>2044.4066741270403</v>
      </c>
      <c r="S870" s="99">
        <f t="shared" si="694"/>
        <v>13756.560272380488</v>
      </c>
      <c r="T870" s="108">
        <f t="shared" si="1012"/>
        <v>6884.6801361902444</v>
      </c>
      <c r="U870" s="108">
        <f t="shared" si="1013"/>
        <v>5153.9101021426832</v>
      </c>
      <c r="V870" s="108"/>
      <c r="W870" s="108"/>
      <c r="X870" s="109">
        <f t="shared" si="1014"/>
        <v>1717.9700340475611</v>
      </c>
      <c r="Y870" s="99">
        <f t="shared" si="8"/>
        <v>27513.120544760975</v>
      </c>
      <c r="Z870" s="108">
        <f t="shared" si="993"/>
        <v>13769.360272380489</v>
      </c>
      <c r="AA870" s="108">
        <f t="shared" si="1015"/>
        <v>10307.820204285366</v>
      </c>
      <c r="AB870" s="108"/>
      <c r="AC870" s="108"/>
      <c r="AD870" s="109">
        <f t="shared" si="994"/>
        <v>3435.9400680951221</v>
      </c>
      <c r="AE870" s="99">
        <f t="shared" ref="AE870:AF870" si="1033">AO870</f>
        <v>36</v>
      </c>
      <c r="AF870" s="101">
        <f t="shared" si="1033"/>
        <v>36</v>
      </c>
      <c r="AG870" s="101">
        <f t="shared" si="1017"/>
        <v>19.001300000000001</v>
      </c>
      <c r="AH870" s="101">
        <f t="shared" si="851"/>
        <v>657</v>
      </c>
      <c r="AI870" s="101">
        <f t="shared" si="852"/>
        <v>200</v>
      </c>
      <c r="AJ870" s="108">
        <f t="shared" si="1018"/>
        <v>1.6666666666666667</v>
      </c>
      <c r="AK870" s="101">
        <f t="shared" si="461"/>
        <v>8602.6501702378046</v>
      </c>
      <c r="AL870" s="101">
        <f t="shared" si="1019"/>
        <v>6884.6801361902444</v>
      </c>
      <c r="AM870" s="101">
        <f t="shared" si="1020"/>
        <v>1717.9700340475611</v>
      </c>
      <c r="AN870" s="101"/>
      <c r="AO870" s="1">
        <v>36</v>
      </c>
      <c r="AP870" s="2">
        <v>36</v>
      </c>
      <c r="AQ870" s="74">
        <f t="shared" si="1021"/>
        <v>657</v>
      </c>
      <c r="AR870" s="31">
        <f t="shared" si="1022"/>
        <v>0</v>
      </c>
      <c r="AS870" s="2">
        <f t="shared" si="1023"/>
        <v>1</v>
      </c>
      <c r="AT870" s="33">
        <f t="shared" si="1024"/>
        <v>0</v>
      </c>
      <c r="AU870" s="31">
        <f t="shared" si="1025"/>
        <v>1</v>
      </c>
      <c r="AV870" s="2">
        <f t="shared" si="1026"/>
        <v>0</v>
      </c>
      <c r="AW870" s="33">
        <f t="shared" si="1027"/>
        <v>0</v>
      </c>
      <c r="AX870" s="31">
        <f t="shared" si="1028"/>
        <v>3</v>
      </c>
      <c r="AY870" s="33">
        <f t="shared" si="1029"/>
        <v>1</v>
      </c>
      <c r="AZ870" s="2"/>
      <c r="BA870" s="101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</row>
    <row r="871" spans="1:71" ht="12" customHeight="1">
      <c r="A871" s="2"/>
      <c r="B871" s="107">
        <v>796</v>
      </c>
      <c r="C871" s="31">
        <v>10</v>
      </c>
      <c r="D871" s="113" t="s">
        <v>9</v>
      </c>
      <c r="E871" s="2" t="s">
        <v>169</v>
      </c>
      <c r="F871" s="2"/>
      <c r="G871" s="2"/>
      <c r="H871" s="33"/>
      <c r="I871" s="99">
        <f t="shared" si="0"/>
        <v>630.99316988720204</v>
      </c>
      <c r="J871" s="101">
        <f t="shared" si="1"/>
        <v>18.25</v>
      </c>
      <c r="K871" s="101">
        <f t="shared" si="2"/>
        <v>430</v>
      </c>
      <c r="L871" s="74">
        <f t="shared" si="1008"/>
        <v>29</v>
      </c>
      <c r="M871" s="99">
        <f t="shared" si="1030"/>
        <v>22715.754115939275</v>
      </c>
      <c r="N871" s="108">
        <f t="shared" si="1009"/>
        <v>12289.288294362243</v>
      </c>
      <c r="O871" s="108">
        <f t="shared" si="1010"/>
        <v>6133.2200223811205</v>
      </c>
      <c r="P871" s="108"/>
      <c r="Q871" s="108"/>
      <c r="R871" s="109">
        <f t="shared" si="1011"/>
        <v>2044.4066741270403</v>
      </c>
      <c r="S871" s="99">
        <f t="shared" si="694"/>
        <v>17198.900340475611</v>
      </c>
      <c r="T871" s="108">
        <f t="shared" si="1012"/>
        <v>10327.020204285367</v>
      </c>
      <c r="U871" s="108">
        <f t="shared" si="1013"/>
        <v>5153.9101021426832</v>
      </c>
      <c r="V871" s="108"/>
      <c r="W871" s="108"/>
      <c r="X871" s="109">
        <f t="shared" si="1014"/>
        <v>1717.9700340475611</v>
      </c>
      <c r="Y871" s="99">
        <f t="shared" si="8"/>
        <v>34397.800680951223</v>
      </c>
      <c r="Z871" s="108">
        <f t="shared" si="993"/>
        <v>20654.040408570734</v>
      </c>
      <c r="AA871" s="108">
        <f t="shared" si="1015"/>
        <v>10307.820204285366</v>
      </c>
      <c r="AB871" s="108"/>
      <c r="AC871" s="108"/>
      <c r="AD871" s="109">
        <f t="shared" si="994"/>
        <v>3435.9400680951221</v>
      </c>
      <c r="AE871" s="99">
        <f t="shared" ref="AE871:AF871" si="1034">AO871</f>
        <v>36</v>
      </c>
      <c r="AF871" s="101">
        <f t="shared" si="1034"/>
        <v>36</v>
      </c>
      <c r="AG871" s="101">
        <f t="shared" si="1017"/>
        <v>19.001300000000001</v>
      </c>
      <c r="AH871" s="101">
        <f t="shared" si="851"/>
        <v>657</v>
      </c>
      <c r="AI871" s="101">
        <f t="shared" si="852"/>
        <v>200</v>
      </c>
      <c r="AJ871" s="108">
        <f t="shared" si="1018"/>
        <v>1.6666666666666667</v>
      </c>
      <c r="AK871" s="101">
        <f t="shared" si="461"/>
        <v>8602.6501702378046</v>
      </c>
      <c r="AL871" s="101">
        <f t="shared" si="1019"/>
        <v>6884.6801361902444</v>
      </c>
      <c r="AM871" s="101">
        <f t="shared" si="1020"/>
        <v>1717.9700340475611</v>
      </c>
      <c r="AN871" s="101"/>
      <c r="AO871" s="1">
        <v>36</v>
      </c>
      <c r="AP871" s="2">
        <v>36</v>
      </c>
      <c r="AQ871" s="74">
        <f t="shared" si="1021"/>
        <v>657</v>
      </c>
      <c r="AR871" s="31">
        <f t="shared" si="1022"/>
        <v>0</v>
      </c>
      <c r="AS871" s="2">
        <f t="shared" si="1023"/>
        <v>1</v>
      </c>
      <c r="AT871" s="33">
        <f t="shared" si="1024"/>
        <v>0</v>
      </c>
      <c r="AU871" s="31">
        <f t="shared" si="1025"/>
        <v>1.5</v>
      </c>
      <c r="AV871" s="2">
        <f t="shared" si="1026"/>
        <v>0</v>
      </c>
      <c r="AW871" s="33">
        <f t="shared" si="1027"/>
        <v>0</v>
      </c>
      <c r="AX871" s="31">
        <f t="shared" si="1028"/>
        <v>3</v>
      </c>
      <c r="AY871" s="33">
        <f t="shared" si="1029"/>
        <v>1</v>
      </c>
      <c r="AZ871" s="2"/>
      <c r="BA871" s="101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</row>
    <row r="872" spans="1:71" ht="12" customHeight="1">
      <c r="A872" s="2"/>
      <c r="B872" s="107">
        <v>797</v>
      </c>
      <c r="C872" s="31">
        <v>10</v>
      </c>
      <c r="D872" s="113" t="s">
        <v>9</v>
      </c>
      <c r="E872" s="2" t="s">
        <v>171</v>
      </c>
      <c r="F872" s="2"/>
      <c r="G872" s="2" t="s">
        <v>166</v>
      </c>
      <c r="H872" s="33"/>
      <c r="I872" s="99">
        <f t="shared" si="0"/>
        <v>632.05306061883994</v>
      </c>
      <c r="J872" s="101">
        <f t="shared" si="1"/>
        <v>18.25</v>
      </c>
      <c r="K872" s="101">
        <f t="shared" si="2"/>
        <v>427</v>
      </c>
      <c r="L872" s="74">
        <f t="shared" si="1008"/>
        <v>28</v>
      </c>
      <c r="M872" s="99">
        <f t="shared" si="1030"/>
        <v>22753.910182278236</v>
      </c>
      <c r="N872" s="108">
        <f t="shared" si="1009"/>
        <v>12323.666944622308</v>
      </c>
      <c r="O872" s="108">
        <f t="shared" si="1010"/>
        <v>6133.2200223811205</v>
      </c>
      <c r="P872" s="108"/>
      <c r="Q872" s="108"/>
      <c r="R872" s="109">
        <f t="shared" si="1011"/>
        <v>2044.4066741270403</v>
      </c>
      <c r="S872" s="99">
        <f t="shared" si="694"/>
        <v>13756.560272380488</v>
      </c>
      <c r="T872" s="108">
        <f t="shared" si="1012"/>
        <v>6884.6801361902444</v>
      </c>
      <c r="U872" s="108">
        <f t="shared" si="1013"/>
        <v>5153.9101021426832</v>
      </c>
      <c r="V872" s="108"/>
      <c r="W872" s="108"/>
      <c r="X872" s="109">
        <f t="shared" si="1014"/>
        <v>1717.9700340475611</v>
      </c>
      <c r="Y872" s="99">
        <f t="shared" si="8"/>
        <v>27513.120544760975</v>
      </c>
      <c r="Z872" s="108">
        <f t="shared" si="993"/>
        <v>13769.360272380489</v>
      </c>
      <c r="AA872" s="108">
        <f t="shared" si="1015"/>
        <v>10307.820204285366</v>
      </c>
      <c r="AB872" s="108"/>
      <c r="AC872" s="108"/>
      <c r="AD872" s="109">
        <f t="shared" si="994"/>
        <v>3435.9400680951221</v>
      </c>
      <c r="AE872" s="99">
        <f t="shared" ref="AE872:AF872" si="1035">AO872</f>
        <v>36</v>
      </c>
      <c r="AF872" s="101">
        <f t="shared" si="1035"/>
        <v>36</v>
      </c>
      <c r="AG872" s="101">
        <f t="shared" si="1017"/>
        <v>79.001300000000001</v>
      </c>
      <c r="AH872" s="101">
        <f t="shared" si="851"/>
        <v>657</v>
      </c>
      <c r="AI872" s="101">
        <f t="shared" si="852"/>
        <v>200</v>
      </c>
      <c r="AJ872" s="108">
        <f t="shared" si="1018"/>
        <v>1.6666666666666667</v>
      </c>
      <c r="AK872" s="101">
        <f t="shared" si="461"/>
        <v>8602.6501702378046</v>
      </c>
      <c r="AL872" s="101">
        <f t="shared" si="1019"/>
        <v>6884.6801361902444</v>
      </c>
      <c r="AM872" s="101">
        <f t="shared" si="1020"/>
        <v>1717.9700340475611</v>
      </c>
      <c r="AN872" s="101"/>
      <c r="AO872" s="1">
        <v>36</v>
      </c>
      <c r="AP872" s="2">
        <v>36</v>
      </c>
      <c r="AQ872" s="74">
        <f t="shared" si="1021"/>
        <v>657</v>
      </c>
      <c r="AR872" s="31">
        <f t="shared" si="1022"/>
        <v>0</v>
      </c>
      <c r="AS872" s="2">
        <f t="shared" si="1023"/>
        <v>1</v>
      </c>
      <c r="AT872" s="33">
        <f t="shared" si="1024"/>
        <v>0</v>
      </c>
      <c r="AU872" s="31">
        <f t="shared" si="1025"/>
        <v>1</v>
      </c>
      <c r="AV872" s="2">
        <f t="shared" si="1026"/>
        <v>0</v>
      </c>
      <c r="AW872" s="33">
        <f t="shared" si="1027"/>
        <v>60</v>
      </c>
      <c r="AX872" s="31">
        <f t="shared" si="1028"/>
        <v>3</v>
      </c>
      <c r="AY872" s="33">
        <f t="shared" si="1029"/>
        <v>1</v>
      </c>
      <c r="AZ872" s="2"/>
      <c r="BA872" s="101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</row>
    <row r="873" spans="1:71" ht="12" customHeight="1">
      <c r="A873" s="2"/>
      <c r="B873" s="107">
        <v>798</v>
      </c>
      <c r="C873" s="31">
        <v>10</v>
      </c>
      <c r="D873" s="113" t="s">
        <v>9</v>
      </c>
      <c r="E873" s="2" t="s">
        <v>146</v>
      </c>
      <c r="F873" s="2"/>
      <c r="G873" s="2"/>
      <c r="H873" s="33"/>
      <c r="I873" s="99">
        <f t="shared" si="0"/>
        <v>441.67173860423429</v>
      </c>
      <c r="J873" s="101">
        <f t="shared" si="1"/>
        <v>18.25</v>
      </c>
      <c r="K873" s="101">
        <f t="shared" si="2"/>
        <v>683</v>
      </c>
      <c r="L873" s="74">
        <f t="shared" si="1008"/>
        <v>74</v>
      </c>
      <c r="M873" s="99">
        <f t="shared" si="1030"/>
        <v>15900.182589752434</v>
      </c>
      <c r="N873" s="108">
        <f t="shared" si="1009"/>
        <v>8192.8588629081605</v>
      </c>
      <c r="O873" s="108">
        <f t="shared" si="1010"/>
        <v>6133.2200223811205</v>
      </c>
      <c r="P873" s="108"/>
      <c r="Q873" s="108"/>
      <c r="R873" s="109">
        <f t="shared" si="1011"/>
        <v>0</v>
      </c>
      <c r="S873" s="99">
        <f t="shared" si="694"/>
        <v>12038.590238332927</v>
      </c>
      <c r="T873" s="108">
        <f t="shared" si="1012"/>
        <v>6884.6801361902444</v>
      </c>
      <c r="U873" s="108">
        <f t="shared" si="1013"/>
        <v>5153.9101021426832</v>
      </c>
      <c r="V873" s="108"/>
      <c r="W873" s="108"/>
      <c r="X873" s="109">
        <f t="shared" si="1014"/>
        <v>0</v>
      </c>
      <c r="Y873" s="99">
        <f t="shared" si="8"/>
        <v>24077.180476665853</v>
      </c>
      <c r="Z873" s="108">
        <f t="shared" si="993"/>
        <v>13769.360272380489</v>
      </c>
      <c r="AA873" s="108">
        <f t="shared" si="1015"/>
        <v>10307.820204285366</v>
      </c>
      <c r="AB873" s="108"/>
      <c r="AC873" s="108"/>
      <c r="AD873" s="109">
        <f t="shared" si="994"/>
        <v>0</v>
      </c>
      <c r="AE873" s="99">
        <f t="shared" ref="AE873:AF873" si="1036">AO873</f>
        <v>36</v>
      </c>
      <c r="AF873" s="101">
        <f t="shared" si="1036"/>
        <v>36</v>
      </c>
      <c r="AG873" s="101">
        <f t="shared" si="1017"/>
        <v>19.001300000000001</v>
      </c>
      <c r="AH873" s="101">
        <f t="shared" si="851"/>
        <v>657</v>
      </c>
      <c r="AI873" s="101">
        <f t="shared" si="852"/>
        <v>200</v>
      </c>
      <c r="AJ873" s="108">
        <f t="shared" si="1018"/>
        <v>1.4285714285714286</v>
      </c>
      <c r="AK873" s="101">
        <f t="shared" si="461"/>
        <v>8602.6501702378046</v>
      </c>
      <c r="AL873" s="101">
        <f t="shared" si="1019"/>
        <v>6884.6801361902444</v>
      </c>
      <c r="AM873" s="101">
        <f t="shared" si="1020"/>
        <v>1717.9700340475611</v>
      </c>
      <c r="AN873" s="101"/>
      <c r="AO873" s="1">
        <v>36</v>
      </c>
      <c r="AP873" s="2">
        <v>36</v>
      </c>
      <c r="AQ873" s="74">
        <f t="shared" si="1021"/>
        <v>657</v>
      </c>
      <c r="AR873" s="31">
        <f t="shared" si="1022"/>
        <v>0</v>
      </c>
      <c r="AS873" s="2">
        <f t="shared" si="1023"/>
        <v>0</v>
      </c>
      <c r="AT873" s="33">
        <f t="shared" si="1024"/>
        <v>1</v>
      </c>
      <c r="AU873" s="31">
        <f t="shared" si="1025"/>
        <v>1</v>
      </c>
      <c r="AV873" s="2">
        <f t="shared" si="1026"/>
        <v>0</v>
      </c>
      <c r="AW873" s="33">
        <f t="shared" si="1027"/>
        <v>0</v>
      </c>
      <c r="AX873" s="31">
        <f t="shared" si="1028"/>
        <v>3</v>
      </c>
      <c r="AY873" s="33">
        <f t="shared" si="1029"/>
        <v>1</v>
      </c>
      <c r="AZ873" s="2"/>
      <c r="BA873" s="101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</row>
    <row r="874" spans="1:71" ht="12" customHeight="1">
      <c r="A874" s="2"/>
      <c r="B874" s="107">
        <v>799</v>
      </c>
      <c r="C874" s="31">
        <v>10</v>
      </c>
      <c r="D874" s="113" t="s">
        <v>9</v>
      </c>
      <c r="E874" s="2" t="s">
        <v>182</v>
      </c>
      <c r="F874" s="2"/>
      <c r="G874" s="2"/>
      <c r="H874" s="33"/>
      <c r="I874" s="99">
        <f t="shared" si="0"/>
        <v>567.96429384890303</v>
      </c>
      <c r="J874" s="101">
        <f t="shared" si="1"/>
        <v>18.25</v>
      </c>
      <c r="K874" s="101">
        <f t="shared" si="2"/>
        <v>512</v>
      </c>
      <c r="L874" s="74">
        <f t="shared" si="1008"/>
        <v>44</v>
      </c>
      <c r="M874" s="99">
        <f t="shared" si="1030"/>
        <v>20446.71457856051</v>
      </c>
      <c r="N874" s="108">
        <f t="shared" si="1009"/>
        <v>12289.288294362243</v>
      </c>
      <c r="O874" s="108">
        <f t="shared" si="1010"/>
        <v>6133.2200223811205</v>
      </c>
      <c r="P874" s="108"/>
      <c r="Q874" s="108"/>
      <c r="R874" s="109">
        <f t="shared" si="1011"/>
        <v>0</v>
      </c>
      <c r="S874" s="99">
        <f t="shared" si="694"/>
        <v>15480.93030642805</v>
      </c>
      <c r="T874" s="108">
        <f t="shared" si="1012"/>
        <v>10327.020204285367</v>
      </c>
      <c r="U874" s="108">
        <f t="shared" si="1013"/>
        <v>5153.9101021426832</v>
      </c>
      <c r="V874" s="108"/>
      <c r="W874" s="108"/>
      <c r="X874" s="109">
        <f t="shared" si="1014"/>
        <v>0</v>
      </c>
      <c r="Y874" s="99">
        <f t="shared" si="8"/>
        <v>30961.8606128561</v>
      </c>
      <c r="Z874" s="108">
        <f t="shared" si="993"/>
        <v>20654.040408570734</v>
      </c>
      <c r="AA874" s="108">
        <f t="shared" si="1015"/>
        <v>10307.820204285366</v>
      </c>
      <c r="AB874" s="108"/>
      <c r="AC874" s="108"/>
      <c r="AD874" s="109">
        <f t="shared" si="994"/>
        <v>0</v>
      </c>
      <c r="AE874" s="99">
        <f t="shared" ref="AE874:AF874" si="1037">AO874</f>
        <v>36</v>
      </c>
      <c r="AF874" s="101">
        <f t="shared" si="1037"/>
        <v>36</v>
      </c>
      <c r="AG874" s="101">
        <f t="shared" si="1017"/>
        <v>19.001300000000001</v>
      </c>
      <c r="AH874" s="101">
        <f t="shared" si="851"/>
        <v>657</v>
      </c>
      <c r="AI874" s="101">
        <f t="shared" si="852"/>
        <v>200</v>
      </c>
      <c r="AJ874" s="108">
        <f t="shared" si="1018"/>
        <v>1.4285714285714286</v>
      </c>
      <c r="AK874" s="101">
        <f t="shared" si="461"/>
        <v>8602.6501702378046</v>
      </c>
      <c r="AL874" s="101">
        <f t="shared" si="1019"/>
        <v>6884.6801361902444</v>
      </c>
      <c r="AM874" s="101">
        <f t="shared" si="1020"/>
        <v>1717.9700340475611</v>
      </c>
      <c r="AN874" s="101"/>
      <c r="AO874" s="1">
        <v>36</v>
      </c>
      <c r="AP874" s="2">
        <v>36</v>
      </c>
      <c r="AQ874" s="74">
        <f t="shared" si="1021"/>
        <v>657</v>
      </c>
      <c r="AR874" s="31">
        <f t="shared" si="1022"/>
        <v>0</v>
      </c>
      <c r="AS874" s="2">
        <f t="shared" si="1023"/>
        <v>0</v>
      </c>
      <c r="AT874" s="33">
        <f t="shared" si="1024"/>
        <v>1</v>
      </c>
      <c r="AU874" s="31">
        <f t="shared" si="1025"/>
        <v>1.5</v>
      </c>
      <c r="AV874" s="2">
        <f t="shared" si="1026"/>
        <v>0</v>
      </c>
      <c r="AW874" s="33">
        <f t="shared" si="1027"/>
        <v>0</v>
      </c>
      <c r="AX874" s="31">
        <f t="shared" si="1028"/>
        <v>3</v>
      </c>
      <c r="AY874" s="33">
        <f t="shared" si="1029"/>
        <v>1</v>
      </c>
      <c r="AZ874" s="2"/>
      <c r="BA874" s="101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</row>
    <row r="875" spans="1:71" ht="12" customHeight="1">
      <c r="A875" s="2"/>
      <c r="B875" s="107">
        <v>800</v>
      </c>
      <c r="C875" s="31">
        <v>10</v>
      </c>
      <c r="D875" s="113" t="s">
        <v>9</v>
      </c>
      <c r="E875" s="2" t="s">
        <v>147</v>
      </c>
      <c r="F875" s="2"/>
      <c r="G875" s="2" t="s">
        <v>166</v>
      </c>
      <c r="H875" s="33"/>
      <c r="I875" s="99">
        <f t="shared" si="0"/>
        <v>569.02418458054092</v>
      </c>
      <c r="J875" s="101">
        <f t="shared" si="1"/>
        <v>18.25</v>
      </c>
      <c r="K875" s="101">
        <f t="shared" si="2"/>
        <v>510</v>
      </c>
      <c r="L875" s="74">
        <f t="shared" si="1008"/>
        <v>42</v>
      </c>
      <c r="M875" s="99">
        <f t="shared" si="1030"/>
        <v>20484.870644899474</v>
      </c>
      <c r="N875" s="108">
        <f t="shared" si="1009"/>
        <v>12323.666944622308</v>
      </c>
      <c r="O875" s="108">
        <f t="shared" si="1010"/>
        <v>6133.2200223811205</v>
      </c>
      <c r="P875" s="108"/>
      <c r="Q875" s="108"/>
      <c r="R875" s="109">
        <f t="shared" si="1011"/>
        <v>0</v>
      </c>
      <c r="S875" s="99">
        <f t="shared" si="694"/>
        <v>12038.590238332927</v>
      </c>
      <c r="T875" s="108">
        <f t="shared" si="1012"/>
        <v>6884.6801361902444</v>
      </c>
      <c r="U875" s="108">
        <f t="shared" si="1013"/>
        <v>5153.9101021426832</v>
      </c>
      <c r="V875" s="108"/>
      <c r="W875" s="108"/>
      <c r="X875" s="109">
        <f t="shared" si="1014"/>
        <v>0</v>
      </c>
      <c r="Y875" s="99">
        <f t="shared" si="8"/>
        <v>24077.180476665853</v>
      </c>
      <c r="Z875" s="108">
        <f t="shared" si="993"/>
        <v>13769.360272380489</v>
      </c>
      <c r="AA875" s="108">
        <f t="shared" si="1015"/>
        <v>10307.820204285366</v>
      </c>
      <c r="AB875" s="108"/>
      <c r="AC875" s="108"/>
      <c r="AD875" s="109">
        <f t="shared" si="994"/>
        <v>0</v>
      </c>
      <c r="AE875" s="99">
        <f t="shared" ref="AE875:AF875" si="1038">AO875</f>
        <v>36</v>
      </c>
      <c r="AF875" s="101">
        <f t="shared" si="1038"/>
        <v>36</v>
      </c>
      <c r="AG875" s="101">
        <f t="shared" si="1017"/>
        <v>79.001300000000001</v>
      </c>
      <c r="AH875" s="101">
        <f t="shared" si="851"/>
        <v>657</v>
      </c>
      <c r="AI875" s="101">
        <f t="shared" si="852"/>
        <v>200</v>
      </c>
      <c r="AJ875" s="108">
        <f t="shared" si="1018"/>
        <v>1.4285714285714286</v>
      </c>
      <c r="AK875" s="101">
        <f t="shared" si="461"/>
        <v>8602.6501702378046</v>
      </c>
      <c r="AL875" s="101">
        <f t="shared" si="1019"/>
        <v>6884.6801361902444</v>
      </c>
      <c r="AM875" s="101">
        <f t="shared" si="1020"/>
        <v>1717.9700340475611</v>
      </c>
      <c r="AN875" s="101"/>
      <c r="AO875" s="1">
        <v>36</v>
      </c>
      <c r="AP875" s="2">
        <v>36</v>
      </c>
      <c r="AQ875" s="74">
        <f t="shared" si="1021"/>
        <v>657</v>
      </c>
      <c r="AR875" s="31">
        <f t="shared" si="1022"/>
        <v>0</v>
      </c>
      <c r="AS875" s="2">
        <f t="shared" si="1023"/>
        <v>0</v>
      </c>
      <c r="AT875" s="33">
        <f t="shared" si="1024"/>
        <v>1</v>
      </c>
      <c r="AU875" s="31">
        <f t="shared" si="1025"/>
        <v>1</v>
      </c>
      <c r="AV875" s="2">
        <f t="shared" si="1026"/>
        <v>0</v>
      </c>
      <c r="AW875" s="33">
        <f t="shared" si="1027"/>
        <v>60</v>
      </c>
      <c r="AX875" s="31">
        <f t="shared" si="1028"/>
        <v>3</v>
      </c>
      <c r="AY875" s="33">
        <f t="shared" si="1029"/>
        <v>1</v>
      </c>
      <c r="AZ875" s="2"/>
      <c r="BA875" s="101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</row>
    <row r="876" spans="1:71" ht="12" customHeight="1">
      <c r="A876" s="2"/>
      <c r="B876" s="107">
        <v>801</v>
      </c>
      <c r="C876" s="31">
        <v>10</v>
      </c>
      <c r="D876" s="113" t="s">
        <v>9</v>
      </c>
      <c r="E876" s="2" t="s">
        <v>92</v>
      </c>
      <c r="F876" s="2"/>
      <c r="G876" s="2"/>
      <c r="H876" s="33"/>
      <c r="I876" s="99">
        <f t="shared" si="0"/>
        <v>391.38951967443768</v>
      </c>
      <c r="J876" s="101">
        <f t="shared" si="1"/>
        <v>18.25</v>
      </c>
      <c r="K876" s="101">
        <f t="shared" si="2"/>
        <v>738</v>
      </c>
      <c r="L876" s="74">
        <f t="shared" si="1008"/>
        <v>86</v>
      </c>
      <c r="M876" s="99">
        <f t="shared" si="1030"/>
        <v>14090.022708279757</v>
      </c>
      <c r="N876" s="108">
        <f t="shared" si="1009"/>
        <v>10650.71652178061</v>
      </c>
      <c r="O876" s="108">
        <f t="shared" si="1010"/>
        <v>2044.4066741270403</v>
      </c>
      <c r="P876" s="108"/>
      <c r="Q876" s="108"/>
      <c r="R876" s="109">
        <f t="shared" si="1011"/>
        <v>0</v>
      </c>
      <c r="S876" s="99">
        <f t="shared" si="694"/>
        <v>10668.054211094879</v>
      </c>
      <c r="T876" s="108">
        <f t="shared" si="1012"/>
        <v>8950.084177047318</v>
      </c>
      <c r="U876" s="108">
        <f t="shared" si="1013"/>
        <v>1717.9700340475611</v>
      </c>
      <c r="V876" s="108"/>
      <c r="W876" s="108"/>
      <c r="X876" s="109">
        <f t="shared" si="1014"/>
        <v>0</v>
      </c>
      <c r="Y876" s="99">
        <f t="shared" si="8"/>
        <v>21336.108422189758</v>
      </c>
      <c r="Z876" s="108">
        <f t="shared" si="993"/>
        <v>17900.168354094636</v>
      </c>
      <c r="AA876" s="108">
        <f t="shared" si="1015"/>
        <v>3435.9400680951221</v>
      </c>
      <c r="AB876" s="108"/>
      <c r="AC876" s="108"/>
      <c r="AD876" s="109">
        <f t="shared" si="994"/>
        <v>0</v>
      </c>
      <c r="AE876" s="99">
        <f t="shared" ref="AE876:AF876" si="1039">AO876</f>
        <v>36</v>
      </c>
      <c r="AF876" s="101">
        <f t="shared" si="1039"/>
        <v>36</v>
      </c>
      <c r="AG876" s="101">
        <f t="shared" si="1017"/>
        <v>19.001300000000001</v>
      </c>
      <c r="AH876" s="101">
        <f t="shared" si="851"/>
        <v>657</v>
      </c>
      <c r="AI876" s="101">
        <f t="shared" si="852"/>
        <v>200</v>
      </c>
      <c r="AJ876" s="108">
        <f t="shared" si="1018"/>
        <v>1.6666666666666667</v>
      </c>
      <c r="AK876" s="101">
        <f t="shared" si="461"/>
        <v>8602.6501702378046</v>
      </c>
      <c r="AL876" s="101">
        <f t="shared" si="1019"/>
        <v>6884.6801361902444</v>
      </c>
      <c r="AM876" s="101">
        <f t="shared" si="1020"/>
        <v>1717.9700340475611</v>
      </c>
      <c r="AN876" s="101"/>
      <c r="AO876" s="1">
        <v>36</v>
      </c>
      <c r="AP876" s="2">
        <v>36</v>
      </c>
      <c r="AQ876" s="74">
        <f t="shared" si="1021"/>
        <v>657</v>
      </c>
      <c r="AR876" s="31">
        <f t="shared" si="1022"/>
        <v>0</v>
      </c>
      <c r="AS876" s="2">
        <f t="shared" si="1023"/>
        <v>0</v>
      </c>
      <c r="AT876" s="33">
        <f t="shared" si="1024"/>
        <v>0</v>
      </c>
      <c r="AU876" s="31">
        <f t="shared" si="1025"/>
        <v>1</v>
      </c>
      <c r="AV876" s="2">
        <f t="shared" si="1026"/>
        <v>0</v>
      </c>
      <c r="AW876" s="33">
        <f t="shared" si="1027"/>
        <v>0</v>
      </c>
      <c r="AX876" s="31">
        <f t="shared" si="1028"/>
        <v>1</v>
      </c>
      <c r="AY876" s="33">
        <f t="shared" si="1029"/>
        <v>1.3</v>
      </c>
      <c r="AZ876" s="2"/>
      <c r="BA876" s="101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</row>
    <row r="877" spans="1:71" ht="12" customHeight="1">
      <c r="A877" s="2"/>
      <c r="B877" s="107">
        <v>802</v>
      </c>
      <c r="C877" s="31">
        <v>10</v>
      </c>
      <c r="D877" s="113" t="s">
        <v>9</v>
      </c>
      <c r="E877" s="2" t="s">
        <v>139</v>
      </c>
      <c r="F877" s="2"/>
      <c r="G877" s="2"/>
      <c r="H877" s="33"/>
      <c r="I877" s="99">
        <f t="shared" si="0"/>
        <v>555.56984149250707</v>
      </c>
      <c r="J877" s="101">
        <f t="shared" si="1"/>
        <v>18.25</v>
      </c>
      <c r="K877" s="101">
        <f t="shared" si="2"/>
        <v>522</v>
      </c>
      <c r="L877" s="74">
        <f t="shared" si="1008"/>
        <v>49</v>
      </c>
      <c r="M877" s="99">
        <f t="shared" si="1030"/>
        <v>20000.514293730255</v>
      </c>
      <c r="N877" s="108">
        <f t="shared" si="1009"/>
        <v>15976.074782670916</v>
      </c>
      <c r="O877" s="108">
        <f t="shared" si="1010"/>
        <v>2044.4066741270403</v>
      </c>
      <c r="P877" s="108"/>
      <c r="Q877" s="108"/>
      <c r="R877" s="109">
        <f t="shared" si="1011"/>
        <v>0</v>
      </c>
      <c r="S877" s="99">
        <f t="shared" si="694"/>
        <v>15143.096299618539</v>
      </c>
      <c r="T877" s="108">
        <f t="shared" si="1012"/>
        <v>13425.126265570978</v>
      </c>
      <c r="U877" s="108">
        <f t="shared" si="1013"/>
        <v>1717.9700340475611</v>
      </c>
      <c r="V877" s="108"/>
      <c r="W877" s="108"/>
      <c r="X877" s="109">
        <f t="shared" si="1014"/>
        <v>0</v>
      </c>
      <c r="Y877" s="99">
        <f t="shared" si="8"/>
        <v>30286.192599237078</v>
      </c>
      <c r="Z877" s="108">
        <f t="shared" si="993"/>
        <v>26850.252531141956</v>
      </c>
      <c r="AA877" s="108">
        <f t="shared" si="1015"/>
        <v>3435.9400680951221</v>
      </c>
      <c r="AB877" s="108"/>
      <c r="AC877" s="108"/>
      <c r="AD877" s="109">
        <f t="shared" si="994"/>
        <v>0</v>
      </c>
      <c r="AE877" s="99">
        <f t="shared" ref="AE877:AF877" si="1040">AO877</f>
        <v>36</v>
      </c>
      <c r="AF877" s="101">
        <f t="shared" si="1040"/>
        <v>36</v>
      </c>
      <c r="AG877" s="101">
        <f t="shared" si="1017"/>
        <v>19.001300000000001</v>
      </c>
      <c r="AH877" s="101">
        <f t="shared" si="851"/>
        <v>657</v>
      </c>
      <c r="AI877" s="101">
        <f t="shared" si="852"/>
        <v>200</v>
      </c>
      <c r="AJ877" s="108">
        <f t="shared" si="1018"/>
        <v>1.6666666666666667</v>
      </c>
      <c r="AK877" s="101">
        <f t="shared" si="461"/>
        <v>8602.6501702378046</v>
      </c>
      <c r="AL877" s="101">
        <f t="shared" si="1019"/>
        <v>6884.6801361902444</v>
      </c>
      <c r="AM877" s="101">
        <f t="shared" si="1020"/>
        <v>1717.9700340475611</v>
      </c>
      <c r="AN877" s="101"/>
      <c r="AO877" s="1">
        <v>36</v>
      </c>
      <c r="AP877" s="2">
        <v>36</v>
      </c>
      <c r="AQ877" s="74">
        <f t="shared" si="1021"/>
        <v>657</v>
      </c>
      <c r="AR877" s="31">
        <f t="shared" si="1022"/>
        <v>0</v>
      </c>
      <c r="AS877" s="2">
        <f t="shared" si="1023"/>
        <v>0</v>
      </c>
      <c r="AT877" s="33">
        <f t="shared" si="1024"/>
        <v>0</v>
      </c>
      <c r="AU877" s="31">
        <f t="shared" si="1025"/>
        <v>1.5</v>
      </c>
      <c r="AV877" s="2">
        <f t="shared" si="1026"/>
        <v>0</v>
      </c>
      <c r="AW877" s="33">
        <f t="shared" si="1027"/>
        <v>0</v>
      </c>
      <c r="AX877" s="31">
        <f t="shared" si="1028"/>
        <v>1</v>
      </c>
      <c r="AY877" s="33">
        <f t="shared" si="1029"/>
        <v>1.3</v>
      </c>
      <c r="AZ877" s="2"/>
      <c r="BA877" s="101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</row>
    <row r="878" spans="1:71" ht="12" customHeight="1">
      <c r="A878" s="2"/>
      <c r="B878" s="107">
        <v>803</v>
      </c>
      <c r="C878" s="31">
        <v>10</v>
      </c>
      <c r="D878" s="113" t="s">
        <v>9</v>
      </c>
      <c r="E878" s="2" t="s">
        <v>98</v>
      </c>
      <c r="F878" s="2"/>
      <c r="G878" s="2" t="s">
        <v>166</v>
      </c>
      <c r="H878" s="33"/>
      <c r="I878" s="99">
        <f t="shared" si="0"/>
        <v>556.94769944363622</v>
      </c>
      <c r="J878" s="101">
        <f t="shared" si="1"/>
        <v>18.25</v>
      </c>
      <c r="K878" s="101">
        <f t="shared" si="2"/>
        <v>520</v>
      </c>
      <c r="L878" s="74">
        <f t="shared" si="1008"/>
        <v>47</v>
      </c>
      <c r="M878" s="99">
        <f t="shared" si="1030"/>
        <v>20050.117179970905</v>
      </c>
      <c r="N878" s="108">
        <f t="shared" si="1009"/>
        <v>16020.767028009002</v>
      </c>
      <c r="O878" s="108">
        <f t="shared" si="1010"/>
        <v>2044.4066741270403</v>
      </c>
      <c r="P878" s="108"/>
      <c r="Q878" s="108"/>
      <c r="R878" s="109">
        <f t="shared" si="1011"/>
        <v>0</v>
      </c>
      <c r="S878" s="99">
        <f t="shared" si="694"/>
        <v>10668.054211094879</v>
      </c>
      <c r="T878" s="108">
        <f t="shared" si="1012"/>
        <v>8950.084177047318</v>
      </c>
      <c r="U878" s="108">
        <f t="shared" si="1013"/>
        <v>1717.9700340475611</v>
      </c>
      <c r="V878" s="108"/>
      <c r="W878" s="108"/>
      <c r="X878" s="109">
        <f t="shared" si="1014"/>
        <v>0</v>
      </c>
      <c r="Y878" s="99">
        <f t="shared" si="8"/>
        <v>21336.108422189758</v>
      </c>
      <c r="Z878" s="108">
        <f t="shared" si="993"/>
        <v>17900.168354094636</v>
      </c>
      <c r="AA878" s="108">
        <f t="shared" si="1015"/>
        <v>3435.9400680951221</v>
      </c>
      <c r="AB878" s="108"/>
      <c r="AC878" s="108"/>
      <c r="AD878" s="109">
        <f t="shared" si="994"/>
        <v>0</v>
      </c>
      <c r="AE878" s="99">
        <f t="shared" ref="AE878:AF878" si="1041">AO878</f>
        <v>36</v>
      </c>
      <c r="AF878" s="101">
        <f t="shared" si="1041"/>
        <v>36</v>
      </c>
      <c r="AG878" s="101">
        <f t="shared" si="1017"/>
        <v>79.001300000000001</v>
      </c>
      <c r="AH878" s="101">
        <f t="shared" si="851"/>
        <v>657</v>
      </c>
      <c r="AI878" s="101">
        <f t="shared" si="852"/>
        <v>200</v>
      </c>
      <c r="AJ878" s="108">
        <f t="shared" si="1018"/>
        <v>1.6666666666666667</v>
      </c>
      <c r="AK878" s="101">
        <f t="shared" si="461"/>
        <v>8602.6501702378046</v>
      </c>
      <c r="AL878" s="101">
        <f t="shared" si="1019"/>
        <v>6884.6801361902444</v>
      </c>
      <c r="AM878" s="101">
        <f t="shared" si="1020"/>
        <v>1717.9700340475611</v>
      </c>
      <c r="AN878" s="101"/>
      <c r="AO878" s="1">
        <v>36</v>
      </c>
      <c r="AP878" s="2">
        <v>36</v>
      </c>
      <c r="AQ878" s="74">
        <f t="shared" si="1021"/>
        <v>657</v>
      </c>
      <c r="AR878" s="31">
        <f t="shared" si="1022"/>
        <v>0</v>
      </c>
      <c r="AS878" s="2">
        <f t="shared" si="1023"/>
        <v>0</v>
      </c>
      <c r="AT878" s="33">
        <f t="shared" si="1024"/>
        <v>0</v>
      </c>
      <c r="AU878" s="31">
        <f t="shared" si="1025"/>
        <v>1</v>
      </c>
      <c r="AV878" s="2">
        <f t="shared" si="1026"/>
        <v>0</v>
      </c>
      <c r="AW878" s="33">
        <f t="shared" si="1027"/>
        <v>60</v>
      </c>
      <c r="AX878" s="31">
        <f t="shared" si="1028"/>
        <v>1</v>
      </c>
      <c r="AY878" s="33">
        <f t="shared" si="1029"/>
        <v>1.3</v>
      </c>
      <c r="AZ878" s="2"/>
      <c r="BA878" s="101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</row>
    <row r="879" spans="1:71" ht="12" customHeight="1">
      <c r="A879" s="2"/>
      <c r="B879" s="107">
        <v>804</v>
      </c>
      <c r="C879" s="31">
        <v>10</v>
      </c>
      <c r="D879" s="113" t="s">
        <v>9</v>
      </c>
      <c r="E879" s="2" t="s">
        <v>99</v>
      </c>
      <c r="F879" s="2"/>
      <c r="G879" s="2"/>
      <c r="H879" s="33"/>
      <c r="I879" s="99">
        <f t="shared" si="0"/>
        <v>454.41839571273664</v>
      </c>
      <c r="J879" s="101">
        <f t="shared" si="1"/>
        <v>18.25</v>
      </c>
      <c r="K879" s="101">
        <f t="shared" si="2"/>
        <v>666</v>
      </c>
      <c r="L879" s="74">
        <f t="shared" si="1008"/>
        <v>73</v>
      </c>
      <c r="M879" s="99">
        <f t="shared" si="1030"/>
        <v>16359.062245658519</v>
      </c>
      <c r="N879" s="108">
        <f t="shared" si="1009"/>
        <v>10650.71652178061</v>
      </c>
      <c r="O879" s="108">
        <f t="shared" si="1010"/>
        <v>2044.4066741270403</v>
      </c>
      <c r="P879" s="108"/>
      <c r="Q879" s="108"/>
      <c r="R879" s="109">
        <f t="shared" si="1011"/>
        <v>2044.4066741270403</v>
      </c>
      <c r="S879" s="99">
        <f t="shared" si="694"/>
        <v>12386.02424514244</v>
      </c>
      <c r="T879" s="108">
        <f t="shared" si="1012"/>
        <v>8950.084177047318</v>
      </c>
      <c r="U879" s="108">
        <f t="shared" si="1013"/>
        <v>1717.9700340475611</v>
      </c>
      <c r="V879" s="108"/>
      <c r="W879" s="108"/>
      <c r="X879" s="109">
        <f t="shared" si="1014"/>
        <v>1717.9700340475611</v>
      </c>
      <c r="Y879" s="99">
        <f t="shared" si="8"/>
        <v>24772.04849028488</v>
      </c>
      <c r="Z879" s="108">
        <f t="shared" si="993"/>
        <v>17900.168354094636</v>
      </c>
      <c r="AA879" s="108">
        <f t="shared" si="1015"/>
        <v>3435.9400680951221</v>
      </c>
      <c r="AB879" s="108"/>
      <c r="AC879" s="108"/>
      <c r="AD879" s="109">
        <f t="shared" si="994"/>
        <v>3435.9400680951221</v>
      </c>
      <c r="AE879" s="99">
        <f t="shared" ref="AE879:AF879" si="1042">AO879</f>
        <v>36</v>
      </c>
      <c r="AF879" s="101">
        <f t="shared" si="1042"/>
        <v>36</v>
      </c>
      <c r="AG879" s="101">
        <f t="shared" si="1017"/>
        <v>19.001300000000001</v>
      </c>
      <c r="AH879" s="101">
        <f t="shared" si="851"/>
        <v>657</v>
      </c>
      <c r="AI879" s="101">
        <f t="shared" si="852"/>
        <v>200</v>
      </c>
      <c r="AJ879" s="108">
        <f t="shared" si="1018"/>
        <v>1.6666666666666667</v>
      </c>
      <c r="AK879" s="101">
        <f t="shared" si="461"/>
        <v>8602.6501702378046</v>
      </c>
      <c r="AL879" s="101">
        <f t="shared" si="1019"/>
        <v>6884.6801361902444</v>
      </c>
      <c r="AM879" s="101">
        <f t="shared" si="1020"/>
        <v>1717.9700340475611</v>
      </c>
      <c r="AN879" s="101"/>
      <c r="AO879" s="1">
        <v>36</v>
      </c>
      <c r="AP879" s="2">
        <v>36</v>
      </c>
      <c r="AQ879" s="74">
        <f t="shared" si="1021"/>
        <v>657</v>
      </c>
      <c r="AR879" s="31">
        <f t="shared" si="1022"/>
        <v>0</v>
      </c>
      <c r="AS879" s="2">
        <f t="shared" si="1023"/>
        <v>1</v>
      </c>
      <c r="AT879" s="33">
        <f t="shared" si="1024"/>
        <v>0</v>
      </c>
      <c r="AU879" s="31">
        <f t="shared" si="1025"/>
        <v>1</v>
      </c>
      <c r="AV879" s="2">
        <f t="shared" si="1026"/>
        <v>0</v>
      </c>
      <c r="AW879" s="33">
        <f t="shared" si="1027"/>
        <v>0</v>
      </c>
      <c r="AX879" s="31">
        <f t="shared" si="1028"/>
        <v>1</v>
      </c>
      <c r="AY879" s="33">
        <f t="shared" si="1029"/>
        <v>1.3</v>
      </c>
      <c r="AZ879" s="2"/>
      <c r="BA879" s="101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</row>
    <row r="880" spans="1:71" ht="12" customHeight="1">
      <c r="A880" s="2"/>
      <c r="B880" s="107">
        <v>805</v>
      </c>
      <c r="C880" s="31">
        <v>10</v>
      </c>
      <c r="D880" s="113" t="s">
        <v>9</v>
      </c>
      <c r="E880" s="2" t="s">
        <v>170</v>
      </c>
      <c r="F880" s="2"/>
      <c r="G880" s="2"/>
      <c r="H880" s="33"/>
      <c r="I880" s="99">
        <f t="shared" si="0"/>
        <v>618.59871753080597</v>
      </c>
      <c r="J880" s="101">
        <f t="shared" si="1"/>
        <v>18.25</v>
      </c>
      <c r="K880" s="101">
        <f t="shared" si="2"/>
        <v>443</v>
      </c>
      <c r="L880" s="74">
        <f t="shared" si="1008"/>
        <v>32</v>
      </c>
      <c r="M880" s="99">
        <f t="shared" si="1030"/>
        <v>22269.553831109017</v>
      </c>
      <c r="N880" s="108">
        <f t="shared" si="1009"/>
        <v>15976.074782670916</v>
      </c>
      <c r="O880" s="108">
        <f t="shared" si="1010"/>
        <v>2044.4066741270403</v>
      </c>
      <c r="P880" s="108"/>
      <c r="Q880" s="108"/>
      <c r="R880" s="109">
        <f t="shared" si="1011"/>
        <v>2044.4066741270403</v>
      </c>
      <c r="S880" s="99">
        <f t="shared" si="694"/>
        <v>16861.066333666102</v>
      </c>
      <c r="T880" s="108">
        <f t="shared" si="1012"/>
        <v>13425.126265570978</v>
      </c>
      <c r="U880" s="108">
        <f t="shared" si="1013"/>
        <v>1717.9700340475611</v>
      </c>
      <c r="V880" s="108"/>
      <c r="W880" s="108"/>
      <c r="X880" s="109">
        <f t="shared" si="1014"/>
        <v>1717.9700340475611</v>
      </c>
      <c r="Y880" s="99">
        <f t="shared" si="8"/>
        <v>33722.132667332204</v>
      </c>
      <c r="Z880" s="108">
        <f t="shared" si="993"/>
        <v>26850.252531141956</v>
      </c>
      <c r="AA880" s="108">
        <f t="shared" si="1015"/>
        <v>3435.9400680951221</v>
      </c>
      <c r="AB880" s="108"/>
      <c r="AC880" s="108"/>
      <c r="AD880" s="109">
        <f t="shared" si="994"/>
        <v>3435.9400680951221</v>
      </c>
      <c r="AE880" s="99">
        <f t="shared" ref="AE880:AF880" si="1043">AO880</f>
        <v>36</v>
      </c>
      <c r="AF880" s="101">
        <f t="shared" si="1043"/>
        <v>36</v>
      </c>
      <c r="AG880" s="101">
        <f t="shared" si="1017"/>
        <v>19.001300000000001</v>
      </c>
      <c r="AH880" s="101">
        <f t="shared" si="851"/>
        <v>657</v>
      </c>
      <c r="AI880" s="101">
        <f t="shared" si="852"/>
        <v>200</v>
      </c>
      <c r="AJ880" s="108">
        <f t="shared" si="1018"/>
        <v>1.6666666666666667</v>
      </c>
      <c r="AK880" s="101">
        <f t="shared" si="461"/>
        <v>8602.6501702378046</v>
      </c>
      <c r="AL880" s="101">
        <f t="shared" si="1019"/>
        <v>6884.6801361902444</v>
      </c>
      <c r="AM880" s="101">
        <f t="shared" si="1020"/>
        <v>1717.9700340475611</v>
      </c>
      <c r="AN880" s="101"/>
      <c r="AO880" s="1">
        <v>36</v>
      </c>
      <c r="AP880" s="2">
        <v>36</v>
      </c>
      <c r="AQ880" s="74">
        <f t="shared" si="1021"/>
        <v>657</v>
      </c>
      <c r="AR880" s="31">
        <f t="shared" si="1022"/>
        <v>0</v>
      </c>
      <c r="AS880" s="2">
        <f t="shared" si="1023"/>
        <v>1</v>
      </c>
      <c r="AT880" s="33">
        <f t="shared" si="1024"/>
        <v>0</v>
      </c>
      <c r="AU880" s="31">
        <f t="shared" si="1025"/>
        <v>1.5</v>
      </c>
      <c r="AV880" s="2">
        <f t="shared" si="1026"/>
        <v>0</v>
      </c>
      <c r="AW880" s="33">
        <f t="shared" si="1027"/>
        <v>0</v>
      </c>
      <c r="AX880" s="31">
        <f t="shared" si="1028"/>
        <v>1</v>
      </c>
      <c r="AY880" s="33">
        <f t="shared" si="1029"/>
        <v>1.3</v>
      </c>
      <c r="AZ880" s="2"/>
      <c r="BA880" s="101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</row>
    <row r="881" spans="1:71" ht="12" customHeight="1">
      <c r="A881" s="2"/>
      <c r="B881" s="107">
        <v>806</v>
      </c>
      <c r="C881" s="31">
        <v>10</v>
      </c>
      <c r="D881" s="113" t="s">
        <v>9</v>
      </c>
      <c r="E881" s="2" t="s">
        <v>108</v>
      </c>
      <c r="F881" s="2"/>
      <c r="G881" s="2" t="s">
        <v>166</v>
      </c>
      <c r="H881" s="33"/>
      <c r="I881" s="99">
        <f t="shared" si="0"/>
        <v>619.97657548193513</v>
      </c>
      <c r="J881" s="101">
        <f t="shared" si="1"/>
        <v>18.25</v>
      </c>
      <c r="K881" s="101">
        <f t="shared" si="2"/>
        <v>442</v>
      </c>
      <c r="L881" s="74">
        <f t="shared" si="1008"/>
        <v>31</v>
      </c>
      <c r="M881" s="99">
        <f t="shared" si="1030"/>
        <v>22319.156717349666</v>
      </c>
      <c r="N881" s="108">
        <f t="shared" si="1009"/>
        <v>16020.767028009002</v>
      </c>
      <c r="O881" s="108">
        <f t="shared" si="1010"/>
        <v>2044.4066741270403</v>
      </c>
      <c r="P881" s="108"/>
      <c r="Q881" s="108"/>
      <c r="R881" s="109">
        <f t="shared" si="1011"/>
        <v>2044.4066741270403</v>
      </c>
      <c r="S881" s="99">
        <f t="shared" si="694"/>
        <v>12386.02424514244</v>
      </c>
      <c r="T881" s="108">
        <f t="shared" si="1012"/>
        <v>8950.084177047318</v>
      </c>
      <c r="U881" s="108">
        <f t="shared" si="1013"/>
        <v>1717.9700340475611</v>
      </c>
      <c r="V881" s="108"/>
      <c r="W881" s="108"/>
      <c r="X881" s="109">
        <f t="shared" si="1014"/>
        <v>1717.9700340475611</v>
      </c>
      <c r="Y881" s="99">
        <f t="shared" si="8"/>
        <v>24772.04849028488</v>
      </c>
      <c r="Z881" s="108">
        <f t="shared" si="993"/>
        <v>17900.168354094636</v>
      </c>
      <c r="AA881" s="108">
        <f t="shared" si="1015"/>
        <v>3435.9400680951221</v>
      </c>
      <c r="AB881" s="108"/>
      <c r="AC881" s="108"/>
      <c r="AD881" s="109">
        <f t="shared" si="994"/>
        <v>3435.9400680951221</v>
      </c>
      <c r="AE881" s="99">
        <f t="shared" ref="AE881:AF881" si="1044">AO881</f>
        <v>36</v>
      </c>
      <c r="AF881" s="101">
        <f t="shared" si="1044"/>
        <v>36</v>
      </c>
      <c r="AG881" s="101">
        <f t="shared" si="1017"/>
        <v>79.001300000000001</v>
      </c>
      <c r="AH881" s="101">
        <f t="shared" si="851"/>
        <v>657</v>
      </c>
      <c r="AI881" s="101">
        <f t="shared" si="852"/>
        <v>200</v>
      </c>
      <c r="AJ881" s="108">
        <f t="shared" si="1018"/>
        <v>1.6666666666666667</v>
      </c>
      <c r="AK881" s="101">
        <f t="shared" si="461"/>
        <v>8602.6501702378046</v>
      </c>
      <c r="AL881" s="101">
        <f t="shared" si="1019"/>
        <v>6884.6801361902444</v>
      </c>
      <c r="AM881" s="101">
        <f t="shared" si="1020"/>
        <v>1717.9700340475611</v>
      </c>
      <c r="AN881" s="101"/>
      <c r="AO881" s="1">
        <v>36</v>
      </c>
      <c r="AP881" s="2">
        <v>36</v>
      </c>
      <c r="AQ881" s="74">
        <f t="shared" si="1021"/>
        <v>657</v>
      </c>
      <c r="AR881" s="31">
        <f t="shared" si="1022"/>
        <v>0</v>
      </c>
      <c r="AS881" s="2">
        <f t="shared" si="1023"/>
        <v>1</v>
      </c>
      <c r="AT881" s="33">
        <f t="shared" si="1024"/>
        <v>0</v>
      </c>
      <c r="AU881" s="31">
        <f t="shared" si="1025"/>
        <v>1</v>
      </c>
      <c r="AV881" s="2">
        <f t="shared" si="1026"/>
        <v>0</v>
      </c>
      <c r="AW881" s="33">
        <f t="shared" si="1027"/>
        <v>60</v>
      </c>
      <c r="AX881" s="31">
        <f t="shared" si="1028"/>
        <v>1</v>
      </c>
      <c r="AY881" s="33">
        <f t="shared" si="1029"/>
        <v>1.3</v>
      </c>
      <c r="AZ881" s="2"/>
      <c r="BA881" s="101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</row>
    <row r="882" spans="1:71" ht="12" customHeight="1">
      <c r="A882" s="2"/>
      <c r="B882" s="107">
        <v>807</v>
      </c>
      <c r="C882" s="31">
        <v>10</v>
      </c>
      <c r="D882" s="113" t="s">
        <v>9</v>
      </c>
      <c r="E882" s="2" t="s">
        <v>111</v>
      </c>
      <c r="F882" s="2"/>
      <c r="G882" s="2"/>
      <c r="H882" s="33"/>
      <c r="I882" s="99">
        <f t="shared" si="0"/>
        <v>391.38951967443768</v>
      </c>
      <c r="J882" s="101">
        <f t="shared" si="1"/>
        <v>18.25</v>
      </c>
      <c r="K882" s="101">
        <f t="shared" si="2"/>
        <v>738</v>
      </c>
      <c r="L882" s="74">
        <f t="shared" si="1008"/>
        <v>86</v>
      </c>
      <c r="M882" s="99">
        <f t="shared" si="1030"/>
        <v>14090.022708279757</v>
      </c>
      <c r="N882" s="108">
        <f t="shared" si="1009"/>
        <v>10650.71652178061</v>
      </c>
      <c r="O882" s="108">
        <f t="shared" si="1010"/>
        <v>2044.4066741270403</v>
      </c>
      <c r="P882" s="108"/>
      <c r="Q882" s="108"/>
      <c r="R882" s="109">
        <f t="shared" si="1011"/>
        <v>0</v>
      </c>
      <c r="S882" s="99">
        <f t="shared" si="694"/>
        <v>10668.054211094879</v>
      </c>
      <c r="T882" s="108">
        <f t="shared" si="1012"/>
        <v>8950.084177047318</v>
      </c>
      <c r="U882" s="108">
        <f t="shared" si="1013"/>
        <v>1717.9700340475611</v>
      </c>
      <c r="V882" s="108"/>
      <c r="W882" s="108"/>
      <c r="X882" s="109">
        <f t="shared" si="1014"/>
        <v>0</v>
      </c>
      <c r="Y882" s="99">
        <f t="shared" si="8"/>
        <v>21336.108422189758</v>
      </c>
      <c r="Z882" s="108">
        <f t="shared" si="993"/>
        <v>17900.168354094636</v>
      </c>
      <c r="AA882" s="108">
        <f t="shared" si="1015"/>
        <v>3435.9400680951221</v>
      </c>
      <c r="AB882" s="108"/>
      <c r="AC882" s="108"/>
      <c r="AD882" s="109">
        <f t="shared" si="994"/>
        <v>0</v>
      </c>
      <c r="AE882" s="99">
        <f t="shared" ref="AE882:AF882" si="1045">AO882</f>
        <v>36</v>
      </c>
      <c r="AF882" s="101">
        <f t="shared" si="1045"/>
        <v>36</v>
      </c>
      <c r="AG882" s="101">
        <f t="shared" si="1017"/>
        <v>19.001300000000001</v>
      </c>
      <c r="AH882" s="101">
        <f t="shared" si="851"/>
        <v>657</v>
      </c>
      <c r="AI882" s="101">
        <f t="shared" si="852"/>
        <v>200</v>
      </c>
      <c r="AJ882" s="108">
        <f t="shared" si="1018"/>
        <v>1.4285714285714286</v>
      </c>
      <c r="AK882" s="101">
        <f t="shared" si="461"/>
        <v>8602.6501702378046</v>
      </c>
      <c r="AL882" s="101">
        <f t="shared" si="1019"/>
        <v>6884.6801361902444</v>
      </c>
      <c r="AM882" s="101">
        <f t="shared" si="1020"/>
        <v>1717.9700340475611</v>
      </c>
      <c r="AN882" s="101"/>
      <c r="AO882" s="1">
        <v>36</v>
      </c>
      <c r="AP882" s="2">
        <v>36</v>
      </c>
      <c r="AQ882" s="74">
        <f t="shared" si="1021"/>
        <v>657</v>
      </c>
      <c r="AR882" s="31">
        <f t="shared" si="1022"/>
        <v>0</v>
      </c>
      <c r="AS882" s="2">
        <f t="shared" si="1023"/>
        <v>0</v>
      </c>
      <c r="AT882" s="33">
        <f t="shared" si="1024"/>
        <v>1</v>
      </c>
      <c r="AU882" s="31">
        <f t="shared" si="1025"/>
        <v>1</v>
      </c>
      <c r="AV882" s="2">
        <f t="shared" si="1026"/>
        <v>0</v>
      </c>
      <c r="AW882" s="33">
        <f t="shared" si="1027"/>
        <v>0</v>
      </c>
      <c r="AX882" s="31">
        <f t="shared" si="1028"/>
        <v>1</v>
      </c>
      <c r="AY882" s="33">
        <f t="shared" si="1029"/>
        <v>1.3</v>
      </c>
      <c r="AZ882" s="2"/>
      <c r="BA882" s="101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</row>
    <row r="883" spans="1:71" ht="12" customHeight="1">
      <c r="A883" s="2"/>
      <c r="B883" s="107">
        <v>808</v>
      </c>
      <c r="C883" s="31">
        <v>10</v>
      </c>
      <c r="D883" s="113" t="s">
        <v>9</v>
      </c>
      <c r="E883" s="2" t="s">
        <v>145</v>
      </c>
      <c r="F883" s="2"/>
      <c r="G883" s="2"/>
      <c r="H883" s="33"/>
      <c r="I883" s="99">
        <f t="shared" si="0"/>
        <v>555.56984149250707</v>
      </c>
      <c r="J883" s="101">
        <f t="shared" si="1"/>
        <v>18.25</v>
      </c>
      <c r="K883" s="101">
        <f t="shared" si="2"/>
        <v>522</v>
      </c>
      <c r="L883" s="74">
        <f t="shared" si="1008"/>
        <v>49</v>
      </c>
      <c r="M883" s="99">
        <f t="shared" si="1030"/>
        <v>20000.514293730255</v>
      </c>
      <c r="N883" s="108">
        <f t="shared" si="1009"/>
        <v>15976.074782670916</v>
      </c>
      <c r="O883" s="108">
        <f t="shared" si="1010"/>
        <v>2044.4066741270403</v>
      </c>
      <c r="P883" s="108"/>
      <c r="Q883" s="108"/>
      <c r="R883" s="109">
        <f t="shared" si="1011"/>
        <v>0</v>
      </c>
      <c r="S883" s="99">
        <f t="shared" si="694"/>
        <v>15143.096299618539</v>
      </c>
      <c r="T883" s="108">
        <f t="shared" si="1012"/>
        <v>13425.126265570978</v>
      </c>
      <c r="U883" s="108">
        <f t="shared" si="1013"/>
        <v>1717.9700340475611</v>
      </c>
      <c r="V883" s="108"/>
      <c r="W883" s="108"/>
      <c r="X883" s="109">
        <f t="shared" si="1014"/>
        <v>0</v>
      </c>
      <c r="Y883" s="99">
        <f t="shared" si="8"/>
        <v>30286.192599237078</v>
      </c>
      <c r="Z883" s="108">
        <f t="shared" si="993"/>
        <v>26850.252531141956</v>
      </c>
      <c r="AA883" s="108">
        <f t="shared" si="1015"/>
        <v>3435.9400680951221</v>
      </c>
      <c r="AB883" s="108"/>
      <c r="AC883" s="108"/>
      <c r="AD883" s="109">
        <f t="shared" si="994"/>
        <v>0</v>
      </c>
      <c r="AE883" s="99">
        <f t="shared" ref="AE883:AF883" si="1046">AO883</f>
        <v>36</v>
      </c>
      <c r="AF883" s="101">
        <f t="shared" si="1046"/>
        <v>36</v>
      </c>
      <c r="AG883" s="101">
        <f t="shared" si="1017"/>
        <v>19.001300000000001</v>
      </c>
      <c r="AH883" s="101">
        <f t="shared" si="851"/>
        <v>657</v>
      </c>
      <c r="AI883" s="101">
        <f t="shared" si="852"/>
        <v>200</v>
      </c>
      <c r="AJ883" s="108">
        <f t="shared" si="1018"/>
        <v>1.4285714285714286</v>
      </c>
      <c r="AK883" s="101">
        <f t="shared" si="461"/>
        <v>8602.6501702378046</v>
      </c>
      <c r="AL883" s="101">
        <f t="shared" si="1019"/>
        <v>6884.6801361902444</v>
      </c>
      <c r="AM883" s="101">
        <f t="shared" si="1020"/>
        <v>1717.9700340475611</v>
      </c>
      <c r="AN883" s="101"/>
      <c r="AO883" s="1">
        <v>36</v>
      </c>
      <c r="AP883" s="2">
        <v>36</v>
      </c>
      <c r="AQ883" s="74">
        <f t="shared" si="1021"/>
        <v>657</v>
      </c>
      <c r="AR883" s="31">
        <f t="shared" si="1022"/>
        <v>0</v>
      </c>
      <c r="AS883" s="2">
        <f t="shared" si="1023"/>
        <v>0</v>
      </c>
      <c r="AT883" s="33">
        <f t="shared" si="1024"/>
        <v>1</v>
      </c>
      <c r="AU883" s="31">
        <f t="shared" si="1025"/>
        <v>1.5</v>
      </c>
      <c r="AV883" s="2">
        <f t="shared" si="1026"/>
        <v>0</v>
      </c>
      <c r="AW883" s="33">
        <f t="shared" si="1027"/>
        <v>0</v>
      </c>
      <c r="AX883" s="31">
        <f t="shared" si="1028"/>
        <v>1</v>
      </c>
      <c r="AY883" s="33">
        <f t="shared" si="1029"/>
        <v>1.3</v>
      </c>
      <c r="AZ883" s="2"/>
      <c r="BA883" s="101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</row>
    <row r="884" spans="1:71" ht="12" customHeight="1">
      <c r="A884" s="2"/>
      <c r="B884" s="107">
        <v>809</v>
      </c>
      <c r="C884" s="31">
        <v>10</v>
      </c>
      <c r="D884" s="113" t="s">
        <v>9</v>
      </c>
      <c r="E884" s="2" t="s">
        <v>135</v>
      </c>
      <c r="F884" s="2"/>
      <c r="G884" s="2" t="s">
        <v>166</v>
      </c>
      <c r="H884" s="33"/>
      <c r="I884" s="99">
        <f t="shared" si="0"/>
        <v>556.94769944363622</v>
      </c>
      <c r="J884" s="101">
        <f t="shared" si="1"/>
        <v>18.25</v>
      </c>
      <c r="K884" s="101">
        <f t="shared" si="2"/>
        <v>520</v>
      </c>
      <c r="L884" s="74">
        <f t="shared" si="1008"/>
        <v>47</v>
      </c>
      <c r="M884" s="99">
        <f t="shared" si="1030"/>
        <v>20050.117179970905</v>
      </c>
      <c r="N884" s="108">
        <f t="shared" si="1009"/>
        <v>16020.767028009002</v>
      </c>
      <c r="O884" s="108">
        <f t="shared" si="1010"/>
        <v>2044.4066741270403</v>
      </c>
      <c r="P884" s="108"/>
      <c r="Q884" s="108"/>
      <c r="R884" s="109">
        <f t="shared" si="1011"/>
        <v>0</v>
      </c>
      <c r="S884" s="99">
        <f t="shared" si="694"/>
        <v>10668.054211094879</v>
      </c>
      <c r="T884" s="108">
        <f t="shared" si="1012"/>
        <v>8950.084177047318</v>
      </c>
      <c r="U884" s="108">
        <f t="shared" si="1013"/>
        <v>1717.9700340475611</v>
      </c>
      <c r="V884" s="108"/>
      <c r="W884" s="108"/>
      <c r="X884" s="109">
        <f t="shared" si="1014"/>
        <v>0</v>
      </c>
      <c r="Y884" s="99">
        <f t="shared" si="8"/>
        <v>21336.108422189758</v>
      </c>
      <c r="Z884" s="108">
        <f t="shared" si="993"/>
        <v>17900.168354094636</v>
      </c>
      <c r="AA884" s="108">
        <f t="shared" si="1015"/>
        <v>3435.9400680951221</v>
      </c>
      <c r="AB884" s="108"/>
      <c r="AC884" s="108"/>
      <c r="AD884" s="109">
        <f t="shared" si="994"/>
        <v>0</v>
      </c>
      <c r="AE884" s="99">
        <f t="shared" ref="AE884:AF884" si="1047">AO884</f>
        <v>36</v>
      </c>
      <c r="AF884" s="101">
        <f t="shared" si="1047"/>
        <v>36</v>
      </c>
      <c r="AG884" s="101">
        <f t="shared" si="1017"/>
        <v>79.001300000000001</v>
      </c>
      <c r="AH884" s="101">
        <f t="shared" si="851"/>
        <v>657</v>
      </c>
      <c r="AI884" s="101">
        <f t="shared" si="852"/>
        <v>200</v>
      </c>
      <c r="AJ884" s="108">
        <f t="shared" si="1018"/>
        <v>1.4285714285714286</v>
      </c>
      <c r="AK884" s="101">
        <f t="shared" si="461"/>
        <v>8602.6501702378046</v>
      </c>
      <c r="AL884" s="101">
        <f t="shared" si="1019"/>
        <v>6884.6801361902444</v>
      </c>
      <c r="AM884" s="101">
        <f t="shared" si="1020"/>
        <v>1717.9700340475611</v>
      </c>
      <c r="AN884" s="101"/>
      <c r="AO884" s="1">
        <v>36</v>
      </c>
      <c r="AP884" s="2">
        <v>36</v>
      </c>
      <c r="AQ884" s="74">
        <f t="shared" si="1021"/>
        <v>657</v>
      </c>
      <c r="AR884" s="31">
        <f t="shared" si="1022"/>
        <v>0</v>
      </c>
      <c r="AS884" s="2">
        <f t="shared" si="1023"/>
        <v>0</v>
      </c>
      <c r="AT884" s="33">
        <f t="shared" si="1024"/>
        <v>1</v>
      </c>
      <c r="AU884" s="31">
        <f t="shared" si="1025"/>
        <v>1</v>
      </c>
      <c r="AV884" s="2">
        <f t="shared" si="1026"/>
        <v>0</v>
      </c>
      <c r="AW884" s="33">
        <f t="shared" si="1027"/>
        <v>60</v>
      </c>
      <c r="AX884" s="31">
        <f t="shared" si="1028"/>
        <v>1</v>
      </c>
      <c r="AY884" s="33">
        <f t="shared" si="1029"/>
        <v>1.3</v>
      </c>
      <c r="AZ884" s="2"/>
      <c r="BA884" s="101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</row>
    <row r="885" spans="1:71" ht="12" customHeight="1">
      <c r="A885" s="2"/>
      <c r="B885" s="107">
        <v>810</v>
      </c>
      <c r="C885" s="31">
        <v>7</v>
      </c>
      <c r="D885" s="113" t="s">
        <v>9</v>
      </c>
      <c r="E885" s="2" t="s">
        <v>67</v>
      </c>
      <c r="F885" s="2"/>
      <c r="G885" s="2"/>
      <c r="H885" s="33"/>
      <c r="I885" s="99">
        <f t="shared" si="0"/>
        <v>302.21732877037971</v>
      </c>
      <c r="J885" s="101">
        <f t="shared" si="1"/>
        <v>12.722222222222221</v>
      </c>
      <c r="K885" s="101">
        <f t="shared" si="2"/>
        <v>835</v>
      </c>
      <c r="L885" s="74">
        <f t="shared" si="1008"/>
        <v>102</v>
      </c>
      <c r="M885" s="99">
        <f t="shared" si="1030"/>
        <v>10879.82383573367</v>
      </c>
      <c r="N885" s="108">
        <f t="shared" si="1009"/>
        <v>7842.5563124256623</v>
      </c>
      <c r="O885" s="108">
        <f t="shared" si="1010"/>
        <v>1960.1747976702225</v>
      </c>
      <c r="P885" s="108"/>
      <c r="Q885" s="108"/>
      <c r="R885" s="109">
        <f t="shared" si="1011"/>
        <v>0</v>
      </c>
      <c r="S885" s="99">
        <f t="shared" si="694"/>
        <v>8237.4991786609771</v>
      </c>
      <c r="T885" s="108">
        <f t="shared" si="1012"/>
        <v>6590.3114608207325</v>
      </c>
      <c r="U885" s="108">
        <f t="shared" si="1013"/>
        <v>1647.1877178402442</v>
      </c>
      <c r="V885" s="108"/>
      <c r="W885" s="108"/>
      <c r="X885" s="109">
        <f t="shared" si="1014"/>
        <v>0</v>
      </c>
      <c r="Y885" s="99">
        <f t="shared" si="8"/>
        <v>16474.998357321954</v>
      </c>
      <c r="Z885" s="108">
        <f t="shared" si="993"/>
        <v>13180.622921641465</v>
      </c>
      <c r="AA885" s="108">
        <f t="shared" si="1015"/>
        <v>3294.3754356804884</v>
      </c>
      <c r="AB885" s="108"/>
      <c r="AC885" s="108"/>
      <c r="AD885" s="109">
        <f t="shared" si="994"/>
        <v>0</v>
      </c>
      <c r="AE885" s="99">
        <f t="shared" ref="AE885:AF885" si="1048">AO885</f>
        <v>36</v>
      </c>
      <c r="AF885" s="101">
        <f t="shared" si="1048"/>
        <v>36</v>
      </c>
      <c r="AG885" s="101">
        <f t="shared" si="1017"/>
        <v>19.001300000000001</v>
      </c>
      <c r="AH885" s="101">
        <f t="shared" si="851"/>
        <v>458</v>
      </c>
      <c r="AI885" s="101">
        <f t="shared" si="852"/>
        <v>200</v>
      </c>
      <c r="AJ885" s="108">
        <f t="shared" si="1018"/>
        <v>1.6666666666666667</v>
      </c>
      <c r="AK885" s="101">
        <f t="shared" si="461"/>
        <v>8237.4991786609771</v>
      </c>
      <c r="AL885" s="101">
        <f t="shared" si="1019"/>
        <v>6590.3114608207325</v>
      </c>
      <c r="AM885" s="101">
        <f t="shared" si="1020"/>
        <v>1647.1877178402442</v>
      </c>
      <c r="AN885" s="101"/>
      <c r="AO885" s="1">
        <v>36</v>
      </c>
      <c r="AP885" s="2">
        <v>36</v>
      </c>
      <c r="AQ885" s="74">
        <f t="shared" si="1021"/>
        <v>458</v>
      </c>
      <c r="AR885" s="31">
        <f t="shared" si="1022"/>
        <v>0</v>
      </c>
      <c r="AS885" s="2">
        <f t="shared" si="1023"/>
        <v>0</v>
      </c>
      <c r="AT885" s="33">
        <f t="shared" si="1024"/>
        <v>0</v>
      </c>
      <c r="AU885" s="31">
        <f t="shared" si="1025"/>
        <v>1</v>
      </c>
      <c r="AV885" s="2">
        <f t="shared" si="1026"/>
        <v>0</v>
      </c>
      <c r="AW885" s="33">
        <f t="shared" si="1027"/>
        <v>0</v>
      </c>
      <c r="AX885" s="31">
        <f t="shared" si="1028"/>
        <v>1</v>
      </c>
      <c r="AY885" s="33">
        <f t="shared" si="1029"/>
        <v>1</v>
      </c>
      <c r="AZ885" s="2"/>
      <c r="BA885" s="101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</row>
    <row r="886" spans="1:71" ht="12" customHeight="1">
      <c r="A886" s="2"/>
      <c r="B886" s="107">
        <v>811</v>
      </c>
      <c r="C886" s="31">
        <v>7</v>
      </c>
      <c r="D886" s="113" t="s">
        <v>9</v>
      </c>
      <c r="E886" s="2" t="s">
        <v>136</v>
      </c>
      <c r="F886" s="2"/>
      <c r="G886" s="2"/>
      <c r="H886" s="33"/>
      <c r="I886" s="99">
        <f t="shared" si="0"/>
        <v>423.10998576836295</v>
      </c>
      <c r="J886" s="101">
        <f t="shared" si="1"/>
        <v>12.722222222222221</v>
      </c>
      <c r="K886" s="101">
        <f t="shared" si="2"/>
        <v>708</v>
      </c>
      <c r="L886" s="74">
        <f t="shared" si="1008"/>
        <v>81</v>
      </c>
      <c r="M886" s="99">
        <f t="shared" si="1030"/>
        <v>15231.959487661066</v>
      </c>
      <c r="N886" s="108">
        <f t="shared" si="1009"/>
        <v>11763.834468638493</v>
      </c>
      <c r="O886" s="108">
        <f t="shared" si="1010"/>
        <v>1960.1747976702225</v>
      </c>
      <c r="P886" s="108"/>
      <c r="Q886" s="108"/>
      <c r="R886" s="109">
        <f t="shared" si="1011"/>
        <v>0</v>
      </c>
      <c r="S886" s="99">
        <f t="shared" si="694"/>
        <v>11532.654909071343</v>
      </c>
      <c r="T886" s="108">
        <f t="shared" si="1012"/>
        <v>9885.4671912310987</v>
      </c>
      <c r="U886" s="108">
        <f t="shared" si="1013"/>
        <v>1647.1877178402442</v>
      </c>
      <c r="V886" s="108"/>
      <c r="W886" s="108"/>
      <c r="X886" s="109">
        <f t="shared" si="1014"/>
        <v>0</v>
      </c>
      <c r="Y886" s="99">
        <f t="shared" si="8"/>
        <v>23065.309818142687</v>
      </c>
      <c r="Z886" s="108">
        <f t="shared" si="993"/>
        <v>19770.934382462197</v>
      </c>
      <c r="AA886" s="108">
        <f t="shared" si="1015"/>
        <v>3294.3754356804884</v>
      </c>
      <c r="AB886" s="108"/>
      <c r="AC886" s="108"/>
      <c r="AD886" s="109">
        <f t="shared" si="994"/>
        <v>0</v>
      </c>
      <c r="AE886" s="99">
        <f t="shared" ref="AE886:AF886" si="1049">AO886</f>
        <v>36</v>
      </c>
      <c r="AF886" s="101">
        <f t="shared" si="1049"/>
        <v>36</v>
      </c>
      <c r="AG886" s="101">
        <f t="shared" si="1017"/>
        <v>19.001300000000001</v>
      </c>
      <c r="AH886" s="101">
        <f t="shared" si="851"/>
        <v>458</v>
      </c>
      <c r="AI886" s="101">
        <f t="shared" si="852"/>
        <v>200</v>
      </c>
      <c r="AJ886" s="108">
        <f t="shared" si="1018"/>
        <v>1.6666666666666667</v>
      </c>
      <c r="AK886" s="101">
        <f t="shared" si="461"/>
        <v>8237.4991786609771</v>
      </c>
      <c r="AL886" s="101">
        <f t="shared" si="1019"/>
        <v>6590.3114608207325</v>
      </c>
      <c r="AM886" s="101">
        <f t="shared" si="1020"/>
        <v>1647.1877178402442</v>
      </c>
      <c r="AN886" s="101"/>
      <c r="AO886" s="1">
        <v>36</v>
      </c>
      <c r="AP886" s="2">
        <v>36</v>
      </c>
      <c r="AQ886" s="74">
        <f t="shared" si="1021"/>
        <v>458</v>
      </c>
      <c r="AR886" s="31">
        <f t="shared" si="1022"/>
        <v>0</v>
      </c>
      <c r="AS886" s="2">
        <f t="shared" si="1023"/>
        <v>0</v>
      </c>
      <c r="AT886" s="33">
        <f t="shared" si="1024"/>
        <v>0</v>
      </c>
      <c r="AU886" s="31">
        <f t="shared" si="1025"/>
        <v>1.5</v>
      </c>
      <c r="AV886" s="2">
        <f t="shared" si="1026"/>
        <v>0</v>
      </c>
      <c r="AW886" s="33">
        <f t="shared" si="1027"/>
        <v>0</v>
      </c>
      <c r="AX886" s="31">
        <f t="shared" si="1028"/>
        <v>1</v>
      </c>
      <c r="AY886" s="33">
        <f t="shared" si="1029"/>
        <v>1</v>
      </c>
      <c r="AZ886" s="2"/>
      <c r="BA886" s="101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</row>
    <row r="887" spans="1:71" ht="12" customHeight="1">
      <c r="A887" s="2"/>
      <c r="B887" s="107">
        <v>812</v>
      </c>
      <c r="C887" s="31">
        <v>7</v>
      </c>
      <c r="D887" s="113" t="s">
        <v>9</v>
      </c>
      <c r="E887" s="2" t="s">
        <v>91</v>
      </c>
      <c r="F887" s="2"/>
      <c r="G887" s="2" t="s">
        <v>166</v>
      </c>
      <c r="H887" s="33"/>
      <c r="I887" s="99">
        <f t="shared" si="0"/>
        <v>424.12455868936377</v>
      </c>
      <c r="J887" s="101">
        <f t="shared" si="1"/>
        <v>12.722222222222221</v>
      </c>
      <c r="K887" s="101">
        <f t="shared" si="2"/>
        <v>706</v>
      </c>
      <c r="L887" s="74">
        <f t="shared" si="1008"/>
        <v>79</v>
      </c>
      <c r="M887" s="99">
        <f t="shared" si="1030"/>
        <v>15268.484112817096</v>
      </c>
      <c r="N887" s="108">
        <f t="shared" si="1009"/>
        <v>11796.743188918103</v>
      </c>
      <c r="O887" s="108">
        <f t="shared" si="1010"/>
        <v>1960.1747976702225</v>
      </c>
      <c r="P887" s="108"/>
      <c r="Q887" s="108"/>
      <c r="R887" s="109">
        <f t="shared" si="1011"/>
        <v>0</v>
      </c>
      <c r="S887" s="99">
        <f t="shared" si="694"/>
        <v>8237.4991786609771</v>
      </c>
      <c r="T887" s="108">
        <f t="shared" si="1012"/>
        <v>6590.3114608207325</v>
      </c>
      <c r="U887" s="108">
        <f t="shared" si="1013"/>
        <v>1647.1877178402442</v>
      </c>
      <c r="V887" s="108"/>
      <c r="W887" s="108"/>
      <c r="X887" s="109">
        <f t="shared" si="1014"/>
        <v>0</v>
      </c>
      <c r="Y887" s="99">
        <f t="shared" si="8"/>
        <v>16474.998357321954</v>
      </c>
      <c r="Z887" s="108">
        <f t="shared" si="993"/>
        <v>13180.622921641465</v>
      </c>
      <c r="AA887" s="108">
        <f t="shared" si="1015"/>
        <v>3294.3754356804884</v>
      </c>
      <c r="AB887" s="108"/>
      <c r="AC887" s="108"/>
      <c r="AD887" s="109">
        <f t="shared" si="994"/>
        <v>0</v>
      </c>
      <c r="AE887" s="99">
        <f t="shared" ref="AE887:AF887" si="1050">AO887</f>
        <v>36</v>
      </c>
      <c r="AF887" s="101">
        <f t="shared" si="1050"/>
        <v>36</v>
      </c>
      <c r="AG887" s="101">
        <f t="shared" si="1017"/>
        <v>79.001300000000001</v>
      </c>
      <c r="AH887" s="101">
        <f t="shared" si="851"/>
        <v>458</v>
      </c>
      <c r="AI887" s="101">
        <f t="shared" si="852"/>
        <v>200</v>
      </c>
      <c r="AJ887" s="108">
        <f t="shared" si="1018"/>
        <v>1.6666666666666667</v>
      </c>
      <c r="AK887" s="101">
        <f t="shared" si="461"/>
        <v>8237.4991786609771</v>
      </c>
      <c r="AL887" s="101">
        <f t="shared" si="1019"/>
        <v>6590.3114608207325</v>
      </c>
      <c r="AM887" s="101">
        <f t="shared" si="1020"/>
        <v>1647.1877178402442</v>
      </c>
      <c r="AN887" s="101"/>
      <c r="AO887" s="1">
        <v>36</v>
      </c>
      <c r="AP887" s="2">
        <v>36</v>
      </c>
      <c r="AQ887" s="74">
        <f t="shared" si="1021"/>
        <v>458</v>
      </c>
      <c r="AR887" s="31">
        <f t="shared" si="1022"/>
        <v>0</v>
      </c>
      <c r="AS887" s="2">
        <f t="shared" si="1023"/>
        <v>0</v>
      </c>
      <c r="AT887" s="33">
        <f t="shared" si="1024"/>
        <v>0</v>
      </c>
      <c r="AU887" s="31">
        <f t="shared" si="1025"/>
        <v>1</v>
      </c>
      <c r="AV887" s="2">
        <f t="shared" si="1026"/>
        <v>0</v>
      </c>
      <c r="AW887" s="33">
        <f t="shared" si="1027"/>
        <v>60</v>
      </c>
      <c r="AX887" s="31">
        <f t="shared" si="1028"/>
        <v>1</v>
      </c>
      <c r="AY887" s="33">
        <f t="shared" si="1029"/>
        <v>1</v>
      </c>
      <c r="AZ887" s="2"/>
      <c r="BA887" s="101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</row>
    <row r="888" spans="1:71" ht="12" customHeight="1">
      <c r="A888" s="2"/>
      <c r="B888" s="107">
        <v>813</v>
      </c>
      <c r="C888" s="31">
        <v>7</v>
      </c>
      <c r="D888" s="113" t="s">
        <v>9</v>
      </c>
      <c r="E888" s="2" t="s">
        <v>79</v>
      </c>
      <c r="F888" s="2"/>
      <c r="G888" s="2"/>
      <c r="H888" s="33"/>
      <c r="I888" s="99">
        <f t="shared" si="0"/>
        <v>362.64934354479288</v>
      </c>
      <c r="J888" s="101">
        <f t="shared" si="1"/>
        <v>12.722222222222221</v>
      </c>
      <c r="K888" s="101">
        <f t="shared" si="2"/>
        <v>764</v>
      </c>
      <c r="L888" s="74">
        <f t="shared" si="1008"/>
        <v>93</v>
      </c>
      <c r="M888" s="99">
        <f t="shared" si="1030"/>
        <v>13055.376367612544</v>
      </c>
      <c r="N888" s="108">
        <f t="shared" si="1009"/>
        <v>7842.5563124256623</v>
      </c>
      <c r="O888" s="108">
        <f t="shared" si="1010"/>
        <v>1960.1747976702225</v>
      </c>
      <c r="P888" s="108"/>
      <c r="Q888" s="108"/>
      <c r="R888" s="109">
        <f t="shared" si="1011"/>
        <v>1960.1747976702225</v>
      </c>
      <c r="S888" s="99">
        <f t="shared" si="694"/>
        <v>9884.6868965012218</v>
      </c>
      <c r="T888" s="108">
        <f t="shared" si="1012"/>
        <v>6590.3114608207325</v>
      </c>
      <c r="U888" s="108">
        <f t="shared" si="1013"/>
        <v>1647.1877178402442</v>
      </c>
      <c r="V888" s="108"/>
      <c r="W888" s="108"/>
      <c r="X888" s="109">
        <f t="shared" si="1014"/>
        <v>1647.1877178402442</v>
      </c>
      <c r="Y888" s="99">
        <f t="shared" si="8"/>
        <v>19769.373793002444</v>
      </c>
      <c r="Z888" s="108">
        <f t="shared" si="993"/>
        <v>13180.622921641465</v>
      </c>
      <c r="AA888" s="108">
        <f t="shared" si="1015"/>
        <v>3294.3754356804884</v>
      </c>
      <c r="AB888" s="108"/>
      <c r="AC888" s="108"/>
      <c r="AD888" s="109">
        <f t="shared" si="994"/>
        <v>3294.3754356804884</v>
      </c>
      <c r="AE888" s="99">
        <f t="shared" ref="AE888:AF888" si="1051">AO888</f>
        <v>36</v>
      </c>
      <c r="AF888" s="101">
        <f t="shared" si="1051"/>
        <v>36</v>
      </c>
      <c r="AG888" s="101">
        <f t="shared" si="1017"/>
        <v>19.001300000000001</v>
      </c>
      <c r="AH888" s="101">
        <f t="shared" si="851"/>
        <v>458</v>
      </c>
      <c r="AI888" s="101">
        <f t="shared" si="852"/>
        <v>200</v>
      </c>
      <c r="AJ888" s="108">
        <f t="shared" si="1018"/>
        <v>1.6666666666666667</v>
      </c>
      <c r="AK888" s="101">
        <f t="shared" si="461"/>
        <v>8237.4991786609771</v>
      </c>
      <c r="AL888" s="101">
        <f t="shared" si="1019"/>
        <v>6590.3114608207325</v>
      </c>
      <c r="AM888" s="101">
        <f t="shared" si="1020"/>
        <v>1647.1877178402442</v>
      </c>
      <c r="AN888" s="101"/>
      <c r="AO888" s="1">
        <v>36</v>
      </c>
      <c r="AP888" s="2">
        <v>36</v>
      </c>
      <c r="AQ888" s="74">
        <f t="shared" si="1021"/>
        <v>458</v>
      </c>
      <c r="AR888" s="31">
        <f t="shared" si="1022"/>
        <v>0</v>
      </c>
      <c r="AS888" s="2">
        <f t="shared" si="1023"/>
        <v>1</v>
      </c>
      <c r="AT888" s="33">
        <f t="shared" si="1024"/>
        <v>0</v>
      </c>
      <c r="AU888" s="31">
        <f t="shared" si="1025"/>
        <v>1</v>
      </c>
      <c r="AV888" s="2">
        <f t="shared" si="1026"/>
        <v>0</v>
      </c>
      <c r="AW888" s="33">
        <f t="shared" si="1027"/>
        <v>0</v>
      </c>
      <c r="AX888" s="31">
        <f t="shared" si="1028"/>
        <v>1</v>
      </c>
      <c r="AY888" s="33">
        <f t="shared" si="1029"/>
        <v>1</v>
      </c>
      <c r="AZ888" s="2"/>
      <c r="BA888" s="101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</row>
    <row r="889" spans="1:71" ht="12" customHeight="1">
      <c r="A889" s="2"/>
      <c r="B889" s="107">
        <v>814</v>
      </c>
      <c r="C889" s="31">
        <v>7</v>
      </c>
      <c r="D889" s="113" t="s">
        <v>9</v>
      </c>
      <c r="E889" s="2" t="s">
        <v>168</v>
      </c>
      <c r="F889" s="2"/>
      <c r="G889" s="2"/>
      <c r="H889" s="33"/>
      <c r="I889" s="99">
        <f t="shared" si="0"/>
        <v>483.54200054277618</v>
      </c>
      <c r="J889" s="101">
        <f t="shared" si="1"/>
        <v>12.722222222222221</v>
      </c>
      <c r="K889" s="101">
        <f t="shared" si="2"/>
        <v>625</v>
      </c>
      <c r="L889" s="74">
        <f t="shared" si="1008"/>
        <v>68</v>
      </c>
      <c r="M889" s="99">
        <f t="shared" si="1030"/>
        <v>17407.512019539943</v>
      </c>
      <c r="N889" s="108">
        <f t="shared" si="1009"/>
        <v>11763.834468638493</v>
      </c>
      <c r="O889" s="108">
        <f t="shared" si="1010"/>
        <v>1960.1747976702225</v>
      </c>
      <c r="P889" s="108"/>
      <c r="Q889" s="108"/>
      <c r="R889" s="109">
        <f t="shared" si="1011"/>
        <v>1960.1747976702225</v>
      </c>
      <c r="S889" s="99">
        <f t="shared" si="694"/>
        <v>13179.842626911588</v>
      </c>
      <c r="T889" s="108">
        <f t="shared" si="1012"/>
        <v>9885.4671912310987</v>
      </c>
      <c r="U889" s="108">
        <f t="shared" si="1013"/>
        <v>1647.1877178402442</v>
      </c>
      <c r="V889" s="108"/>
      <c r="W889" s="108"/>
      <c r="X889" s="109">
        <f t="shared" si="1014"/>
        <v>1647.1877178402442</v>
      </c>
      <c r="Y889" s="99">
        <f t="shared" si="8"/>
        <v>26359.685253823176</v>
      </c>
      <c r="Z889" s="108">
        <f t="shared" si="993"/>
        <v>19770.934382462197</v>
      </c>
      <c r="AA889" s="108">
        <f t="shared" si="1015"/>
        <v>3294.3754356804884</v>
      </c>
      <c r="AB889" s="108"/>
      <c r="AC889" s="108"/>
      <c r="AD889" s="109">
        <f t="shared" si="994"/>
        <v>3294.3754356804884</v>
      </c>
      <c r="AE889" s="99">
        <f t="shared" ref="AE889:AF889" si="1052">AO889</f>
        <v>36</v>
      </c>
      <c r="AF889" s="101">
        <f t="shared" si="1052"/>
        <v>36</v>
      </c>
      <c r="AG889" s="101">
        <f t="shared" si="1017"/>
        <v>19.001300000000001</v>
      </c>
      <c r="AH889" s="101">
        <f t="shared" si="851"/>
        <v>458</v>
      </c>
      <c r="AI889" s="101">
        <f t="shared" si="852"/>
        <v>200</v>
      </c>
      <c r="AJ889" s="108">
        <f t="shared" si="1018"/>
        <v>1.6666666666666667</v>
      </c>
      <c r="AK889" s="101">
        <f t="shared" si="461"/>
        <v>8237.4991786609771</v>
      </c>
      <c r="AL889" s="101">
        <f t="shared" si="1019"/>
        <v>6590.3114608207325</v>
      </c>
      <c r="AM889" s="101">
        <f t="shared" si="1020"/>
        <v>1647.1877178402442</v>
      </c>
      <c r="AN889" s="101"/>
      <c r="AO889" s="1">
        <v>36</v>
      </c>
      <c r="AP889" s="2">
        <v>36</v>
      </c>
      <c r="AQ889" s="74">
        <f t="shared" si="1021"/>
        <v>458</v>
      </c>
      <c r="AR889" s="31">
        <f t="shared" si="1022"/>
        <v>0</v>
      </c>
      <c r="AS889" s="2">
        <f t="shared" si="1023"/>
        <v>1</v>
      </c>
      <c r="AT889" s="33">
        <f t="shared" si="1024"/>
        <v>0</v>
      </c>
      <c r="AU889" s="31">
        <f t="shared" si="1025"/>
        <v>1.5</v>
      </c>
      <c r="AV889" s="2">
        <f t="shared" si="1026"/>
        <v>0</v>
      </c>
      <c r="AW889" s="33">
        <f t="shared" si="1027"/>
        <v>0</v>
      </c>
      <c r="AX889" s="31">
        <f t="shared" si="1028"/>
        <v>1</v>
      </c>
      <c r="AY889" s="33">
        <f t="shared" si="1029"/>
        <v>1</v>
      </c>
      <c r="AZ889" s="2"/>
      <c r="BA889" s="101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</row>
    <row r="890" spans="1:71" ht="12" customHeight="1">
      <c r="A890" s="2"/>
      <c r="B890" s="107">
        <v>815</v>
      </c>
      <c r="C890" s="31">
        <v>7</v>
      </c>
      <c r="D890" s="113" t="s">
        <v>9</v>
      </c>
      <c r="E890" s="2" t="s">
        <v>103</v>
      </c>
      <c r="F890" s="2"/>
      <c r="G890" s="2" t="s">
        <v>166</v>
      </c>
      <c r="H890" s="33"/>
      <c r="I890" s="99">
        <f t="shared" si="0"/>
        <v>484.55657346377694</v>
      </c>
      <c r="J890" s="101">
        <f t="shared" si="1"/>
        <v>12.722222222222221</v>
      </c>
      <c r="K890" s="101">
        <f t="shared" si="2"/>
        <v>624</v>
      </c>
      <c r="L890" s="74">
        <f t="shared" si="1008"/>
        <v>67</v>
      </c>
      <c r="M890" s="99">
        <f t="shared" si="1030"/>
        <v>17444.036644695971</v>
      </c>
      <c r="N890" s="108">
        <f t="shared" si="1009"/>
        <v>11796.743188918103</v>
      </c>
      <c r="O890" s="108">
        <f t="shared" si="1010"/>
        <v>1960.1747976702225</v>
      </c>
      <c r="P890" s="108"/>
      <c r="Q890" s="108"/>
      <c r="R890" s="109">
        <f t="shared" si="1011"/>
        <v>1960.1747976702225</v>
      </c>
      <c r="S890" s="99">
        <f t="shared" si="694"/>
        <v>9884.6868965012218</v>
      </c>
      <c r="T890" s="108">
        <f t="shared" si="1012"/>
        <v>6590.3114608207325</v>
      </c>
      <c r="U890" s="108">
        <f t="shared" si="1013"/>
        <v>1647.1877178402442</v>
      </c>
      <c r="V890" s="108"/>
      <c r="W890" s="108"/>
      <c r="X890" s="109">
        <f t="shared" si="1014"/>
        <v>1647.1877178402442</v>
      </c>
      <c r="Y890" s="99">
        <f t="shared" si="8"/>
        <v>19769.373793002444</v>
      </c>
      <c r="Z890" s="108">
        <f t="shared" si="993"/>
        <v>13180.622921641465</v>
      </c>
      <c r="AA890" s="108">
        <f t="shared" si="1015"/>
        <v>3294.3754356804884</v>
      </c>
      <c r="AB890" s="108"/>
      <c r="AC890" s="108"/>
      <c r="AD890" s="109">
        <f t="shared" si="994"/>
        <v>3294.3754356804884</v>
      </c>
      <c r="AE890" s="99">
        <f t="shared" ref="AE890:AF890" si="1053">AO890</f>
        <v>36</v>
      </c>
      <c r="AF890" s="101">
        <f t="shared" si="1053"/>
        <v>36</v>
      </c>
      <c r="AG890" s="101">
        <f t="shared" si="1017"/>
        <v>79.001300000000001</v>
      </c>
      <c r="AH890" s="101">
        <f t="shared" si="851"/>
        <v>458</v>
      </c>
      <c r="AI890" s="101">
        <f t="shared" si="852"/>
        <v>200</v>
      </c>
      <c r="AJ890" s="108">
        <f t="shared" si="1018"/>
        <v>1.6666666666666667</v>
      </c>
      <c r="AK890" s="101">
        <f t="shared" si="461"/>
        <v>8237.4991786609771</v>
      </c>
      <c r="AL890" s="101">
        <f t="shared" si="1019"/>
        <v>6590.3114608207325</v>
      </c>
      <c r="AM890" s="101">
        <f t="shared" si="1020"/>
        <v>1647.1877178402442</v>
      </c>
      <c r="AN890" s="101"/>
      <c r="AO890" s="1">
        <v>36</v>
      </c>
      <c r="AP890" s="2">
        <v>36</v>
      </c>
      <c r="AQ890" s="74">
        <f t="shared" si="1021"/>
        <v>458</v>
      </c>
      <c r="AR890" s="31">
        <f t="shared" si="1022"/>
        <v>0</v>
      </c>
      <c r="AS890" s="2">
        <f t="shared" si="1023"/>
        <v>1</v>
      </c>
      <c r="AT890" s="33">
        <f t="shared" si="1024"/>
        <v>0</v>
      </c>
      <c r="AU890" s="31">
        <f t="shared" si="1025"/>
        <v>1</v>
      </c>
      <c r="AV890" s="2">
        <f t="shared" si="1026"/>
        <v>0</v>
      </c>
      <c r="AW890" s="33">
        <f t="shared" si="1027"/>
        <v>60</v>
      </c>
      <c r="AX890" s="31">
        <f t="shared" si="1028"/>
        <v>1</v>
      </c>
      <c r="AY890" s="33">
        <f t="shared" si="1029"/>
        <v>1</v>
      </c>
      <c r="AZ890" s="2"/>
      <c r="BA890" s="101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</row>
    <row r="891" spans="1:71" ht="12" customHeight="1">
      <c r="A891" s="2"/>
      <c r="B891" s="107">
        <v>816</v>
      </c>
      <c r="C891" s="31">
        <v>7</v>
      </c>
      <c r="D891" s="113" t="s">
        <v>9</v>
      </c>
      <c r="E891" s="2" t="s">
        <v>87</v>
      </c>
      <c r="F891" s="2"/>
      <c r="G891" s="2"/>
      <c r="H891" s="33"/>
      <c r="I891" s="99">
        <f t="shared" si="0"/>
        <v>302.21732877037971</v>
      </c>
      <c r="J891" s="101">
        <f t="shared" si="1"/>
        <v>12.722222222222221</v>
      </c>
      <c r="K891" s="101">
        <f t="shared" si="2"/>
        <v>835</v>
      </c>
      <c r="L891" s="74">
        <f t="shared" si="1008"/>
        <v>102</v>
      </c>
      <c r="M891" s="99">
        <f t="shared" si="1030"/>
        <v>10879.82383573367</v>
      </c>
      <c r="N891" s="108">
        <f t="shared" si="1009"/>
        <v>7842.5563124256623</v>
      </c>
      <c r="O891" s="108">
        <f t="shared" si="1010"/>
        <v>1960.1747976702225</v>
      </c>
      <c r="P891" s="108"/>
      <c r="Q891" s="108"/>
      <c r="R891" s="109">
        <f t="shared" si="1011"/>
        <v>0</v>
      </c>
      <c r="S891" s="99">
        <f t="shared" si="694"/>
        <v>8237.4991786609771</v>
      </c>
      <c r="T891" s="108">
        <f t="shared" si="1012"/>
        <v>6590.3114608207325</v>
      </c>
      <c r="U891" s="108">
        <f t="shared" si="1013"/>
        <v>1647.1877178402442</v>
      </c>
      <c r="V891" s="108"/>
      <c r="W891" s="108"/>
      <c r="X891" s="109">
        <f t="shared" si="1014"/>
        <v>0</v>
      </c>
      <c r="Y891" s="99">
        <f t="shared" si="8"/>
        <v>16474.998357321954</v>
      </c>
      <c r="Z891" s="108">
        <f t="shared" si="993"/>
        <v>13180.622921641465</v>
      </c>
      <c r="AA891" s="108">
        <f t="shared" si="1015"/>
        <v>3294.3754356804884</v>
      </c>
      <c r="AB891" s="108"/>
      <c r="AC891" s="108"/>
      <c r="AD891" s="109">
        <f t="shared" si="994"/>
        <v>0</v>
      </c>
      <c r="AE891" s="99">
        <f t="shared" ref="AE891:AF891" si="1054">AO891</f>
        <v>36</v>
      </c>
      <c r="AF891" s="101">
        <f t="shared" si="1054"/>
        <v>36</v>
      </c>
      <c r="AG891" s="101">
        <f t="shared" si="1017"/>
        <v>19.001300000000001</v>
      </c>
      <c r="AH891" s="101">
        <f t="shared" si="851"/>
        <v>458</v>
      </c>
      <c r="AI891" s="101">
        <f t="shared" si="852"/>
        <v>200</v>
      </c>
      <c r="AJ891" s="108">
        <f t="shared" si="1018"/>
        <v>1.4285714285714286</v>
      </c>
      <c r="AK891" s="101">
        <f t="shared" si="461"/>
        <v>8237.4991786609771</v>
      </c>
      <c r="AL891" s="101">
        <f t="shared" si="1019"/>
        <v>6590.3114608207325</v>
      </c>
      <c r="AM891" s="101">
        <f t="shared" si="1020"/>
        <v>1647.1877178402442</v>
      </c>
      <c r="AN891" s="101"/>
      <c r="AO891" s="1">
        <v>36</v>
      </c>
      <c r="AP891" s="2">
        <v>36</v>
      </c>
      <c r="AQ891" s="74">
        <f t="shared" si="1021"/>
        <v>458</v>
      </c>
      <c r="AR891" s="31">
        <f t="shared" si="1022"/>
        <v>0</v>
      </c>
      <c r="AS891" s="2">
        <f t="shared" si="1023"/>
        <v>0</v>
      </c>
      <c r="AT891" s="33">
        <f t="shared" si="1024"/>
        <v>1</v>
      </c>
      <c r="AU891" s="31">
        <f t="shared" si="1025"/>
        <v>1</v>
      </c>
      <c r="AV891" s="2">
        <f t="shared" si="1026"/>
        <v>0</v>
      </c>
      <c r="AW891" s="33">
        <f t="shared" si="1027"/>
        <v>0</v>
      </c>
      <c r="AX891" s="31">
        <f t="shared" si="1028"/>
        <v>1</v>
      </c>
      <c r="AY891" s="33">
        <f t="shared" si="1029"/>
        <v>1</v>
      </c>
      <c r="AZ891" s="2"/>
      <c r="BA891" s="101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</row>
    <row r="892" spans="1:71" ht="12" customHeight="1">
      <c r="A892" s="2"/>
      <c r="B892" s="107">
        <v>817</v>
      </c>
      <c r="C892" s="31">
        <v>7</v>
      </c>
      <c r="D892" s="113" t="s">
        <v>9</v>
      </c>
      <c r="E892" s="2" t="s">
        <v>179</v>
      </c>
      <c r="F892" s="2"/>
      <c r="G892" s="2"/>
      <c r="H892" s="33"/>
      <c r="I892" s="99">
        <f t="shared" si="0"/>
        <v>423.10998576836295</v>
      </c>
      <c r="J892" s="101">
        <f t="shared" si="1"/>
        <v>12.722222222222221</v>
      </c>
      <c r="K892" s="101">
        <f t="shared" si="2"/>
        <v>708</v>
      </c>
      <c r="L892" s="74">
        <f t="shared" si="1008"/>
        <v>81</v>
      </c>
      <c r="M892" s="99">
        <f t="shared" si="1030"/>
        <v>15231.959487661066</v>
      </c>
      <c r="N892" s="108">
        <f t="shared" si="1009"/>
        <v>11763.834468638493</v>
      </c>
      <c r="O892" s="108">
        <f t="shared" si="1010"/>
        <v>1960.1747976702225</v>
      </c>
      <c r="P892" s="108"/>
      <c r="Q892" s="108"/>
      <c r="R892" s="109">
        <f t="shared" si="1011"/>
        <v>0</v>
      </c>
      <c r="S892" s="99">
        <f t="shared" si="694"/>
        <v>11532.654909071343</v>
      </c>
      <c r="T892" s="108">
        <f t="shared" si="1012"/>
        <v>9885.4671912310987</v>
      </c>
      <c r="U892" s="108">
        <f t="shared" si="1013"/>
        <v>1647.1877178402442</v>
      </c>
      <c r="V892" s="108"/>
      <c r="W892" s="108"/>
      <c r="X892" s="109">
        <f t="shared" si="1014"/>
        <v>0</v>
      </c>
      <c r="Y892" s="99">
        <f t="shared" si="8"/>
        <v>23065.309818142687</v>
      </c>
      <c r="Z892" s="108">
        <f t="shared" si="993"/>
        <v>19770.934382462197</v>
      </c>
      <c r="AA892" s="108">
        <f t="shared" si="1015"/>
        <v>3294.3754356804884</v>
      </c>
      <c r="AB892" s="108"/>
      <c r="AC892" s="108"/>
      <c r="AD892" s="109">
        <f t="shared" si="994"/>
        <v>0</v>
      </c>
      <c r="AE892" s="99">
        <f t="shared" ref="AE892:AF892" si="1055">AO892</f>
        <v>36</v>
      </c>
      <c r="AF892" s="101">
        <f t="shared" si="1055"/>
        <v>36</v>
      </c>
      <c r="AG892" s="101">
        <f t="shared" si="1017"/>
        <v>19.001300000000001</v>
      </c>
      <c r="AH892" s="101">
        <f t="shared" si="851"/>
        <v>458</v>
      </c>
      <c r="AI892" s="101">
        <f t="shared" si="852"/>
        <v>200</v>
      </c>
      <c r="AJ892" s="108">
        <f t="shared" si="1018"/>
        <v>1.4285714285714286</v>
      </c>
      <c r="AK892" s="101">
        <f t="shared" si="461"/>
        <v>8237.4991786609771</v>
      </c>
      <c r="AL892" s="101">
        <f t="shared" si="1019"/>
        <v>6590.3114608207325</v>
      </c>
      <c r="AM892" s="101">
        <f t="shared" si="1020"/>
        <v>1647.1877178402442</v>
      </c>
      <c r="AN892" s="101"/>
      <c r="AO892" s="1">
        <v>36</v>
      </c>
      <c r="AP892" s="2">
        <v>36</v>
      </c>
      <c r="AQ892" s="74">
        <f t="shared" si="1021"/>
        <v>458</v>
      </c>
      <c r="AR892" s="31">
        <f t="shared" si="1022"/>
        <v>0</v>
      </c>
      <c r="AS892" s="2">
        <f t="shared" si="1023"/>
        <v>0</v>
      </c>
      <c r="AT892" s="33">
        <f t="shared" si="1024"/>
        <v>1</v>
      </c>
      <c r="AU892" s="31">
        <f t="shared" si="1025"/>
        <v>1.5</v>
      </c>
      <c r="AV892" s="2">
        <f t="shared" si="1026"/>
        <v>0</v>
      </c>
      <c r="AW892" s="33">
        <f t="shared" si="1027"/>
        <v>0</v>
      </c>
      <c r="AX892" s="31">
        <f t="shared" si="1028"/>
        <v>1</v>
      </c>
      <c r="AY892" s="33">
        <f t="shared" si="1029"/>
        <v>1</v>
      </c>
      <c r="AZ892" s="2"/>
      <c r="BA892" s="101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</row>
    <row r="893" spans="1:71" ht="12" customHeight="1">
      <c r="A893" s="2"/>
      <c r="B893" s="107">
        <v>818</v>
      </c>
      <c r="C893" s="31">
        <v>7</v>
      </c>
      <c r="D893" s="113" t="s">
        <v>9</v>
      </c>
      <c r="E893" s="2" t="s">
        <v>134</v>
      </c>
      <c r="F893" s="2"/>
      <c r="G893" s="2" t="s">
        <v>166</v>
      </c>
      <c r="H893" s="33"/>
      <c r="I893" s="99">
        <f t="shared" si="0"/>
        <v>424.12455868936377</v>
      </c>
      <c r="J893" s="101">
        <f t="shared" si="1"/>
        <v>12.722222222222221</v>
      </c>
      <c r="K893" s="101">
        <f t="shared" si="2"/>
        <v>706</v>
      </c>
      <c r="L893" s="74">
        <f t="shared" si="1008"/>
        <v>79</v>
      </c>
      <c r="M893" s="99">
        <f t="shared" si="1030"/>
        <v>15268.484112817096</v>
      </c>
      <c r="N893" s="108">
        <f t="shared" si="1009"/>
        <v>11796.743188918103</v>
      </c>
      <c r="O893" s="108">
        <f t="shared" si="1010"/>
        <v>1960.1747976702225</v>
      </c>
      <c r="P893" s="108"/>
      <c r="Q893" s="108"/>
      <c r="R893" s="109">
        <f t="shared" si="1011"/>
        <v>0</v>
      </c>
      <c r="S893" s="99">
        <f t="shared" si="694"/>
        <v>8237.4991786609771</v>
      </c>
      <c r="T893" s="108">
        <f t="shared" si="1012"/>
        <v>6590.3114608207325</v>
      </c>
      <c r="U893" s="108">
        <f t="shared" si="1013"/>
        <v>1647.1877178402442</v>
      </c>
      <c r="V893" s="108"/>
      <c r="W893" s="108"/>
      <c r="X893" s="109">
        <f t="shared" si="1014"/>
        <v>0</v>
      </c>
      <c r="Y893" s="99">
        <f t="shared" si="8"/>
        <v>16474.998357321954</v>
      </c>
      <c r="Z893" s="108">
        <f t="shared" si="993"/>
        <v>13180.622921641465</v>
      </c>
      <c r="AA893" s="108">
        <f t="shared" si="1015"/>
        <v>3294.3754356804884</v>
      </c>
      <c r="AB893" s="108"/>
      <c r="AC893" s="108"/>
      <c r="AD893" s="109">
        <f t="shared" si="994"/>
        <v>0</v>
      </c>
      <c r="AE893" s="99">
        <f t="shared" ref="AE893:AF893" si="1056">AO893</f>
        <v>36</v>
      </c>
      <c r="AF893" s="101">
        <f t="shared" si="1056"/>
        <v>36</v>
      </c>
      <c r="AG893" s="101">
        <f t="shared" si="1017"/>
        <v>79.001300000000001</v>
      </c>
      <c r="AH893" s="101">
        <f t="shared" si="851"/>
        <v>458</v>
      </c>
      <c r="AI893" s="101">
        <f t="shared" si="852"/>
        <v>200</v>
      </c>
      <c r="AJ893" s="108">
        <f t="shared" si="1018"/>
        <v>1.4285714285714286</v>
      </c>
      <c r="AK893" s="101">
        <f t="shared" si="461"/>
        <v>8237.4991786609771</v>
      </c>
      <c r="AL893" s="101">
        <f t="shared" si="1019"/>
        <v>6590.3114608207325</v>
      </c>
      <c r="AM893" s="101">
        <f t="shared" si="1020"/>
        <v>1647.1877178402442</v>
      </c>
      <c r="AN893" s="101"/>
      <c r="AO893" s="1">
        <v>36</v>
      </c>
      <c r="AP893" s="2">
        <v>36</v>
      </c>
      <c r="AQ893" s="74">
        <f t="shared" si="1021"/>
        <v>458</v>
      </c>
      <c r="AR893" s="31">
        <f t="shared" si="1022"/>
        <v>0</v>
      </c>
      <c r="AS893" s="2">
        <f t="shared" si="1023"/>
        <v>0</v>
      </c>
      <c r="AT893" s="33">
        <f t="shared" si="1024"/>
        <v>1</v>
      </c>
      <c r="AU893" s="31">
        <f t="shared" si="1025"/>
        <v>1</v>
      </c>
      <c r="AV893" s="2">
        <f t="shared" si="1026"/>
        <v>0</v>
      </c>
      <c r="AW893" s="33">
        <f t="shared" si="1027"/>
        <v>60</v>
      </c>
      <c r="AX893" s="31">
        <f t="shared" si="1028"/>
        <v>1</v>
      </c>
      <c r="AY893" s="33">
        <f t="shared" si="1029"/>
        <v>1</v>
      </c>
      <c r="AZ893" s="2"/>
      <c r="BA893" s="101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</row>
    <row r="894" spans="1:71" ht="12" customHeight="1">
      <c r="A894" s="2"/>
      <c r="B894" s="107">
        <v>819</v>
      </c>
      <c r="C894" s="31">
        <v>4</v>
      </c>
      <c r="D894" s="113" t="s">
        <v>9</v>
      </c>
      <c r="E894" s="2" t="s">
        <v>67</v>
      </c>
      <c r="F894" s="2"/>
      <c r="G894" s="2"/>
      <c r="H894" s="33"/>
      <c r="I894" s="99">
        <f t="shared" si="0"/>
        <v>279.98402674300564</v>
      </c>
      <c r="J894" s="101">
        <f t="shared" si="1"/>
        <v>7</v>
      </c>
      <c r="K894" s="101">
        <f t="shared" si="2"/>
        <v>850</v>
      </c>
      <c r="L894" s="74">
        <f t="shared" si="1008"/>
        <v>106</v>
      </c>
      <c r="M894" s="99">
        <f t="shared" si="1030"/>
        <v>10079.424962748202</v>
      </c>
      <c r="N894" s="108">
        <f t="shared" si="1009"/>
        <v>7266.5896162145273</v>
      </c>
      <c r="O894" s="108">
        <f t="shared" si="1010"/>
        <v>1814.9813858536318</v>
      </c>
      <c r="P894" s="108"/>
      <c r="Q894" s="108"/>
      <c r="R894" s="109">
        <f t="shared" si="1011"/>
        <v>0</v>
      </c>
      <c r="S894" s="99">
        <f t="shared" si="694"/>
        <v>7631.4889014390255</v>
      </c>
      <c r="T894" s="108">
        <f t="shared" si="1012"/>
        <v>6106.3111211512205</v>
      </c>
      <c r="U894" s="108">
        <f t="shared" si="1013"/>
        <v>1525.177780287805</v>
      </c>
      <c r="V894" s="108"/>
      <c r="W894" s="108"/>
      <c r="X894" s="109">
        <f t="shared" si="1014"/>
        <v>0</v>
      </c>
      <c r="Y894" s="99">
        <f t="shared" si="8"/>
        <v>15262.977802878051</v>
      </c>
      <c r="Z894" s="108">
        <f t="shared" si="993"/>
        <v>12212.622242302441</v>
      </c>
      <c r="AA894" s="108">
        <f t="shared" si="1015"/>
        <v>3050.3555605756101</v>
      </c>
      <c r="AB894" s="108"/>
      <c r="AC894" s="108"/>
      <c r="AD894" s="109">
        <f t="shared" si="994"/>
        <v>0</v>
      </c>
      <c r="AE894" s="99">
        <f t="shared" ref="AE894:AF894" si="1057">AO894</f>
        <v>36</v>
      </c>
      <c r="AF894" s="101">
        <f t="shared" si="1057"/>
        <v>36</v>
      </c>
      <c r="AG894" s="101">
        <f t="shared" si="1017"/>
        <v>19.001300000000001</v>
      </c>
      <c r="AH894" s="101">
        <f t="shared" si="851"/>
        <v>252</v>
      </c>
      <c r="AI894" s="101">
        <f t="shared" si="852"/>
        <v>200</v>
      </c>
      <c r="AJ894" s="108">
        <f t="shared" si="1018"/>
        <v>1.6666666666666667</v>
      </c>
      <c r="AK894" s="101">
        <f t="shared" si="461"/>
        <v>7631.4889014390255</v>
      </c>
      <c r="AL894" s="101">
        <f t="shared" si="1019"/>
        <v>6106.3111211512205</v>
      </c>
      <c r="AM894" s="101">
        <f t="shared" si="1020"/>
        <v>1525.177780287805</v>
      </c>
      <c r="AN894" s="101"/>
      <c r="AO894" s="1">
        <v>36</v>
      </c>
      <c r="AP894" s="2">
        <v>36</v>
      </c>
      <c r="AQ894" s="74">
        <f t="shared" si="1021"/>
        <v>252</v>
      </c>
      <c r="AR894" s="31">
        <f t="shared" si="1022"/>
        <v>0</v>
      </c>
      <c r="AS894" s="2">
        <f t="shared" si="1023"/>
        <v>0</v>
      </c>
      <c r="AT894" s="33">
        <f t="shared" si="1024"/>
        <v>0</v>
      </c>
      <c r="AU894" s="31">
        <f t="shared" si="1025"/>
        <v>1</v>
      </c>
      <c r="AV894" s="2">
        <f t="shared" si="1026"/>
        <v>0</v>
      </c>
      <c r="AW894" s="33">
        <f t="shared" si="1027"/>
        <v>0</v>
      </c>
      <c r="AX894" s="31">
        <f t="shared" si="1028"/>
        <v>1</v>
      </c>
      <c r="AY894" s="33">
        <f t="shared" si="1029"/>
        <v>1</v>
      </c>
      <c r="AZ894" s="2"/>
      <c r="BA894" s="101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</row>
    <row r="895" spans="1:71" ht="12" customHeight="1">
      <c r="A895" s="2"/>
      <c r="B895" s="107">
        <v>820</v>
      </c>
      <c r="C895" s="31">
        <v>4</v>
      </c>
      <c r="D895" s="113" t="s">
        <v>9</v>
      </c>
      <c r="E895" s="2" t="s">
        <v>79</v>
      </c>
      <c r="F895" s="2"/>
      <c r="G895" s="2"/>
      <c r="H895" s="33"/>
      <c r="I895" s="99">
        <f t="shared" si="0"/>
        <v>335.93974153719432</v>
      </c>
      <c r="J895" s="101">
        <f t="shared" si="1"/>
        <v>7</v>
      </c>
      <c r="K895" s="101">
        <f t="shared" si="2"/>
        <v>792</v>
      </c>
      <c r="L895" s="74">
        <f t="shared" si="1008"/>
        <v>98</v>
      </c>
      <c r="M895" s="99">
        <f t="shared" si="1030"/>
        <v>12093.830695338997</v>
      </c>
      <c r="N895" s="108">
        <f t="shared" si="1009"/>
        <v>7266.5896162145273</v>
      </c>
      <c r="O895" s="108">
        <f t="shared" si="1010"/>
        <v>1814.9813858536318</v>
      </c>
      <c r="P895" s="108"/>
      <c r="Q895" s="108"/>
      <c r="R895" s="109">
        <f t="shared" si="1011"/>
        <v>1814.9813858536318</v>
      </c>
      <c r="S895" s="99">
        <f t="shared" si="694"/>
        <v>9156.6666817268306</v>
      </c>
      <c r="T895" s="108">
        <f t="shared" si="1012"/>
        <v>6106.3111211512205</v>
      </c>
      <c r="U895" s="108">
        <f t="shared" si="1013"/>
        <v>1525.177780287805</v>
      </c>
      <c r="V895" s="108"/>
      <c r="W895" s="108"/>
      <c r="X895" s="109">
        <f t="shared" si="1014"/>
        <v>1525.177780287805</v>
      </c>
      <c r="Y895" s="99">
        <f t="shared" si="8"/>
        <v>18313.333363453661</v>
      </c>
      <c r="Z895" s="108">
        <f t="shared" si="993"/>
        <v>12212.622242302441</v>
      </c>
      <c r="AA895" s="108">
        <f t="shared" si="1015"/>
        <v>3050.3555605756101</v>
      </c>
      <c r="AB895" s="108"/>
      <c r="AC895" s="108"/>
      <c r="AD895" s="109">
        <f t="shared" si="994"/>
        <v>3050.3555605756101</v>
      </c>
      <c r="AE895" s="99">
        <f t="shared" ref="AE895:AF895" si="1058">AO895</f>
        <v>36</v>
      </c>
      <c r="AF895" s="101">
        <f t="shared" si="1058"/>
        <v>36</v>
      </c>
      <c r="AG895" s="101">
        <f t="shared" si="1017"/>
        <v>19.001300000000001</v>
      </c>
      <c r="AH895" s="101">
        <f t="shared" si="851"/>
        <v>252</v>
      </c>
      <c r="AI895" s="101">
        <f t="shared" si="852"/>
        <v>200</v>
      </c>
      <c r="AJ895" s="108">
        <f t="shared" si="1018"/>
        <v>1.6666666666666667</v>
      </c>
      <c r="AK895" s="101">
        <f t="shared" si="461"/>
        <v>7631.4889014390255</v>
      </c>
      <c r="AL895" s="101">
        <f t="shared" si="1019"/>
        <v>6106.3111211512205</v>
      </c>
      <c r="AM895" s="101">
        <f t="shared" si="1020"/>
        <v>1525.177780287805</v>
      </c>
      <c r="AN895" s="101"/>
      <c r="AO895" s="1">
        <v>36</v>
      </c>
      <c r="AP895" s="2">
        <v>36</v>
      </c>
      <c r="AQ895" s="74">
        <f t="shared" si="1021"/>
        <v>252</v>
      </c>
      <c r="AR895" s="31">
        <f t="shared" si="1022"/>
        <v>0</v>
      </c>
      <c r="AS895" s="2">
        <f t="shared" si="1023"/>
        <v>1</v>
      </c>
      <c r="AT895" s="33">
        <f t="shared" si="1024"/>
        <v>0</v>
      </c>
      <c r="AU895" s="31">
        <f t="shared" si="1025"/>
        <v>1</v>
      </c>
      <c r="AV895" s="2">
        <f t="shared" si="1026"/>
        <v>0</v>
      </c>
      <c r="AW895" s="33">
        <f t="shared" si="1027"/>
        <v>0</v>
      </c>
      <c r="AX895" s="31">
        <f t="shared" si="1028"/>
        <v>1</v>
      </c>
      <c r="AY895" s="33">
        <f t="shared" si="1029"/>
        <v>1</v>
      </c>
      <c r="AZ895" s="2"/>
      <c r="BA895" s="101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</row>
    <row r="896" spans="1:71" ht="12" customHeight="1">
      <c r="A896" s="2"/>
      <c r="B896" s="107">
        <v>821</v>
      </c>
      <c r="C896" s="31">
        <v>4</v>
      </c>
      <c r="D896" s="113" t="s">
        <v>9</v>
      </c>
      <c r="E896" s="2" t="s">
        <v>87</v>
      </c>
      <c r="F896" s="2"/>
      <c r="G896" s="2"/>
      <c r="H896" s="33"/>
      <c r="I896" s="99">
        <f t="shared" si="0"/>
        <v>279.98402674300564</v>
      </c>
      <c r="J896" s="101">
        <f t="shared" si="1"/>
        <v>7</v>
      </c>
      <c r="K896" s="101">
        <f t="shared" si="2"/>
        <v>850</v>
      </c>
      <c r="L896" s="74">
        <f t="shared" si="1008"/>
        <v>106</v>
      </c>
      <c r="M896" s="99">
        <f t="shared" si="1030"/>
        <v>10079.424962748202</v>
      </c>
      <c r="N896" s="108">
        <f t="shared" si="1009"/>
        <v>7266.5896162145273</v>
      </c>
      <c r="O896" s="108">
        <f t="shared" si="1010"/>
        <v>1814.9813858536318</v>
      </c>
      <c r="P896" s="108"/>
      <c r="Q896" s="108"/>
      <c r="R896" s="109">
        <f t="shared" si="1011"/>
        <v>0</v>
      </c>
      <c r="S896" s="99">
        <f t="shared" si="694"/>
        <v>7631.4889014390255</v>
      </c>
      <c r="T896" s="108">
        <f t="shared" si="1012"/>
        <v>6106.3111211512205</v>
      </c>
      <c r="U896" s="108">
        <f t="shared" si="1013"/>
        <v>1525.177780287805</v>
      </c>
      <c r="V896" s="108"/>
      <c r="W896" s="108"/>
      <c r="X896" s="109">
        <f t="shared" si="1014"/>
        <v>0</v>
      </c>
      <c r="Y896" s="99">
        <f t="shared" si="8"/>
        <v>15262.977802878051</v>
      </c>
      <c r="Z896" s="108">
        <f t="shared" si="993"/>
        <v>12212.622242302441</v>
      </c>
      <c r="AA896" s="108">
        <f t="shared" si="1015"/>
        <v>3050.3555605756101</v>
      </c>
      <c r="AB896" s="108"/>
      <c r="AC896" s="108"/>
      <c r="AD896" s="109">
        <f t="shared" si="994"/>
        <v>0</v>
      </c>
      <c r="AE896" s="99">
        <f t="shared" ref="AE896:AF896" si="1059">AO896</f>
        <v>36</v>
      </c>
      <c r="AF896" s="101">
        <f t="shared" si="1059"/>
        <v>36</v>
      </c>
      <c r="AG896" s="101">
        <f t="shared" si="1017"/>
        <v>19.001300000000001</v>
      </c>
      <c r="AH896" s="101">
        <f t="shared" si="851"/>
        <v>252</v>
      </c>
      <c r="AI896" s="101">
        <f t="shared" si="852"/>
        <v>200</v>
      </c>
      <c r="AJ896" s="108">
        <f t="shared" si="1018"/>
        <v>1.4285714285714286</v>
      </c>
      <c r="AK896" s="101">
        <f t="shared" si="461"/>
        <v>7631.4889014390255</v>
      </c>
      <c r="AL896" s="101">
        <f t="shared" si="1019"/>
        <v>6106.3111211512205</v>
      </c>
      <c r="AM896" s="101">
        <f t="shared" si="1020"/>
        <v>1525.177780287805</v>
      </c>
      <c r="AN896" s="101"/>
      <c r="AO896" s="1">
        <v>36</v>
      </c>
      <c r="AP896" s="2">
        <v>36</v>
      </c>
      <c r="AQ896" s="74">
        <f t="shared" si="1021"/>
        <v>252</v>
      </c>
      <c r="AR896" s="31">
        <f t="shared" si="1022"/>
        <v>0</v>
      </c>
      <c r="AS896" s="2">
        <f t="shared" si="1023"/>
        <v>0</v>
      </c>
      <c r="AT896" s="33">
        <f t="shared" si="1024"/>
        <v>1</v>
      </c>
      <c r="AU896" s="31">
        <f t="shared" si="1025"/>
        <v>1</v>
      </c>
      <c r="AV896" s="2">
        <f t="shared" si="1026"/>
        <v>0</v>
      </c>
      <c r="AW896" s="33">
        <f t="shared" si="1027"/>
        <v>0</v>
      </c>
      <c r="AX896" s="31">
        <f t="shared" si="1028"/>
        <v>1</v>
      </c>
      <c r="AY896" s="33">
        <f t="shared" si="1029"/>
        <v>1</v>
      </c>
      <c r="AZ896" s="2"/>
      <c r="BA896" s="101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</row>
    <row r="897" spans="1:71" ht="12" customHeight="1">
      <c r="A897" s="2"/>
      <c r="B897" s="107">
        <v>822</v>
      </c>
      <c r="C897" s="31">
        <v>1</v>
      </c>
      <c r="D897" s="113" t="s">
        <v>9</v>
      </c>
      <c r="E897" s="2" t="s">
        <v>67</v>
      </c>
      <c r="F897" s="2"/>
      <c r="G897" s="2"/>
      <c r="H897" s="33"/>
      <c r="I897" s="99">
        <f t="shared" si="0"/>
        <v>224.72738286193916</v>
      </c>
      <c r="J897" s="101">
        <f t="shared" si="1"/>
        <v>3.5277777777777777</v>
      </c>
      <c r="K897" s="101">
        <f t="shared" si="2"/>
        <v>876</v>
      </c>
      <c r="L897" s="74">
        <f t="shared" si="1008"/>
        <v>110</v>
      </c>
      <c r="M897" s="99">
        <f t="shared" si="1030"/>
        <v>8090.1857830298095</v>
      </c>
      <c r="N897" s="108">
        <f t="shared" si="1009"/>
        <v>5831.906527302257</v>
      </c>
      <c r="O897" s="108">
        <f t="shared" si="1010"/>
        <v>1457.3581757979507</v>
      </c>
      <c r="P897" s="108"/>
      <c r="Q897" s="108"/>
      <c r="R897" s="109">
        <f t="shared" si="1011"/>
        <v>0</v>
      </c>
      <c r="S897" s="99">
        <f t="shared" si="694"/>
        <v>6125.3656078548793</v>
      </c>
      <c r="T897" s="108">
        <f t="shared" si="1012"/>
        <v>4900.7082505000008</v>
      </c>
      <c r="U897" s="108">
        <f t="shared" si="1013"/>
        <v>1224.6573573548783</v>
      </c>
      <c r="V897" s="108"/>
      <c r="W897" s="108"/>
      <c r="X897" s="109">
        <f t="shared" si="1014"/>
        <v>0</v>
      </c>
      <c r="Y897" s="99">
        <f t="shared" si="8"/>
        <v>12250.731215709759</v>
      </c>
      <c r="Z897" s="108">
        <f t="shared" si="993"/>
        <v>9801.4165010000015</v>
      </c>
      <c r="AA897" s="108">
        <f t="shared" si="1015"/>
        <v>2449.3147147097566</v>
      </c>
      <c r="AB897" s="108"/>
      <c r="AC897" s="108"/>
      <c r="AD897" s="109">
        <f t="shared" si="994"/>
        <v>0</v>
      </c>
      <c r="AE897" s="99">
        <f t="shared" ref="AE897:AF897" si="1060">AO897</f>
        <v>36</v>
      </c>
      <c r="AF897" s="101">
        <f t="shared" si="1060"/>
        <v>36</v>
      </c>
      <c r="AG897" s="101">
        <f t="shared" si="1017"/>
        <v>19.001300000000001</v>
      </c>
      <c r="AH897" s="101">
        <f t="shared" si="851"/>
        <v>127</v>
      </c>
      <c r="AI897" s="101">
        <f t="shared" si="852"/>
        <v>200</v>
      </c>
      <c r="AJ897" s="108">
        <f t="shared" si="1018"/>
        <v>1.6666666666666667</v>
      </c>
      <c r="AK897" s="101">
        <f t="shared" si="461"/>
        <v>6125.3656078548793</v>
      </c>
      <c r="AL897" s="101">
        <f t="shared" si="1019"/>
        <v>4900.7082505000008</v>
      </c>
      <c r="AM897" s="101">
        <f t="shared" si="1020"/>
        <v>1224.6573573548783</v>
      </c>
      <c r="AN897" s="101"/>
      <c r="AO897" s="1">
        <v>36</v>
      </c>
      <c r="AP897" s="2">
        <v>36</v>
      </c>
      <c r="AQ897" s="74">
        <f t="shared" si="1021"/>
        <v>127</v>
      </c>
      <c r="AR897" s="31">
        <f t="shared" si="1022"/>
        <v>0</v>
      </c>
      <c r="AS897" s="2">
        <f t="shared" si="1023"/>
        <v>0</v>
      </c>
      <c r="AT897" s="33">
        <f t="shared" si="1024"/>
        <v>0</v>
      </c>
      <c r="AU897" s="31">
        <f t="shared" si="1025"/>
        <v>1</v>
      </c>
      <c r="AV897" s="2">
        <f t="shared" si="1026"/>
        <v>0</v>
      </c>
      <c r="AW897" s="33">
        <f t="shared" si="1027"/>
        <v>0</v>
      </c>
      <c r="AX897" s="31">
        <f t="shared" si="1028"/>
        <v>1</v>
      </c>
      <c r="AY897" s="33">
        <f t="shared" si="1029"/>
        <v>1</v>
      </c>
      <c r="AZ897" s="2"/>
      <c r="BA897" s="101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</row>
    <row r="898" spans="1:71" ht="12" customHeight="1">
      <c r="A898" s="2"/>
      <c r="B898" s="107">
        <v>823</v>
      </c>
      <c r="C898" s="31">
        <v>10</v>
      </c>
      <c r="D898" s="113" t="s">
        <v>12</v>
      </c>
      <c r="E898" s="2" t="s">
        <v>144</v>
      </c>
      <c r="F898" s="2"/>
      <c r="G898" s="2" t="s">
        <v>187</v>
      </c>
      <c r="H898" s="50"/>
      <c r="I898" s="99">
        <f t="shared" si="0"/>
        <v>570.77895204657511</v>
      </c>
      <c r="J898" s="101">
        <f t="shared" si="1"/>
        <v>21.708333333333332</v>
      </c>
      <c r="K898" s="101">
        <f t="shared" si="2"/>
        <v>506</v>
      </c>
      <c r="L898" s="74">
        <f t="shared" si="1008"/>
        <v>41</v>
      </c>
      <c r="M898" s="99">
        <f t="shared" si="1030"/>
        <v>13698.694849117803</v>
      </c>
      <c r="N898" s="108">
        <f t="shared" si="1009"/>
        <v>8228.3576273917988</v>
      </c>
      <c r="O898" s="108">
        <f t="shared" si="1010"/>
        <v>4114.1788136958994</v>
      </c>
      <c r="P898" s="108"/>
      <c r="Q898" s="108"/>
      <c r="R898" s="109">
        <f t="shared" si="1011"/>
        <v>0</v>
      </c>
      <c r="S898" s="99">
        <f t="shared" si="694"/>
        <v>10371.766057251221</v>
      </c>
      <c r="T898" s="108">
        <f t="shared" ref="T898:T910" si="1061">AL898*AU898*AW898</f>
        <v>6914.5107048341479</v>
      </c>
      <c r="U898" s="108">
        <f t="shared" ref="U898:U910" si="1062">AL898*AU898*AW898*AX898</f>
        <v>3457.2553524170739</v>
      </c>
      <c r="V898" s="108"/>
      <c r="W898" s="108"/>
      <c r="X898" s="109">
        <f t="shared" ref="X898:X910" si="1063">AL898*AY898</f>
        <v>0</v>
      </c>
      <c r="Y898" s="99">
        <f t="shared" si="8"/>
        <v>20743.532114502443</v>
      </c>
      <c r="Z898" s="108">
        <f t="shared" si="993"/>
        <v>13829.021409668296</v>
      </c>
      <c r="AA898" s="108">
        <f t="shared" si="1015"/>
        <v>6914.5107048341479</v>
      </c>
      <c r="AB898" s="108"/>
      <c r="AC898" s="108"/>
      <c r="AD898" s="109">
        <f t="shared" si="994"/>
        <v>0</v>
      </c>
      <c r="AE898" s="99">
        <f t="shared" ref="AE898:AF898" si="1064">AO898</f>
        <v>24</v>
      </c>
      <c r="AF898" s="101">
        <f t="shared" si="1064"/>
        <v>36</v>
      </c>
      <c r="AG898" s="101">
        <f t="shared" ref="AG898:AG910" si="1065">IF($D$57+AV898&gt;100,100,$D$57+AV898)</f>
        <v>19.001300000000001</v>
      </c>
      <c r="AH898" s="101">
        <f t="shared" si="851"/>
        <v>521</v>
      </c>
      <c r="AI898" s="101">
        <f t="shared" si="852"/>
        <v>200</v>
      </c>
      <c r="AJ898" s="108">
        <f t="shared" ref="AJ898:AJ910" si="1066">10/7</f>
        <v>1.4285714285714286</v>
      </c>
      <c r="AK898" s="101">
        <f t="shared" si="461"/>
        <v>6914.5107048341479</v>
      </c>
      <c r="AL898" s="101">
        <f t="shared" ref="AL898:AL910" si="1067">(VLOOKUP(C898,$B$36:$AG$39,16,FALSE)+VLOOKUP(C898,$B$40:$AG$43,16,FALSE)*$D$54)*$D$59/100</f>
        <v>6914.5107048341479</v>
      </c>
      <c r="AM898" s="101"/>
      <c r="AN898" s="101"/>
      <c r="AO898" s="1">
        <v>24</v>
      </c>
      <c r="AP898" s="2">
        <v>36</v>
      </c>
      <c r="AQ898" s="74">
        <f t="shared" ref="AQ898:AQ910" si="1068">VLOOKUP(C898,$B$45:$AA$48,16,FALSE)</f>
        <v>521</v>
      </c>
      <c r="AR898" s="31">
        <f t="shared" ref="AR898:AR910" si="1069">IF(LEFT(E898,1)*1=1,$S$62,$R$62)</f>
        <v>0</v>
      </c>
      <c r="AS898" s="2">
        <f t="shared" ref="AS898:AS910" si="1070">IF(LEFT(E898,1)*1=2,$U$62,$T$62)</f>
        <v>0</v>
      </c>
      <c r="AT898" s="33">
        <f t="shared" ref="AT898:AT910" si="1071">IF(LEFT(E898,1)*1=3,$W$62,$V$62)</f>
        <v>0</v>
      </c>
      <c r="AU898" s="31">
        <f t="shared" ref="AU898:AU910" si="1072">IF(MID(E898,3,1)*1=1,$Y$62,$X$62)</f>
        <v>1</v>
      </c>
      <c r="AV898" s="2">
        <f t="shared" ref="AV898:AV910" si="1073">IF(MID(E898,3,1)*1=2,$AA$62,$Z$62)</f>
        <v>0</v>
      </c>
      <c r="AW898" s="33">
        <f t="shared" ref="AW898:AW910" si="1074">IF(MID(E898,3,1)*1=3,$AC$62,$AB$62)</f>
        <v>1</v>
      </c>
      <c r="AX898" s="31">
        <f t="shared" ref="AX898:AX910" si="1075">IF(MID(E898,5,1)*1=1,$AE$62,$AD$62)</f>
        <v>0.5</v>
      </c>
      <c r="AY898" s="33">
        <f t="shared" ref="AY898:AY910" si="1076">IF(MID(E898,5,1)*1=2,$AG$62,$AF$62)</f>
        <v>0</v>
      </c>
      <c r="AZ898" s="2"/>
      <c r="BA898" s="101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</row>
    <row r="899" spans="1:71" ht="12" customHeight="1">
      <c r="A899" s="2"/>
      <c r="B899" s="107">
        <v>824</v>
      </c>
      <c r="C899" s="31">
        <v>10</v>
      </c>
      <c r="D899" s="113" t="s">
        <v>12</v>
      </c>
      <c r="E899" s="2" t="s">
        <v>92</v>
      </c>
      <c r="F899" s="2"/>
      <c r="G899" s="2" t="s">
        <v>187</v>
      </c>
      <c r="H899" s="50"/>
      <c r="I899" s="99">
        <f t="shared" si="0"/>
        <v>608.8308821830135</v>
      </c>
      <c r="J899" s="101">
        <f t="shared" si="1"/>
        <v>21.708333333333332</v>
      </c>
      <c r="K899" s="101">
        <f t="shared" si="2"/>
        <v>452</v>
      </c>
      <c r="L899" s="74">
        <f t="shared" si="1008"/>
        <v>35</v>
      </c>
      <c r="M899" s="99">
        <f t="shared" si="1030"/>
        <v>14611.941172392324</v>
      </c>
      <c r="N899" s="108">
        <f t="shared" si="1009"/>
        <v>8228.3576273917988</v>
      </c>
      <c r="O899" s="108">
        <f t="shared" si="1010"/>
        <v>0</v>
      </c>
      <c r="P899" s="108"/>
      <c r="Q899" s="108"/>
      <c r="R899" s="109">
        <f t="shared" si="1011"/>
        <v>4937.0145764350782</v>
      </c>
      <c r="S899" s="99">
        <f t="shared" si="694"/>
        <v>11063.217127734635</v>
      </c>
      <c r="T899" s="108">
        <f t="shared" si="1061"/>
        <v>6914.5107048341479</v>
      </c>
      <c r="U899" s="108">
        <f t="shared" si="1062"/>
        <v>0</v>
      </c>
      <c r="V899" s="108"/>
      <c r="W899" s="108"/>
      <c r="X899" s="109">
        <f t="shared" si="1063"/>
        <v>4148.7064229004882</v>
      </c>
      <c r="Y899" s="99">
        <f t="shared" si="8"/>
        <v>22126.43425546927</v>
      </c>
      <c r="Z899" s="108">
        <f t="shared" si="993"/>
        <v>13829.021409668296</v>
      </c>
      <c r="AA899" s="108">
        <f t="shared" si="1015"/>
        <v>0</v>
      </c>
      <c r="AB899" s="108"/>
      <c r="AC899" s="108"/>
      <c r="AD899" s="109">
        <f t="shared" si="994"/>
        <v>8297.4128458009764</v>
      </c>
      <c r="AE899" s="99">
        <f t="shared" ref="AE899:AF899" si="1077">AO899</f>
        <v>24</v>
      </c>
      <c r="AF899" s="101">
        <f t="shared" si="1077"/>
        <v>36</v>
      </c>
      <c r="AG899" s="101">
        <f t="shared" si="1065"/>
        <v>19.001300000000001</v>
      </c>
      <c r="AH899" s="101">
        <f t="shared" si="851"/>
        <v>521</v>
      </c>
      <c r="AI899" s="101">
        <f t="shared" si="852"/>
        <v>200</v>
      </c>
      <c r="AJ899" s="108">
        <f t="shared" si="1066"/>
        <v>1.4285714285714286</v>
      </c>
      <c r="AK899" s="101">
        <f t="shared" si="461"/>
        <v>6914.5107048341479</v>
      </c>
      <c r="AL899" s="101">
        <f t="shared" si="1067"/>
        <v>6914.5107048341479</v>
      </c>
      <c r="AM899" s="101"/>
      <c r="AN899" s="101"/>
      <c r="AO899" s="1">
        <v>24</v>
      </c>
      <c r="AP899" s="2">
        <v>36</v>
      </c>
      <c r="AQ899" s="74">
        <f t="shared" si="1068"/>
        <v>521</v>
      </c>
      <c r="AR899" s="31">
        <f t="shared" si="1069"/>
        <v>0</v>
      </c>
      <c r="AS899" s="2">
        <f t="shared" si="1070"/>
        <v>0</v>
      </c>
      <c r="AT899" s="33">
        <f t="shared" si="1071"/>
        <v>0</v>
      </c>
      <c r="AU899" s="31">
        <f t="shared" si="1072"/>
        <v>1</v>
      </c>
      <c r="AV899" s="2">
        <f t="shared" si="1073"/>
        <v>0</v>
      </c>
      <c r="AW899" s="33">
        <f t="shared" si="1074"/>
        <v>1</v>
      </c>
      <c r="AX899" s="31">
        <f t="shared" si="1075"/>
        <v>0</v>
      </c>
      <c r="AY899" s="33">
        <f t="shared" si="1076"/>
        <v>0.6</v>
      </c>
      <c r="AZ899" s="2"/>
      <c r="BA899" s="101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</row>
    <row r="900" spans="1:71" ht="12" customHeight="1">
      <c r="A900" s="2"/>
      <c r="B900" s="107">
        <v>825</v>
      </c>
      <c r="C900" s="31">
        <v>10</v>
      </c>
      <c r="D900" s="113" t="s">
        <v>12</v>
      </c>
      <c r="E900" s="2" t="s">
        <v>138</v>
      </c>
      <c r="F900" s="2"/>
      <c r="G900" s="2" t="s">
        <v>174</v>
      </c>
      <c r="H900" s="33"/>
      <c r="I900" s="99">
        <f t="shared" si="0"/>
        <v>742.01263766054763</v>
      </c>
      <c r="J900" s="101">
        <f t="shared" si="1"/>
        <v>21.708333333333332</v>
      </c>
      <c r="K900" s="101">
        <f t="shared" si="2"/>
        <v>315</v>
      </c>
      <c r="L900" s="74">
        <f t="shared" si="1008"/>
        <v>15</v>
      </c>
      <c r="M900" s="99">
        <f t="shared" si="1030"/>
        <v>17808.303303853143</v>
      </c>
      <c r="N900" s="108">
        <f t="shared" si="1009"/>
        <v>10696.864915609338</v>
      </c>
      <c r="O900" s="108">
        <f t="shared" si="1010"/>
        <v>5348.432457804669</v>
      </c>
      <c r="P900" s="108"/>
      <c r="Q900" s="108"/>
      <c r="R900" s="109">
        <f t="shared" si="1011"/>
        <v>0</v>
      </c>
      <c r="S900" s="99">
        <f t="shared" si="694"/>
        <v>13483.295874426589</v>
      </c>
      <c r="T900" s="108">
        <f t="shared" si="1061"/>
        <v>8988.863916284392</v>
      </c>
      <c r="U900" s="108">
        <f t="shared" si="1062"/>
        <v>4494.431958142196</v>
      </c>
      <c r="V900" s="108"/>
      <c r="W900" s="108"/>
      <c r="X900" s="109">
        <f t="shared" si="1063"/>
        <v>0</v>
      </c>
      <c r="Y900" s="99">
        <f t="shared" si="8"/>
        <v>26966.591748853178</v>
      </c>
      <c r="Z900" s="108">
        <f t="shared" si="993"/>
        <v>17977.727832568784</v>
      </c>
      <c r="AA900" s="108">
        <f t="shared" si="1015"/>
        <v>8988.863916284392</v>
      </c>
      <c r="AB900" s="108"/>
      <c r="AC900" s="108"/>
      <c r="AD900" s="109">
        <f t="shared" si="994"/>
        <v>0</v>
      </c>
      <c r="AE900" s="99">
        <f t="shared" ref="AE900:AF900" si="1078">AO900</f>
        <v>24</v>
      </c>
      <c r="AF900" s="101">
        <f t="shared" si="1078"/>
        <v>36</v>
      </c>
      <c r="AG900" s="101">
        <f t="shared" si="1065"/>
        <v>19.001300000000001</v>
      </c>
      <c r="AH900" s="101">
        <f t="shared" si="851"/>
        <v>521</v>
      </c>
      <c r="AI900" s="101">
        <f t="shared" si="852"/>
        <v>200</v>
      </c>
      <c r="AJ900" s="108">
        <f t="shared" si="1066"/>
        <v>1.4285714285714286</v>
      </c>
      <c r="AK900" s="101">
        <f t="shared" si="461"/>
        <v>6914.5107048341479</v>
      </c>
      <c r="AL900" s="101">
        <f t="shared" si="1067"/>
        <v>6914.5107048341479</v>
      </c>
      <c r="AM900" s="101"/>
      <c r="AN900" s="101"/>
      <c r="AO900" s="1">
        <v>24</v>
      </c>
      <c r="AP900" s="2">
        <v>36</v>
      </c>
      <c r="AQ900" s="74">
        <f t="shared" si="1068"/>
        <v>521</v>
      </c>
      <c r="AR900" s="31">
        <f t="shared" si="1069"/>
        <v>0</v>
      </c>
      <c r="AS900" s="2">
        <f t="shared" si="1070"/>
        <v>0</v>
      </c>
      <c r="AT900" s="33">
        <f t="shared" si="1071"/>
        <v>0</v>
      </c>
      <c r="AU900" s="31">
        <f t="shared" si="1072"/>
        <v>1.3</v>
      </c>
      <c r="AV900" s="2">
        <f t="shared" si="1073"/>
        <v>0</v>
      </c>
      <c r="AW900" s="33">
        <f t="shared" si="1074"/>
        <v>1</v>
      </c>
      <c r="AX900" s="31">
        <f t="shared" si="1075"/>
        <v>0.5</v>
      </c>
      <c r="AY900" s="33">
        <f t="shared" si="1076"/>
        <v>0</v>
      </c>
      <c r="AZ900" s="2"/>
      <c r="BA900" s="101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</row>
    <row r="901" spans="1:71" ht="12" customHeight="1">
      <c r="A901" s="2"/>
      <c r="B901" s="107">
        <v>826</v>
      </c>
      <c r="C901" s="31">
        <v>10</v>
      </c>
      <c r="D901" s="113" t="s">
        <v>12</v>
      </c>
      <c r="E901" s="2" t="s">
        <v>140</v>
      </c>
      <c r="F901" s="2"/>
      <c r="G901" s="2" t="s">
        <v>167</v>
      </c>
      <c r="H901" s="33"/>
      <c r="I901" s="99">
        <f t="shared" si="0"/>
        <v>698.68320229069298</v>
      </c>
      <c r="J901" s="101">
        <f t="shared" si="1"/>
        <v>21.708333333333332</v>
      </c>
      <c r="K901" s="101">
        <f t="shared" si="2"/>
        <v>358</v>
      </c>
      <c r="L901" s="74">
        <f t="shared" si="1008"/>
        <v>20</v>
      </c>
      <c r="M901" s="99">
        <f t="shared" si="1030"/>
        <v>16768.396854976632</v>
      </c>
      <c r="N901" s="108">
        <f t="shared" si="1009"/>
        <v>10994.161909325458</v>
      </c>
      <c r="O901" s="108">
        <f t="shared" si="1010"/>
        <v>4114.1788136958994</v>
      </c>
      <c r="P901" s="108"/>
      <c r="Q901" s="108"/>
      <c r="R901" s="109">
        <f t="shared" si="1011"/>
        <v>0</v>
      </c>
      <c r="S901" s="99">
        <f t="shared" si="694"/>
        <v>10371.766057251221</v>
      </c>
      <c r="T901" s="108">
        <f t="shared" si="1061"/>
        <v>6914.5107048341479</v>
      </c>
      <c r="U901" s="108">
        <f t="shared" si="1062"/>
        <v>3457.2553524170739</v>
      </c>
      <c r="V901" s="108"/>
      <c r="W901" s="108"/>
      <c r="X901" s="109">
        <f t="shared" si="1063"/>
        <v>0</v>
      </c>
      <c r="Y901" s="99">
        <f t="shared" si="8"/>
        <v>20743.532114502443</v>
      </c>
      <c r="Z901" s="108">
        <f t="shared" si="993"/>
        <v>13829.021409668296</v>
      </c>
      <c r="AA901" s="108">
        <f t="shared" si="1015"/>
        <v>6914.5107048341479</v>
      </c>
      <c r="AB901" s="108"/>
      <c r="AC901" s="108"/>
      <c r="AD901" s="109">
        <f t="shared" si="994"/>
        <v>0</v>
      </c>
      <c r="AE901" s="99">
        <f t="shared" ref="AE901:AF901" si="1079">AO901</f>
        <v>24</v>
      </c>
      <c r="AF901" s="101">
        <f t="shared" si="1079"/>
        <v>36</v>
      </c>
      <c r="AG901" s="101">
        <f t="shared" si="1065"/>
        <v>59.001300000000001</v>
      </c>
      <c r="AH901" s="101">
        <f t="shared" si="851"/>
        <v>521</v>
      </c>
      <c r="AI901" s="101">
        <f t="shared" si="852"/>
        <v>200</v>
      </c>
      <c r="AJ901" s="108">
        <f t="shared" si="1066"/>
        <v>1.4285714285714286</v>
      </c>
      <c r="AK901" s="101">
        <f t="shared" si="461"/>
        <v>6914.5107048341479</v>
      </c>
      <c r="AL901" s="101">
        <f t="shared" si="1067"/>
        <v>6914.5107048341479</v>
      </c>
      <c r="AM901" s="101"/>
      <c r="AN901" s="101"/>
      <c r="AO901" s="1">
        <v>24</v>
      </c>
      <c r="AP901" s="2">
        <v>36</v>
      </c>
      <c r="AQ901" s="74">
        <f t="shared" si="1068"/>
        <v>521</v>
      </c>
      <c r="AR901" s="31">
        <f t="shared" si="1069"/>
        <v>0</v>
      </c>
      <c r="AS901" s="2">
        <f t="shared" si="1070"/>
        <v>0</v>
      </c>
      <c r="AT901" s="33">
        <f t="shared" si="1071"/>
        <v>0</v>
      </c>
      <c r="AU901" s="31">
        <f t="shared" si="1072"/>
        <v>1</v>
      </c>
      <c r="AV901" s="2">
        <f t="shared" si="1073"/>
        <v>40</v>
      </c>
      <c r="AW901" s="33">
        <f t="shared" si="1074"/>
        <v>1</v>
      </c>
      <c r="AX901" s="31">
        <f t="shared" si="1075"/>
        <v>0.5</v>
      </c>
      <c r="AY901" s="33">
        <f t="shared" si="1076"/>
        <v>0</v>
      </c>
      <c r="AZ901" s="2"/>
      <c r="BA901" s="101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</row>
    <row r="902" spans="1:71" ht="12" customHeight="1">
      <c r="A902" s="2"/>
      <c r="B902" s="107">
        <v>827</v>
      </c>
      <c r="C902" s="31">
        <v>10</v>
      </c>
      <c r="D902" s="113" t="s">
        <v>12</v>
      </c>
      <c r="E902" s="2" t="s">
        <v>141</v>
      </c>
      <c r="F902" s="2"/>
      <c r="G902" s="2" t="s">
        <v>183</v>
      </c>
      <c r="H902" s="33"/>
      <c r="I902" s="99">
        <f t="shared" si="0"/>
        <v>799.0905328652052</v>
      </c>
      <c r="J902" s="101">
        <f t="shared" si="1"/>
        <v>21.708333333333332</v>
      </c>
      <c r="K902" s="101">
        <f t="shared" si="2"/>
        <v>269</v>
      </c>
      <c r="L902" s="74">
        <f t="shared" si="1008"/>
        <v>9</v>
      </c>
      <c r="M902" s="99">
        <f t="shared" si="1030"/>
        <v>19178.172788764925</v>
      </c>
      <c r="N902" s="108">
        <f t="shared" si="1009"/>
        <v>11519.700678348516</v>
      </c>
      <c r="O902" s="108">
        <f t="shared" si="1010"/>
        <v>5759.8503391742579</v>
      </c>
      <c r="P902" s="108"/>
      <c r="Q902" s="108"/>
      <c r="R902" s="109">
        <f t="shared" si="1011"/>
        <v>0</v>
      </c>
      <c r="S902" s="99">
        <f t="shared" si="694"/>
        <v>14520.472480151708</v>
      </c>
      <c r="T902" s="108">
        <f t="shared" si="1061"/>
        <v>9680.3149867678057</v>
      </c>
      <c r="U902" s="108">
        <f t="shared" si="1062"/>
        <v>4840.1574933839029</v>
      </c>
      <c r="V902" s="108"/>
      <c r="W902" s="108"/>
      <c r="X902" s="109">
        <f t="shared" si="1063"/>
        <v>0</v>
      </c>
      <c r="Y902" s="99">
        <f t="shared" si="8"/>
        <v>29040.944960303415</v>
      </c>
      <c r="Z902" s="108">
        <f t="shared" si="993"/>
        <v>19360.629973535611</v>
      </c>
      <c r="AA902" s="108">
        <f t="shared" si="1015"/>
        <v>9680.3149867678057</v>
      </c>
      <c r="AB902" s="108"/>
      <c r="AC902" s="108"/>
      <c r="AD902" s="109">
        <f t="shared" si="994"/>
        <v>0</v>
      </c>
      <c r="AE902" s="99">
        <f t="shared" ref="AE902:AF902" si="1080">AO902</f>
        <v>24</v>
      </c>
      <c r="AF902" s="101">
        <f t="shared" si="1080"/>
        <v>36</v>
      </c>
      <c r="AG902" s="101">
        <f t="shared" si="1065"/>
        <v>19.001300000000001</v>
      </c>
      <c r="AH902" s="101">
        <f t="shared" si="851"/>
        <v>521</v>
      </c>
      <c r="AI902" s="101">
        <f t="shared" si="852"/>
        <v>200</v>
      </c>
      <c r="AJ902" s="108">
        <f t="shared" si="1066"/>
        <v>1.4285714285714286</v>
      </c>
      <c r="AK902" s="101">
        <f t="shared" si="461"/>
        <v>6914.5107048341479</v>
      </c>
      <c r="AL902" s="101">
        <f t="shared" si="1067"/>
        <v>6914.5107048341479</v>
      </c>
      <c r="AM902" s="101"/>
      <c r="AN902" s="101"/>
      <c r="AO902" s="1">
        <v>24</v>
      </c>
      <c r="AP902" s="2">
        <v>36</v>
      </c>
      <c r="AQ902" s="74">
        <f t="shared" si="1068"/>
        <v>521</v>
      </c>
      <c r="AR902" s="31">
        <f t="shared" si="1069"/>
        <v>0</v>
      </c>
      <c r="AS902" s="2">
        <f t="shared" si="1070"/>
        <v>0</v>
      </c>
      <c r="AT902" s="33">
        <f t="shared" si="1071"/>
        <v>0</v>
      </c>
      <c r="AU902" s="31">
        <f t="shared" si="1072"/>
        <v>1</v>
      </c>
      <c r="AV902" s="2">
        <f t="shared" si="1073"/>
        <v>0</v>
      </c>
      <c r="AW902" s="33">
        <f t="shared" si="1074"/>
        <v>1.4</v>
      </c>
      <c r="AX902" s="31">
        <f t="shared" si="1075"/>
        <v>0.5</v>
      </c>
      <c r="AY902" s="33">
        <f t="shared" si="1076"/>
        <v>0</v>
      </c>
      <c r="AZ902" s="2"/>
      <c r="BA902" s="101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</row>
    <row r="903" spans="1:71" ht="12" customHeight="1">
      <c r="A903" s="2"/>
      <c r="B903" s="107">
        <v>828</v>
      </c>
      <c r="C903" s="31">
        <v>10</v>
      </c>
      <c r="D903" s="113" t="s">
        <v>12</v>
      </c>
      <c r="E903" s="2" t="s">
        <v>139</v>
      </c>
      <c r="F903" s="2"/>
      <c r="G903" s="2" t="s">
        <v>174</v>
      </c>
      <c r="H903" s="33"/>
      <c r="I903" s="99">
        <f t="shared" si="0"/>
        <v>722.98667259232843</v>
      </c>
      <c r="J903" s="101">
        <f t="shared" si="1"/>
        <v>21.708333333333332</v>
      </c>
      <c r="K903" s="101">
        <f t="shared" si="2"/>
        <v>330</v>
      </c>
      <c r="L903" s="74">
        <f t="shared" si="1008"/>
        <v>18</v>
      </c>
      <c r="M903" s="99">
        <f t="shared" si="1030"/>
        <v>17351.680142215882</v>
      </c>
      <c r="N903" s="108">
        <f t="shared" si="1009"/>
        <v>10696.864915609338</v>
      </c>
      <c r="O903" s="108">
        <f t="shared" si="1010"/>
        <v>0</v>
      </c>
      <c r="P903" s="108"/>
      <c r="Q903" s="108"/>
      <c r="R903" s="109">
        <f t="shared" si="1011"/>
        <v>4937.0145764350782</v>
      </c>
      <c r="S903" s="99">
        <f t="shared" si="694"/>
        <v>13137.57033918488</v>
      </c>
      <c r="T903" s="108">
        <f t="shared" si="1061"/>
        <v>8988.863916284392</v>
      </c>
      <c r="U903" s="108">
        <f t="shared" si="1062"/>
        <v>0</v>
      </c>
      <c r="V903" s="108"/>
      <c r="W903" s="108"/>
      <c r="X903" s="109">
        <f t="shared" si="1063"/>
        <v>4148.7064229004882</v>
      </c>
      <c r="Y903" s="99">
        <f t="shared" si="8"/>
        <v>26275.14067836976</v>
      </c>
      <c r="Z903" s="108">
        <f t="shared" si="993"/>
        <v>17977.727832568784</v>
      </c>
      <c r="AA903" s="108">
        <f t="shared" si="1015"/>
        <v>0</v>
      </c>
      <c r="AB903" s="108"/>
      <c r="AC903" s="108"/>
      <c r="AD903" s="109">
        <f t="shared" si="994"/>
        <v>8297.4128458009764</v>
      </c>
      <c r="AE903" s="99">
        <f t="shared" ref="AE903:AF903" si="1081">AO903</f>
        <v>24</v>
      </c>
      <c r="AF903" s="101">
        <f t="shared" si="1081"/>
        <v>36</v>
      </c>
      <c r="AG903" s="101">
        <f t="shared" si="1065"/>
        <v>19.001300000000001</v>
      </c>
      <c r="AH903" s="101">
        <f t="shared" si="851"/>
        <v>521</v>
      </c>
      <c r="AI903" s="101">
        <f t="shared" si="852"/>
        <v>200</v>
      </c>
      <c r="AJ903" s="108">
        <f t="shared" si="1066"/>
        <v>1.4285714285714286</v>
      </c>
      <c r="AK903" s="101">
        <f t="shared" si="461"/>
        <v>6914.5107048341479</v>
      </c>
      <c r="AL903" s="101">
        <f t="shared" si="1067"/>
        <v>6914.5107048341479</v>
      </c>
      <c r="AM903" s="101"/>
      <c r="AN903" s="101"/>
      <c r="AO903" s="1">
        <v>24</v>
      </c>
      <c r="AP903" s="2">
        <v>36</v>
      </c>
      <c r="AQ903" s="74">
        <f t="shared" si="1068"/>
        <v>521</v>
      </c>
      <c r="AR903" s="31">
        <f t="shared" si="1069"/>
        <v>0</v>
      </c>
      <c r="AS903" s="2">
        <f t="shared" si="1070"/>
        <v>0</v>
      </c>
      <c r="AT903" s="33">
        <f t="shared" si="1071"/>
        <v>0</v>
      </c>
      <c r="AU903" s="31">
        <f t="shared" si="1072"/>
        <v>1.3</v>
      </c>
      <c r="AV903" s="2">
        <f t="shared" si="1073"/>
        <v>0</v>
      </c>
      <c r="AW903" s="33">
        <f t="shared" si="1074"/>
        <v>1</v>
      </c>
      <c r="AX903" s="31">
        <f t="shared" si="1075"/>
        <v>0</v>
      </c>
      <c r="AY903" s="33">
        <f t="shared" si="1076"/>
        <v>0.6</v>
      </c>
      <c r="AZ903" s="2"/>
      <c r="BA903" s="101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</row>
    <row r="904" spans="1:71" ht="12" customHeight="1">
      <c r="A904" s="2"/>
      <c r="B904" s="107">
        <v>829</v>
      </c>
      <c r="C904" s="31">
        <v>10</v>
      </c>
      <c r="D904" s="113" t="s">
        <v>12</v>
      </c>
      <c r="E904" s="2" t="s">
        <v>95</v>
      </c>
      <c r="F904" s="2"/>
      <c r="G904" s="2" t="s">
        <v>167</v>
      </c>
      <c r="H904" s="33"/>
      <c r="I904" s="99">
        <f t="shared" si="0"/>
        <v>736.73513242713125</v>
      </c>
      <c r="J904" s="101">
        <f t="shared" si="1"/>
        <v>21.708333333333332</v>
      </c>
      <c r="K904" s="101">
        <f t="shared" si="2"/>
        <v>318</v>
      </c>
      <c r="L904" s="74">
        <f t="shared" si="1008"/>
        <v>16</v>
      </c>
      <c r="M904" s="99">
        <f t="shared" si="1030"/>
        <v>17681.64317825115</v>
      </c>
      <c r="N904" s="108">
        <f t="shared" si="1009"/>
        <v>10994.161909325458</v>
      </c>
      <c r="O904" s="108">
        <f t="shared" si="1010"/>
        <v>0</v>
      </c>
      <c r="P904" s="108"/>
      <c r="Q904" s="108"/>
      <c r="R904" s="109">
        <f t="shared" si="1011"/>
        <v>4937.0145764350782</v>
      </c>
      <c r="S904" s="99">
        <f t="shared" si="694"/>
        <v>11063.217127734635</v>
      </c>
      <c r="T904" s="108">
        <f t="shared" si="1061"/>
        <v>6914.5107048341479</v>
      </c>
      <c r="U904" s="108">
        <f t="shared" si="1062"/>
        <v>0</v>
      </c>
      <c r="V904" s="108"/>
      <c r="W904" s="108"/>
      <c r="X904" s="109">
        <f t="shared" si="1063"/>
        <v>4148.7064229004882</v>
      </c>
      <c r="Y904" s="99">
        <f t="shared" si="8"/>
        <v>22126.43425546927</v>
      </c>
      <c r="Z904" s="108">
        <f t="shared" si="993"/>
        <v>13829.021409668296</v>
      </c>
      <c r="AA904" s="108">
        <f t="shared" si="1015"/>
        <v>0</v>
      </c>
      <c r="AB904" s="108"/>
      <c r="AC904" s="108"/>
      <c r="AD904" s="109">
        <f t="shared" si="994"/>
        <v>8297.4128458009764</v>
      </c>
      <c r="AE904" s="99">
        <f t="shared" ref="AE904:AF904" si="1082">AO904</f>
        <v>24</v>
      </c>
      <c r="AF904" s="101">
        <f t="shared" si="1082"/>
        <v>36</v>
      </c>
      <c r="AG904" s="101">
        <f t="shared" si="1065"/>
        <v>59.001300000000001</v>
      </c>
      <c r="AH904" s="101">
        <f t="shared" si="851"/>
        <v>521</v>
      </c>
      <c r="AI904" s="101">
        <f t="shared" si="852"/>
        <v>200</v>
      </c>
      <c r="AJ904" s="108">
        <f t="shared" si="1066"/>
        <v>1.4285714285714286</v>
      </c>
      <c r="AK904" s="101">
        <f t="shared" si="461"/>
        <v>6914.5107048341479</v>
      </c>
      <c r="AL904" s="101">
        <f t="shared" si="1067"/>
        <v>6914.5107048341479</v>
      </c>
      <c r="AM904" s="101"/>
      <c r="AN904" s="101"/>
      <c r="AO904" s="1">
        <v>24</v>
      </c>
      <c r="AP904" s="2">
        <v>36</v>
      </c>
      <c r="AQ904" s="74">
        <f t="shared" si="1068"/>
        <v>521</v>
      </c>
      <c r="AR904" s="31">
        <f t="shared" si="1069"/>
        <v>0</v>
      </c>
      <c r="AS904" s="2">
        <f t="shared" si="1070"/>
        <v>0</v>
      </c>
      <c r="AT904" s="33">
        <f t="shared" si="1071"/>
        <v>0</v>
      </c>
      <c r="AU904" s="31">
        <f t="shared" si="1072"/>
        <v>1</v>
      </c>
      <c r="AV904" s="2">
        <f t="shared" si="1073"/>
        <v>40</v>
      </c>
      <c r="AW904" s="33">
        <f t="shared" si="1074"/>
        <v>1</v>
      </c>
      <c r="AX904" s="31">
        <f t="shared" si="1075"/>
        <v>0</v>
      </c>
      <c r="AY904" s="33">
        <f t="shared" si="1076"/>
        <v>0.6</v>
      </c>
      <c r="AZ904" s="2"/>
      <c r="BA904" s="101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</row>
    <row r="905" spans="1:71" ht="12" customHeight="1">
      <c r="A905" s="2"/>
      <c r="B905" s="107">
        <v>830</v>
      </c>
      <c r="C905" s="31">
        <v>10</v>
      </c>
      <c r="D905" s="113" t="s">
        <v>12</v>
      </c>
      <c r="E905" s="2" t="s">
        <v>98</v>
      </c>
      <c r="F905" s="2"/>
      <c r="G905" s="2" t="s">
        <v>183</v>
      </c>
      <c r="H905" s="33"/>
      <c r="I905" s="99">
        <f t="shared" si="0"/>
        <v>761.0386027287667</v>
      </c>
      <c r="J905" s="101">
        <f t="shared" si="1"/>
        <v>21.708333333333332</v>
      </c>
      <c r="K905" s="101">
        <f t="shared" si="2"/>
        <v>293</v>
      </c>
      <c r="L905" s="74">
        <f t="shared" si="1008"/>
        <v>14</v>
      </c>
      <c r="M905" s="99">
        <f t="shared" si="1030"/>
        <v>18264.9264654904</v>
      </c>
      <c r="N905" s="108">
        <f t="shared" si="1009"/>
        <v>11519.700678348516</v>
      </c>
      <c r="O905" s="108">
        <f t="shared" si="1010"/>
        <v>0</v>
      </c>
      <c r="P905" s="108"/>
      <c r="Q905" s="108"/>
      <c r="R905" s="109">
        <f t="shared" si="1011"/>
        <v>4937.0145764350782</v>
      </c>
      <c r="S905" s="99">
        <f t="shared" si="694"/>
        <v>13829.021409668294</v>
      </c>
      <c r="T905" s="108">
        <f t="shared" si="1061"/>
        <v>9680.3149867678057</v>
      </c>
      <c r="U905" s="108">
        <f t="shared" si="1062"/>
        <v>0</v>
      </c>
      <c r="V905" s="108"/>
      <c r="W905" s="108"/>
      <c r="X905" s="109">
        <f t="shared" si="1063"/>
        <v>4148.7064229004882</v>
      </c>
      <c r="Y905" s="99">
        <f t="shared" si="8"/>
        <v>27658.042819336588</v>
      </c>
      <c r="Z905" s="108">
        <f t="shared" si="993"/>
        <v>19360.629973535611</v>
      </c>
      <c r="AA905" s="108">
        <f t="shared" si="1015"/>
        <v>0</v>
      </c>
      <c r="AB905" s="108"/>
      <c r="AC905" s="108"/>
      <c r="AD905" s="109">
        <f t="shared" si="994"/>
        <v>8297.4128458009764</v>
      </c>
      <c r="AE905" s="99">
        <f t="shared" ref="AE905:AF905" si="1083">AO905</f>
        <v>24</v>
      </c>
      <c r="AF905" s="101">
        <f t="shared" si="1083"/>
        <v>36</v>
      </c>
      <c r="AG905" s="101">
        <f t="shared" si="1065"/>
        <v>19.001300000000001</v>
      </c>
      <c r="AH905" s="101">
        <f t="shared" si="851"/>
        <v>521</v>
      </c>
      <c r="AI905" s="101">
        <f t="shared" si="852"/>
        <v>200</v>
      </c>
      <c r="AJ905" s="108">
        <f t="shared" si="1066"/>
        <v>1.4285714285714286</v>
      </c>
      <c r="AK905" s="101">
        <f t="shared" si="461"/>
        <v>6914.5107048341479</v>
      </c>
      <c r="AL905" s="101">
        <f t="shared" si="1067"/>
        <v>6914.5107048341479</v>
      </c>
      <c r="AM905" s="101"/>
      <c r="AN905" s="101"/>
      <c r="AO905" s="1">
        <v>24</v>
      </c>
      <c r="AP905" s="2">
        <v>36</v>
      </c>
      <c r="AQ905" s="74">
        <f t="shared" si="1068"/>
        <v>521</v>
      </c>
      <c r="AR905" s="31">
        <f t="shared" si="1069"/>
        <v>0</v>
      </c>
      <c r="AS905" s="2">
        <f t="shared" si="1070"/>
        <v>0</v>
      </c>
      <c r="AT905" s="33">
        <f t="shared" si="1071"/>
        <v>0</v>
      </c>
      <c r="AU905" s="31">
        <f t="shared" si="1072"/>
        <v>1</v>
      </c>
      <c r="AV905" s="2">
        <f t="shared" si="1073"/>
        <v>0</v>
      </c>
      <c r="AW905" s="33">
        <f t="shared" si="1074"/>
        <v>1.4</v>
      </c>
      <c r="AX905" s="31">
        <f t="shared" si="1075"/>
        <v>0</v>
      </c>
      <c r="AY905" s="33">
        <f t="shared" si="1076"/>
        <v>0.6</v>
      </c>
      <c r="AZ905" s="2"/>
      <c r="BA905" s="101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</row>
    <row r="906" spans="1:71" ht="12" customHeight="1">
      <c r="A906" s="2"/>
      <c r="B906" s="107">
        <v>831</v>
      </c>
      <c r="C906" s="31">
        <v>7</v>
      </c>
      <c r="D906" s="113" t="s">
        <v>12</v>
      </c>
      <c r="E906" s="2" t="s">
        <v>136</v>
      </c>
      <c r="F906" s="2"/>
      <c r="G906" s="2" t="s">
        <v>174</v>
      </c>
      <c r="H906" s="33"/>
      <c r="I906" s="99">
        <f t="shared" si="0"/>
        <v>473.67554137656481</v>
      </c>
      <c r="J906" s="101">
        <f t="shared" si="1"/>
        <v>15.125</v>
      </c>
      <c r="K906" s="101">
        <f t="shared" si="2"/>
        <v>636</v>
      </c>
      <c r="L906" s="74">
        <f t="shared" si="1008"/>
        <v>70</v>
      </c>
      <c r="M906" s="99">
        <f t="shared" si="1030"/>
        <v>11368.212993037556</v>
      </c>
      <c r="N906" s="108">
        <f t="shared" si="1009"/>
        <v>10242.770182273884</v>
      </c>
      <c r="O906" s="108">
        <f t="shared" si="1010"/>
        <v>0</v>
      </c>
      <c r="P906" s="108"/>
      <c r="Q906" s="108"/>
      <c r="R906" s="109">
        <f t="shared" si="1011"/>
        <v>0</v>
      </c>
      <c r="S906" s="99">
        <f t="shared" si="694"/>
        <v>8607.275872006343</v>
      </c>
      <c r="T906" s="108">
        <f t="shared" si="1061"/>
        <v>8607.275872006343</v>
      </c>
      <c r="U906" s="108">
        <f t="shared" si="1062"/>
        <v>0</v>
      </c>
      <c r="V906" s="108"/>
      <c r="W906" s="108"/>
      <c r="X906" s="109">
        <f t="shared" si="1063"/>
        <v>0</v>
      </c>
      <c r="Y906" s="99">
        <f t="shared" si="8"/>
        <v>17214.551744012686</v>
      </c>
      <c r="Z906" s="108">
        <f t="shared" si="993"/>
        <v>17214.551744012686</v>
      </c>
      <c r="AA906" s="108">
        <f t="shared" si="1015"/>
        <v>0</v>
      </c>
      <c r="AB906" s="108"/>
      <c r="AC906" s="108"/>
      <c r="AD906" s="109">
        <f t="shared" si="994"/>
        <v>0</v>
      </c>
      <c r="AE906" s="99">
        <f t="shared" ref="AE906:AF906" si="1084">AO906</f>
        <v>24</v>
      </c>
      <c r="AF906" s="101">
        <f t="shared" si="1084"/>
        <v>36</v>
      </c>
      <c r="AG906" s="101">
        <f t="shared" si="1065"/>
        <v>19.001300000000001</v>
      </c>
      <c r="AH906" s="101">
        <f t="shared" si="851"/>
        <v>363</v>
      </c>
      <c r="AI906" s="101">
        <f t="shared" si="852"/>
        <v>200</v>
      </c>
      <c r="AJ906" s="108">
        <f t="shared" si="1066"/>
        <v>1.4285714285714286</v>
      </c>
      <c r="AK906" s="101">
        <f t="shared" si="461"/>
        <v>6620.981440004879</v>
      </c>
      <c r="AL906" s="101">
        <f t="shared" si="1067"/>
        <v>6620.981440004879</v>
      </c>
      <c r="AM906" s="101"/>
      <c r="AN906" s="101"/>
      <c r="AO906" s="1">
        <v>24</v>
      </c>
      <c r="AP906" s="2">
        <v>36</v>
      </c>
      <c r="AQ906" s="74">
        <f t="shared" si="1068"/>
        <v>363</v>
      </c>
      <c r="AR906" s="31">
        <f t="shared" si="1069"/>
        <v>0</v>
      </c>
      <c r="AS906" s="2">
        <f t="shared" si="1070"/>
        <v>0</v>
      </c>
      <c r="AT906" s="33">
        <f t="shared" si="1071"/>
        <v>0</v>
      </c>
      <c r="AU906" s="31">
        <f t="shared" si="1072"/>
        <v>1.3</v>
      </c>
      <c r="AV906" s="2">
        <f t="shared" si="1073"/>
        <v>0</v>
      </c>
      <c r="AW906" s="33">
        <f t="shared" si="1074"/>
        <v>1</v>
      </c>
      <c r="AX906" s="31">
        <f t="shared" si="1075"/>
        <v>0</v>
      </c>
      <c r="AY906" s="33">
        <f t="shared" si="1076"/>
        <v>0</v>
      </c>
      <c r="AZ906" s="2"/>
      <c r="BA906" s="101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</row>
    <row r="907" spans="1:71" ht="12" customHeight="1">
      <c r="A907" s="2"/>
      <c r="B907" s="107">
        <v>832</v>
      </c>
      <c r="C907" s="31">
        <v>7</v>
      </c>
      <c r="D907" s="113" t="s">
        <v>12</v>
      </c>
      <c r="E907" s="2" t="s">
        <v>89</v>
      </c>
      <c r="F907" s="2"/>
      <c r="G907" s="2" t="s">
        <v>167</v>
      </c>
      <c r="H907" s="33"/>
      <c r="I907" s="99">
        <f t="shared" si="0"/>
        <v>486.8403626170961</v>
      </c>
      <c r="J907" s="101">
        <f t="shared" si="1"/>
        <v>15.125</v>
      </c>
      <c r="K907" s="101">
        <f t="shared" si="2"/>
        <v>621</v>
      </c>
      <c r="L907" s="74">
        <f t="shared" si="1008"/>
        <v>64</v>
      </c>
      <c r="M907" s="99">
        <f t="shared" si="1030"/>
        <v>11684.168702810306</v>
      </c>
      <c r="N907" s="108">
        <f t="shared" si="1009"/>
        <v>10527.446562366476</v>
      </c>
      <c r="O907" s="108">
        <f t="shared" si="1010"/>
        <v>0</v>
      </c>
      <c r="P907" s="108"/>
      <c r="Q907" s="108"/>
      <c r="R907" s="109">
        <f t="shared" si="1011"/>
        <v>0</v>
      </c>
      <c r="S907" s="99">
        <f t="shared" si="694"/>
        <v>6620.981440004879</v>
      </c>
      <c r="T907" s="108">
        <f t="shared" si="1061"/>
        <v>6620.981440004879</v>
      </c>
      <c r="U907" s="108">
        <f t="shared" si="1062"/>
        <v>0</v>
      </c>
      <c r="V907" s="108"/>
      <c r="W907" s="108"/>
      <c r="X907" s="109">
        <f t="shared" si="1063"/>
        <v>0</v>
      </c>
      <c r="Y907" s="99">
        <f t="shared" si="8"/>
        <v>13241.962880009758</v>
      </c>
      <c r="Z907" s="108">
        <f t="shared" si="993"/>
        <v>13241.962880009758</v>
      </c>
      <c r="AA907" s="108">
        <f t="shared" si="1015"/>
        <v>0</v>
      </c>
      <c r="AB907" s="108"/>
      <c r="AC907" s="108"/>
      <c r="AD907" s="109">
        <f t="shared" si="994"/>
        <v>0</v>
      </c>
      <c r="AE907" s="99">
        <f t="shared" ref="AE907:AF907" si="1085">AO907</f>
        <v>24</v>
      </c>
      <c r="AF907" s="101">
        <f t="shared" si="1085"/>
        <v>36</v>
      </c>
      <c r="AG907" s="101">
        <f t="shared" si="1065"/>
        <v>59.001300000000001</v>
      </c>
      <c r="AH907" s="101">
        <f t="shared" si="851"/>
        <v>363</v>
      </c>
      <c r="AI907" s="101">
        <f t="shared" si="852"/>
        <v>200</v>
      </c>
      <c r="AJ907" s="108">
        <f t="shared" si="1066"/>
        <v>1.4285714285714286</v>
      </c>
      <c r="AK907" s="101">
        <f t="shared" si="461"/>
        <v>6620.981440004879</v>
      </c>
      <c r="AL907" s="101">
        <f t="shared" si="1067"/>
        <v>6620.981440004879</v>
      </c>
      <c r="AM907" s="101"/>
      <c r="AN907" s="101"/>
      <c r="AO907" s="1">
        <v>24</v>
      </c>
      <c r="AP907" s="2">
        <v>36</v>
      </c>
      <c r="AQ907" s="74">
        <f t="shared" si="1068"/>
        <v>363</v>
      </c>
      <c r="AR907" s="31">
        <f t="shared" si="1069"/>
        <v>0</v>
      </c>
      <c r="AS907" s="2">
        <f t="shared" si="1070"/>
        <v>0</v>
      </c>
      <c r="AT907" s="33">
        <f t="shared" si="1071"/>
        <v>0</v>
      </c>
      <c r="AU907" s="31">
        <f t="shared" si="1072"/>
        <v>1</v>
      </c>
      <c r="AV907" s="2">
        <f t="shared" si="1073"/>
        <v>40</v>
      </c>
      <c r="AW907" s="33">
        <f t="shared" si="1074"/>
        <v>1</v>
      </c>
      <c r="AX907" s="31">
        <f t="shared" si="1075"/>
        <v>0</v>
      </c>
      <c r="AY907" s="33">
        <f t="shared" si="1076"/>
        <v>0</v>
      </c>
      <c r="AZ907" s="2"/>
      <c r="BA907" s="101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</row>
    <row r="908" spans="1:71" ht="12" customHeight="1">
      <c r="A908" s="2"/>
      <c r="B908" s="107">
        <v>833</v>
      </c>
      <c r="C908" s="31">
        <v>7</v>
      </c>
      <c r="D908" s="113" t="s">
        <v>12</v>
      </c>
      <c r="E908" s="2" t="s">
        <v>91</v>
      </c>
      <c r="F908" s="2"/>
      <c r="G908" s="2" t="s">
        <v>183</v>
      </c>
      <c r="H908" s="33"/>
      <c r="I908" s="99">
        <f t="shared" si="0"/>
        <v>510.11212148245437</v>
      </c>
      <c r="J908" s="101">
        <f t="shared" si="1"/>
        <v>15.125</v>
      </c>
      <c r="K908" s="101">
        <f t="shared" si="2"/>
        <v>586</v>
      </c>
      <c r="L908" s="74">
        <f t="shared" si="1008"/>
        <v>59</v>
      </c>
      <c r="M908" s="99">
        <f t="shared" si="1030"/>
        <v>12242.690915578905</v>
      </c>
      <c r="N908" s="108">
        <f t="shared" si="1009"/>
        <v>11030.675580910336</v>
      </c>
      <c r="O908" s="108">
        <f t="shared" si="1010"/>
        <v>0</v>
      </c>
      <c r="P908" s="108"/>
      <c r="Q908" s="108"/>
      <c r="R908" s="109">
        <f t="shared" si="1011"/>
        <v>0</v>
      </c>
      <c r="S908" s="99">
        <f t="shared" si="694"/>
        <v>9269.3740160068301</v>
      </c>
      <c r="T908" s="108">
        <f t="shared" si="1061"/>
        <v>9269.3740160068301</v>
      </c>
      <c r="U908" s="108">
        <f t="shared" si="1062"/>
        <v>0</v>
      </c>
      <c r="V908" s="108"/>
      <c r="W908" s="108"/>
      <c r="X908" s="109">
        <f t="shared" si="1063"/>
        <v>0</v>
      </c>
      <c r="Y908" s="99">
        <f t="shared" si="8"/>
        <v>18538.74803201366</v>
      </c>
      <c r="Z908" s="108">
        <f t="shared" si="993"/>
        <v>18538.74803201366</v>
      </c>
      <c r="AA908" s="108">
        <f t="shared" si="1015"/>
        <v>0</v>
      </c>
      <c r="AB908" s="108"/>
      <c r="AC908" s="108"/>
      <c r="AD908" s="109">
        <f t="shared" si="994"/>
        <v>0</v>
      </c>
      <c r="AE908" s="99">
        <f t="shared" ref="AE908:AF908" si="1086">AO908</f>
        <v>24</v>
      </c>
      <c r="AF908" s="101">
        <f t="shared" si="1086"/>
        <v>36</v>
      </c>
      <c r="AG908" s="101">
        <f t="shared" si="1065"/>
        <v>19.001300000000001</v>
      </c>
      <c r="AH908" s="101">
        <f t="shared" si="851"/>
        <v>363</v>
      </c>
      <c r="AI908" s="101">
        <f t="shared" si="852"/>
        <v>200</v>
      </c>
      <c r="AJ908" s="108">
        <f t="shared" si="1066"/>
        <v>1.4285714285714286</v>
      </c>
      <c r="AK908" s="101">
        <f t="shared" si="461"/>
        <v>6620.981440004879</v>
      </c>
      <c r="AL908" s="101">
        <f t="shared" si="1067"/>
        <v>6620.981440004879</v>
      </c>
      <c r="AM908" s="101"/>
      <c r="AN908" s="101"/>
      <c r="AO908" s="1">
        <v>24</v>
      </c>
      <c r="AP908" s="2">
        <v>36</v>
      </c>
      <c r="AQ908" s="74">
        <f t="shared" si="1068"/>
        <v>363</v>
      </c>
      <c r="AR908" s="31">
        <f t="shared" si="1069"/>
        <v>0</v>
      </c>
      <c r="AS908" s="2">
        <f t="shared" si="1070"/>
        <v>0</v>
      </c>
      <c r="AT908" s="33">
        <f t="shared" si="1071"/>
        <v>0</v>
      </c>
      <c r="AU908" s="31">
        <f t="shared" si="1072"/>
        <v>1</v>
      </c>
      <c r="AV908" s="2">
        <f t="shared" si="1073"/>
        <v>0</v>
      </c>
      <c r="AW908" s="33">
        <f t="shared" si="1074"/>
        <v>1.4</v>
      </c>
      <c r="AX908" s="31">
        <f t="shared" si="1075"/>
        <v>0</v>
      </c>
      <c r="AY908" s="33">
        <f t="shared" si="1076"/>
        <v>0</v>
      </c>
      <c r="AZ908" s="2"/>
      <c r="BA908" s="101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</row>
    <row r="909" spans="1:71" ht="12" customHeight="1">
      <c r="A909" s="2"/>
      <c r="B909" s="107">
        <v>834</v>
      </c>
      <c r="C909" s="31">
        <v>4</v>
      </c>
      <c r="D909" s="113" t="s">
        <v>12</v>
      </c>
      <c r="E909" s="2" t="s">
        <v>67</v>
      </c>
      <c r="F909" s="2"/>
      <c r="G909" s="2"/>
      <c r="H909" s="33"/>
      <c r="I909" s="99">
        <f t="shared" si="0"/>
        <v>337.54985793100684</v>
      </c>
      <c r="J909" s="101">
        <f t="shared" si="1"/>
        <v>8.2916666666666661</v>
      </c>
      <c r="K909" s="101">
        <f t="shared" si="2"/>
        <v>787</v>
      </c>
      <c r="L909" s="74">
        <f t="shared" si="1008"/>
        <v>97</v>
      </c>
      <c r="M909" s="99">
        <f t="shared" si="1030"/>
        <v>8101.1965903441642</v>
      </c>
      <c r="N909" s="108">
        <f t="shared" si="1009"/>
        <v>7299.1854504429348</v>
      </c>
      <c r="O909" s="108">
        <f t="shared" si="1010"/>
        <v>0</v>
      </c>
      <c r="P909" s="108"/>
      <c r="Q909" s="108"/>
      <c r="R909" s="109">
        <f t="shared" si="1011"/>
        <v>0</v>
      </c>
      <c r="S909" s="99">
        <f t="shared" si="694"/>
        <v>6133.7022792548778</v>
      </c>
      <c r="T909" s="108">
        <f t="shared" si="1061"/>
        <v>6133.7022792548778</v>
      </c>
      <c r="U909" s="108">
        <f t="shared" si="1062"/>
        <v>0</v>
      </c>
      <c r="V909" s="108"/>
      <c r="W909" s="108"/>
      <c r="X909" s="109">
        <f t="shared" si="1063"/>
        <v>0</v>
      </c>
      <c r="Y909" s="99">
        <f t="shared" si="8"/>
        <v>12267.404558509756</v>
      </c>
      <c r="Z909" s="108">
        <f t="shared" si="993"/>
        <v>12267.404558509756</v>
      </c>
      <c r="AA909" s="108">
        <f t="shared" si="1015"/>
        <v>0</v>
      </c>
      <c r="AB909" s="108"/>
      <c r="AC909" s="108"/>
      <c r="AD909" s="109">
        <f t="shared" si="994"/>
        <v>0</v>
      </c>
      <c r="AE909" s="99">
        <f t="shared" ref="AE909:AF909" si="1087">AO909</f>
        <v>24</v>
      </c>
      <c r="AF909" s="101">
        <f t="shared" si="1087"/>
        <v>36</v>
      </c>
      <c r="AG909" s="101">
        <f t="shared" si="1065"/>
        <v>19.001300000000001</v>
      </c>
      <c r="AH909" s="101">
        <f t="shared" si="851"/>
        <v>199</v>
      </c>
      <c r="AI909" s="101">
        <f t="shared" si="852"/>
        <v>200</v>
      </c>
      <c r="AJ909" s="108">
        <f t="shared" si="1066"/>
        <v>1.4285714285714286</v>
      </c>
      <c r="AK909" s="101">
        <f t="shared" si="461"/>
        <v>6133.7022792548778</v>
      </c>
      <c r="AL909" s="101">
        <f t="shared" si="1067"/>
        <v>6133.7022792548778</v>
      </c>
      <c r="AM909" s="101"/>
      <c r="AN909" s="101"/>
      <c r="AO909" s="1">
        <v>24</v>
      </c>
      <c r="AP909" s="2">
        <v>36</v>
      </c>
      <c r="AQ909" s="74">
        <f t="shared" si="1068"/>
        <v>199</v>
      </c>
      <c r="AR909" s="31">
        <f t="shared" si="1069"/>
        <v>0</v>
      </c>
      <c r="AS909" s="2">
        <f t="shared" si="1070"/>
        <v>0</v>
      </c>
      <c r="AT909" s="33">
        <f t="shared" si="1071"/>
        <v>0</v>
      </c>
      <c r="AU909" s="31">
        <f t="shared" si="1072"/>
        <v>1</v>
      </c>
      <c r="AV909" s="2">
        <f t="shared" si="1073"/>
        <v>0</v>
      </c>
      <c r="AW909" s="33">
        <f t="shared" si="1074"/>
        <v>1</v>
      </c>
      <c r="AX909" s="31">
        <f t="shared" si="1075"/>
        <v>0</v>
      </c>
      <c r="AY909" s="33">
        <f t="shared" si="1076"/>
        <v>0</v>
      </c>
      <c r="AZ909" s="2"/>
      <c r="BA909" s="101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</row>
    <row r="910" spans="1:71" ht="12" customHeight="1">
      <c r="A910" s="2"/>
      <c r="B910" s="107">
        <v>835</v>
      </c>
      <c r="C910" s="31">
        <v>1</v>
      </c>
      <c r="D910" s="113" t="s">
        <v>12</v>
      </c>
      <c r="E910" s="2" t="s">
        <v>67</v>
      </c>
      <c r="F910" s="2"/>
      <c r="G910" s="2"/>
      <c r="H910" s="33"/>
      <c r="I910" s="99">
        <f t="shared" si="0"/>
        <v>270.91262573313958</v>
      </c>
      <c r="J910" s="101">
        <f t="shared" si="1"/>
        <v>4.208333333333333</v>
      </c>
      <c r="K910" s="101">
        <f t="shared" si="2"/>
        <v>858</v>
      </c>
      <c r="L910" s="74">
        <f t="shared" si="1008"/>
        <v>108</v>
      </c>
      <c r="M910" s="99">
        <f t="shared" si="1030"/>
        <v>6501.9030175953494</v>
      </c>
      <c r="N910" s="108">
        <f t="shared" si="1009"/>
        <v>5858.220495820211</v>
      </c>
      <c r="O910" s="108">
        <f t="shared" si="1010"/>
        <v>0</v>
      </c>
      <c r="P910" s="108"/>
      <c r="Q910" s="108"/>
      <c r="R910" s="109">
        <f t="shared" si="1011"/>
        <v>0</v>
      </c>
      <c r="S910" s="99">
        <f t="shared" si="694"/>
        <v>4922.8205875231706</v>
      </c>
      <c r="T910" s="108">
        <f t="shared" si="1061"/>
        <v>4922.8205875231706</v>
      </c>
      <c r="U910" s="108">
        <f t="shared" si="1062"/>
        <v>0</v>
      </c>
      <c r="V910" s="108"/>
      <c r="W910" s="108"/>
      <c r="X910" s="109">
        <f t="shared" si="1063"/>
        <v>0</v>
      </c>
      <c r="Y910" s="99">
        <f t="shared" si="8"/>
        <v>9845.6411750463412</v>
      </c>
      <c r="Z910" s="108">
        <f t="shared" si="993"/>
        <v>9845.6411750463412</v>
      </c>
      <c r="AA910" s="108">
        <f t="shared" si="1015"/>
        <v>0</v>
      </c>
      <c r="AB910" s="108"/>
      <c r="AC910" s="108"/>
      <c r="AD910" s="109">
        <f t="shared" si="994"/>
        <v>0</v>
      </c>
      <c r="AE910" s="99">
        <f t="shared" ref="AE910:AF910" si="1088">AO910</f>
        <v>24</v>
      </c>
      <c r="AF910" s="101">
        <f t="shared" si="1088"/>
        <v>36</v>
      </c>
      <c r="AG910" s="101">
        <f t="shared" si="1065"/>
        <v>19.001300000000001</v>
      </c>
      <c r="AH910" s="101">
        <f t="shared" si="851"/>
        <v>101</v>
      </c>
      <c r="AI910" s="101">
        <f t="shared" si="852"/>
        <v>200</v>
      </c>
      <c r="AJ910" s="108">
        <f t="shared" si="1066"/>
        <v>1.4285714285714286</v>
      </c>
      <c r="AK910" s="101">
        <f t="shared" si="461"/>
        <v>4922.8205875231706</v>
      </c>
      <c r="AL910" s="101">
        <f t="shared" si="1067"/>
        <v>4922.8205875231706</v>
      </c>
      <c r="AM910" s="101"/>
      <c r="AN910" s="101"/>
      <c r="AO910" s="1">
        <v>24</v>
      </c>
      <c r="AP910" s="2">
        <v>36</v>
      </c>
      <c r="AQ910" s="74">
        <f t="shared" si="1068"/>
        <v>101</v>
      </c>
      <c r="AR910" s="31">
        <f t="shared" si="1069"/>
        <v>0</v>
      </c>
      <c r="AS910" s="2">
        <f t="shared" si="1070"/>
        <v>0</v>
      </c>
      <c r="AT910" s="33">
        <f t="shared" si="1071"/>
        <v>0</v>
      </c>
      <c r="AU910" s="31">
        <f t="shared" si="1072"/>
        <v>1</v>
      </c>
      <c r="AV910" s="2">
        <f t="shared" si="1073"/>
        <v>0</v>
      </c>
      <c r="AW910" s="33">
        <f t="shared" si="1074"/>
        <v>1</v>
      </c>
      <c r="AX910" s="31">
        <f t="shared" si="1075"/>
        <v>0</v>
      </c>
      <c r="AY910" s="33">
        <f t="shared" si="1076"/>
        <v>0</v>
      </c>
      <c r="AZ910" s="2"/>
      <c r="BA910" s="101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</row>
    <row r="911" spans="1:71" ht="12" customHeight="1">
      <c r="A911" s="2"/>
      <c r="B911" s="107">
        <v>836</v>
      </c>
      <c r="C911" s="31">
        <v>10</v>
      </c>
      <c r="D911" s="113" t="s">
        <v>15</v>
      </c>
      <c r="E911" s="2" t="s">
        <v>144</v>
      </c>
      <c r="F911" s="2"/>
      <c r="G911" s="1" t="s">
        <v>174</v>
      </c>
      <c r="H911" s="33">
        <f t="shared" ref="H911:H941" si="1089">IF(AX911=AT911,3,4)</f>
        <v>4</v>
      </c>
      <c r="I911" s="99">
        <f t="shared" si="0"/>
        <v>531.35404690832479</v>
      </c>
      <c r="J911" s="101">
        <f t="shared" si="1"/>
        <v>19.733333333333334</v>
      </c>
      <c r="K911" s="101">
        <f t="shared" si="2"/>
        <v>558</v>
      </c>
      <c r="L911" s="74">
        <f t="shared" si="1008"/>
        <v>53</v>
      </c>
      <c r="M911" s="99">
        <f t="shared" si="1030"/>
        <v>15940.621407249744</v>
      </c>
      <c r="N911" s="108">
        <f t="shared" si="1009"/>
        <v>3590.6285741015899</v>
      </c>
      <c r="O911" s="108">
        <f t="shared" ref="O911:O956" si="1090">U911*(1+(AG911/100)*(AI911/100-1))</f>
        <v>3590.6285741015899</v>
      </c>
      <c r="P911" s="108">
        <f t="shared" ref="P911:P941" si="1091">V911*(1+(AG911/100)*(AI911/100-1))</f>
        <v>3590.6285741015899</v>
      </c>
      <c r="Q911" s="108">
        <f t="shared" ref="Q911:Q941" si="1092">W911*(1+(AG911/100)*(AI911/100-1))</f>
        <v>3590.6285741015899</v>
      </c>
      <c r="R911" s="109">
        <f t="shared" ref="R911:R941" si="1093">X911*(1+(AG911/100)*(AI911/100-1))</f>
        <v>0</v>
      </c>
      <c r="S911" s="99">
        <f t="shared" si="694"/>
        <v>9032.9540050341475</v>
      </c>
      <c r="T911" s="108">
        <f t="shared" ref="T911:T941" si="1094">AL911*AS911*AY911</f>
        <v>2258.2385012585369</v>
      </c>
      <c r="U911" s="108">
        <f t="shared" ref="U911:U941" si="1095">AL911*AS911*AY911</f>
        <v>2258.2385012585369</v>
      </c>
      <c r="V911" s="108">
        <f t="shared" ref="V911:V941" si="1096">AL911*AS911*AY911</f>
        <v>2258.2385012585369</v>
      </c>
      <c r="W911" s="108">
        <f t="shared" ref="W911:W941" si="1097">IF(H911=4,AL911*AS911*IF(AT911=0,AY911,1),0)</f>
        <v>2258.2385012585369</v>
      </c>
      <c r="X911" s="109">
        <f t="shared" ref="X911:X941" si="1098">AL911*IF(H911=3,11,IF(AT911=1,15,13))*IF(AW911=1,0,AW911)</f>
        <v>0</v>
      </c>
      <c r="Y911" s="99">
        <f t="shared" si="8"/>
        <v>18065.908010068295</v>
      </c>
      <c r="Z911" s="108">
        <f t="shared" ref="Z911:Z941" si="1099">T911*AI911/100</f>
        <v>4516.4770025170737</v>
      </c>
      <c r="AA911" s="108">
        <f t="shared" ref="AA911:AA941" si="1100">U911*AI911/100</f>
        <v>4516.4770025170737</v>
      </c>
      <c r="AB911" s="108">
        <f t="shared" ref="AB911:AB941" si="1101">V911*AI911/100</f>
        <v>4516.4770025170737</v>
      </c>
      <c r="AC911" s="108">
        <f t="shared" ref="AC911:AC941" si="1102">W911*AI911/100</f>
        <v>4516.4770025170737</v>
      </c>
      <c r="AD911" s="109">
        <f t="shared" ref="AD911:AD941" si="1103">X911*AI911/100</f>
        <v>0</v>
      </c>
      <c r="AE911" s="99">
        <f t="shared" ref="AE911:AF911" si="1104">AO911</f>
        <v>30</v>
      </c>
      <c r="AF911" s="101">
        <f t="shared" si="1104"/>
        <v>36</v>
      </c>
      <c r="AG911" s="101">
        <f t="shared" ref="AG911:AG941" si="1105">IF($D$57+AX911&gt;100,100,$D$57+AX911)</f>
        <v>59.001300000000001</v>
      </c>
      <c r="AH911" s="101">
        <f t="shared" si="851"/>
        <v>592</v>
      </c>
      <c r="AI911" s="101">
        <f t="shared" si="852"/>
        <v>200</v>
      </c>
      <c r="AJ911" s="108">
        <f t="shared" ref="AJ911:AJ941" si="1106">10*AU911/IF(AT911=1,2.5,(IF(AY911=1,3,2.5)))</f>
        <v>3.3333333333333335</v>
      </c>
      <c r="AK911" s="101">
        <f t="shared" si="461"/>
        <v>2258.2385012585369</v>
      </c>
      <c r="AL911" s="101">
        <f t="shared" ref="AL911:AL941" si="1107">((VLOOKUP(C911,$B$36:$AG$39,22,FALSE)+VLOOKUP(C911,$B$40:$AG$43,22,FALSE)*$D$54))*$D$59/100</f>
        <v>2258.2385012585369</v>
      </c>
      <c r="AM911" s="101"/>
      <c r="AN911" s="101"/>
      <c r="AO911" s="1">
        <v>30</v>
      </c>
      <c r="AP911" s="2">
        <v>36</v>
      </c>
      <c r="AQ911" s="74">
        <f t="shared" ref="AQ911:AQ941" si="1108">VLOOKUP(C911,$B$45:$AA$48,22,FALSE)</f>
        <v>592</v>
      </c>
      <c r="AR911" s="31">
        <f t="shared" ref="AR911:AR941" si="1109">IF(LEFT(E911,1)*1=1,$S$65,$R$65)</f>
        <v>0</v>
      </c>
      <c r="AS911" s="2">
        <f t="shared" ref="AS911:AS941" si="1110">IF(LEFT(E911,1)*1=2,$U$65,$T$65)</f>
        <v>1</v>
      </c>
      <c r="AT911" s="33">
        <f t="shared" ref="AT911:AT941" si="1111">IF(LEFT(E911,1)*1=3,$W$65,$V$65)</f>
        <v>0</v>
      </c>
      <c r="AU911" s="31">
        <f t="shared" ref="AU911:AU941" si="1112">IF(MID(E911,3,1)*1=1,$Y$65,$X$65)</f>
        <v>1</v>
      </c>
      <c r="AV911" s="2">
        <f t="shared" ref="AV911:AV941" si="1113">IF(MID(E911,3,1)*1=2,$AA$65,$Z$65)</f>
        <v>0</v>
      </c>
      <c r="AW911" s="33">
        <f t="shared" ref="AW911:AW941" si="1114">IF(MID(E911,3,1)*1=3,$AC$65,$AB$65)</f>
        <v>1</v>
      </c>
      <c r="AX911" s="31">
        <f t="shared" ref="AX911:AX941" si="1115">IF(MID(E911,5,1)*1=1,$AE$65,$AD$65)</f>
        <v>40</v>
      </c>
      <c r="AY911" s="33">
        <f t="shared" ref="AY911:AY941" si="1116">IF(MID(E911,5,1)*1=2,$AG$65,$AF$65)</f>
        <v>1</v>
      </c>
      <c r="AZ911" s="2"/>
      <c r="BA911" s="101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</row>
    <row r="912" spans="1:71" ht="12" customHeight="1">
      <c r="A912" s="2"/>
      <c r="B912" s="107">
        <v>837</v>
      </c>
      <c r="C912" s="31">
        <v>10</v>
      </c>
      <c r="D912" s="113" t="s">
        <v>15</v>
      </c>
      <c r="E912" s="2" t="s">
        <v>138</v>
      </c>
      <c r="F912" s="2"/>
      <c r="G912" s="1" t="s">
        <v>174</v>
      </c>
      <c r="H912" s="33">
        <f t="shared" si="1089"/>
        <v>4</v>
      </c>
      <c r="I912" s="99">
        <f t="shared" si="0"/>
        <v>531.35404690832479</v>
      </c>
      <c r="J912" s="101">
        <f t="shared" si="1"/>
        <v>19.733333333333334</v>
      </c>
      <c r="K912" s="101">
        <f t="shared" si="2"/>
        <v>558</v>
      </c>
      <c r="L912" s="74">
        <f t="shared" si="1008"/>
        <v>53</v>
      </c>
      <c r="M912" s="99">
        <f t="shared" si="1030"/>
        <v>15940.621407249744</v>
      </c>
      <c r="N912" s="108">
        <f t="shared" si="1009"/>
        <v>3590.6285741015899</v>
      </c>
      <c r="O912" s="108">
        <f t="shared" si="1090"/>
        <v>3590.6285741015899</v>
      </c>
      <c r="P912" s="108">
        <f t="shared" si="1091"/>
        <v>3590.6285741015899</v>
      </c>
      <c r="Q912" s="108">
        <f t="shared" si="1092"/>
        <v>3590.6285741015899</v>
      </c>
      <c r="R912" s="109">
        <f t="shared" si="1093"/>
        <v>0</v>
      </c>
      <c r="S912" s="99">
        <f t="shared" si="694"/>
        <v>9032.9540050341475</v>
      </c>
      <c r="T912" s="108">
        <f t="shared" si="1094"/>
        <v>2258.2385012585369</v>
      </c>
      <c r="U912" s="108">
        <f t="shared" si="1095"/>
        <v>2258.2385012585369</v>
      </c>
      <c r="V912" s="108">
        <f t="shared" si="1096"/>
        <v>2258.2385012585369</v>
      </c>
      <c r="W912" s="108">
        <f t="shared" si="1097"/>
        <v>2258.2385012585369</v>
      </c>
      <c r="X912" s="109">
        <f t="shared" si="1098"/>
        <v>0</v>
      </c>
      <c r="Y912" s="99">
        <f t="shared" si="8"/>
        <v>18065.908010068295</v>
      </c>
      <c r="Z912" s="108">
        <f t="shared" si="1099"/>
        <v>4516.4770025170737</v>
      </c>
      <c r="AA912" s="108">
        <f t="shared" si="1100"/>
        <v>4516.4770025170737</v>
      </c>
      <c r="AB912" s="108">
        <f t="shared" si="1101"/>
        <v>4516.4770025170737</v>
      </c>
      <c r="AC912" s="108">
        <f t="shared" si="1102"/>
        <v>4516.4770025170737</v>
      </c>
      <c r="AD912" s="109">
        <f t="shared" si="1103"/>
        <v>0</v>
      </c>
      <c r="AE912" s="99">
        <f t="shared" ref="AE912:AF912" si="1117">AO912</f>
        <v>30</v>
      </c>
      <c r="AF912" s="101">
        <f t="shared" si="1117"/>
        <v>36</v>
      </c>
      <c r="AG912" s="101">
        <f t="shared" si="1105"/>
        <v>59.001300000000001</v>
      </c>
      <c r="AH912" s="101">
        <f t="shared" si="851"/>
        <v>592</v>
      </c>
      <c r="AI912" s="101">
        <f t="shared" si="852"/>
        <v>200</v>
      </c>
      <c r="AJ912" s="108">
        <f t="shared" si="1106"/>
        <v>2.6666666666666665</v>
      </c>
      <c r="AK912" s="101">
        <f t="shared" si="461"/>
        <v>2258.2385012585369</v>
      </c>
      <c r="AL912" s="101">
        <f t="shared" si="1107"/>
        <v>2258.2385012585369</v>
      </c>
      <c r="AM912" s="101"/>
      <c r="AN912" s="101"/>
      <c r="AO912" s="1">
        <v>30</v>
      </c>
      <c r="AP912" s="2">
        <v>36</v>
      </c>
      <c r="AQ912" s="74">
        <f t="shared" si="1108"/>
        <v>592</v>
      </c>
      <c r="AR912" s="31">
        <f t="shared" si="1109"/>
        <v>0</v>
      </c>
      <c r="AS912" s="2">
        <f t="shared" si="1110"/>
        <v>1</v>
      </c>
      <c r="AT912" s="33">
        <f t="shared" si="1111"/>
        <v>0</v>
      </c>
      <c r="AU912" s="31">
        <f t="shared" si="1112"/>
        <v>0.8</v>
      </c>
      <c r="AV912" s="2">
        <f t="shared" si="1113"/>
        <v>0</v>
      </c>
      <c r="AW912" s="33">
        <f t="shared" si="1114"/>
        <v>1</v>
      </c>
      <c r="AX912" s="31">
        <f t="shared" si="1115"/>
        <v>40</v>
      </c>
      <c r="AY912" s="33">
        <f t="shared" si="1116"/>
        <v>1</v>
      </c>
      <c r="AZ912" s="2"/>
      <c r="BA912" s="101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</row>
    <row r="913" spans="1:71" ht="12" customHeight="1">
      <c r="A913" s="2"/>
      <c r="B913" s="107">
        <v>838</v>
      </c>
      <c r="C913" s="31">
        <v>10</v>
      </c>
      <c r="D913" s="113" t="s">
        <v>15</v>
      </c>
      <c r="E913" s="2" t="s">
        <v>141</v>
      </c>
      <c r="F913" s="2"/>
      <c r="G913" s="1" t="s">
        <v>174</v>
      </c>
      <c r="H913" s="33">
        <f t="shared" si="1089"/>
        <v>4</v>
      </c>
      <c r="I913" s="99">
        <f t="shared" si="0"/>
        <v>876.73417739873582</v>
      </c>
      <c r="J913" s="101">
        <f t="shared" si="1"/>
        <v>19.733333333333334</v>
      </c>
      <c r="K913" s="101">
        <f t="shared" si="2"/>
        <v>227</v>
      </c>
      <c r="L913" s="74">
        <f t="shared" si="1008"/>
        <v>8</v>
      </c>
      <c r="M913" s="99">
        <f t="shared" si="1030"/>
        <v>26302.025321962075</v>
      </c>
      <c r="N913" s="108">
        <f t="shared" si="1009"/>
        <v>3590.6285741015899</v>
      </c>
      <c r="O913" s="108">
        <f t="shared" si="1090"/>
        <v>3590.6285741015899</v>
      </c>
      <c r="P913" s="108">
        <f t="shared" si="1091"/>
        <v>3590.6285741015899</v>
      </c>
      <c r="Q913" s="108">
        <f t="shared" si="1092"/>
        <v>3590.6285741015899</v>
      </c>
      <c r="R913" s="109">
        <f t="shared" si="1093"/>
        <v>9335.6342926641355</v>
      </c>
      <c r="S913" s="99">
        <f t="shared" si="694"/>
        <v>14904.374108306343</v>
      </c>
      <c r="T913" s="108">
        <f t="shared" si="1094"/>
        <v>2258.2385012585369</v>
      </c>
      <c r="U913" s="108">
        <f t="shared" si="1095"/>
        <v>2258.2385012585369</v>
      </c>
      <c r="V913" s="108">
        <f t="shared" si="1096"/>
        <v>2258.2385012585369</v>
      </c>
      <c r="W913" s="108">
        <f t="shared" si="1097"/>
        <v>2258.2385012585369</v>
      </c>
      <c r="X913" s="109">
        <f t="shared" si="1098"/>
        <v>5871.4201032721967</v>
      </c>
      <c r="Y913" s="99">
        <f t="shared" si="8"/>
        <v>29808.748216612687</v>
      </c>
      <c r="Z913" s="108">
        <f t="shared" si="1099"/>
        <v>4516.4770025170737</v>
      </c>
      <c r="AA913" s="108">
        <f t="shared" si="1100"/>
        <v>4516.4770025170737</v>
      </c>
      <c r="AB913" s="108">
        <f t="shared" si="1101"/>
        <v>4516.4770025170737</v>
      </c>
      <c r="AC913" s="108">
        <f t="shared" si="1102"/>
        <v>4516.4770025170737</v>
      </c>
      <c r="AD913" s="109">
        <f t="shared" si="1103"/>
        <v>11742.840206544392</v>
      </c>
      <c r="AE913" s="99">
        <f t="shared" ref="AE913:AF913" si="1118">AO913</f>
        <v>30</v>
      </c>
      <c r="AF913" s="101">
        <f t="shared" si="1118"/>
        <v>36</v>
      </c>
      <c r="AG913" s="101">
        <f t="shared" si="1105"/>
        <v>59.001300000000001</v>
      </c>
      <c r="AH913" s="101">
        <f t="shared" si="851"/>
        <v>592</v>
      </c>
      <c r="AI913" s="101">
        <f t="shared" si="852"/>
        <v>200</v>
      </c>
      <c r="AJ913" s="108">
        <f t="shared" si="1106"/>
        <v>3.3333333333333335</v>
      </c>
      <c r="AK913" s="101">
        <f t="shared" si="461"/>
        <v>2258.2385012585369</v>
      </c>
      <c r="AL913" s="101">
        <f t="shared" si="1107"/>
        <v>2258.2385012585369</v>
      </c>
      <c r="AM913" s="101"/>
      <c r="AN913" s="101"/>
      <c r="AO913" s="1">
        <v>30</v>
      </c>
      <c r="AP913" s="2">
        <v>36</v>
      </c>
      <c r="AQ913" s="74">
        <f t="shared" si="1108"/>
        <v>592</v>
      </c>
      <c r="AR913" s="31">
        <f t="shared" si="1109"/>
        <v>0</v>
      </c>
      <c r="AS913" s="2">
        <f t="shared" si="1110"/>
        <v>1</v>
      </c>
      <c r="AT913" s="33">
        <f t="shared" si="1111"/>
        <v>0</v>
      </c>
      <c r="AU913" s="31">
        <f t="shared" si="1112"/>
        <v>1</v>
      </c>
      <c r="AV913" s="2">
        <f t="shared" si="1113"/>
        <v>0</v>
      </c>
      <c r="AW913" s="33">
        <f t="shared" si="1114"/>
        <v>0.2</v>
      </c>
      <c r="AX913" s="31">
        <f t="shared" si="1115"/>
        <v>40</v>
      </c>
      <c r="AY913" s="33">
        <f t="shared" si="1116"/>
        <v>1</v>
      </c>
      <c r="AZ913" s="2"/>
      <c r="BA913" s="101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</row>
    <row r="914" spans="1:71" ht="12" customHeight="1">
      <c r="A914" s="2"/>
      <c r="B914" s="107">
        <v>839</v>
      </c>
      <c r="C914" s="31">
        <v>10</v>
      </c>
      <c r="D914" s="113" t="s">
        <v>15</v>
      </c>
      <c r="E914" s="2" t="s">
        <v>161</v>
      </c>
      <c r="F914" s="1"/>
      <c r="G914" s="1" t="s">
        <v>174</v>
      </c>
      <c r="H914" s="33">
        <f t="shared" si="1089"/>
        <v>4</v>
      </c>
      <c r="I914" s="99">
        <f t="shared" si="0"/>
        <v>664.19255863540593</v>
      </c>
      <c r="J914" s="101">
        <f t="shared" si="1"/>
        <v>19.733333333333334</v>
      </c>
      <c r="K914" s="101">
        <f t="shared" si="2"/>
        <v>395</v>
      </c>
      <c r="L914" s="74">
        <f t="shared" si="1008"/>
        <v>23</v>
      </c>
      <c r="M914" s="99">
        <f t="shared" si="1030"/>
        <v>19925.776759062177</v>
      </c>
      <c r="N914" s="108">
        <f t="shared" si="1009"/>
        <v>4488.2857176269872</v>
      </c>
      <c r="O914" s="108">
        <f t="shared" si="1090"/>
        <v>4488.2857176269872</v>
      </c>
      <c r="P914" s="108">
        <f t="shared" si="1091"/>
        <v>4488.2857176269872</v>
      </c>
      <c r="Q914" s="108">
        <f t="shared" si="1092"/>
        <v>4488.2857176269872</v>
      </c>
      <c r="R914" s="109">
        <f t="shared" si="1093"/>
        <v>0</v>
      </c>
      <c r="S914" s="99">
        <f t="shared" si="694"/>
        <v>11291.192506292684</v>
      </c>
      <c r="T914" s="108">
        <f t="shared" si="1094"/>
        <v>2822.798126573171</v>
      </c>
      <c r="U914" s="108">
        <f t="shared" si="1095"/>
        <v>2822.798126573171</v>
      </c>
      <c r="V914" s="108">
        <f t="shared" si="1096"/>
        <v>2822.798126573171</v>
      </c>
      <c r="W914" s="108">
        <f t="shared" si="1097"/>
        <v>2822.798126573171</v>
      </c>
      <c r="X914" s="109">
        <f t="shared" si="1098"/>
        <v>0</v>
      </c>
      <c r="Y914" s="99">
        <f t="shared" si="8"/>
        <v>22582.385012585368</v>
      </c>
      <c r="Z914" s="108">
        <f t="shared" si="1099"/>
        <v>5645.596253146342</v>
      </c>
      <c r="AA914" s="108">
        <f t="shared" si="1100"/>
        <v>5645.596253146342</v>
      </c>
      <c r="AB914" s="108">
        <f t="shared" si="1101"/>
        <v>5645.596253146342</v>
      </c>
      <c r="AC914" s="108">
        <f t="shared" si="1102"/>
        <v>5645.596253146342</v>
      </c>
      <c r="AD914" s="109">
        <f t="shared" si="1103"/>
        <v>0</v>
      </c>
      <c r="AE914" s="99">
        <f t="shared" ref="AE914:AF914" si="1119">AO914</f>
        <v>30</v>
      </c>
      <c r="AF914" s="101">
        <f t="shared" si="1119"/>
        <v>36</v>
      </c>
      <c r="AG914" s="101">
        <f t="shared" si="1105"/>
        <v>59.001300000000001</v>
      </c>
      <c r="AH914" s="101">
        <f t="shared" si="851"/>
        <v>592</v>
      </c>
      <c r="AI914" s="101">
        <f t="shared" si="852"/>
        <v>200</v>
      </c>
      <c r="AJ914" s="108">
        <f t="shared" si="1106"/>
        <v>3.3333333333333335</v>
      </c>
      <c r="AK914" s="101">
        <f t="shared" si="461"/>
        <v>2258.2385012585369</v>
      </c>
      <c r="AL914" s="101">
        <f t="shared" si="1107"/>
        <v>2258.2385012585369</v>
      </c>
      <c r="AM914" s="101"/>
      <c r="AN914" s="101"/>
      <c r="AO914" s="1">
        <v>30</v>
      </c>
      <c r="AP914" s="2">
        <v>36</v>
      </c>
      <c r="AQ914" s="74">
        <f t="shared" si="1108"/>
        <v>592</v>
      </c>
      <c r="AR914" s="31">
        <f t="shared" si="1109"/>
        <v>0</v>
      </c>
      <c r="AS914" s="2">
        <f t="shared" si="1110"/>
        <v>1.25</v>
      </c>
      <c r="AT914" s="33">
        <f t="shared" si="1111"/>
        <v>0</v>
      </c>
      <c r="AU914" s="31">
        <f t="shared" si="1112"/>
        <v>1</v>
      </c>
      <c r="AV914" s="2">
        <f t="shared" si="1113"/>
        <v>0</v>
      </c>
      <c r="AW914" s="33">
        <f t="shared" si="1114"/>
        <v>1</v>
      </c>
      <c r="AX914" s="31">
        <f t="shared" si="1115"/>
        <v>40</v>
      </c>
      <c r="AY914" s="33">
        <f t="shared" si="1116"/>
        <v>1</v>
      </c>
      <c r="AZ914" s="2"/>
      <c r="BA914" s="101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</row>
    <row r="915" spans="1:71" ht="12" customHeight="1">
      <c r="A915" s="2"/>
      <c r="B915" s="107">
        <v>840</v>
      </c>
      <c r="C915" s="31">
        <v>10</v>
      </c>
      <c r="D915" s="113" t="s">
        <v>15</v>
      </c>
      <c r="E915" s="2" t="s">
        <v>169</v>
      </c>
      <c r="F915" s="1"/>
      <c r="G915" s="1" t="s">
        <v>174</v>
      </c>
      <c r="H915" s="33">
        <f t="shared" si="1089"/>
        <v>4</v>
      </c>
      <c r="I915" s="99">
        <f t="shared" si="0"/>
        <v>664.19255863540593</v>
      </c>
      <c r="J915" s="101">
        <f t="shared" si="1"/>
        <v>19.733333333333334</v>
      </c>
      <c r="K915" s="101">
        <f t="shared" si="2"/>
        <v>395</v>
      </c>
      <c r="L915" s="74">
        <f t="shared" si="1008"/>
        <v>23</v>
      </c>
      <c r="M915" s="99">
        <f t="shared" si="1030"/>
        <v>19925.776759062177</v>
      </c>
      <c r="N915" s="108">
        <f t="shared" si="1009"/>
        <v>4488.2857176269872</v>
      </c>
      <c r="O915" s="108">
        <f t="shared" si="1090"/>
        <v>4488.2857176269872</v>
      </c>
      <c r="P915" s="108">
        <f t="shared" si="1091"/>
        <v>4488.2857176269872</v>
      </c>
      <c r="Q915" s="108">
        <f t="shared" si="1092"/>
        <v>4488.2857176269872</v>
      </c>
      <c r="R915" s="109">
        <f t="shared" si="1093"/>
        <v>0</v>
      </c>
      <c r="S915" s="99">
        <f t="shared" si="694"/>
        <v>11291.192506292684</v>
      </c>
      <c r="T915" s="108">
        <f t="shared" si="1094"/>
        <v>2822.798126573171</v>
      </c>
      <c r="U915" s="108">
        <f t="shared" si="1095"/>
        <v>2822.798126573171</v>
      </c>
      <c r="V915" s="108">
        <f t="shared" si="1096"/>
        <v>2822.798126573171</v>
      </c>
      <c r="W915" s="108">
        <f t="shared" si="1097"/>
        <v>2822.798126573171</v>
      </c>
      <c r="X915" s="109">
        <f t="shared" si="1098"/>
        <v>0</v>
      </c>
      <c r="Y915" s="99">
        <f t="shared" si="8"/>
        <v>22582.385012585368</v>
      </c>
      <c r="Z915" s="108">
        <f t="shared" si="1099"/>
        <v>5645.596253146342</v>
      </c>
      <c r="AA915" s="108">
        <f t="shared" si="1100"/>
        <v>5645.596253146342</v>
      </c>
      <c r="AB915" s="108">
        <f t="shared" si="1101"/>
        <v>5645.596253146342</v>
      </c>
      <c r="AC915" s="108">
        <f t="shared" si="1102"/>
        <v>5645.596253146342</v>
      </c>
      <c r="AD915" s="109">
        <f t="shared" si="1103"/>
        <v>0</v>
      </c>
      <c r="AE915" s="99">
        <f t="shared" ref="AE915:AF915" si="1120">AO915</f>
        <v>30</v>
      </c>
      <c r="AF915" s="101">
        <f t="shared" si="1120"/>
        <v>36</v>
      </c>
      <c r="AG915" s="101">
        <f t="shared" si="1105"/>
        <v>59.001300000000001</v>
      </c>
      <c r="AH915" s="101">
        <f t="shared" si="851"/>
        <v>592</v>
      </c>
      <c r="AI915" s="101">
        <f t="shared" si="852"/>
        <v>200</v>
      </c>
      <c r="AJ915" s="108">
        <f t="shared" si="1106"/>
        <v>2.6666666666666665</v>
      </c>
      <c r="AK915" s="101">
        <f t="shared" si="461"/>
        <v>2258.2385012585369</v>
      </c>
      <c r="AL915" s="101">
        <f t="shared" si="1107"/>
        <v>2258.2385012585369</v>
      </c>
      <c r="AM915" s="101"/>
      <c r="AN915" s="101"/>
      <c r="AO915" s="1">
        <v>30</v>
      </c>
      <c r="AP915" s="2">
        <v>36</v>
      </c>
      <c r="AQ915" s="74">
        <f t="shared" si="1108"/>
        <v>592</v>
      </c>
      <c r="AR915" s="31">
        <f t="shared" si="1109"/>
        <v>0</v>
      </c>
      <c r="AS915" s="2">
        <f t="shared" si="1110"/>
        <v>1.25</v>
      </c>
      <c r="AT915" s="33">
        <f t="shared" si="1111"/>
        <v>0</v>
      </c>
      <c r="AU915" s="31">
        <f t="shared" si="1112"/>
        <v>0.8</v>
      </c>
      <c r="AV915" s="2">
        <f t="shared" si="1113"/>
        <v>0</v>
      </c>
      <c r="AW915" s="33">
        <f t="shared" si="1114"/>
        <v>1</v>
      </c>
      <c r="AX915" s="31">
        <f t="shared" si="1115"/>
        <v>40</v>
      </c>
      <c r="AY915" s="33">
        <f t="shared" si="1116"/>
        <v>1</v>
      </c>
      <c r="AZ915" s="2"/>
      <c r="BA915" s="101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</row>
    <row r="916" spans="1:71" ht="12" customHeight="1">
      <c r="A916" s="2"/>
      <c r="B916" s="107">
        <v>841</v>
      </c>
      <c r="C916" s="31">
        <v>10</v>
      </c>
      <c r="D916" s="113" t="s">
        <v>15</v>
      </c>
      <c r="E916" s="2" t="s">
        <v>171</v>
      </c>
      <c r="F916" s="1"/>
      <c r="G916" s="1" t="s">
        <v>174</v>
      </c>
      <c r="H916" s="33">
        <f t="shared" si="1089"/>
        <v>4</v>
      </c>
      <c r="I916" s="99">
        <f t="shared" si="0"/>
        <v>1009.572689125817</v>
      </c>
      <c r="J916" s="101">
        <f t="shared" si="1"/>
        <v>19.733333333333334</v>
      </c>
      <c r="K916" s="101">
        <f t="shared" si="2"/>
        <v>154</v>
      </c>
      <c r="L916" s="74">
        <f t="shared" si="1008"/>
        <v>1</v>
      </c>
      <c r="M916" s="99">
        <f t="shared" si="1030"/>
        <v>30287.18067377451</v>
      </c>
      <c r="N916" s="108">
        <f t="shared" si="1009"/>
        <v>4488.2857176269872</v>
      </c>
      <c r="O916" s="108">
        <f t="shared" si="1090"/>
        <v>4488.2857176269872</v>
      </c>
      <c r="P916" s="108">
        <f t="shared" si="1091"/>
        <v>4488.2857176269872</v>
      </c>
      <c r="Q916" s="108">
        <f t="shared" si="1092"/>
        <v>4488.2857176269872</v>
      </c>
      <c r="R916" s="109">
        <f t="shared" si="1093"/>
        <v>9335.6342926641355</v>
      </c>
      <c r="S916" s="99">
        <f t="shared" si="694"/>
        <v>17162.61260956488</v>
      </c>
      <c r="T916" s="108">
        <f t="shared" si="1094"/>
        <v>2822.798126573171</v>
      </c>
      <c r="U916" s="108">
        <f t="shared" si="1095"/>
        <v>2822.798126573171</v>
      </c>
      <c r="V916" s="108">
        <f t="shared" si="1096"/>
        <v>2822.798126573171</v>
      </c>
      <c r="W916" s="108">
        <f t="shared" si="1097"/>
        <v>2822.798126573171</v>
      </c>
      <c r="X916" s="109">
        <f t="shared" si="1098"/>
        <v>5871.4201032721967</v>
      </c>
      <c r="Y916" s="99">
        <f t="shared" si="8"/>
        <v>34325.225219129759</v>
      </c>
      <c r="Z916" s="108">
        <f t="shared" si="1099"/>
        <v>5645.596253146342</v>
      </c>
      <c r="AA916" s="108">
        <f t="shared" si="1100"/>
        <v>5645.596253146342</v>
      </c>
      <c r="AB916" s="108">
        <f t="shared" si="1101"/>
        <v>5645.596253146342</v>
      </c>
      <c r="AC916" s="108">
        <f t="shared" si="1102"/>
        <v>5645.596253146342</v>
      </c>
      <c r="AD916" s="109">
        <f t="shared" si="1103"/>
        <v>11742.840206544392</v>
      </c>
      <c r="AE916" s="99">
        <f t="shared" ref="AE916:AF916" si="1121">AO916</f>
        <v>30</v>
      </c>
      <c r="AF916" s="101">
        <f t="shared" si="1121"/>
        <v>36</v>
      </c>
      <c r="AG916" s="101">
        <f t="shared" si="1105"/>
        <v>59.001300000000001</v>
      </c>
      <c r="AH916" s="101">
        <f t="shared" si="851"/>
        <v>592</v>
      </c>
      <c r="AI916" s="101">
        <f t="shared" si="852"/>
        <v>200</v>
      </c>
      <c r="AJ916" s="108">
        <f t="shared" si="1106"/>
        <v>3.3333333333333335</v>
      </c>
      <c r="AK916" s="101">
        <f t="shared" si="461"/>
        <v>2258.2385012585369</v>
      </c>
      <c r="AL916" s="101">
        <f t="shared" si="1107"/>
        <v>2258.2385012585369</v>
      </c>
      <c r="AM916" s="101"/>
      <c r="AN916" s="101"/>
      <c r="AO916" s="1">
        <v>30</v>
      </c>
      <c r="AP916" s="2">
        <v>36</v>
      </c>
      <c r="AQ916" s="74">
        <f t="shared" si="1108"/>
        <v>592</v>
      </c>
      <c r="AR916" s="31">
        <f t="shared" si="1109"/>
        <v>0</v>
      </c>
      <c r="AS916" s="2">
        <f t="shared" si="1110"/>
        <v>1.25</v>
      </c>
      <c r="AT916" s="33">
        <f t="shared" si="1111"/>
        <v>0</v>
      </c>
      <c r="AU916" s="31">
        <f t="shared" si="1112"/>
        <v>1</v>
      </c>
      <c r="AV916" s="2">
        <f t="shared" si="1113"/>
        <v>0</v>
      </c>
      <c r="AW916" s="33">
        <f t="shared" si="1114"/>
        <v>0.2</v>
      </c>
      <c r="AX916" s="31">
        <f t="shared" si="1115"/>
        <v>40</v>
      </c>
      <c r="AY916" s="33">
        <f t="shared" si="1116"/>
        <v>1</v>
      </c>
      <c r="AZ916" s="2"/>
      <c r="BA916" s="101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</row>
    <row r="917" spans="1:71" ht="12" customHeight="1">
      <c r="A917" s="2"/>
      <c r="B917" s="107">
        <v>842</v>
      </c>
      <c r="C917" s="31">
        <v>10</v>
      </c>
      <c r="D917" s="113" t="s">
        <v>15</v>
      </c>
      <c r="E917" s="2" t="s">
        <v>146</v>
      </c>
      <c r="F917" s="2"/>
      <c r="G917" s="1" t="s">
        <v>174</v>
      </c>
      <c r="H917" s="33">
        <f t="shared" si="1089"/>
        <v>4</v>
      </c>
      <c r="I917" s="99">
        <f t="shared" si="0"/>
        <v>531.35404690832479</v>
      </c>
      <c r="J917" s="101">
        <f t="shared" si="1"/>
        <v>19.733333333333334</v>
      </c>
      <c r="K917" s="101">
        <f t="shared" si="2"/>
        <v>558</v>
      </c>
      <c r="L917" s="74">
        <f t="shared" si="1008"/>
        <v>53</v>
      </c>
      <c r="M917" s="99">
        <f t="shared" si="1030"/>
        <v>15940.621407249744</v>
      </c>
      <c r="N917" s="108">
        <f t="shared" si="1009"/>
        <v>3590.6285741015899</v>
      </c>
      <c r="O917" s="108">
        <f t="shared" si="1090"/>
        <v>3590.6285741015899</v>
      </c>
      <c r="P917" s="108">
        <f t="shared" si="1091"/>
        <v>3590.6285741015899</v>
      </c>
      <c r="Q917" s="108">
        <f t="shared" si="1092"/>
        <v>3590.6285741015899</v>
      </c>
      <c r="R917" s="109">
        <f t="shared" si="1093"/>
        <v>0</v>
      </c>
      <c r="S917" s="99">
        <f t="shared" si="694"/>
        <v>9032.9540050341475</v>
      </c>
      <c r="T917" s="108">
        <f t="shared" si="1094"/>
        <v>2258.2385012585369</v>
      </c>
      <c r="U917" s="108">
        <f t="shared" si="1095"/>
        <v>2258.2385012585369</v>
      </c>
      <c r="V917" s="108">
        <f t="shared" si="1096"/>
        <v>2258.2385012585369</v>
      </c>
      <c r="W917" s="108">
        <f t="shared" si="1097"/>
        <v>2258.2385012585369</v>
      </c>
      <c r="X917" s="109">
        <f t="shared" si="1098"/>
        <v>0</v>
      </c>
      <c r="Y917" s="99">
        <f t="shared" si="8"/>
        <v>18065.908010068295</v>
      </c>
      <c r="Z917" s="108">
        <f t="shared" si="1099"/>
        <v>4516.4770025170737</v>
      </c>
      <c r="AA917" s="108">
        <f t="shared" si="1100"/>
        <v>4516.4770025170737</v>
      </c>
      <c r="AB917" s="108">
        <f t="shared" si="1101"/>
        <v>4516.4770025170737</v>
      </c>
      <c r="AC917" s="108">
        <f t="shared" si="1102"/>
        <v>4516.4770025170737</v>
      </c>
      <c r="AD917" s="109">
        <f t="shared" si="1103"/>
        <v>0</v>
      </c>
      <c r="AE917" s="99">
        <f t="shared" ref="AE917:AF917" si="1122">AO917</f>
        <v>30</v>
      </c>
      <c r="AF917" s="101">
        <f t="shared" si="1122"/>
        <v>36</v>
      </c>
      <c r="AG917" s="101">
        <f t="shared" si="1105"/>
        <v>59.001300000000001</v>
      </c>
      <c r="AH917" s="101">
        <f t="shared" si="851"/>
        <v>592</v>
      </c>
      <c r="AI917" s="101">
        <f t="shared" si="852"/>
        <v>200</v>
      </c>
      <c r="AJ917" s="108">
        <f t="shared" si="1106"/>
        <v>4</v>
      </c>
      <c r="AK917" s="101">
        <f t="shared" si="461"/>
        <v>2258.2385012585369</v>
      </c>
      <c r="AL917" s="101">
        <f t="shared" si="1107"/>
        <v>2258.2385012585369</v>
      </c>
      <c r="AM917" s="101"/>
      <c r="AN917" s="101"/>
      <c r="AO917" s="1">
        <v>30</v>
      </c>
      <c r="AP917" s="2">
        <v>36</v>
      </c>
      <c r="AQ917" s="74">
        <f t="shared" si="1108"/>
        <v>592</v>
      </c>
      <c r="AR917" s="31">
        <f t="shared" si="1109"/>
        <v>0</v>
      </c>
      <c r="AS917" s="2">
        <f t="shared" si="1110"/>
        <v>1</v>
      </c>
      <c r="AT917" s="74">
        <f t="shared" si="1111"/>
        <v>1</v>
      </c>
      <c r="AU917" s="31">
        <f t="shared" si="1112"/>
        <v>1</v>
      </c>
      <c r="AV917" s="2">
        <f t="shared" si="1113"/>
        <v>0</v>
      </c>
      <c r="AW917" s="33">
        <f t="shared" si="1114"/>
        <v>1</v>
      </c>
      <c r="AX917" s="31">
        <f t="shared" si="1115"/>
        <v>40</v>
      </c>
      <c r="AY917" s="33">
        <f t="shared" si="1116"/>
        <v>1</v>
      </c>
      <c r="AZ917" s="2"/>
      <c r="BA917" s="101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</row>
    <row r="918" spans="1:71" ht="12" customHeight="1">
      <c r="A918" s="2"/>
      <c r="B918" s="107">
        <v>843</v>
      </c>
      <c r="C918" s="31">
        <v>10</v>
      </c>
      <c r="D918" s="113" t="s">
        <v>15</v>
      </c>
      <c r="E918" s="2" t="s">
        <v>182</v>
      </c>
      <c r="F918" s="2"/>
      <c r="G918" s="1" t="s">
        <v>174</v>
      </c>
      <c r="H918" s="33">
        <f t="shared" si="1089"/>
        <v>4</v>
      </c>
      <c r="I918" s="99">
        <f t="shared" si="0"/>
        <v>531.35404690832479</v>
      </c>
      <c r="J918" s="101">
        <f t="shared" si="1"/>
        <v>19.733333333333334</v>
      </c>
      <c r="K918" s="101">
        <f t="shared" si="2"/>
        <v>558</v>
      </c>
      <c r="L918" s="74">
        <f t="shared" si="1008"/>
        <v>53</v>
      </c>
      <c r="M918" s="99">
        <f t="shared" si="1030"/>
        <v>15940.621407249744</v>
      </c>
      <c r="N918" s="108">
        <f t="shared" si="1009"/>
        <v>3590.6285741015899</v>
      </c>
      <c r="O918" s="108">
        <f t="shared" si="1090"/>
        <v>3590.6285741015899</v>
      </c>
      <c r="P918" s="108">
        <f t="shared" si="1091"/>
        <v>3590.6285741015899</v>
      </c>
      <c r="Q918" s="108">
        <f t="shared" si="1092"/>
        <v>3590.6285741015899</v>
      </c>
      <c r="R918" s="109">
        <f t="shared" si="1093"/>
        <v>0</v>
      </c>
      <c r="S918" s="99">
        <f t="shared" si="694"/>
        <v>9032.9540050341475</v>
      </c>
      <c r="T918" s="108">
        <f t="shared" si="1094"/>
        <v>2258.2385012585369</v>
      </c>
      <c r="U918" s="108">
        <f t="shared" si="1095"/>
        <v>2258.2385012585369</v>
      </c>
      <c r="V918" s="108">
        <f t="shared" si="1096"/>
        <v>2258.2385012585369</v>
      </c>
      <c r="W918" s="108">
        <f t="shared" si="1097"/>
        <v>2258.2385012585369</v>
      </c>
      <c r="X918" s="109">
        <f t="shared" si="1098"/>
        <v>0</v>
      </c>
      <c r="Y918" s="99">
        <f t="shared" si="8"/>
        <v>18065.908010068295</v>
      </c>
      <c r="Z918" s="108">
        <f t="shared" si="1099"/>
        <v>4516.4770025170737</v>
      </c>
      <c r="AA918" s="108">
        <f t="shared" si="1100"/>
        <v>4516.4770025170737</v>
      </c>
      <c r="AB918" s="108">
        <f t="shared" si="1101"/>
        <v>4516.4770025170737</v>
      </c>
      <c r="AC918" s="108">
        <f t="shared" si="1102"/>
        <v>4516.4770025170737</v>
      </c>
      <c r="AD918" s="109">
        <f t="shared" si="1103"/>
        <v>0</v>
      </c>
      <c r="AE918" s="99">
        <f t="shared" ref="AE918:AF918" si="1123">AO918</f>
        <v>30</v>
      </c>
      <c r="AF918" s="101">
        <f t="shared" si="1123"/>
        <v>36</v>
      </c>
      <c r="AG918" s="101">
        <f t="shared" si="1105"/>
        <v>59.001300000000001</v>
      </c>
      <c r="AH918" s="101">
        <f t="shared" si="851"/>
        <v>592</v>
      </c>
      <c r="AI918" s="101">
        <f t="shared" si="852"/>
        <v>200</v>
      </c>
      <c r="AJ918" s="108">
        <f t="shared" si="1106"/>
        <v>3.2</v>
      </c>
      <c r="AK918" s="101">
        <f t="shared" si="461"/>
        <v>2258.2385012585369</v>
      </c>
      <c r="AL918" s="101">
        <f t="shared" si="1107"/>
        <v>2258.2385012585369</v>
      </c>
      <c r="AM918" s="101"/>
      <c r="AN918" s="101"/>
      <c r="AO918" s="1">
        <v>30</v>
      </c>
      <c r="AP918" s="2">
        <v>36</v>
      </c>
      <c r="AQ918" s="74">
        <f t="shared" si="1108"/>
        <v>592</v>
      </c>
      <c r="AR918" s="31">
        <f t="shared" si="1109"/>
        <v>0</v>
      </c>
      <c r="AS918" s="2">
        <f t="shared" si="1110"/>
        <v>1</v>
      </c>
      <c r="AT918" s="74">
        <f t="shared" si="1111"/>
        <v>1</v>
      </c>
      <c r="AU918" s="31">
        <f t="shared" si="1112"/>
        <v>0.8</v>
      </c>
      <c r="AV918" s="2">
        <f t="shared" si="1113"/>
        <v>0</v>
      </c>
      <c r="AW918" s="33">
        <f t="shared" si="1114"/>
        <v>1</v>
      </c>
      <c r="AX918" s="31">
        <f t="shared" si="1115"/>
        <v>40</v>
      </c>
      <c r="AY918" s="33">
        <f t="shared" si="1116"/>
        <v>1</v>
      </c>
      <c r="AZ918" s="2"/>
      <c r="BA918" s="101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</row>
    <row r="919" spans="1:71" ht="12" customHeight="1">
      <c r="A919" s="2"/>
      <c r="B919" s="107">
        <v>844</v>
      </c>
      <c r="C919" s="31">
        <v>10</v>
      </c>
      <c r="D919" s="113" t="s">
        <v>15</v>
      </c>
      <c r="E919" s="2" t="s">
        <v>147</v>
      </c>
      <c r="F919" s="2"/>
      <c r="G919" s="1" t="s">
        <v>174</v>
      </c>
      <c r="H919" s="33">
        <f t="shared" si="1089"/>
        <v>4</v>
      </c>
      <c r="I919" s="99">
        <f t="shared" si="0"/>
        <v>929.86958208956844</v>
      </c>
      <c r="J919" s="101">
        <f t="shared" si="1"/>
        <v>19.733333333333334</v>
      </c>
      <c r="K919" s="101">
        <f t="shared" si="2"/>
        <v>189</v>
      </c>
      <c r="L919" s="74">
        <f t="shared" si="1008"/>
        <v>6</v>
      </c>
      <c r="M919" s="99">
        <f t="shared" si="1030"/>
        <v>27896.087462687054</v>
      </c>
      <c r="N919" s="108">
        <f t="shared" si="1009"/>
        <v>3590.6285741015899</v>
      </c>
      <c r="O919" s="108">
        <f t="shared" si="1090"/>
        <v>3590.6285741015899</v>
      </c>
      <c r="P919" s="108">
        <f t="shared" si="1091"/>
        <v>3590.6285741015899</v>
      </c>
      <c r="Q919" s="108">
        <f t="shared" si="1092"/>
        <v>3590.6285741015899</v>
      </c>
      <c r="R919" s="109">
        <f t="shared" si="1093"/>
        <v>10771.885722304771</v>
      </c>
      <c r="S919" s="99">
        <f t="shared" si="694"/>
        <v>15807.669508809759</v>
      </c>
      <c r="T919" s="108">
        <f t="shared" si="1094"/>
        <v>2258.2385012585369</v>
      </c>
      <c r="U919" s="108">
        <f t="shared" si="1095"/>
        <v>2258.2385012585369</v>
      </c>
      <c r="V919" s="108">
        <f t="shared" si="1096"/>
        <v>2258.2385012585369</v>
      </c>
      <c r="W919" s="108">
        <f t="shared" si="1097"/>
        <v>2258.2385012585369</v>
      </c>
      <c r="X919" s="109">
        <f t="shared" si="1098"/>
        <v>6774.7155037756111</v>
      </c>
      <c r="Y919" s="99">
        <f t="shared" si="8"/>
        <v>31615.339017619517</v>
      </c>
      <c r="Z919" s="108">
        <f t="shared" si="1099"/>
        <v>4516.4770025170737</v>
      </c>
      <c r="AA919" s="108">
        <f t="shared" si="1100"/>
        <v>4516.4770025170737</v>
      </c>
      <c r="AB919" s="108">
        <f t="shared" si="1101"/>
        <v>4516.4770025170737</v>
      </c>
      <c r="AC919" s="108">
        <f t="shared" si="1102"/>
        <v>4516.4770025170737</v>
      </c>
      <c r="AD919" s="109">
        <f t="shared" si="1103"/>
        <v>13549.431007551222</v>
      </c>
      <c r="AE919" s="99">
        <f t="shared" ref="AE919:AF919" si="1124">AO919</f>
        <v>30</v>
      </c>
      <c r="AF919" s="101">
        <f t="shared" si="1124"/>
        <v>36</v>
      </c>
      <c r="AG919" s="101">
        <f t="shared" si="1105"/>
        <v>59.001300000000001</v>
      </c>
      <c r="AH919" s="101">
        <f t="shared" si="851"/>
        <v>592</v>
      </c>
      <c r="AI919" s="101">
        <f t="shared" si="852"/>
        <v>200</v>
      </c>
      <c r="AJ919" s="108">
        <f t="shared" si="1106"/>
        <v>4</v>
      </c>
      <c r="AK919" s="101">
        <f t="shared" si="461"/>
        <v>2258.2385012585369</v>
      </c>
      <c r="AL919" s="101">
        <f t="shared" si="1107"/>
        <v>2258.2385012585369</v>
      </c>
      <c r="AM919" s="101"/>
      <c r="AN919" s="101"/>
      <c r="AO919" s="1">
        <v>30</v>
      </c>
      <c r="AP919" s="2">
        <v>36</v>
      </c>
      <c r="AQ919" s="74">
        <f t="shared" si="1108"/>
        <v>592</v>
      </c>
      <c r="AR919" s="31">
        <f t="shared" si="1109"/>
        <v>0</v>
      </c>
      <c r="AS919" s="2">
        <f t="shared" si="1110"/>
        <v>1</v>
      </c>
      <c r="AT919" s="74">
        <f t="shared" si="1111"/>
        <v>1</v>
      </c>
      <c r="AU919" s="31">
        <f t="shared" si="1112"/>
        <v>1</v>
      </c>
      <c r="AV919" s="2">
        <f t="shared" si="1113"/>
        <v>0</v>
      </c>
      <c r="AW919" s="33">
        <f t="shared" si="1114"/>
        <v>0.2</v>
      </c>
      <c r="AX919" s="31">
        <f t="shared" si="1115"/>
        <v>40</v>
      </c>
      <c r="AY919" s="33">
        <f t="shared" si="1116"/>
        <v>1</v>
      </c>
      <c r="AZ919" s="2"/>
      <c r="BA919" s="101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</row>
    <row r="920" spans="1:71" ht="12" customHeight="1">
      <c r="A920" s="2"/>
      <c r="B920" s="107">
        <v>845</v>
      </c>
      <c r="C920" s="31">
        <v>10</v>
      </c>
      <c r="D920" s="113" t="s">
        <v>15</v>
      </c>
      <c r="E920" s="2" t="s">
        <v>92</v>
      </c>
      <c r="F920" s="2"/>
      <c r="G920" s="2"/>
      <c r="H920" s="33">
        <f t="shared" si="1089"/>
        <v>3</v>
      </c>
      <c r="I920" s="99">
        <f t="shared" si="0"/>
        <v>387.73913662210833</v>
      </c>
      <c r="J920" s="101">
        <f t="shared" si="1"/>
        <v>19.733333333333334</v>
      </c>
      <c r="K920" s="101">
        <f t="shared" si="2"/>
        <v>743</v>
      </c>
      <c r="L920" s="74">
        <f t="shared" si="1008"/>
        <v>88</v>
      </c>
      <c r="M920" s="99">
        <f t="shared" si="1030"/>
        <v>11632.17409866325</v>
      </c>
      <c r="N920" s="108">
        <f t="shared" si="1009"/>
        <v>3493.5331256776276</v>
      </c>
      <c r="O920" s="108">
        <f t="shared" si="1090"/>
        <v>3493.5331256776276</v>
      </c>
      <c r="P920" s="108">
        <f t="shared" si="1091"/>
        <v>3493.5331256776276</v>
      </c>
      <c r="Q920" s="108">
        <f t="shared" si="1092"/>
        <v>0</v>
      </c>
      <c r="R920" s="109">
        <f t="shared" si="1093"/>
        <v>0</v>
      </c>
      <c r="S920" s="99">
        <f t="shared" si="694"/>
        <v>8807.1301549082928</v>
      </c>
      <c r="T920" s="108">
        <f t="shared" si="1094"/>
        <v>2935.7100516360979</v>
      </c>
      <c r="U920" s="108">
        <f t="shared" si="1095"/>
        <v>2935.7100516360979</v>
      </c>
      <c r="V920" s="108">
        <f t="shared" si="1096"/>
        <v>2935.7100516360979</v>
      </c>
      <c r="W920" s="108">
        <f t="shared" si="1097"/>
        <v>0</v>
      </c>
      <c r="X920" s="109">
        <f t="shared" si="1098"/>
        <v>0</v>
      </c>
      <c r="Y920" s="99">
        <f t="shared" si="8"/>
        <v>17614.260309816586</v>
      </c>
      <c r="Z920" s="108">
        <f t="shared" si="1099"/>
        <v>5871.4201032721958</v>
      </c>
      <c r="AA920" s="108">
        <f t="shared" si="1100"/>
        <v>5871.4201032721958</v>
      </c>
      <c r="AB920" s="108">
        <f t="shared" si="1101"/>
        <v>5871.4201032721958</v>
      </c>
      <c r="AC920" s="108">
        <f t="shared" si="1102"/>
        <v>0</v>
      </c>
      <c r="AD920" s="109">
        <f t="shared" si="1103"/>
        <v>0</v>
      </c>
      <c r="AE920" s="99">
        <f t="shared" ref="AE920:AF920" si="1125">AO920</f>
        <v>30</v>
      </c>
      <c r="AF920" s="101">
        <f t="shared" si="1125"/>
        <v>36</v>
      </c>
      <c r="AG920" s="101">
        <f t="shared" si="1105"/>
        <v>19.001300000000001</v>
      </c>
      <c r="AH920" s="101">
        <f t="shared" si="851"/>
        <v>592</v>
      </c>
      <c r="AI920" s="101">
        <f t="shared" si="852"/>
        <v>200</v>
      </c>
      <c r="AJ920" s="108">
        <f t="shared" si="1106"/>
        <v>4</v>
      </c>
      <c r="AK920" s="101">
        <f t="shared" si="461"/>
        <v>2258.2385012585369</v>
      </c>
      <c r="AL920" s="101">
        <f t="shared" si="1107"/>
        <v>2258.2385012585369</v>
      </c>
      <c r="AM920" s="101"/>
      <c r="AN920" s="101"/>
      <c r="AO920" s="1">
        <v>30</v>
      </c>
      <c r="AP920" s="2">
        <v>36</v>
      </c>
      <c r="AQ920" s="74">
        <f t="shared" si="1108"/>
        <v>592</v>
      </c>
      <c r="AR920" s="31">
        <f t="shared" si="1109"/>
        <v>0</v>
      </c>
      <c r="AS920" s="2">
        <f t="shared" si="1110"/>
        <v>1</v>
      </c>
      <c r="AT920" s="33">
        <f t="shared" si="1111"/>
        <v>0</v>
      </c>
      <c r="AU920" s="31">
        <f t="shared" si="1112"/>
        <v>1</v>
      </c>
      <c r="AV920" s="2">
        <f t="shared" si="1113"/>
        <v>0</v>
      </c>
      <c r="AW920" s="33">
        <f t="shared" si="1114"/>
        <v>1</v>
      </c>
      <c r="AX920" s="31">
        <f t="shared" si="1115"/>
        <v>0</v>
      </c>
      <c r="AY920" s="33">
        <f t="shared" si="1116"/>
        <v>1.3</v>
      </c>
      <c r="AZ920" s="2"/>
      <c r="BA920" s="101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</row>
    <row r="921" spans="1:71" ht="12" customHeight="1">
      <c r="A921" s="2"/>
      <c r="B921" s="107">
        <v>846</v>
      </c>
      <c r="C921" s="31">
        <v>10</v>
      </c>
      <c r="D921" s="113" t="s">
        <v>15</v>
      </c>
      <c r="E921" s="2" t="s">
        <v>139</v>
      </c>
      <c r="F921" s="2"/>
      <c r="G921" s="2"/>
      <c r="H921" s="33">
        <f t="shared" si="1089"/>
        <v>3</v>
      </c>
      <c r="I921" s="99">
        <f t="shared" si="0"/>
        <v>387.73913662210833</v>
      </c>
      <c r="J921" s="101">
        <f t="shared" si="1"/>
        <v>19.733333333333334</v>
      </c>
      <c r="K921" s="101">
        <f t="shared" si="2"/>
        <v>743</v>
      </c>
      <c r="L921" s="74">
        <f t="shared" si="1008"/>
        <v>88</v>
      </c>
      <c r="M921" s="99">
        <f t="shared" si="1030"/>
        <v>11632.17409866325</v>
      </c>
      <c r="N921" s="108">
        <f t="shared" si="1009"/>
        <v>3493.5331256776276</v>
      </c>
      <c r="O921" s="108">
        <f t="shared" si="1090"/>
        <v>3493.5331256776276</v>
      </c>
      <c r="P921" s="108">
        <f t="shared" si="1091"/>
        <v>3493.5331256776276</v>
      </c>
      <c r="Q921" s="108">
        <f t="shared" si="1092"/>
        <v>0</v>
      </c>
      <c r="R921" s="109">
        <f t="shared" si="1093"/>
        <v>0</v>
      </c>
      <c r="S921" s="99">
        <f t="shared" si="694"/>
        <v>8807.1301549082928</v>
      </c>
      <c r="T921" s="108">
        <f t="shared" si="1094"/>
        <v>2935.7100516360979</v>
      </c>
      <c r="U921" s="108">
        <f t="shared" si="1095"/>
        <v>2935.7100516360979</v>
      </c>
      <c r="V921" s="108">
        <f t="shared" si="1096"/>
        <v>2935.7100516360979</v>
      </c>
      <c r="W921" s="108">
        <f t="shared" si="1097"/>
        <v>0</v>
      </c>
      <c r="X921" s="109">
        <f t="shared" si="1098"/>
        <v>0</v>
      </c>
      <c r="Y921" s="99">
        <f t="shared" si="8"/>
        <v>17614.260309816586</v>
      </c>
      <c r="Z921" s="108">
        <f t="shared" si="1099"/>
        <v>5871.4201032721958</v>
      </c>
      <c r="AA921" s="108">
        <f t="shared" si="1100"/>
        <v>5871.4201032721958</v>
      </c>
      <c r="AB921" s="108">
        <f t="shared" si="1101"/>
        <v>5871.4201032721958</v>
      </c>
      <c r="AC921" s="108">
        <f t="shared" si="1102"/>
        <v>0</v>
      </c>
      <c r="AD921" s="109">
        <f t="shared" si="1103"/>
        <v>0</v>
      </c>
      <c r="AE921" s="99">
        <f t="shared" ref="AE921:AF921" si="1126">AO921</f>
        <v>30</v>
      </c>
      <c r="AF921" s="101">
        <f t="shared" si="1126"/>
        <v>36</v>
      </c>
      <c r="AG921" s="101">
        <f t="shared" si="1105"/>
        <v>19.001300000000001</v>
      </c>
      <c r="AH921" s="101">
        <f t="shared" si="851"/>
        <v>592</v>
      </c>
      <c r="AI921" s="101">
        <f t="shared" si="852"/>
        <v>200</v>
      </c>
      <c r="AJ921" s="108">
        <f t="shared" si="1106"/>
        <v>3.2</v>
      </c>
      <c r="AK921" s="101">
        <f t="shared" si="461"/>
        <v>2258.2385012585369</v>
      </c>
      <c r="AL921" s="101">
        <f t="shared" si="1107"/>
        <v>2258.2385012585369</v>
      </c>
      <c r="AM921" s="101"/>
      <c r="AN921" s="101"/>
      <c r="AO921" s="1">
        <v>30</v>
      </c>
      <c r="AP921" s="2">
        <v>36</v>
      </c>
      <c r="AQ921" s="74">
        <f t="shared" si="1108"/>
        <v>592</v>
      </c>
      <c r="AR921" s="31">
        <f t="shared" si="1109"/>
        <v>0</v>
      </c>
      <c r="AS921" s="2">
        <f t="shared" si="1110"/>
        <v>1</v>
      </c>
      <c r="AT921" s="33">
        <f t="shared" si="1111"/>
        <v>0</v>
      </c>
      <c r="AU921" s="31">
        <f t="shared" si="1112"/>
        <v>0.8</v>
      </c>
      <c r="AV921" s="2">
        <f t="shared" si="1113"/>
        <v>0</v>
      </c>
      <c r="AW921" s="33">
        <f t="shared" si="1114"/>
        <v>1</v>
      </c>
      <c r="AX921" s="31">
        <f t="shared" si="1115"/>
        <v>0</v>
      </c>
      <c r="AY921" s="33">
        <f t="shared" si="1116"/>
        <v>1.3</v>
      </c>
      <c r="AZ921" s="2"/>
      <c r="BA921" s="101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</row>
    <row r="922" spans="1:71" ht="12" customHeight="1">
      <c r="A922" s="2"/>
      <c r="B922" s="107">
        <v>847</v>
      </c>
      <c r="C922" s="31">
        <v>10</v>
      </c>
      <c r="D922" s="113" t="s">
        <v>15</v>
      </c>
      <c r="E922" s="2" t="s">
        <v>98</v>
      </c>
      <c r="F922" s="2"/>
      <c r="G922" s="2"/>
      <c r="H922" s="33">
        <f t="shared" si="1089"/>
        <v>3</v>
      </c>
      <c r="I922" s="99">
        <f t="shared" si="0"/>
        <v>606.46377779355396</v>
      </c>
      <c r="J922" s="101">
        <f t="shared" si="1"/>
        <v>19.733333333333334</v>
      </c>
      <c r="K922" s="101">
        <f t="shared" si="2"/>
        <v>454</v>
      </c>
      <c r="L922" s="74">
        <f t="shared" si="1008"/>
        <v>36</v>
      </c>
      <c r="M922" s="99">
        <f t="shared" si="1030"/>
        <v>18193.91333380662</v>
      </c>
      <c r="N922" s="108">
        <f t="shared" si="1009"/>
        <v>3493.5331256776276</v>
      </c>
      <c r="O922" s="108">
        <f t="shared" si="1090"/>
        <v>3493.5331256776276</v>
      </c>
      <c r="P922" s="108">
        <f t="shared" si="1091"/>
        <v>3493.5331256776276</v>
      </c>
      <c r="Q922" s="108">
        <f t="shared" si="1092"/>
        <v>0</v>
      </c>
      <c r="R922" s="109">
        <f t="shared" si="1093"/>
        <v>5912.1329819159855</v>
      </c>
      <c r="S922" s="99">
        <f t="shared" si="694"/>
        <v>13775.254857677075</v>
      </c>
      <c r="T922" s="108">
        <f t="shared" si="1094"/>
        <v>2935.7100516360979</v>
      </c>
      <c r="U922" s="108">
        <f t="shared" si="1095"/>
        <v>2935.7100516360979</v>
      </c>
      <c r="V922" s="108">
        <f t="shared" si="1096"/>
        <v>2935.7100516360979</v>
      </c>
      <c r="W922" s="108">
        <f t="shared" si="1097"/>
        <v>0</v>
      </c>
      <c r="X922" s="109">
        <f t="shared" si="1098"/>
        <v>4968.1247027687814</v>
      </c>
      <c r="Y922" s="99">
        <f t="shared" si="8"/>
        <v>27550.50971535415</v>
      </c>
      <c r="Z922" s="108">
        <f t="shared" si="1099"/>
        <v>5871.4201032721958</v>
      </c>
      <c r="AA922" s="108">
        <f t="shared" si="1100"/>
        <v>5871.4201032721958</v>
      </c>
      <c r="AB922" s="108">
        <f t="shared" si="1101"/>
        <v>5871.4201032721958</v>
      </c>
      <c r="AC922" s="108">
        <f t="shared" si="1102"/>
        <v>0</v>
      </c>
      <c r="AD922" s="109">
        <f t="shared" si="1103"/>
        <v>9936.2494055375628</v>
      </c>
      <c r="AE922" s="99">
        <f t="shared" ref="AE922:AF922" si="1127">AO922</f>
        <v>30</v>
      </c>
      <c r="AF922" s="101">
        <f t="shared" si="1127"/>
        <v>36</v>
      </c>
      <c r="AG922" s="101">
        <f t="shared" si="1105"/>
        <v>19.001300000000001</v>
      </c>
      <c r="AH922" s="101">
        <f t="shared" si="851"/>
        <v>592</v>
      </c>
      <c r="AI922" s="101">
        <f t="shared" si="852"/>
        <v>200</v>
      </c>
      <c r="AJ922" s="108">
        <f t="shared" si="1106"/>
        <v>4</v>
      </c>
      <c r="AK922" s="101">
        <f t="shared" si="461"/>
        <v>2258.2385012585369</v>
      </c>
      <c r="AL922" s="101">
        <f t="shared" si="1107"/>
        <v>2258.2385012585369</v>
      </c>
      <c r="AM922" s="101"/>
      <c r="AN922" s="101"/>
      <c r="AO922" s="1">
        <v>30</v>
      </c>
      <c r="AP922" s="2">
        <v>36</v>
      </c>
      <c r="AQ922" s="74">
        <f t="shared" si="1108"/>
        <v>592</v>
      </c>
      <c r="AR922" s="31">
        <f t="shared" si="1109"/>
        <v>0</v>
      </c>
      <c r="AS922" s="2">
        <f t="shared" si="1110"/>
        <v>1</v>
      </c>
      <c r="AT922" s="33">
        <f t="shared" si="1111"/>
        <v>0</v>
      </c>
      <c r="AU922" s="31">
        <f t="shared" si="1112"/>
        <v>1</v>
      </c>
      <c r="AV922" s="2">
        <f t="shared" si="1113"/>
        <v>0</v>
      </c>
      <c r="AW922" s="33">
        <f t="shared" si="1114"/>
        <v>0.2</v>
      </c>
      <c r="AX922" s="31">
        <f t="shared" si="1115"/>
        <v>0</v>
      </c>
      <c r="AY922" s="33">
        <f t="shared" si="1116"/>
        <v>1.3</v>
      </c>
      <c r="AZ922" s="2"/>
      <c r="BA922" s="101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</row>
    <row r="923" spans="1:71" ht="12" customHeight="1">
      <c r="A923" s="2"/>
      <c r="B923" s="107">
        <v>848</v>
      </c>
      <c r="C923" s="31">
        <v>10</v>
      </c>
      <c r="D923" s="113" t="s">
        <v>15</v>
      </c>
      <c r="E923" s="2" t="s">
        <v>99</v>
      </c>
      <c r="F923" s="1"/>
      <c r="G923" s="1" t="s">
        <v>174</v>
      </c>
      <c r="H923" s="33">
        <f t="shared" si="1089"/>
        <v>3</v>
      </c>
      <c r="I923" s="99">
        <f t="shared" si="0"/>
        <v>484.67392077763543</v>
      </c>
      <c r="J923" s="101">
        <f t="shared" si="1"/>
        <v>19.733333333333334</v>
      </c>
      <c r="K923" s="101">
        <f t="shared" si="2"/>
        <v>622</v>
      </c>
      <c r="L923" s="74">
        <f t="shared" si="1008"/>
        <v>65</v>
      </c>
      <c r="M923" s="99">
        <f t="shared" si="1030"/>
        <v>14540.217623329063</v>
      </c>
      <c r="N923" s="108">
        <f t="shared" si="1009"/>
        <v>4366.9164070970346</v>
      </c>
      <c r="O923" s="108">
        <f t="shared" si="1090"/>
        <v>4366.9164070970346</v>
      </c>
      <c r="P923" s="108">
        <f t="shared" si="1091"/>
        <v>4366.9164070970346</v>
      </c>
      <c r="Q923" s="108">
        <f t="shared" si="1092"/>
        <v>0</v>
      </c>
      <c r="R923" s="109">
        <f t="shared" si="1093"/>
        <v>0</v>
      </c>
      <c r="S923" s="99">
        <f t="shared" si="694"/>
        <v>11008.912693635368</v>
      </c>
      <c r="T923" s="108">
        <f t="shared" si="1094"/>
        <v>3669.6375645451226</v>
      </c>
      <c r="U923" s="108">
        <f t="shared" si="1095"/>
        <v>3669.6375645451226</v>
      </c>
      <c r="V923" s="108">
        <f t="shared" si="1096"/>
        <v>3669.6375645451226</v>
      </c>
      <c r="W923" s="108">
        <f t="shared" si="1097"/>
        <v>0</v>
      </c>
      <c r="X923" s="109">
        <f t="shared" si="1098"/>
        <v>0</v>
      </c>
      <c r="Y923" s="99">
        <f t="shared" si="8"/>
        <v>22017.825387270736</v>
      </c>
      <c r="Z923" s="108">
        <f t="shared" si="1099"/>
        <v>7339.2751290902452</v>
      </c>
      <c r="AA923" s="108">
        <f t="shared" si="1100"/>
        <v>7339.2751290902452</v>
      </c>
      <c r="AB923" s="108">
        <f t="shared" si="1101"/>
        <v>7339.2751290902452</v>
      </c>
      <c r="AC923" s="108">
        <f t="shared" si="1102"/>
        <v>0</v>
      </c>
      <c r="AD923" s="109">
        <f t="shared" si="1103"/>
        <v>0</v>
      </c>
      <c r="AE923" s="99">
        <f t="shared" ref="AE923:AF923" si="1128">AO923</f>
        <v>30</v>
      </c>
      <c r="AF923" s="101">
        <f t="shared" si="1128"/>
        <v>36</v>
      </c>
      <c r="AG923" s="101">
        <f t="shared" si="1105"/>
        <v>19.001300000000001</v>
      </c>
      <c r="AH923" s="101">
        <f t="shared" si="851"/>
        <v>592</v>
      </c>
      <c r="AI923" s="101">
        <f t="shared" si="852"/>
        <v>200</v>
      </c>
      <c r="AJ923" s="108">
        <f t="shared" si="1106"/>
        <v>4</v>
      </c>
      <c r="AK923" s="101">
        <f t="shared" si="461"/>
        <v>2258.2385012585369</v>
      </c>
      <c r="AL923" s="101">
        <f t="shared" si="1107"/>
        <v>2258.2385012585369</v>
      </c>
      <c r="AM923" s="101"/>
      <c r="AN923" s="101"/>
      <c r="AO923" s="1">
        <v>30</v>
      </c>
      <c r="AP923" s="2">
        <v>36</v>
      </c>
      <c r="AQ923" s="74">
        <f t="shared" si="1108"/>
        <v>592</v>
      </c>
      <c r="AR923" s="31">
        <f t="shared" si="1109"/>
        <v>0</v>
      </c>
      <c r="AS923" s="2">
        <f t="shared" si="1110"/>
        <v>1.25</v>
      </c>
      <c r="AT923" s="33">
        <f t="shared" si="1111"/>
        <v>0</v>
      </c>
      <c r="AU923" s="31">
        <f t="shared" si="1112"/>
        <v>1</v>
      </c>
      <c r="AV923" s="2">
        <f t="shared" si="1113"/>
        <v>0</v>
      </c>
      <c r="AW923" s="33">
        <f t="shared" si="1114"/>
        <v>1</v>
      </c>
      <c r="AX923" s="31">
        <f t="shared" si="1115"/>
        <v>0</v>
      </c>
      <c r="AY923" s="33">
        <f t="shared" si="1116"/>
        <v>1.3</v>
      </c>
      <c r="AZ923" s="2"/>
      <c r="BA923" s="101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</row>
    <row r="924" spans="1:71" ht="12" customHeight="1">
      <c r="A924" s="2"/>
      <c r="B924" s="107">
        <v>849</v>
      </c>
      <c r="C924" s="31">
        <v>10</v>
      </c>
      <c r="D924" s="113" t="s">
        <v>15</v>
      </c>
      <c r="E924" s="2" t="s">
        <v>170</v>
      </c>
      <c r="F924" s="1"/>
      <c r="G924" s="1" t="s">
        <v>174</v>
      </c>
      <c r="H924" s="33">
        <f t="shared" si="1089"/>
        <v>3</v>
      </c>
      <c r="I924" s="99">
        <f t="shared" si="0"/>
        <v>484.67392077763543</v>
      </c>
      <c r="J924" s="101">
        <f t="shared" si="1"/>
        <v>19.733333333333334</v>
      </c>
      <c r="K924" s="101">
        <f t="shared" si="2"/>
        <v>622</v>
      </c>
      <c r="L924" s="74">
        <f t="shared" si="1008"/>
        <v>65</v>
      </c>
      <c r="M924" s="99">
        <f t="shared" si="1030"/>
        <v>14540.217623329063</v>
      </c>
      <c r="N924" s="108">
        <f t="shared" si="1009"/>
        <v>4366.9164070970346</v>
      </c>
      <c r="O924" s="108">
        <f t="shared" si="1090"/>
        <v>4366.9164070970346</v>
      </c>
      <c r="P924" s="108">
        <f t="shared" si="1091"/>
        <v>4366.9164070970346</v>
      </c>
      <c r="Q924" s="108">
        <f t="shared" si="1092"/>
        <v>0</v>
      </c>
      <c r="R924" s="109">
        <f t="shared" si="1093"/>
        <v>0</v>
      </c>
      <c r="S924" s="99">
        <f t="shared" si="694"/>
        <v>11008.912693635368</v>
      </c>
      <c r="T924" s="108">
        <f t="shared" si="1094"/>
        <v>3669.6375645451226</v>
      </c>
      <c r="U924" s="108">
        <f t="shared" si="1095"/>
        <v>3669.6375645451226</v>
      </c>
      <c r="V924" s="108">
        <f t="shared" si="1096"/>
        <v>3669.6375645451226</v>
      </c>
      <c r="W924" s="108">
        <f t="shared" si="1097"/>
        <v>0</v>
      </c>
      <c r="X924" s="109">
        <f t="shared" si="1098"/>
        <v>0</v>
      </c>
      <c r="Y924" s="99">
        <f t="shared" si="8"/>
        <v>22017.825387270736</v>
      </c>
      <c r="Z924" s="108">
        <f t="shared" si="1099"/>
        <v>7339.2751290902452</v>
      </c>
      <c r="AA924" s="108">
        <f t="shared" si="1100"/>
        <v>7339.2751290902452</v>
      </c>
      <c r="AB924" s="108">
        <f t="shared" si="1101"/>
        <v>7339.2751290902452</v>
      </c>
      <c r="AC924" s="108">
        <f t="shared" si="1102"/>
        <v>0</v>
      </c>
      <c r="AD924" s="109">
        <f t="shared" si="1103"/>
        <v>0</v>
      </c>
      <c r="AE924" s="99">
        <f t="shared" ref="AE924:AF924" si="1129">AO924</f>
        <v>30</v>
      </c>
      <c r="AF924" s="101">
        <f t="shared" si="1129"/>
        <v>36</v>
      </c>
      <c r="AG924" s="101">
        <f t="shared" si="1105"/>
        <v>19.001300000000001</v>
      </c>
      <c r="AH924" s="101">
        <f t="shared" si="851"/>
        <v>592</v>
      </c>
      <c r="AI924" s="101">
        <f t="shared" si="852"/>
        <v>200</v>
      </c>
      <c r="AJ924" s="108">
        <f t="shared" si="1106"/>
        <v>3.2</v>
      </c>
      <c r="AK924" s="101">
        <f t="shared" si="461"/>
        <v>2258.2385012585369</v>
      </c>
      <c r="AL924" s="101">
        <f t="shared" si="1107"/>
        <v>2258.2385012585369</v>
      </c>
      <c r="AM924" s="101"/>
      <c r="AN924" s="101"/>
      <c r="AO924" s="1">
        <v>30</v>
      </c>
      <c r="AP924" s="2">
        <v>36</v>
      </c>
      <c r="AQ924" s="74">
        <f t="shared" si="1108"/>
        <v>592</v>
      </c>
      <c r="AR924" s="31">
        <f t="shared" si="1109"/>
        <v>0</v>
      </c>
      <c r="AS924" s="2">
        <f t="shared" si="1110"/>
        <v>1.25</v>
      </c>
      <c r="AT924" s="33">
        <f t="shared" si="1111"/>
        <v>0</v>
      </c>
      <c r="AU924" s="31">
        <f t="shared" si="1112"/>
        <v>0.8</v>
      </c>
      <c r="AV924" s="2">
        <f t="shared" si="1113"/>
        <v>0</v>
      </c>
      <c r="AW924" s="33">
        <f t="shared" si="1114"/>
        <v>1</v>
      </c>
      <c r="AX924" s="31">
        <f t="shared" si="1115"/>
        <v>0</v>
      </c>
      <c r="AY924" s="33">
        <f t="shared" si="1116"/>
        <v>1.3</v>
      </c>
      <c r="AZ924" s="2"/>
      <c r="BA924" s="101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</row>
    <row r="925" spans="1:71" ht="12" customHeight="1">
      <c r="A925" s="2"/>
      <c r="B925" s="107">
        <v>850</v>
      </c>
      <c r="C925" s="31">
        <v>10</v>
      </c>
      <c r="D925" s="113" t="s">
        <v>15</v>
      </c>
      <c r="E925" s="2" t="s">
        <v>108</v>
      </c>
      <c r="F925" s="1"/>
      <c r="G925" s="1" t="s">
        <v>174</v>
      </c>
      <c r="H925" s="33">
        <f t="shared" si="1089"/>
        <v>3</v>
      </c>
      <c r="I925" s="99">
        <f t="shared" si="0"/>
        <v>703.39856194908123</v>
      </c>
      <c r="J925" s="101">
        <f t="shared" si="1"/>
        <v>19.733333333333334</v>
      </c>
      <c r="K925" s="101">
        <f t="shared" si="2"/>
        <v>355</v>
      </c>
      <c r="L925" s="74">
        <f t="shared" si="1008"/>
        <v>19</v>
      </c>
      <c r="M925" s="99">
        <f t="shared" si="1030"/>
        <v>21101.956858472437</v>
      </c>
      <c r="N925" s="108">
        <f t="shared" si="1009"/>
        <v>4366.9164070970346</v>
      </c>
      <c r="O925" s="108">
        <f t="shared" si="1090"/>
        <v>4366.9164070970346</v>
      </c>
      <c r="P925" s="108">
        <f t="shared" si="1091"/>
        <v>4366.9164070970346</v>
      </c>
      <c r="Q925" s="108">
        <f t="shared" si="1092"/>
        <v>0</v>
      </c>
      <c r="R925" s="109">
        <f t="shared" si="1093"/>
        <v>5912.1329819159855</v>
      </c>
      <c r="S925" s="99">
        <f t="shared" si="694"/>
        <v>15977.03739640415</v>
      </c>
      <c r="T925" s="108">
        <f t="shared" si="1094"/>
        <v>3669.6375645451226</v>
      </c>
      <c r="U925" s="108">
        <f t="shared" si="1095"/>
        <v>3669.6375645451226</v>
      </c>
      <c r="V925" s="108">
        <f t="shared" si="1096"/>
        <v>3669.6375645451226</v>
      </c>
      <c r="W925" s="108">
        <f t="shared" si="1097"/>
        <v>0</v>
      </c>
      <c r="X925" s="109">
        <f t="shared" si="1098"/>
        <v>4968.1247027687814</v>
      </c>
      <c r="Y925" s="99">
        <f t="shared" si="8"/>
        <v>31954.0747928083</v>
      </c>
      <c r="Z925" s="108">
        <f t="shared" si="1099"/>
        <v>7339.2751290902452</v>
      </c>
      <c r="AA925" s="108">
        <f t="shared" si="1100"/>
        <v>7339.2751290902452</v>
      </c>
      <c r="AB925" s="108">
        <f t="shared" si="1101"/>
        <v>7339.2751290902452</v>
      </c>
      <c r="AC925" s="108">
        <f t="shared" si="1102"/>
        <v>0</v>
      </c>
      <c r="AD925" s="109">
        <f t="shared" si="1103"/>
        <v>9936.2494055375628</v>
      </c>
      <c r="AE925" s="99">
        <f t="shared" ref="AE925:AF925" si="1130">AO925</f>
        <v>30</v>
      </c>
      <c r="AF925" s="101">
        <f t="shared" si="1130"/>
        <v>36</v>
      </c>
      <c r="AG925" s="101">
        <f t="shared" si="1105"/>
        <v>19.001300000000001</v>
      </c>
      <c r="AH925" s="101">
        <f t="shared" si="851"/>
        <v>592</v>
      </c>
      <c r="AI925" s="101">
        <f t="shared" si="852"/>
        <v>200</v>
      </c>
      <c r="AJ925" s="108">
        <f t="shared" si="1106"/>
        <v>4</v>
      </c>
      <c r="AK925" s="101">
        <f t="shared" si="461"/>
        <v>2258.2385012585369</v>
      </c>
      <c r="AL925" s="101">
        <f t="shared" si="1107"/>
        <v>2258.2385012585369</v>
      </c>
      <c r="AM925" s="101"/>
      <c r="AN925" s="101"/>
      <c r="AO925" s="1">
        <v>30</v>
      </c>
      <c r="AP925" s="2">
        <v>36</v>
      </c>
      <c r="AQ925" s="74">
        <f t="shared" si="1108"/>
        <v>592</v>
      </c>
      <c r="AR925" s="31">
        <f t="shared" si="1109"/>
        <v>0</v>
      </c>
      <c r="AS925" s="2">
        <f t="shared" si="1110"/>
        <v>1.25</v>
      </c>
      <c r="AT925" s="33">
        <f t="shared" si="1111"/>
        <v>0</v>
      </c>
      <c r="AU925" s="31">
        <f t="shared" si="1112"/>
        <v>1</v>
      </c>
      <c r="AV925" s="2">
        <f t="shared" si="1113"/>
        <v>0</v>
      </c>
      <c r="AW925" s="33">
        <f t="shared" si="1114"/>
        <v>0.2</v>
      </c>
      <c r="AX925" s="31">
        <f t="shared" si="1115"/>
        <v>0</v>
      </c>
      <c r="AY925" s="33">
        <f t="shared" si="1116"/>
        <v>1.3</v>
      </c>
      <c r="AZ925" s="2"/>
      <c r="BA925" s="101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</row>
    <row r="926" spans="1:71" ht="12" customHeight="1">
      <c r="A926" s="2"/>
      <c r="B926" s="107">
        <v>851</v>
      </c>
      <c r="C926" s="31">
        <v>10</v>
      </c>
      <c r="D926" s="113" t="s">
        <v>15</v>
      </c>
      <c r="E926" s="2" t="s">
        <v>111</v>
      </c>
      <c r="F926" s="2"/>
      <c r="G926" s="2"/>
      <c r="H926" s="33">
        <f t="shared" si="1089"/>
        <v>4</v>
      </c>
      <c r="I926" s="99">
        <f t="shared" si="0"/>
        <v>487.15942806367457</v>
      </c>
      <c r="J926" s="101">
        <f t="shared" si="1"/>
        <v>19.733333333333334</v>
      </c>
      <c r="K926" s="101">
        <f t="shared" si="2"/>
        <v>619</v>
      </c>
      <c r="L926" s="74">
        <f t="shared" si="1008"/>
        <v>62</v>
      </c>
      <c r="M926" s="99">
        <f t="shared" si="1030"/>
        <v>14614.782841910237</v>
      </c>
      <c r="N926" s="108">
        <f t="shared" si="1009"/>
        <v>3493.5331256776276</v>
      </c>
      <c r="O926" s="108">
        <f t="shared" si="1090"/>
        <v>3493.5331256776276</v>
      </c>
      <c r="P926" s="108">
        <f t="shared" si="1091"/>
        <v>3493.5331256776276</v>
      </c>
      <c r="Q926" s="108">
        <f t="shared" si="1092"/>
        <v>2687.3331735981751</v>
      </c>
      <c r="R926" s="109">
        <f t="shared" si="1093"/>
        <v>0</v>
      </c>
      <c r="S926" s="99">
        <f t="shared" si="694"/>
        <v>11065.368656166829</v>
      </c>
      <c r="T926" s="108">
        <f t="shared" si="1094"/>
        <v>2935.7100516360979</v>
      </c>
      <c r="U926" s="108">
        <f t="shared" si="1095"/>
        <v>2935.7100516360979</v>
      </c>
      <c r="V926" s="108">
        <f t="shared" si="1096"/>
        <v>2935.7100516360979</v>
      </c>
      <c r="W926" s="108">
        <f t="shared" si="1097"/>
        <v>2258.2385012585369</v>
      </c>
      <c r="X926" s="109">
        <f t="shared" si="1098"/>
        <v>0</v>
      </c>
      <c r="Y926" s="99">
        <f t="shared" si="8"/>
        <v>22130.737312333658</v>
      </c>
      <c r="Z926" s="108">
        <f t="shared" si="1099"/>
        <v>5871.4201032721958</v>
      </c>
      <c r="AA926" s="108">
        <f t="shared" si="1100"/>
        <v>5871.4201032721958</v>
      </c>
      <c r="AB926" s="108">
        <f t="shared" si="1101"/>
        <v>5871.4201032721958</v>
      </c>
      <c r="AC926" s="108">
        <f t="shared" si="1102"/>
        <v>4516.4770025170737</v>
      </c>
      <c r="AD926" s="109">
        <f t="shared" si="1103"/>
        <v>0</v>
      </c>
      <c r="AE926" s="99">
        <f t="shared" ref="AE926:AF926" si="1131">AO926</f>
        <v>30</v>
      </c>
      <c r="AF926" s="101">
        <f t="shared" si="1131"/>
        <v>36</v>
      </c>
      <c r="AG926" s="101">
        <f t="shared" si="1105"/>
        <v>19.001300000000001</v>
      </c>
      <c r="AH926" s="101">
        <f t="shared" si="851"/>
        <v>592</v>
      </c>
      <c r="AI926" s="101">
        <f t="shared" si="852"/>
        <v>200</v>
      </c>
      <c r="AJ926" s="108">
        <f t="shared" si="1106"/>
        <v>4</v>
      </c>
      <c r="AK926" s="101">
        <f t="shared" si="461"/>
        <v>2258.2385012585369</v>
      </c>
      <c r="AL926" s="101">
        <f t="shared" si="1107"/>
        <v>2258.2385012585369</v>
      </c>
      <c r="AM926" s="101"/>
      <c r="AN926" s="101"/>
      <c r="AO926" s="1">
        <v>30</v>
      </c>
      <c r="AP926" s="2">
        <v>36</v>
      </c>
      <c r="AQ926" s="74">
        <f t="shared" si="1108"/>
        <v>592</v>
      </c>
      <c r="AR926" s="31">
        <f t="shared" si="1109"/>
        <v>0</v>
      </c>
      <c r="AS926" s="2">
        <f t="shared" si="1110"/>
        <v>1</v>
      </c>
      <c r="AT926" s="74">
        <f t="shared" si="1111"/>
        <v>1</v>
      </c>
      <c r="AU926" s="31">
        <f t="shared" si="1112"/>
        <v>1</v>
      </c>
      <c r="AV926" s="2">
        <f t="shared" si="1113"/>
        <v>0</v>
      </c>
      <c r="AW926" s="33">
        <f t="shared" si="1114"/>
        <v>1</v>
      </c>
      <c r="AX926" s="31">
        <f t="shared" si="1115"/>
        <v>0</v>
      </c>
      <c r="AY926" s="33">
        <f t="shared" si="1116"/>
        <v>1.3</v>
      </c>
      <c r="AZ926" s="2"/>
      <c r="BA926" s="101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</row>
    <row r="927" spans="1:71" ht="12" customHeight="1">
      <c r="A927" s="2"/>
      <c r="B927" s="107">
        <v>852</v>
      </c>
      <c r="C927" s="31">
        <v>10</v>
      </c>
      <c r="D927" s="113" t="s">
        <v>15</v>
      </c>
      <c r="E927" s="2" t="s">
        <v>145</v>
      </c>
      <c r="F927" s="2"/>
      <c r="G927" s="2"/>
      <c r="H927" s="33">
        <f t="shared" si="1089"/>
        <v>4</v>
      </c>
      <c r="I927" s="99">
        <f t="shared" si="0"/>
        <v>487.15942806367457</v>
      </c>
      <c r="J927" s="101">
        <f t="shared" si="1"/>
        <v>19.733333333333334</v>
      </c>
      <c r="K927" s="101">
        <f t="shared" si="2"/>
        <v>619</v>
      </c>
      <c r="L927" s="74">
        <f t="shared" si="1008"/>
        <v>62</v>
      </c>
      <c r="M927" s="99">
        <f t="shared" si="1030"/>
        <v>14614.782841910237</v>
      </c>
      <c r="N927" s="108">
        <f t="shared" si="1009"/>
        <v>3493.5331256776276</v>
      </c>
      <c r="O927" s="108">
        <f t="shared" si="1090"/>
        <v>3493.5331256776276</v>
      </c>
      <c r="P927" s="108">
        <f t="shared" si="1091"/>
        <v>3493.5331256776276</v>
      </c>
      <c r="Q927" s="108">
        <f t="shared" si="1092"/>
        <v>2687.3331735981751</v>
      </c>
      <c r="R927" s="109">
        <f t="shared" si="1093"/>
        <v>0</v>
      </c>
      <c r="S927" s="99">
        <f t="shared" si="694"/>
        <v>11065.368656166829</v>
      </c>
      <c r="T927" s="108">
        <f t="shared" si="1094"/>
        <v>2935.7100516360979</v>
      </c>
      <c r="U927" s="108">
        <f t="shared" si="1095"/>
        <v>2935.7100516360979</v>
      </c>
      <c r="V927" s="108">
        <f t="shared" si="1096"/>
        <v>2935.7100516360979</v>
      </c>
      <c r="W927" s="108">
        <f t="shared" si="1097"/>
        <v>2258.2385012585369</v>
      </c>
      <c r="X927" s="109">
        <f t="shared" si="1098"/>
        <v>0</v>
      </c>
      <c r="Y927" s="99">
        <f t="shared" si="8"/>
        <v>22130.737312333658</v>
      </c>
      <c r="Z927" s="108">
        <f t="shared" si="1099"/>
        <v>5871.4201032721958</v>
      </c>
      <c r="AA927" s="108">
        <f t="shared" si="1100"/>
        <v>5871.4201032721958</v>
      </c>
      <c r="AB927" s="108">
        <f t="shared" si="1101"/>
        <v>5871.4201032721958</v>
      </c>
      <c r="AC927" s="108">
        <f t="shared" si="1102"/>
        <v>4516.4770025170737</v>
      </c>
      <c r="AD927" s="109">
        <f t="shared" si="1103"/>
        <v>0</v>
      </c>
      <c r="AE927" s="99">
        <f t="shared" ref="AE927:AF927" si="1132">AO927</f>
        <v>30</v>
      </c>
      <c r="AF927" s="101">
        <f t="shared" si="1132"/>
        <v>36</v>
      </c>
      <c r="AG927" s="101">
        <f t="shared" si="1105"/>
        <v>19.001300000000001</v>
      </c>
      <c r="AH927" s="101">
        <f t="shared" si="851"/>
        <v>592</v>
      </c>
      <c r="AI927" s="101">
        <f t="shared" si="852"/>
        <v>200</v>
      </c>
      <c r="AJ927" s="108">
        <f t="shared" si="1106"/>
        <v>3.2</v>
      </c>
      <c r="AK927" s="101">
        <f t="shared" si="461"/>
        <v>2258.2385012585369</v>
      </c>
      <c r="AL927" s="101">
        <f t="shared" si="1107"/>
        <v>2258.2385012585369</v>
      </c>
      <c r="AM927" s="101"/>
      <c r="AN927" s="101"/>
      <c r="AO927" s="1">
        <v>30</v>
      </c>
      <c r="AP927" s="2">
        <v>36</v>
      </c>
      <c r="AQ927" s="74">
        <f t="shared" si="1108"/>
        <v>592</v>
      </c>
      <c r="AR927" s="31">
        <f t="shared" si="1109"/>
        <v>0</v>
      </c>
      <c r="AS927" s="2">
        <f t="shared" si="1110"/>
        <v>1</v>
      </c>
      <c r="AT927" s="74">
        <f t="shared" si="1111"/>
        <v>1</v>
      </c>
      <c r="AU927" s="31">
        <f t="shared" si="1112"/>
        <v>0.8</v>
      </c>
      <c r="AV927" s="2">
        <f t="shared" si="1113"/>
        <v>0</v>
      </c>
      <c r="AW927" s="33">
        <f t="shared" si="1114"/>
        <v>1</v>
      </c>
      <c r="AX927" s="31">
        <f t="shared" si="1115"/>
        <v>0</v>
      </c>
      <c r="AY927" s="33">
        <f t="shared" si="1116"/>
        <v>1.3</v>
      </c>
      <c r="AZ927" s="2"/>
      <c r="BA927" s="101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</row>
    <row r="928" spans="1:71" ht="12" customHeight="1">
      <c r="A928" s="2"/>
      <c r="B928" s="107">
        <v>853</v>
      </c>
      <c r="C928" s="31">
        <v>10</v>
      </c>
      <c r="D928" s="113" t="s">
        <v>15</v>
      </c>
      <c r="E928" s="2" t="s">
        <v>135</v>
      </c>
      <c r="F928" s="2"/>
      <c r="G928" s="2"/>
      <c r="H928" s="33">
        <f t="shared" si="1089"/>
        <v>4</v>
      </c>
      <c r="I928" s="99">
        <f t="shared" si="0"/>
        <v>785.42030238837333</v>
      </c>
      <c r="J928" s="101">
        <f t="shared" si="1"/>
        <v>19.733333333333334</v>
      </c>
      <c r="K928" s="101">
        <f t="shared" si="2"/>
        <v>276</v>
      </c>
      <c r="L928" s="74">
        <f t="shared" si="1008"/>
        <v>10</v>
      </c>
      <c r="M928" s="99">
        <f t="shared" si="1030"/>
        <v>23562.609071651201</v>
      </c>
      <c r="N928" s="108">
        <f t="shared" si="1009"/>
        <v>3493.5331256776276</v>
      </c>
      <c r="O928" s="108">
        <f t="shared" si="1090"/>
        <v>3493.5331256776276</v>
      </c>
      <c r="P928" s="108">
        <f t="shared" si="1091"/>
        <v>3493.5331256776276</v>
      </c>
      <c r="Q928" s="108">
        <f t="shared" si="1092"/>
        <v>2687.3331735981751</v>
      </c>
      <c r="R928" s="109">
        <f t="shared" si="1093"/>
        <v>8061.9995207945258</v>
      </c>
      <c r="S928" s="99">
        <f t="shared" si="694"/>
        <v>17840.084159942438</v>
      </c>
      <c r="T928" s="108">
        <f t="shared" si="1094"/>
        <v>2935.7100516360979</v>
      </c>
      <c r="U928" s="108">
        <f t="shared" si="1095"/>
        <v>2935.7100516360979</v>
      </c>
      <c r="V928" s="108">
        <f t="shared" si="1096"/>
        <v>2935.7100516360979</v>
      </c>
      <c r="W928" s="108">
        <f t="shared" si="1097"/>
        <v>2258.2385012585369</v>
      </c>
      <c r="X928" s="109">
        <f t="shared" si="1098"/>
        <v>6774.7155037756111</v>
      </c>
      <c r="Y928" s="99">
        <f t="shared" si="8"/>
        <v>35680.168319884877</v>
      </c>
      <c r="Z928" s="108">
        <f t="shared" si="1099"/>
        <v>5871.4201032721958</v>
      </c>
      <c r="AA928" s="108">
        <f t="shared" si="1100"/>
        <v>5871.4201032721958</v>
      </c>
      <c r="AB928" s="108">
        <f t="shared" si="1101"/>
        <v>5871.4201032721958</v>
      </c>
      <c r="AC928" s="108">
        <f t="shared" si="1102"/>
        <v>4516.4770025170737</v>
      </c>
      <c r="AD928" s="109">
        <f t="shared" si="1103"/>
        <v>13549.431007551222</v>
      </c>
      <c r="AE928" s="99">
        <f t="shared" ref="AE928:AF928" si="1133">AO928</f>
        <v>30</v>
      </c>
      <c r="AF928" s="101">
        <f t="shared" si="1133"/>
        <v>36</v>
      </c>
      <c r="AG928" s="101">
        <f t="shared" si="1105"/>
        <v>19.001300000000001</v>
      </c>
      <c r="AH928" s="101">
        <f t="shared" si="851"/>
        <v>592</v>
      </c>
      <c r="AI928" s="101">
        <f t="shared" si="852"/>
        <v>200</v>
      </c>
      <c r="AJ928" s="108">
        <f t="shared" si="1106"/>
        <v>4</v>
      </c>
      <c r="AK928" s="101">
        <f t="shared" si="461"/>
        <v>2258.2385012585369</v>
      </c>
      <c r="AL928" s="101">
        <f t="shared" si="1107"/>
        <v>2258.2385012585369</v>
      </c>
      <c r="AM928" s="101"/>
      <c r="AN928" s="101"/>
      <c r="AO928" s="1">
        <v>30</v>
      </c>
      <c r="AP928" s="2">
        <v>36</v>
      </c>
      <c r="AQ928" s="74">
        <f t="shared" si="1108"/>
        <v>592</v>
      </c>
      <c r="AR928" s="31">
        <f t="shared" si="1109"/>
        <v>0</v>
      </c>
      <c r="AS928" s="2">
        <f t="shared" si="1110"/>
        <v>1</v>
      </c>
      <c r="AT928" s="74">
        <f t="shared" si="1111"/>
        <v>1</v>
      </c>
      <c r="AU928" s="31">
        <f t="shared" si="1112"/>
        <v>1</v>
      </c>
      <c r="AV928" s="2">
        <f t="shared" si="1113"/>
        <v>0</v>
      </c>
      <c r="AW928" s="33">
        <f t="shared" si="1114"/>
        <v>0.2</v>
      </c>
      <c r="AX928" s="31">
        <f t="shared" si="1115"/>
        <v>0</v>
      </c>
      <c r="AY928" s="33">
        <f t="shared" si="1116"/>
        <v>1.3</v>
      </c>
      <c r="AZ928" s="2"/>
      <c r="BA928" s="101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</row>
    <row r="929" spans="1:71" ht="12" customHeight="1">
      <c r="A929" s="2"/>
      <c r="B929" s="107">
        <v>854</v>
      </c>
      <c r="C929" s="31">
        <v>7</v>
      </c>
      <c r="D929" s="113" t="s">
        <v>15</v>
      </c>
      <c r="E929" s="2" t="s">
        <v>67</v>
      </c>
      <c r="F929" s="2"/>
      <c r="G929" s="2"/>
      <c r="H929" s="33">
        <f t="shared" si="1089"/>
        <v>3</v>
      </c>
      <c r="I929" s="99">
        <f t="shared" si="0"/>
        <v>285.53178669396732</v>
      </c>
      <c r="J929" s="101">
        <f t="shared" si="1"/>
        <v>13.733333333333333</v>
      </c>
      <c r="K929" s="101">
        <f t="shared" si="2"/>
        <v>848</v>
      </c>
      <c r="L929" s="74">
        <f t="shared" si="1008"/>
        <v>104</v>
      </c>
      <c r="M929" s="99">
        <f t="shared" si="1030"/>
        <v>8565.9536008190189</v>
      </c>
      <c r="N929" s="108">
        <f t="shared" si="1009"/>
        <v>2572.6439789890846</v>
      </c>
      <c r="O929" s="108">
        <f t="shared" si="1090"/>
        <v>2572.6439789890846</v>
      </c>
      <c r="P929" s="108">
        <f t="shared" si="1091"/>
        <v>2572.6439789890846</v>
      </c>
      <c r="Q929" s="108">
        <f t="shared" si="1092"/>
        <v>0</v>
      </c>
      <c r="R929" s="109">
        <f t="shared" si="1093"/>
        <v>0</v>
      </c>
      <c r="S929" s="99">
        <f t="shared" si="694"/>
        <v>6485.5862389463418</v>
      </c>
      <c r="T929" s="108">
        <f t="shared" si="1094"/>
        <v>2161.8620796487808</v>
      </c>
      <c r="U929" s="108">
        <f t="shared" si="1095"/>
        <v>2161.8620796487808</v>
      </c>
      <c r="V929" s="108">
        <f t="shared" si="1096"/>
        <v>2161.8620796487808</v>
      </c>
      <c r="W929" s="108">
        <f t="shared" si="1097"/>
        <v>0</v>
      </c>
      <c r="X929" s="109">
        <f t="shared" si="1098"/>
        <v>0</v>
      </c>
      <c r="Y929" s="99">
        <f t="shared" si="8"/>
        <v>12971.172477892684</v>
      </c>
      <c r="Z929" s="108">
        <f t="shared" si="1099"/>
        <v>4323.7241592975615</v>
      </c>
      <c r="AA929" s="108">
        <f t="shared" si="1100"/>
        <v>4323.7241592975615</v>
      </c>
      <c r="AB929" s="108">
        <f t="shared" si="1101"/>
        <v>4323.7241592975615</v>
      </c>
      <c r="AC929" s="108">
        <f t="shared" si="1102"/>
        <v>0</v>
      </c>
      <c r="AD929" s="109">
        <f t="shared" si="1103"/>
        <v>0</v>
      </c>
      <c r="AE929" s="99">
        <f t="shared" ref="AE929:AF929" si="1134">AO929</f>
        <v>30</v>
      </c>
      <c r="AF929" s="101">
        <f t="shared" si="1134"/>
        <v>36</v>
      </c>
      <c r="AG929" s="101">
        <f t="shared" si="1105"/>
        <v>19.001300000000001</v>
      </c>
      <c r="AH929" s="101">
        <f t="shared" si="851"/>
        <v>412</v>
      </c>
      <c r="AI929" s="101">
        <f t="shared" si="852"/>
        <v>200</v>
      </c>
      <c r="AJ929" s="108">
        <f t="shared" si="1106"/>
        <v>3.3333333333333335</v>
      </c>
      <c r="AK929" s="101">
        <f t="shared" si="461"/>
        <v>2161.8620796487808</v>
      </c>
      <c r="AL929" s="101">
        <f t="shared" si="1107"/>
        <v>2161.8620796487808</v>
      </c>
      <c r="AM929" s="101"/>
      <c r="AN929" s="101"/>
      <c r="AO929" s="1">
        <v>30</v>
      </c>
      <c r="AP929" s="2">
        <v>36</v>
      </c>
      <c r="AQ929" s="74">
        <f t="shared" si="1108"/>
        <v>412</v>
      </c>
      <c r="AR929" s="31">
        <f t="shared" si="1109"/>
        <v>0</v>
      </c>
      <c r="AS929" s="2">
        <f t="shared" si="1110"/>
        <v>1</v>
      </c>
      <c r="AT929" s="33">
        <f t="shared" si="1111"/>
        <v>0</v>
      </c>
      <c r="AU929" s="31">
        <f t="shared" si="1112"/>
        <v>1</v>
      </c>
      <c r="AV929" s="2">
        <f t="shared" si="1113"/>
        <v>0</v>
      </c>
      <c r="AW929" s="33">
        <f t="shared" si="1114"/>
        <v>1</v>
      </c>
      <c r="AX929" s="31">
        <f t="shared" si="1115"/>
        <v>0</v>
      </c>
      <c r="AY929" s="33">
        <f t="shared" si="1116"/>
        <v>1</v>
      </c>
      <c r="AZ929" s="2"/>
      <c r="BA929" s="101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</row>
    <row r="930" spans="1:71" ht="12" customHeight="1">
      <c r="A930" s="2"/>
      <c r="B930" s="107">
        <v>855</v>
      </c>
      <c r="C930" s="31">
        <v>7</v>
      </c>
      <c r="D930" s="113" t="s">
        <v>15</v>
      </c>
      <c r="E930" s="2" t="s">
        <v>136</v>
      </c>
      <c r="F930" s="2"/>
      <c r="G930" s="2"/>
      <c r="H930" s="33">
        <f t="shared" si="1089"/>
        <v>3</v>
      </c>
      <c r="I930" s="99">
        <f t="shared" si="0"/>
        <v>285.53178669396732</v>
      </c>
      <c r="J930" s="101">
        <f t="shared" si="1"/>
        <v>13.733333333333333</v>
      </c>
      <c r="K930" s="101">
        <f t="shared" si="2"/>
        <v>848</v>
      </c>
      <c r="L930" s="74">
        <f t="shared" si="1008"/>
        <v>104</v>
      </c>
      <c r="M930" s="99">
        <f t="shared" si="1030"/>
        <v>8565.9536008190189</v>
      </c>
      <c r="N930" s="108">
        <f t="shared" si="1009"/>
        <v>2572.6439789890846</v>
      </c>
      <c r="O930" s="108">
        <f t="shared" si="1090"/>
        <v>2572.6439789890846</v>
      </c>
      <c r="P930" s="108">
        <f t="shared" si="1091"/>
        <v>2572.6439789890846</v>
      </c>
      <c r="Q930" s="108">
        <f t="shared" si="1092"/>
        <v>0</v>
      </c>
      <c r="R930" s="109">
        <f t="shared" si="1093"/>
        <v>0</v>
      </c>
      <c r="S930" s="99">
        <f t="shared" si="694"/>
        <v>6485.5862389463418</v>
      </c>
      <c r="T930" s="108">
        <f t="shared" si="1094"/>
        <v>2161.8620796487808</v>
      </c>
      <c r="U930" s="108">
        <f t="shared" si="1095"/>
        <v>2161.8620796487808</v>
      </c>
      <c r="V930" s="108">
        <f t="shared" si="1096"/>
        <v>2161.8620796487808</v>
      </c>
      <c r="W930" s="108">
        <f t="shared" si="1097"/>
        <v>0</v>
      </c>
      <c r="X930" s="109">
        <f t="shared" si="1098"/>
        <v>0</v>
      </c>
      <c r="Y930" s="99">
        <f t="shared" si="8"/>
        <v>12971.172477892684</v>
      </c>
      <c r="Z930" s="108">
        <f t="shared" si="1099"/>
        <v>4323.7241592975615</v>
      </c>
      <c r="AA930" s="108">
        <f t="shared" si="1100"/>
        <v>4323.7241592975615</v>
      </c>
      <c r="AB930" s="108">
        <f t="shared" si="1101"/>
        <v>4323.7241592975615</v>
      </c>
      <c r="AC930" s="108">
        <f t="shared" si="1102"/>
        <v>0</v>
      </c>
      <c r="AD930" s="109">
        <f t="shared" si="1103"/>
        <v>0</v>
      </c>
      <c r="AE930" s="99">
        <f t="shared" ref="AE930:AF930" si="1135">AO930</f>
        <v>30</v>
      </c>
      <c r="AF930" s="101">
        <f t="shared" si="1135"/>
        <v>36</v>
      </c>
      <c r="AG930" s="101">
        <f t="shared" si="1105"/>
        <v>19.001300000000001</v>
      </c>
      <c r="AH930" s="101">
        <f t="shared" si="851"/>
        <v>412</v>
      </c>
      <c r="AI930" s="101">
        <f t="shared" si="852"/>
        <v>200</v>
      </c>
      <c r="AJ930" s="108">
        <f t="shared" si="1106"/>
        <v>2.6666666666666665</v>
      </c>
      <c r="AK930" s="101">
        <f t="shared" si="461"/>
        <v>2161.8620796487808</v>
      </c>
      <c r="AL930" s="101">
        <f t="shared" si="1107"/>
        <v>2161.8620796487808</v>
      </c>
      <c r="AM930" s="101"/>
      <c r="AN930" s="101"/>
      <c r="AO930" s="1">
        <v>30</v>
      </c>
      <c r="AP930" s="2">
        <v>36</v>
      </c>
      <c r="AQ930" s="74">
        <f t="shared" si="1108"/>
        <v>412</v>
      </c>
      <c r="AR930" s="31">
        <f t="shared" si="1109"/>
        <v>0</v>
      </c>
      <c r="AS930" s="2">
        <f t="shared" si="1110"/>
        <v>1</v>
      </c>
      <c r="AT930" s="33">
        <f t="shared" si="1111"/>
        <v>0</v>
      </c>
      <c r="AU930" s="31">
        <f t="shared" si="1112"/>
        <v>0.8</v>
      </c>
      <c r="AV930" s="2">
        <f t="shared" si="1113"/>
        <v>0</v>
      </c>
      <c r="AW930" s="33">
        <f t="shared" si="1114"/>
        <v>1</v>
      </c>
      <c r="AX930" s="31">
        <f t="shared" si="1115"/>
        <v>0</v>
      </c>
      <c r="AY930" s="33">
        <f t="shared" si="1116"/>
        <v>1</v>
      </c>
      <c r="AZ930" s="2"/>
      <c r="BA930" s="101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</row>
    <row r="931" spans="1:71" ht="12" customHeight="1">
      <c r="A931" s="2"/>
      <c r="B931" s="107">
        <v>856</v>
      </c>
      <c r="C931" s="31">
        <v>7</v>
      </c>
      <c r="D931" s="113" t="s">
        <v>15</v>
      </c>
      <c r="E931" s="2" t="s">
        <v>91</v>
      </c>
      <c r="F931" s="2"/>
      <c r="G931" s="2"/>
      <c r="H931" s="33">
        <f t="shared" si="1089"/>
        <v>3</v>
      </c>
      <c r="I931" s="99">
        <f t="shared" si="0"/>
        <v>494.92176360287664</v>
      </c>
      <c r="J931" s="101">
        <f t="shared" si="1"/>
        <v>13.733333333333333</v>
      </c>
      <c r="K931" s="101">
        <f t="shared" si="2"/>
        <v>612</v>
      </c>
      <c r="L931" s="74">
        <f t="shared" si="1008"/>
        <v>61</v>
      </c>
      <c r="M931" s="99">
        <f t="shared" si="1030"/>
        <v>14847.652908086298</v>
      </c>
      <c r="N931" s="108">
        <f t="shared" si="1009"/>
        <v>2572.6439789890846</v>
      </c>
      <c r="O931" s="108">
        <f t="shared" si="1090"/>
        <v>2572.6439789890846</v>
      </c>
      <c r="P931" s="108">
        <f t="shared" si="1091"/>
        <v>2572.6439789890846</v>
      </c>
      <c r="Q931" s="108">
        <f t="shared" si="1092"/>
        <v>0</v>
      </c>
      <c r="R931" s="109">
        <f t="shared" si="1093"/>
        <v>5659.8167537759864</v>
      </c>
      <c r="S931" s="99">
        <f t="shared" si="694"/>
        <v>11241.682814173659</v>
      </c>
      <c r="T931" s="108">
        <f t="shared" si="1094"/>
        <v>2161.8620796487808</v>
      </c>
      <c r="U931" s="108">
        <f t="shared" si="1095"/>
        <v>2161.8620796487808</v>
      </c>
      <c r="V931" s="108">
        <f t="shared" si="1096"/>
        <v>2161.8620796487808</v>
      </c>
      <c r="W931" s="108">
        <f t="shared" si="1097"/>
        <v>0</v>
      </c>
      <c r="X931" s="109">
        <f t="shared" si="1098"/>
        <v>4756.0965752273178</v>
      </c>
      <c r="Y931" s="99">
        <f t="shared" si="8"/>
        <v>22483.365628347317</v>
      </c>
      <c r="Z931" s="108">
        <f t="shared" si="1099"/>
        <v>4323.7241592975615</v>
      </c>
      <c r="AA931" s="108">
        <f t="shared" si="1100"/>
        <v>4323.7241592975615</v>
      </c>
      <c r="AB931" s="108">
        <f t="shared" si="1101"/>
        <v>4323.7241592975615</v>
      </c>
      <c r="AC931" s="108">
        <f t="shared" si="1102"/>
        <v>0</v>
      </c>
      <c r="AD931" s="109">
        <f t="shared" si="1103"/>
        <v>9512.1931504546355</v>
      </c>
      <c r="AE931" s="99">
        <f t="shared" ref="AE931:AF931" si="1136">AO931</f>
        <v>30</v>
      </c>
      <c r="AF931" s="101">
        <f t="shared" si="1136"/>
        <v>36</v>
      </c>
      <c r="AG931" s="101">
        <f t="shared" si="1105"/>
        <v>19.001300000000001</v>
      </c>
      <c r="AH931" s="101">
        <f t="shared" si="851"/>
        <v>412</v>
      </c>
      <c r="AI931" s="101">
        <f t="shared" si="852"/>
        <v>200</v>
      </c>
      <c r="AJ931" s="108">
        <f t="shared" si="1106"/>
        <v>3.3333333333333335</v>
      </c>
      <c r="AK931" s="101">
        <f t="shared" si="461"/>
        <v>2161.8620796487808</v>
      </c>
      <c r="AL931" s="101">
        <f t="shared" si="1107"/>
        <v>2161.8620796487808</v>
      </c>
      <c r="AM931" s="101"/>
      <c r="AN931" s="101"/>
      <c r="AO931" s="1">
        <v>30</v>
      </c>
      <c r="AP931" s="2">
        <v>36</v>
      </c>
      <c r="AQ931" s="74">
        <f t="shared" si="1108"/>
        <v>412</v>
      </c>
      <c r="AR931" s="31">
        <f t="shared" si="1109"/>
        <v>0</v>
      </c>
      <c r="AS931" s="2">
        <f t="shared" si="1110"/>
        <v>1</v>
      </c>
      <c r="AT931" s="33">
        <f t="shared" si="1111"/>
        <v>0</v>
      </c>
      <c r="AU931" s="31">
        <f t="shared" si="1112"/>
        <v>1</v>
      </c>
      <c r="AV931" s="2">
        <f t="shared" si="1113"/>
        <v>0</v>
      </c>
      <c r="AW931" s="33">
        <f t="shared" si="1114"/>
        <v>0.2</v>
      </c>
      <c r="AX931" s="31">
        <f t="shared" si="1115"/>
        <v>0</v>
      </c>
      <c r="AY931" s="33">
        <f t="shared" si="1116"/>
        <v>1</v>
      </c>
      <c r="AZ931" s="2"/>
      <c r="BA931" s="101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</row>
    <row r="932" spans="1:71" ht="12" customHeight="1">
      <c r="A932" s="2"/>
      <c r="B932" s="107">
        <v>857</v>
      </c>
      <c r="C932" s="31">
        <v>7</v>
      </c>
      <c r="D932" s="113" t="s">
        <v>15</v>
      </c>
      <c r="E932" s="2" t="s">
        <v>79</v>
      </c>
      <c r="F932" s="1"/>
      <c r="G932" s="1" t="s">
        <v>174</v>
      </c>
      <c r="H932" s="33">
        <f t="shared" si="1089"/>
        <v>3</v>
      </c>
      <c r="I932" s="99">
        <f t="shared" si="0"/>
        <v>356.91473336745906</v>
      </c>
      <c r="J932" s="101">
        <f t="shared" si="1"/>
        <v>13.733333333333333</v>
      </c>
      <c r="K932" s="101">
        <f t="shared" si="2"/>
        <v>769</v>
      </c>
      <c r="L932" s="74">
        <f t="shared" si="1008"/>
        <v>94</v>
      </c>
      <c r="M932" s="99">
        <f t="shared" ref="M932:M977" si="1137">SUM(N932:R932)*(1+$D$22/100)</f>
        <v>10707.442001023772</v>
      </c>
      <c r="N932" s="108">
        <f t="shared" si="1009"/>
        <v>3215.8049737363558</v>
      </c>
      <c r="O932" s="108">
        <f t="shared" si="1090"/>
        <v>3215.8049737363558</v>
      </c>
      <c r="P932" s="108">
        <f t="shared" si="1091"/>
        <v>3215.8049737363558</v>
      </c>
      <c r="Q932" s="108">
        <f t="shared" si="1092"/>
        <v>0</v>
      </c>
      <c r="R932" s="109">
        <f t="shared" si="1093"/>
        <v>0</v>
      </c>
      <c r="S932" s="99">
        <f t="shared" si="694"/>
        <v>8106.9827986829278</v>
      </c>
      <c r="T932" s="108">
        <f t="shared" si="1094"/>
        <v>2702.3275995609761</v>
      </c>
      <c r="U932" s="108">
        <f t="shared" si="1095"/>
        <v>2702.3275995609761</v>
      </c>
      <c r="V932" s="108">
        <f t="shared" si="1096"/>
        <v>2702.3275995609761</v>
      </c>
      <c r="W932" s="108">
        <f t="shared" si="1097"/>
        <v>0</v>
      </c>
      <c r="X932" s="109">
        <f t="shared" si="1098"/>
        <v>0</v>
      </c>
      <c r="Y932" s="99">
        <f t="shared" si="8"/>
        <v>16213.965597365854</v>
      </c>
      <c r="Z932" s="108">
        <f t="shared" si="1099"/>
        <v>5404.6551991219512</v>
      </c>
      <c r="AA932" s="108">
        <f t="shared" si="1100"/>
        <v>5404.6551991219512</v>
      </c>
      <c r="AB932" s="108">
        <f t="shared" si="1101"/>
        <v>5404.6551991219512</v>
      </c>
      <c r="AC932" s="108">
        <f t="shared" si="1102"/>
        <v>0</v>
      </c>
      <c r="AD932" s="109">
        <f t="shared" si="1103"/>
        <v>0</v>
      </c>
      <c r="AE932" s="99">
        <f t="shared" ref="AE932:AF932" si="1138">AO932</f>
        <v>30</v>
      </c>
      <c r="AF932" s="101">
        <f t="shared" si="1138"/>
        <v>36</v>
      </c>
      <c r="AG932" s="101">
        <f t="shared" si="1105"/>
        <v>19.001300000000001</v>
      </c>
      <c r="AH932" s="101">
        <f t="shared" si="851"/>
        <v>412</v>
      </c>
      <c r="AI932" s="101">
        <f t="shared" si="852"/>
        <v>200</v>
      </c>
      <c r="AJ932" s="108">
        <f t="shared" si="1106"/>
        <v>3.3333333333333335</v>
      </c>
      <c r="AK932" s="101">
        <f t="shared" si="461"/>
        <v>2161.8620796487808</v>
      </c>
      <c r="AL932" s="101">
        <f t="shared" si="1107"/>
        <v>2161.8620796487808</v>
      </c>
      <c r="AM932" s="101"/>
      <c r="AN932" s="101"/>
      <c r="AO932" s="1">
        <v>30</v>
      </c>
      <c r="AP932" s="2">
        <v>36</v>
      </c>
      <c r="AQ932" s="74">
        <f t="shared" si="1108"/>
        <v>412</v>
      </c>
      <c r="AR932" s="31">
        <f t="shared" si="1109"/>
        <v>0</v>
      </c>
      <c r="AS932" s="2">
        <f t="shared" si="1110"/>
        <v>1.25</v>
      </c>
      <c r="AT932" s="33">
        <f t="shared" si="1111"/>
        <v>0</v>
      </c>
      <c r="AU932" s="31">
        <f t="shared" si="1112"/>
        <v>1</v>
      </c>
      <c r="AV932" s="2">
        <f t="shared" si="1113"/>
        <v>0</v>
      </c>
      <c r="AW932" s="33">
        <f t="shared" si="1114"/>
        <v>1</v>
      </c>
      <c r="AX932" s="31">
        <f t="shared" si="1115"/>
        <v>0</v>
      </c>
      <c r="AY932" s="33">
        <f t="shared" si="1116"/>
        <v>1</v>
      </c>
      <c r="AZ932" s="2"/>
      <c r="BA932" s="101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</row>
    <row r="933" spans="1:71" ht="12" customHeight="1">
      <c r="A933" s="2"/>
      <c r="B933" s="107">
        <v>858</v>
      </c>
      <c r="C933" s="31">
        <v>7</v>
      </c>
      <c r="D933" s="113" t="s">
        <v>15</v>
      </c>
      <c r="E933" s="2" t="s">
        <v>168</v>
      </c>
      <c r="F933" s="1"/>
      <c r="G933" s="1" t="s">
        <v>174</v>
      </c>
      <c r="H933" s="33">
        <f t="shared" si="1089"/>
        <v>3</v>
      </c>
      <c r="I933" s="99">
        <f t="shared" si="0"/>
        <v>356.91473336745906</v>
      </c>
      <c r="J933" s="101">
        <f t="shared" si="1"/>
        <v>13.733333333333333</v>
      </c>
      <c r="K933" s="101">
        <f t="shared" si="2"/>
        <v>769</v>
      </c>
      <c r="L933" s="74">
        <f t="shared" si="1008"/>
        <v>94</v>
      </c>
      <c r="M933" s="99">
        <f t="shared" si="1137"/>
        <v>10707.442001023772</v>
      </c>
      <c r="N933" s="108">
        <f t="shared" si="1009"/>
        <v>3215.8049737363558</v>
      </c>
      <c r="O933" s="108">
        <f t="shared" si="1090"/>
        <v>3215.8049737363558</v>
      </c>
      <c r="P933" s="108">
        <f t="shared" si="1091"/>
        <v>3215.8049737363558</v>
      </c>
      <c r="Q933" s="108">
        <f t="shared" si="1092"/>
        <v>0</v>
      </c>
      <c r="R933" s="109">
        <f t="shared" si="1093"/>
        <v>0</v>
      </c>
      <c r="S933" s="99">
        <f t="shared" si="694"/>
        <v>8106.9827986829278</v>
      </c>
      <c r="T933" s="108">
        <f t="shared" si="1094"/>
        <v>2702.3275995609761</v>
      </c>
      <c r="U933" s="108">
        <f t="shared" si="1095"/>
        <v>2702.3275995609761</v>
      </c>
      <c r="V933" s="108">
        <f t="shared" si="1096"/>
        <v>2702.3275995609761</v>
      </c>
      <c r="W933" s="108">
        <f t="shared" si="1097"/>
        <v>0</v>
      </c>
      <c r="X933" s="109">
        <f t="shared" si="1098"/>
        <v>0</v>
      </c>
      <c r="Y933" s="99">
        <f t="shared" si="8"/>
        <v>16213.965597365854</v>
      </c>
      <c r="Z933" s="108">
        <f t="shared" si="1099"/>
        <v>5404.6551991219512</v>
      </c>
      <c r="AA933" s="108">
        <f t="shared" si="1100"/>
        <v>5404.6551991219512</v>
      </c>
      <c r="AB933" s="108">
        <f t="shared" si="1101"/>
        <v>5404.6551991219512</v>
      </c>
      <c r="AC933" s="108">
        <f t="shared" si="1102"/>
        <v>0</v>
      </c>
      <c r="AD933" s="109">
        <f t="shared" si="1103"/>
        <v>0</v>
      </c>
      <c r="AE933" s="99">
        <f t="shared" ref="AE933:AF933" si="1139">AO933</f>
        <v>30</v>
      </c>
      <c r="AF933" s="101">
        <f t="shared" si="1139"/>
        <v>36</v>
      </c>
      <c r="AG933" s="101">
        <f t="shared" si="1105"/>
        <v>19.001300000000001</v>
      </c>
      <c r="AH933" s="101">
        <f t="shared" si="851"/>
        <v>412</v>
      </c>
      <c r="AI933" s="101">
        <f t="shared" si="852"/>
        <v>200</v>
      </c>
      <c r="AJ933" s="108">
        <f t="shared" si="1106"/>
        <v>2.6666666666666665</v>
      </c>
      <c r="AK933" s="101">
        <f t="shared" si="461"/>
        <v>2161.8620796487808</v>
      </c>
      <c r="AL933" s="101">
        <f t="shared" si="1107"/>
        <v>2161.8620796487808</v>
      </c>
      <c r="AM933" s="101"/>
      <c r="AN933" s="101"/>
      <c r="AO933" s="1">
        <v>30</v>
      </c>
      <c r="AP933" s="2">
        <v>36</v>
      </c>
      <c r="AQ933" s="74">
        <f t="shared" si="1108"/>
        <v>412</v>
      </c>
      <c r="AR933" s="31">
        <f t="shared" si="1109"/>
        <v>0</v>
      </c>
      <c r="AS933" s="2">
        <f t="shared" si="1110"/>
        <v>1.25</v>
      </c>
      <c r="AT933" s="33">
        <f t="shared" si="1111"/>
        <v>0</v>
      </c>
      <c r="AU933" s="31">
        <f t="shared" si="1112"/>
        <v>0.8</v>
      </c>
      <c r="AV933" s="2">
        <f t="shared" si="1113"/>
        <v>0</v>
      </c>
      <c r="AW933" s="33">
        <f t="shared" si="1114"/>
        <v>1</v>
      </c>
      <c r="AX933" s="31">
        <f t="shared" si="1115"/>
        <v>0</v>
      </c>
      <c r="AY933" s="33">
        <f t="shared" si="1116"/>
        <v>1</v>
      </c>
      <c r="AZ933" s="2"/>
      <c r="BA933" s="101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</row>
    <row r="934" spans="1:71" ht="12" customHeight="1">
      <c r="A934" s="2"/>
      <c r="B934" s="107">
        <v>859</v>
      </c>
      <c r="C934" s="31">
        <v>7</v>
      </c>
      <c r="D934" s="113" t="s">
        <v>15</v>
      </c>
      <c r="E934" s="2" t="s">
        <v>103</v>
      </c>
      <c r="F934" s="1"/>
      <c r="G934" s="1" t="s">
        <v>174</v>
      </c>
      <c r="H934" s="33">
        <f t="shared" si="1089"/>
        <v>3</v>
      </c>
      <c r="I934" s="99">
        <f t="shared" si="0"/>
        <v>566.3047102763685</v>
      </c>
      <c r="J934" s="101">
        <f t="shared" si="1"/>
        <v>13.733333333333333</v>
      </c>
      <c r="K934" s="101">
        <f t="shared" si="2"/>
        <v>515</v>
      </c>
      <c r="L934" s="74">
        <f t="shared" si="1008"/>
        <v>46</v>
      </c>
      <c r="M934" s="99">
        <f t="shared" si="1137"/>
        <v>16989.141308291055</v>
      </c>
      <c r="N934" s="108">
        <f t="shared" si="1009"/>
        <v>3215.8049737363558</v>
      </c>
      <c r="O934" s="108">
        <f t="shared" si="1090"/>
        <v>3215.8049737363558</v>
      </c>
      <c r="P934" s="108">
        <f t="shared" si="1091"/>
        <v>3215.8049737363558</v>
      </c>
      <c r="Q934" s="108">
        <f t="shared" si="1092"/>
        <v>0</v>
      </c>
      <c r="R934" s="109">
        <f t="shared" si="1093"/>
        <v>5659.8167537759864</v>
      </c>
      <c r="S934" s="99">
        <f t="shared" si="694"/>
        <v>12863.079373910245</v>
      </c>
      <c r="T934" s="108">
        <f t="shared" si="1094"/>
        <v>2702.3275995609761</v>
      </c>
      <c r="U934" s="108">
        <f t="shared" si="1095"/>
        <v>2702.3275995609761</v>
      </c>
      <c r="V934" s="108">
        <f t="shared" si="1096"/>
        <v>2702.3275995609761</v>
      </c>
      <c r="W934" s="108">
        <f t="shared" si="1097"/>
        <v>0</v>
      </c>
      <c r="X934" s="109">
        <f t="shared" si="1098"/>
        <v>4756.0965752273178</v>
      </c>
      <c r="Y934" s="99">
        <f t="shared" si="8"/>
        <v>25726.158747820489</v>
      </c>
      <c r="Z934" s="108">
        <f t="shared" si="1099"/>
        <v>5404.6551991219512</v>
      </c>
      <c r="AA934" s="108">
        <f t="shared" si="1100"/>
        <v>5404.6551991219512</v>
      </c>
      <c r="AB934" s="108">
        <f t="shared" si="1101"/>
        <v>5404.6551991219512</v>
      </c>
      <c r="AC934" s="108">
        <f t="shared" si="1102"/>
        <v>0</v>
      </c>
      <c r="AD934" s="109">
        <f t="shared" si="1103"/>
        <v>9512.1931504546355</v>
      </c>
      <c r="AE934" s="99">
        <f t="shared" ref="AE934:AF934" si="1140">AO934</f>
        <v>30</v>
      </c>
      <c r="AF934" s="101">
        <f t="shared" si="1140"/>
        <v>36</v>
      </c>
      <c r="AG934" s="101">
        <f t="shared" si="1105"/>
        <v>19.001300000000001</v>
      </c>
      <c r="AH934" s="101">
        <f t="shared" si="851"/>
        <v>412</v>
      </c>
      <c r="AI934" s="101">
        <f t="shared" si="852"/>
        <v>200</v>
      </c>
      <c r="AJ934" s="108">
        <f t="shared" si="1106"/>
        <v>3.3333333333333335</v>
      </c>
      <c r="AK934" s="101">
        <f t="shared" si="461"/>
        <v>2161.8620796487808</v>
      </c>
      <c r="AL934" s="101">
        <f t="shared" si="1107"/>
        <v>2161.8620796487808</v>
      </c>
      <c r="AM934" s="101"/>
      <c r="AN934" s="101"/>
      <c r="AO934" s="1">
        <v>30</v>
      </c>
      <c r="AP934" s="2">
        <v>36</v>
      </c>
      <c r="AQ934" s="74">
        <f t="shared" si="1108"/>
        <v>412</v>
      </c>
      <c r="AR934" s="31">
        <f t="shared" si="1109"/>
        <v>0</v>
      </c>
      <c r="AS934" s="2">
        <f t="shared" si="1110"/>
        <v>1.25</v>
      </c>
      <c r="AT934" s="33">
        <f t="shared" si="1111"/>
        <v>0</v>
      </c>
      <c r="AU934" s="31">
        <f t="shared" si="1112"/>
        <v>1</v>
      </c>
      <c r="AV934" s="2">
        <f t="shared" si="1113"/>
        <v>0</v>
      </c>
      <c r="AW934" s="33">
        <f t="shared" si="1114"/>
        <v>0.2</v>
      </c>
      <c r="AX934" s="31">
        <f t="shared" si="1115"/>
        <v>0</v>
      </c>
      <c r="AY934" s="33">
        <f t="shared" si="1116"/>
        <v>1</v>
      </c>
      <c r="AZ934" s="2"/>
      <c r="BA934" s="101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</row>
    <row r="935" spans="1:71" ht="12" customHeight="1">
      <c r="A935" s="2"/>
      <c r="B935" s="107">
        <v>860</v>
      </c>
      <c r="C935" s="31">
        <v>7</v>
      </c>
      <c r="D935" s="113" t="s">
        <v>15</v>
      </c>
      <c r="E935" s="2" t="s">
        <v>87</v>
      </c>
      <c r="F935" s="2"/>
      <c r="G935" s="2"/>
      <c r="H935" s="33">
        <f t="shared" si="1089"/>
        <v>4</v>
      </c>
      <c r="I935" s="99">
        <f t="shared" si="0"/>
        <v>380.70904892528972</v>
      </c>
      <c r="J935" s="101">
        <f t="shared" si="1"/>
        <v>13.733333333333333</v>
      </c>
      <c r="K935" s="101">
        <f t="shared" si="2"/>
        <v>749</v>
      </c>
      <c r="L935" s="74">
        <f t="shared" si="1008"/>
        <v>91</v>
      </c>
      <c r="M935" s="99">
        <f t="shared" si="1137"/>
        <v>11421.271467758692</v>
      </c>
      <c r="N935" s="108">
        <f t="shared" si="1009"/>
        <v>2572.6439789890846</v>
      </c>
      <c r="O935" s="108">
        <f t="shared" si="1090"/>
        <v>2572.6439789890846</v>
      </c>
      <c r="P935" s="108">
        <f t="shared" si="1091"/>
        <v>2572.6439789890846</v>
      </c>
      <c r="Q935" s="108">
        <f t="shared" si="1092"/>
        <v>2572.6439789890846</v>
      </c>
      <c r="R935" s="109">
        <f t="shared" si="1093"/>
        <v>0</v>
      </c>
      <c r="S935" s="99">
        <f t="shared" si="694"/>
        <v>8647.4483185951231</v>
      </c>
      <c r="T935" s="108">
        <f t="shared" si="1094"/>
        <v>2161.8620796487808</v>
      </c>
      <c r="U935" s="108">
        <f t="shared" si="1095"/>
        <v>2161.8620796487808</v>
      </c>
      <c r="V935" s="108">
        <f t="shared" si="1096"/>
        <v>2161.8620796487808</v>
      </c>
      <c r="W935" s="108">
        <f t="shared" si="1097"/>
        <v>2161.8620796487808</v>
      </c>
      <c r="X935" s="109">
        <f t="shared" si="1098"/>
        <v>0</v>
      </c>
      <c r="Y935" s="99">
        <f t="shared" si="8"/>
        <v>17294.896637190246</v>
      </c>
      <c r="Z935" s="108">
        <f t="shared" si="1099"/>
        <v>4323.7241592975615</v>
      </c>
      <c r="AA935" s="108">
        <f t="shared" si="1100"/>
        <v>4323.7241592975615</v>
      </c>
      <c r="AB935" s="108">
        <f t="shared" si="1101"/>
        <v>4323.7241592975615</v>
      </c>
      <c r="AC935" s="108">
        <f t="shared" si="1102"/>
        <v>4323.7241592975615</v>
      </c>
      <c r="AD935" s="109">
        <f t="shared" si="1103"/>
        <v>0</v>
      </c>
      <c r="AE935" s="99">
        <f t="shared" ref="AE935:AF935" si="1141">AO935</f>
        <v>30</v>
      </c>
      <c r="AF935" s="101">
        <f t="shared" si="1141"/>
        <v>36</v>
      </c>
      <c r="AG935" s="101">
        <f t="shared" si="1105"/>
        <v>19.001300000000001</v>
      </c>
      <c r="AH935" s="101">
        <f t="shared" si="851"/>
        <v>412</v>
      </c>
      <c r="AI935" s="101">
        <f t="shared" si="852"/>
        <v>200</v>
      </c>
      <c r="AJ935" s="108">
        <f t="shared" si="1106"/>
        <v>4</v>
      </c>
      <c r="AK935" s="101">
        <f t="shared" si="461"/>
        <v>2161.8620796487808</v>
      </c>
      <c r="AL935" s="101">
        <f t="shared" si="1107"/>
        <v>2161.8620796487808</v>
      </c>
      <c r="AM935" s="101"/>
      <c r="AN935" s="101"/>
      <c r="AO935" s="1">
        <v>30</v>
      </c>
      <c r="AP935" s="2">
        <v>36</v>
      </c>
      <c r="AQ935" s="74">
        <f t="shared" si="1108"/>
        <v>412</v>
      </c>
      <c r="AR935" s="31">
        <f t="shared" si="1109"/>
        <v>0</v>
      </c>
      <c r="AS935" s="2">
        <f t="shared" si="1110"/>
        <v>1</v>
      </c>
      <c r="AT935" s="74">
        <f t="shared" si="1111"/>
        <v>1</v>
      </c>
      <c r="AU935" s="31">
        <f t="shared" si="1112"/>
        <v>1</v>
      </c>
      <c r="AV935" s="2">
        <f t="shared" si="1113"/>
        <v>0</v>
      </c>
      <c r="AW935" s="33">
        <f t="shared" si="1114"/>
        <v>1</v>
      </c>
      <c r="AX935" s="31">
        <f t="shared" si="1115"/>
        <v>0</v>
      </c>
      <c r="AY935" s="33">
        <f t="shared" si="1116"/>
        <v>1</v>
      </c>
      <c r="AZ935" s="2"/>
      <c r="BA935" s="101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</row>
    <row r="936" spans="1:71" ht="12" customHeight="1">
      <c r="A936" s="2"/>
      <c r="B936" s="107">
        <v>861</v>
      </c>
      <c r="C936" s="31">
        <v>7</v>
      </c>
      <c r="D936" s="113" t="s">
        <v>15</v>
      </c>
      <c r="E936" s="2" t="s">
        <v>179</v>
      </c>
      <c r="F936" s="2"/>
      <c r="G936" s="2"/>
      <c r="H936" s="33">
        <f t="shared" si="1089"/>
        <v>4</v>
      </c>
      <c r="I936" s="99">
        <f t="shared" si="0"/>
        <v>380.70904892528972</v>
      </c>
      <c r="J936" s="101">
        <f t="shared" si="1"/>
        <v>13.733333333333333</v>
      </c>
      <c r="K936" s="101">
        <f t="shared" si="2"/>
        <v>749</v>
      </c>
      <c r="L936" s="74">
        <f t="shared" si="1008"/>
        <v>91</v>
      </c>
      <c r="M936" s="99">
        <f t="shared" si="1137"/>
        <v>11421.271467758692</v>
      </c>
      <c r="N936" s="108">
        <f t="shared" si="1009"/>
        <v>2572.6439789890846</v>
      </c>
      <c r="O936" s="108">
        <f t="shared" si="1090"/>
        <v>2572.6439789890846</v>
      </c>
      <c r="P936" s="108">
        <f t="shared" si="1091"/>
        <v>2572.6439789890846</v>
      </c>
      <c r="Q936" s="108">
        <f t="shared" si="1092"/>
        <v>2572.6439789890846</v>
      </c>
      <c r="R936" s="109">
        <f t="shared" si="1093"/>
        <v>0</v>
      </c>
      <c r="S936" s="99">
        <f t="shared" si="694"/>
        <v>8647.4483185951231</v>
      </c>
      <c r="T936" s="108">
        <f t="shared" si="1094"/>
        <v>2161.8620796487808</v>
      </c>
      <c r="U936" s="108">
        <f t="shared" si="1095"/>
        <v>2161.8620796487808</v>
      </c>
      <c r="V936" s="108">
        <f t="shared" si="1096"/>
        <v>2161.8620796487808</v>
      </c>
      <c r="W936" s="108">
        <f t="shared" si="1097"/>
        <v>2161.8620796487808</v>
      </c>
      <c r="X936" s="109">
        <f t="shared" si="1098"/>
        <v>0</v>
      </c>
      <c r="Y936" s="99">
        <f t="shared" si="8"/>
        <v>17294.896637190246</v>
      </c>
      <c r="Z936" s="108">
        <f t="shared" si="1099"/>
        <v>4323.7241592975615</v>
      </c>
      <c r="AA936" s="108">
        <f t="shared" si="1100"/>
        <v>4323.7241592975615</v>
      </c>
      <c r="AB936" s="108">
        <f t="shared" si="1101"/>
        <v>4323.7241592975615</v>
      </c>
      <c r="AC936" s="108">
        <f t="shared" si="1102"/>
        <v>4323.7241592975615</v>
      </c>
      <c r="AD936" s="109">
        <f t="shared" si="1103"/>
        <v>0</v>
      </c>
      <c r="AE936" s="99">
        <f t="shared" ref="AE936:AF936" si="1142">AO936</f>
        <v>30</v>
      </c>
      <c r="AF936" s="101">
        <f t="shared" si="1142"/>
        <v>36</v>
      </c>
      <c r="AG936" s="101">
        <f t="shared" si="1105"/>
        <v>19.001300000000001</v>
      </c>
      <c r="AH936" s="101">
        <f t="shared" si="851"/>
        <v>412</v>
      </c>
      <c r="AI936" s="101">
        <f t="shared" si="852"/>
        <v>200</v>
      </c>
      <c r="AJ936" s="108">
        <f t="shared" si="1106"/>
        <v>3.2</v>
      </c>
      <c r="AK936" s="101">
        <f t="shared" si="461"/>
        <v>2161.8620796487808</v>
      </c>
      <c r="AL936" s="101">
        <f t="shared" si="1107"/>
        <v>2161.8620796487808</v>
      </c>
      <c r="AM936" s="101"/>
      <c r="AN936" s="101"/>
      <c r="AO936" s="1">
        <v>30</v>
      </c>
      <c r="AP936" s="2">
        <v>36</v>
      </c>
      <c r="AQ936" s="74">
        <f t="shared" si="1108"/>
        <v>412</v>
      </c>
      <c r="AR936" s="31">
        <f t="shared" si="1109"/>
        <v>0</v>
      </c>
      <c r="AS936" s="2">
        <f t="shared" si="1110"/>
        <v>1</v>
      </c>
      <c r="AT936" s="74">
        <f t="shared" si="1111"/>
        <v>1</v>
      </c>
      <c r="AU936" s="31">
        <f t="shared" si="1112"/>
        <v>0.8</v>
      </c>
      <c r="AV936" s="2">
        <f t="shared" si="1113"/>
        <v>0</v>
      </c>
      <c r="AW936" s="33">
        <f t="shared" si="1114"/>
        <v>1</v>
      </c>
      <c r="AX936" s="31">
        <f t="shared" si="1115"/>
        <v>0</v>
      </c>
      <c r="AY936" s="33">
        <f t="shared" si="1116"/>
        <v>1</v>
      </c>
      <c r="AZ936" s="2"/>
      <c r="BA936" s="101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</row>
    <row r="937" spans="1:71" ht="12" customHeight="1">
      <c r="A937" s="2"/>
      <c r="B937" s="107">
        <v>862</v>
      </c>
      <c r="C937" s="31">
        <v>7</v>
      </c>
      <c r="D937" s="113" t="s">
        <v>15</v>
      </c>
      <c r="E937" s="2" t="s">
        <v>134</v>
      </c>
      <c r="F937" s="2"/>
      <c r="G937" s="2"/>
      <c r="H937" s="33">
        <f t="shared" si="1089"/>
        <v>4</v>
      </c>
      <c r="I937" s="99">
        <f t="shared" si="0"/>
        <v>666.24083561925693</v>
      </c>
      <c r="J937" s="101">
        <f t="shared" si="1"/>
        <v>13.733333333333333</v>
      </c>
      <c r="K937" s="101">
        <f t="shared" si="2"/>
        <v>391</v>
      </c>
      <c r="L937" s="74">
        <f t="shared" si="1008"/>
        <v>22</v>
      </c>
      <c r="M937" s="99">
        <f t="shared" si="1137"/>
        <v>19987.225068577707</v>
      </c>
      <c r="N937" s="108">
        <f t="shared" si="1009"/>
        <v>2572.6439789890846</v>
      </c>
      <c r="O937" s="108">
        <f t="shared" si="1090"/>
        <v>2572.6439789890846</v>
      </c>
      <c r="P937" s="108">
        <f t="shared" si="1091"/>
        <v>2572.6439789890846</v>
      </c>
      <c r="Q937" s="108">
        <f t="shared" si="1092"/>
        <v>2572.6439789890846</v>
      </c>
      <c r="R937" s="109">
        <f t="shared" si="1093"/>
        <v>7717.9319369672539</v>
      </c>
      <c r="S937" s="99">
        <f t="shared" si="694"/>
        <v>15133.034557541465</v>
      </c>
      <c r="T937" s="108">
        <f t="shared" si="1094"/>
        <v>2161.8620796487808</v>
      </c>
      <c r="U937" s="108">
        <f t="shared" si="1095"/>
        <v>2161.8620796487808</v>
      </c>
      <c r="V937" s="108">
        <f t="shared" si="1096"/>
        <v>2161.8620796487808</v>
      </c>
      <c r="W937" s="108">
        <f t="shared" si="1097"/>
        <v>2161.8620796487808</v>
      </c>
      <c r="X937" s="109">
        <f t="shared" si="1098"/>
        <v>6485.5862389463427</v>
      </c>
      <c r="Y937" s="99">
        <f t="shared" si="8"/>
        <v>30266.06911508293</v>
      </c>
      <c r="Z937" s="108">
        <f t="shared" si="1099"/>
        <v>4323.7241592975615</v>
      </c>
      <c r="AA937" s="108">
        <f t="shared" si="1100"/>
        <v>4323.7241592975615</v>
      </c>
      <c r="AB937" s="108">
        <f t="shared" si="1101"/>
        <v>4323.7241592975615</v>
      </c>
      <c r="AC937" s="108">
        <f t="shared" si="1102"/>
        <v>4323.7241592975615</v>
      </c>
      <c r="AD937" s="109">
        <f t="shared" si="1103"/>
        <v>12971.172477892685</v>
      </c>
      <c r="AE937" s="99">
        <f t="shared" ref="AE937:AF937" si="1143">AO937</f>
        <v>30</v>
      </c>
      <c r="AF937" s="101">
        <f t="shared" si="1143"/>
        <v>36</v>
      </c>
      <c r="AG937" s="101">
        <f t="shared" si="1105"/>
        <v>19.001300000000001</v>
      </c>
      <c r="AH937" s="101">
        <f t="shared" si="851"/>
        <v>412</v>
      </c>
      <c r="AI937" s="101">
        <f t="shared" si="852"/>
        <v>200</v>
      </c>
      <c r="AJ937" s="108">
        <f t="shared" si="1106"/>
        <v>4</v>
      </c>
      <c r="AK937" s="101">
        <f t="shared" si="461"/>
        <v>2161.8620796487808</v>
      </c>
      <c r="AL937" s="101">
        <f t="shared" si="1107"/>
        <v>2161.8620796487808</v>
      </c>
      <c r="AM937" s="101"/>
      <c r="AN937" s="101"/>
      <c r="AO937" s="1">
        <v>30</v>
      </c>
      <c r="AP937" s="2">
        <v>36</v>
      </c>
      <c r="AQ937" s="74">
        <f t="shared" si="1108"/>
        <v>412</v>
      </c>
      <c r="AR937" s="31">
        <f t="shared" si="1109"/>
        <v>0</v>
      </c>
      <c r="AS937" s="2">
        <f t="shared" si="1110"/>
        <v>1</v>
      </c>
      <c r="AT937" s="74">
        <f t="shared" si="1111"/>
        <v>1</v>
      </c>
      <c r="AU937" s="31">
        <f t="shared" si="1112"/>
        <v>1</v>
      </c>
      <c r="AV937" s="2">
        <f t="shared" si="1113"/>
        <v>0</v>
      </c>
      <c r="AW937" s="33">
        <f t="shared" si="1114"/>
        <v>0.2</v>
      </c>
      <c r="AX937" s="31">
        <f t="shared" si="1115"/>
        <v>0</v>
      </c>
      <c r="AY937" s="33">
        <f t="shared" si="1116"/>
        <v>1</v>
      </c>
      <c r="AZ937" s="2"/>
      <c r="BA937" s="101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</row>
    <row r="938" spans="1:71" ht="12" customHeight="1">
      <c r="A938" s="2"/>
      <c r="B938" s="107">
        <v>863</v>
      </c>
      <c r="C938" s="31">
        <v>4</v>
      </c>
      <c r="D938" s="113" t="s">
        <v>15</v>
      </c>
      <c r="E938" s="2" t="s">
        <v>67</v>
      </c>
      <c r="F938" s="2"/>
      <c r="G938" s="2"/>
      <c r="H938" s="33">
        <f t="shared" si="1089"/>
        <v>3</v>
      </c>
      <c r="I938" s="99">
        <f t="shared" si="0"/>
        <v>264.42056699593536</v>
      </c>
      <c r="J938" s="101">
        <f t="shared" si="1"/>
        <v>7.5666666666666664</v>
      </c>
      <c r="K938" s="101">
        <f t="shared" si="2"/>
        <v>861</v>
      </c>
      <c r="L938" s="74">
        <f t="shared" si="1008"/>
        <v>109</v>
      </c>
      <c r="M938" s="99">
        <f t="shared" si="1137"/>
        <v>7932.6170098780613</v>
      </c>
      <c r="N938" s="108">
        <f t="shared" si="1009"/>
        <v>2382.4316986888575</v>
      </c>
      <c r="O938" s="108">
        <f t="shared" si="1090"/>
        <v>2382.4316986888575</v>
      </c>
      <c r="P938" s="108">
        <f t="shared" si="1091"/>
        <v>2382.4316986888575</v>
      </c>
      <c r="Q938" s="108">
        <f t="shared" si="1092"/>
        <v>0</v>
      </c>
      <c r="R938" s="109">
        <f t="shared" si="1093"/>
        <v>0</v>
      </c>
      <c r="S938" s="99">
        <f t="shared" si="694"/>
        <v>6006.0647203573171</v>
      </c>
      <c r="T938" s="108">
        <f t="shared" si="1094"/>
        <v>2002.021573452439</v>
      </c>
      <c r="U938" s="108">
        <f t="shared" si="1095"/>
        <v>2002.021573452439</v>
      </c>
      <c r="V938" s="108">
        <f t="shared" si="1096"/>
        <v>2002.021573452439</v>
      </c>
      <c r="W938" s="108">
        <f t="shared" si="1097"/>
        <v>0</v>
      </c>
      <c r="X938" s="109">
        <f t="shared" si="1098"/>
        <v>0</v>
      </c>
      <c r="Y938" s="99">
        <f t="shared" si="8"/>
        <v>12012.129440714634</v>
      </c>
      <c r="Z938" s="108">
        <f t="shared" si="1099"/>
        <v>4004.0431469048781</v>
      </c>
      <c r="AA938" s="108">
        <f t="shared" si="1100"/>
        <v>4004.0431469048781</v>
      </c>
      <c r="AB938" s="108">
        <f t="shared" si="1101"/>
        <v>4004.0431469048781</v>
      </c>
      <c r="AC938" s="108">
        <f t="shared" si="1102"/>
        <v>0</v>
      </c>
      <c r="AD938" s="109">
        <f t="shared" si="1103"/>
        <v>0</v>
      </c>
      <c r="AE938" s="99">
        <f t="shared" ref="AE938:AF938" si="1144">AO938</f>
        <v>30</v>
      </c>
      <c r="AF938" s="101">
        <f t="shared" si="1144"/>
        <v>36</v>
      </c>
      <c r="AG938" s="101">
        <f t="shared" si="1105"/>
        <v>19.001300000000001</v>
      </c>
      <c r="AH938" s="101">
        <f t="shared" si="851"/>
        <v>227</v>
      </c>
      <c r="AI938" s="101">
        <f t="shared" si="852"/>
        <v>200</v>
      </c>
      <c r="AJ938" s="108">
        <f t="shared" si="1106"/>
        <v>3.3333333333333335</v>
      </c>
      <c r="AK938" s="101">
        <f t="shared" si="461"/>
        <v>2002.021573452439</v>
      </c>
      <c r="AL938" s="101">
        <f t="shared" si="1107"/>
        <v>2002.021573452439</v>
      </c>
      <c r="AM938" s="101"/>
      <c r="AN938" s="101"/>
      <c r="AO938" s="1">
        <v>30</v>
      </c>
      <c r="AP938" s="2">
        <v>36</v>
      </c>
      <c r="AQ938" s="74">
        <f t="shared" si="1108"/>
        <v>227</v>
      </c>
      <c r="AR938" s="31">
        <f t="shared" si="1109"/>
        <v>0</v>
      </c>
      <c r="AS938" s="2">
        <f t="shared" si="1110"/>
        <v>1</v>
      </c>
      <c r="AT938" s="33">
        <f t="shared" si="1111"/>
        <v>0</v>
      </c>
      <c r="AU938" s="31">
        <f t="shared" si="1112"/>
        <v>1</v>
      </c>
      <c r="AV938" s="2">
        <f t="shared" si="1113"/>
        <v>0</v>
      </c>
      <c r="AW938" s="33">
        <f t="shared" si="1114"/>
        <v>1</v>
      </c>
      <c r="AX938" s="31">
        <f t="shared" si="1115"/>
        <v>0</v>
      </c>
      <c r="AY938" s="33">
        <f t="shared" si="1116"/>
        <v>1</v>
      </c>
      <c r="AZ938" s="2"/>
      <c r="BA938" s="101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</row>
    <row r="939" spans="1:71" ht="12" customHeight="1">
      <c r="A939" s="2"/>
      <c r="B939" s="107">
        <v>864</v>
      </c>
      <c r="C939" s="31">
        <v>4</v>
      </c>
      <c r="D939" s="113" t="s">
        <v>15</v>
      </c>
      <c r="E939" s="2" t="s">
        <v>79</v>
      </c>
      <c r="F939" s="1"/>
      <c r="G939" s="1" t="s">
        <v>174</v>
      </c>
      <c r="H939" s="33">
        <f t="shared" si="1089"/>
        <v>3</v>
      </c>
      <c r="I939" s="99">
        <f t="shared" si="0"/>
        <v>330.5257087449192</v>
      </c>
      <c r="J939" s="101">
        <f t="shared" si="1"/>
        <v>7.5666666666666664</v>
      </c>
      <c r="K939" s="101">
        <f t="shared" si="2"/>
        <v>804</v>
      </c>
      <c r="L939" s="74">
        <f t="shared" si="1008"/>
        <v>99</v>
      </c>
      <c r="M939" s="99">
        <f t="shared" si="1137"/>
        <v>9915.7712623475763</v>
      </c>
      <c r="N939" s="108">
        <f t="shared" si="1009"/>
        <v>2978.0396233610718</v>
      </c>
      <c r="O939" s="108">
        <f t="shared" si="1090"/>
        <v>2978.0396233610718</v>
      </c>
      <c r="P939" s="108">
        <f t="shared" si="1091"/>
        <v>2978.0396233610718</v>
      </c>
      <c r="Q939" s="108">
        <f t="shared" si="1092"/>
        <v>0</v>
      </c>
      <c r="R939" s="109">
        <f t="shared" si="1093"/>
        <v>0</v>
      </c>
      <c r="S939" s="99">
        <f t="shared" si="694"/>
        <v>7507.5809004466464</v>
      </c>
      <c r="T939" s="108">
        <f t="shared" si="1094"/>
        <v>2502.5269668155488</v>
      </c>
      <c r="U939" s="108">
        <f t="shared" si="1095"/>
        <v>2502.5269668155488</v>
      </c>
      <c r="V939" s="108">
        <f t="shared" si="1096"/>
        <v>2502.5269668155488</v>
      </c>
      <c r="W939" s="108">
        <f t="shared" si="1097"/>
        <v>0</v>
      </c>
      <c r="X939" s="109">
        <f t="shared" si="1098"/>
        <v>0</v>
      </c>
      <c r="Y939" s="99">
        <f t="shared" si="8"/>
        <v>15015.161800893293</v>
      </c>
      <c r="Z939" s="108">
        <f t="shared" si="1099"/>
        <v>5005.0539336310976</v>
      </c>
      <c r="AA939" s="108">
        <f t="shared" si="1100"/>
        <v>5005.0539336310976</v>
      </c>
      <c r="AB939" s="108">
        <f t="shared" si="1101"/>
        <v>5005.0539336310976</v>
      </c>
      <c r="AC939" s="108">
        <f t="shared" si="1102"/>
        <v>0</v>
      </c>
      <c r="AD939" s="109">
        <f t="shared" si="1103"/>
        <v>0</v>
      </c>
      <c r="AE939" s="99">
        <f t="shared" ref="AE939:AF939" si="1145">AO939</f>
        <v>30</v>
      </c>
      <c r="AF939" s="101">
        <f t="shared" si="1145"/>
        <v>36</v>
      </c>
      <c r="AG939" s="101">
        <f t="shared" si="1105"/>
        <v>19.001300000000001</v>
      </c>
      <c r="AH939" s="101">
        <f t="shared" si="851"/>
        <v>227</v>
      </c>
      <c r="AI939" s="101">
        <f t="shared" si="852"/>
        <v>200</v>
      </c>
      <c r="AJ939" s="108">
        <f t="shared" si="1106"/>
        <v>3.3333333333333335</v>
      </c>
      <c r="AK939" s="101">
        <f t="shared" si="461"/>
        <v>2002.021573452439</v>
      </c>
      <c r="AL939" s="101">
        <f t="shared" si="1107"/>
        <v>2002.021573452439</v>
      </c>
      <c r="AM939" s="101"/>
      <c r="AN939" s="101"/>
      <c r="AO939" s="1">
        <v>30</v>
      </c>
      <c r="AP939" s="2">
        <v>36</v>
      </c>
      <c r="AQ939" s="74">
        <f t="shared" si="1108"/>
        <v>227</v>
      </c>
      <c r="AR939" s="31">
        <f t="shared" si="1109"/>
        <v>0</v>
      </c>
      <c r="AS939" s="2">
        <f t="shared" si="1110"/>
        <v>1.25</v>
      </c>
      <c r="AT939" s="33">
        <f t="shared" si="1111"/>
        <v>0</v>
      </c>
      <c r="AU939" s="31">
        <f t="shared" si="1112"/>
        <v>1</v>
      </c>
      <c r="AV939" s="2">
        <f t="shared" si="1113"/>
        <v>0</v>
      </c>
      <c r="AW939" s="33">
        <f t="shared" si="1114"/>
        <v>1</v>
      </c>
      <c r="AX939" s="31">
        <f t="shared" si="1115"/>
        <v>0</v>
      </c>
      <c r="AY939" s="33">
        <f t="shared" si="1116"/>
        <v>1</v>
      </c>
      <c r="AZ939" s="2"/>
      <c r="BA939" s="101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</row>
    <row r="940" spans="1:71" ht="12" customHeight="1">
      <c r="A940" s="2"/>
      <c r="B940" s="107">
        <v>865</v>
      </c>
      <c r="C940" s="31">
        <v>4</v>
      </c>
      <c r="D940" s="113" t="s">
        <v>15</v>
      </c>
      <c r="E940" s="2" t="s">
        <v>87</v>
      </c>
      <c r="F940" s="2"/>
      <c r="G940" s="2"/>
      <c r="H940" s="33">
        <f t="shared" si="1089"/>
        <v>4</v>
      </c>
      <c r="I940" s="99">
        <f t="shared" si="0"/>
        <v>352.56075599458046</v>
      </c>
      <c r="J940" s="101">
        <f t="shared" si="1"/>
        <v>7.5666666666666664</v>
      </c>
      <c r="K940" s="101">
        <f t="shared" si="2"/>
        <v>777</v>
      </c>
      <c r="L940" s="74">
        <f t="shared" si="1008"/>
        <v>96</v>
      </c>
      <c r="M940" s="99">
        <f t="shared" si="1137"/>
        <v>10576.822679837414</v>
      </c>
      <c r="N940" s="108">
        <f t="shared" si="1009"/>
        <v>2382.4316986888575</v>
      </c>
      <c r="O940" s="108">
        <f t="shared" si="1090"/>
        <v>2382.4316986888575</v>
      </c>
      <c r="P940" s="108">
        <f t="shared" si="1091"/>
        <v>2382.4316986888575</v>
      </c>
      <c r="Q940" s="108">
        <f t="shared" si="1092"/>
        <v>2382.4316986888575</v>
      </c>
      <c r="R940" s="109">
        <f t="shared" si="1093"/>
        <v>0</v>
      </c>
      <c r="S940" s="99">
        <f t="shared" si="694"/>
        <v>8008.0862938097562</v>
      </c>
      <c r="T940" s="108">
        <f t="shared" si="1094"/>
        <v>2002.021573452439</v>
      </c>
      <c r="U940" s="108">
        <f t="shared" si="1095"/>
        <v>2002.021573452439</v>
      </c>
      <c r="V940" s="108">
        <f t="shared" si="1096"/>
        <v>2002.021573452439</v>
      </c>
      <c r="W940" s="108">
        <f t="shared" si="1097"/>
        <v>2002.021573452439</v>
      </c>
      <c r="X940" s="109">
        <f t="shared" si="1098"/>
        <v>0</v>
      </c>
      <c r="Y940" s="99">
        <f t="shared" si="8"/>
        <v>16016.172587619512</v>
      </c>
      <c r="Z940" s="108">
        <f t="shared" si="1099"/>
        <v>4004.0431469048781</v>
      </c>
      <c r="AA940" s="108">
        <f t="shared" si="1100"/>
        <v>4004.0431469048781</v>
      </c>
      <c r="AB940" s="108">
        <f t="shared" si="1101"/>
        <v>4004.0431469048781</v>
      </c>
      <c r="AC940" s="108">
        <f t="shared" si="1102"/>
        <v>4004.0431469048781</v>
      </c>
      <c r="AD940" s="109">
        <f t="shared" si="1103"/>
        <v>0</v>
      </c>
      <c r="AE940" s="99">
        <f t="shared" ref="AE940:AF940" si="1146">AO940</f>
        <v>30</v>
      </c>
      <c r="AF940" s="101">
        <f t="shared" si="1146"/>
        <v>36</v>
      </c>
      <c r="AG940" s="101">
        <f t="shared" si="1105"/>
        <v>19.001300000000001</v>
      </c>
      <c r="AH940" s="101">
        <f t="shared" si="851"/>
        <v>227</v>
      </c>
      <c r="AI940" s="101">
        <f t="shared" si="852"/>
        <v>200</v>
      </c>
      <c r="AJ940" s="108">
        <f t="shared" si="1106"/>
        <v>4</v>
      </c>
      <c r="AK940" s="101">
        <f t="shared" si="461"/>
        <v>2002.021573452439</v>
      </c>
      <c r="AL940" s="101">
        <f t="shared" si="1107"/>
        <v>2002.021573452439</v>
      </c>
      <c r="AM940" s="101"/>
      <c r="AN940" s="101"/>
      <c r="AO940" s="1">
        <v>30</v>
      </c>
      <c r="AP940" s="2">
        <v>36</v>
      </c>
      <c r="AQ940" s="74">
        <f t="shared" si="1108"/>
        <v>227</v>
      </c>
      <c r="AR940" s="31">
        <f t="shared" si="1109"/>
        <v>0</v>
      </c>
      <c r="AS940" s="2">
        <f t="shared" si="1110"/>
        <v>1</v>
      </c>
      <c r="AT940" s="74">
        <f t="shared" si="1111"/>
        <v>1</v>
      </c>
      <c r="AU940" s="31">
        <f t="shared" si="1112"/>
        <v>1</v>
      </c>
      <c r="AV940" s="2">
        <f t="shared" si="1113"/>
        <v>0</v>
      </c>
      <c r="AW940" s="33">
        <f t="shared" si="1114"/>
        <v>1</v>
      </c>
      <c r="AX940" s="31">
        <f t="shared" si="1115"/>
        <v>0</v>
      </c>
      <c r="AY940" s="33">
        <f t="shared" si="1116"/>
        <v>1</v>
      </c>
      <c r="AZ940" s="2"/>
      <c r="BA940" s="101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</row>
    <row r="941" spans="1:71" ht="12" customHeight="1">
      <c r="A941" s="2"/>
      <c r="B941" s="107">
        <v>866</v>
      </c>
      <c r="C941" s="31">
        <v>1</v>
      </c>
      <c r="D941" s="113" t="s">
        <v>15</v>
      </c>
      <c r="E941" s="2" t="s">
        <v>67</v>
      </c>
      <c r="F941" s="2"/>
      <c r="G941" s="2"/>
      <c r="H941" s="33">
        <f t="shared" si="1089"/>
        <v>3</v>
      </c>
      <c r="I941" s="99">
        <f t="shared" si="0"/>
        <v>212.25865731371695</v>
      </c>
      <c r="J941" s="101">
        <f t="shared" si="1"/>
        <v>3.8</v>
      </c>
      <c r="K941" s="101">
        <f t="shared" si="2"/>
        <v>883</v>
      </c>
      <c r="L941" s="74">
        <f t="shared" si="1008"/>
        <v>111</v>
      </c>
      <c r="M941" s="99">
        <f t="shared" si="1137"/>
        <v>6367.7597194115087</v>
      </c>
      <c r="N941" s="108">
        <f t="shared" si="1009"/>
        <v>1912.4524209688584</v>
      </c>
      <c r="O941" s="108">
        <f t="shared" si="1090"/>
        <v>1912.4524209688584</v>
      </c>
      <c r="P941" s="108">
        <f t="shared" si="1091"/>
        <v>1912.4524209688584</v>
      </c>
      <c r="Q941" s="108">
        <f t="shared" si="1092"/>
        <v>0</v>
      </c>
      <c r="R941" s="109">
        <f t="shared" si="1093"/>
        <v>0</v>
      </c>
      <c r="S941" s="99">
        <f t="shared" si="694"/>
        <v>4821.2559551085369</v>
      </c>
      <c r="T941" s="108">
        <f t="shared" si="1094"/>
        <v>1607.0853183695124</v>
      </c>
      <c r="U941" s="108">
        <f t="shared" si="1095"/>
        <v>1607.0853183695124</v>
      </c>
      <c r="V941" s="108">
        <f t="shared" si="1096"/>
        <v>1607.0853183695124</v>
      </c>
      <c r="W941" s="108">
        <f t="shared" si="1097"/>
        <v>0</v>
      </c>
      <c r="X941" s="109">
        <f t="shared" si="1098"/>
        <v>0</v>
      </c>
      <c r="Y941" s="99">
        <f t="shared" si="8"/>
        <v>9642.5119102170738</v>
      </c>
      <c r="Z941" s="108">
        <f t="shared" si="1099"/>
        <v>3214.1706367390248</v>
      </c>
      <c r="AA941" s="108">
        <f t="shared" si="1100"/>
        <v>3214.1706367390248</v>
      </c>
      <c r="AB941" s="108">
        <f t="shared" si="1101"/>
        <v>3214.1706367390248</v>
      </c>
      <c r="AC941" s="108">
        <f t="shared" si="1102"/>
        <v>0</v>
      </c>
      <c r="AD941" s="109">
        <f t="shared" si="1103"/>
        <v>0</v>
      </c>
      <c r="AE941" s="99">
        <f t="shared" ref="AE941:AF941" si="1147">AO941</f>
        <v>30</v>
      </c>
      <c r="AF941" s="101">
        <f t="shared" si="1147"/>
        <v>36</v>
      </c>
      <c r="AG941" s="101">
        <f t="shared" si="1105"/>
        <v>19.001300000000001</v>
      </c>
      <c r="AH941" s="101">
        <f t="shared" si="851"/>
        <v>114</v>
      </c>
      <c r="AI941" s="101">
        <f t="shared" si="852"/>
        <v>200</v>
      </c>
      <c r="AJ941" s="108">
        <f t="shared" si="1106"/>
        <v>3.3333333333333335</v>
      </c>
      <c r="AK941" s="101">
        <f t="shared" si="461"/>
        <v>1607.0853183695124</v>
      </c>
      <c r="AL941" s="101">
        <f t="shared" si="1107"/>
        <v>1607.0853183695124</v>
      </c>
      <c r="AM941" s="101"/>
      <c r="AN941" s="101"/>
      <c r="AO941" s="1">
        <v>30</v>
      </c>
      <c r="AP941" s="2">
        <v>36</v>
      </c>
      <c r="AQ941" s="74">
        <f t="shared" si="1108"/>
        <v>114</v>
      </c>
      <c r="AR941" s="31">
        <f t="shared" si="1109"/>
        <v>0</v>
      </c>
      <c r="AS941" s="2">
        <f t="shared" si="1110"/>
        <v>1</v>
      </c>
      <c r="AT941" s="33">
        <f t="shared" si="1111"/>
        <v>0</v>
      </c>
      <c r="AU941" s="31">
        <f t="shared" si="1112"/>
        <v>1</v>
      </c>
      <c r="AV941" s="2">
        <f t="shared" si="1113"/>
        <v>0</v>
      </c>
      <c r="AW941" s="33">
        <f t="shared" si="1114"/>
        <v>1</v>
      </c>
      <c r="AX941" s="31">
        <f t="shared" si="1115"/>
        <v>0</v>
      </c>
      <c r="AY941" s="33">
        <f t="shared" si="1116"/>
        <v>1</v>
      </c>
      <c r="AZ941" s="2"/>
      <c r="BA941" s="101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</row>
    <row r="942" spans="1:71" ht="12" customHeight="1">
      <c r="A942" s="2"/>
      <c r="B942" s="107">
        <v>867</v>
      </c>
      <c r="C942" s="31">
        <v>10</v>
      </c>
      <c r="D942" s="113" t="s">
        <v>19</v>
      </c>
      <c r="E942" s="2" t="s">
        <v>144</v>
      </c>
      <c r="F942" s="2"/>
      <c r="G942" s="2"/>
      <c r="H942" s="33">
        <f t="shared" ref="H942:H956" si="1148">IF(AY942=1,4,6)</f>
        <v>4</v>
      </c>
      <c r="I942" s="99">
        <f t="shared" si="0"/>
        <v>434.63374529747716</v>
      </c>
      <c r="J942" s="101">
        <f t="shared" si="1"/>
        <v>21.708333333333332</v>
      </c>
      <c r="K942" s="101">
        <f t="shared" si="2"/>
        <v>693</v>
      </c>
      <c r="L942" s="74">
        <f t="shared" si="1008"/>
        <v>78</v>
      </c>
      <c r="M942" s="99">
        <f t="shared" si="1137"/>
        <v>10431.209887139452</v>
      </c>
      <c r="N942" s="108">
        <f t="shared" ref="N942:N956" si="1149">T942*(1+($D$57/100)*($D$58/100-1))</f>
        <v>6016.1648310674855</v>
      </c>
      <c r="O942" s="108">
        <f t="shared" si="1090"/>
        <v>3382.3647058499914</v>
      </c>
      <c r="P942" s="108"/>
      <c r="Q942" s="108"/>
      <c r="R942" s="109"/>
      <c r="S942" s="99">
        <f t="shared" si="694"/>
        <v>7897.8377017036591</v>
      </c>
      <c r="T942" s="108">
        <f t="shared" ref="T942:T977" si="1150">AL942*AU942</f>
        <v>5055.5454697280493</v>
      </c>
      <c r="U942" s="108">
        <f t="shared" ref="U942:U956" si="1151">AM942*AU942</f>
        <v>2842.2922319756099</v>
      </c>
      <c r="V942" s="108"/>
      <c r="W942" s="108"/>
      <c r="X942" s="109"/>
      <c r="Y942" s="99">
        <f t="shared" si="8"/>
        <v>15795.675403407318</v>
      </c>
      <c r="Z942" s="108">
        <f t="shared" ref="Z942:AA942" si="1152">T942*$D$58/100</f>
        <v>10111.090939456099</v>
      </c>
      <c r="AA942" s="108">
        <f t="shared" si="1152"/>
        <v>5684.5844639512197</v>
      </c>
      <c r="AB942" s="108"/>
      <c r="AC942" s="108"/>
      <c r="AD942" s="109"/>
      <c r="AE942" s="99">
        <f t="shared" ref="AE942:AF942" si="1153">AO942</f>
        <v>24</v>
      </c>
      <c r="AF942" s="101">
        <f t="shared" si="1153"/>
        <v>36</v>
      </c>
      <c r="AG942" s="101">
        <f t="shared" ref="AG942:AG956" si="1154">IF($D$57+AT942&gt;100,100,$D$57+AT942)</f>
        <v>19.001300000000001</v>
      </c>
      <c r="AH942" s="101">
        <f t="shared" si="851"/>
        <v>521</v>
      </c>
      <c r="AI942" s="101">
        <f t="shared" si="852"/>
        <v>200</v>
      </c>
      <c r="AJ942" s="108">
        <f t="shared" ref="AJ942:AJ956" si="1155">10/IF(AY942=1,(2.5+AX942),2)</f>
        <v>2.8571428571428572</v>
      </c>
      <c r="AK942" s="101">
        <f t="shared" si="461"/>
        <v>7897.8377017036591</v>
      </c>
      <c r="AL942" s="101">
        <f t="shared" ref="AL942:AL956" si="1156">(H942-1)*(VLOOKUP(C942,$B$36:$AG$39,27,FALSE)+VLOOKUP(C942,$B$40:$AG$43,27,FALSE)*$D$54)*$D$59/100</f>
        <v>5055.5454697280493</v>
      </c>
      <c r="AM942" s="101">
        <f t="shared" ref="AM942:AM956" si="1157">(VLOOKUP(C942,$B$36:$AG$39,28,FALSE)+VLOOKUP(C942,$B$40:$AG$43,28,FALSE)*$D$54)*$D$59/100</f>
        <v>2842.2922319756099</v>
      </c>
      <c r="AN942" s="101"/>
      <c r="AO942" s="1">
        <v>24</v>
      </c>
      <c r="AP942" s="2">
        <v>36</v>
      </c>
      <c r="AQ942" s="74">
        <f t="shared" ref="AQ942:AQ956" si="1158">VLOOKUP(C942,$B$45:$AG$48,27,FALSE)</f>
        <v>521</v>
      </c>
      <c r="AR942" s="31">
        <f t="shared" ref="AR942:AR956" si="1159">IF(LEFT(E942,1)*1=1,$S$69,$R$69)</f>
        <v>0</v>
      </c>
      <c r="AS942" s="2">
        <f t="shared" ref="AS942:AS956" si="1160">IF(LEFT(E942,1)*1=2,$U$69,$T$69)</f>
        <v>0</v>
      </c>
      <c r="AT942" s="33">
        <f t="shared" ref="AT942:AT956" si="1161">IF(LEFT(E942,1)*1=3,$W$69,$V$69)</f>
        <v>0</v>
      </c>
      <c r="AU942" s="31">
        <f t="shared" ref="AU942:AU956" si="1162">IF(MID(E942,3,1)*1=1,$Y$69,$X$69)</f>
        <v>1</v>
      </c>
      <c r="AV942" s="2">
        <f t="shared" ref="AV942:AV956" si="1163">IF(MID(E942,3,1)*1=2,$AA$69,$Z$69)</f>
        <v>0</v>
      </c>
      <c r="AW942" s="33">
        <f t="shared" ref="AW942:AW956" si="1164">IF(MID(E942,3,1)*1=3,$AC$69,$AB$69)</f>
        <v>0</v>
      </c>
      <c r="AX942" s="31">
        <f t="shared" ref="AX942:AX956" si="1165">IF(MID(E942,5,1)*1=1,$AE$69,$AD$69)</f>
        <v>1</v>
      </c>
      <c r="AY942" s="33">
        <f t="shared" ref="AY942:AY956" si="1166">IF(MID(E942,5,1)*1=2,$AG$69,$AF$69)</f>
        <v>1</v>
      </c>
      <c r="AZ942" s="2"/>
      <c r="BA942" s="101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</row>
    <row r="943" spans="1:71" ht="12" customHeight="1">
      <c r="A943" s="2"/>
      <c r="B943" s="107">
        <v>868</v>
      </c>
      <c r="C943" s="31">
        <v>10</v>
      </c>
      <c r="D943" s="113" t="s">
        <v>19</v>
      </c>
      <c r="E943" s="2" t="s">
        <v>138</v>
      </c>
      <c r="F943" s="2"/>
      <c r="G943" s="2"/>
      <c r="H943" s="33">
        <f t="shared" si="1148"/>
        <v>4</v>
      </c>
      <c r="I943" s="99">
        <f t="shared" si="0"/>
        <v>543.29218162184645</v>
      </c>
      <c r="J943" s="101">
        <f t="shared" si="1"/>
        <v>21.708333333333332</v>
      </c>
      <c r="K943" s="101">
        <f t="shared" si="2"/>
        <v>546</v>
      </c>
      <c r="L943" s="74">
        <f t="shared" si="1008"/>
        <v>51</v>
      </c>
      <c r="M943" s="99">
        <f t="shared" si="1137"/>
        <v>13039.012358924316</v>
      </c>
      <c r="N943" s="108">
        <f t="shared" si="1149"/>
        <v>7520.2060388343571</v>
      </c>
      <c r="O943" s="108">
        <f t="shared" si="1090"/>
        <v>4227.9558823124898</v>
      </c>
      <c r="P943" s="108"/>
      <c r="Q943" s="108"/>
      <c r="R943" s="109"/>
      <c r="S943" s="99">
        <f t="shared" si="694"/>
        <v>9872.2971271295755</v>
      </c>
      <c r="T943" s="108">
        <f t="shared" si="1150"/>
        <v>6319.4318371600621</v>
      </c>
      <c r="U943" s="108">
        <f t="shared" si="1151"/>
        <v>3552.8652899695126</v>
      </c>
      <c r="V943" s="108"/>
      <c r="W943" s="108"/>
      <c r="X943" s="109"/>
      <c r="Y943" s="99">
        <f t="shared" si="8"/>
        <v>19744.594254259151</v>
      </c>
      <c r="Z943" s="108">
        <f t="shared" ref="Z943:AA943" si="1167">T943*$D$58/100</f>
        <v>12638.863674320124</v>
      </c>
      <c r="AA943" s="108">
        <f t="shared" si="1167"/>
        <v>7105.7305799390251</v>
      </c>
      <c r="AB943" s="108"/>
      <c r="AC943" s="108"/>
      <c r="AD943" s="109"/>
      <c r="AE943" s="99">
        <f t="shared" ref="AE943:AF943" si="1168">AO943</f>
        <v>24</v>
      </c>
      <c r="AF943" s="101">
        <f t="shared" si="1168"/>
        <v>36</v>
      </c>
      <c r="AG943" s="101">
        <f t="shared" si="1154"/>
        <v>19.001300000000001</v>
      </c>
      <c r="AH943" s="101">
        <f t="shared" si="851"/>
        <v>521</v>
      </c>
      <c r="AI943" s="101">
        <f t="shared" si="852"/>
        <v>200</v>
      </c>
      <c r="AJ943" s="108">
        <f t="shared" si="1155"/>
        <v>2.8571428571428572</v>
      </c>
      <c r="AK943" s="101">
        <f t="shared" si="461"/>
        <v>7897.8377017036591</v>
      </c>
      <c r="AL943" s="101">
        <f t="shared" si="1156"/>
        <v>5055.5454697280493</v>
      </c>
      <c r="AM943" s="101">
        <f t="shared" si="1157"/>
        <v>2842.2922319756099</v>
      </c>
      <c r="AN943" s="101"/>
      <c r="AO943" s="1">
        <v>24</v>
      </c>
      <c r="AP943" s="2">
        <v>36</v>
      </c>
      <c r="AQ943" s="74">
        <f t="shared" si="1158"/>
        <v>521</v>
      </c>
      <c r="AR943" s="31">
        <f t="shared" si="1159"/>
        <v>0</v>
      </c>
      <c r="AS943" s="2">
        <f t="shared" si="1160"/>
        <v>0</v>
      </c>
      <c r="AT943" s="33">
        <f t="shared" si="1161"/>
        <v>0</v>
      </c>
      <c r="AU943" s="31">
        <f t="shared" si="1162"/>
        <v>1.25</v>
      </c>
      <c r="AV943" s="2">
        <f t="shared" si="1163"/>
        <v>0</v>
      </c>
      <c r="AW943" s="33">
        <f t="shared" si="1164"/>
        <v>0</v>
      </c>
      <c r="AX943" s="31">
        <f t="shared" si="1165"/>
        <v>1</v>
      </c>
      <c r="AY943" s="33">
        <f t="shared" si="1166"/>
        <v>1</v>
      </c>
      <c r="AZ943" s="2"/>
      <c r="BA943" s="101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</row>
    <row r="944" spans="1:71" ht="12" customHeight="1">
      <c r="A944" s="2"/>
      <c r="B944" s="107">
        <v>869</v>
      </c>
      <c r="C944" s="31">
        <v>10</v>
      </c>
      <c r="D944" s="113" t="s">
        <v>19</v>
      </c>
      <c r="E944" s="2" t="s">
        <v>146</v>
      </c>
      <c r="F944" s="2"/>
      <c r="G944" s="2"/>
      <c r="H944" s="33">
        <f t="shared" si="1148"/>
        <v>4</v>
      </c>
      <c r="I944" s="99">
        <f t="shared" si="0"/>
        <v>541.09959104823406</v>
      </c>
      <c r="J944" s="101">
        <f t="shared" si="1"/>
        <v>21.708333333333332</v>
      </c>
      <c r="K944" s="101">
        <f t="shared" si="2"/>
        <v>548</v>
      </c>
      <c r="L944" s="74">
        <f t="shared" si="1008"/>
        <v>52</v>
      </c>
      <c r="M944" s="99">
        <f t="shared" si="1137"/>
        <v>12986.390185157617</v>
      </c>
      <c r="N944" s="108">
        <f t="shared" si="1149"/>
        <v>6016.1648310674855</v>
      </c>
      <c r="O944" s="108">
        <f t="shared" si="1090"/>
        <v>5684.5844639512197</v>
      </c>
      <c r="P944" s="108"/>
      <c r="Q944" s="108"/>
      <c r="R944" s="109"/>
      <c r="S944" s="99">
        <f t="shared" si="694"/>
        <v>7897.8377017036591</v>
      </c>
      <c r="T944" s="108">
        <f t="shared" si="1150"/>
        <v>5055.5454697280493</v>
      </c>
      <c r="U944" s="108">
        <f t="shared" si="1151"/>
        <v>2842.2922319756099</v>
      </c>
      <c r="V944" s="108"/>
      <c r="W944" s="108"/>
      <c r="X944" s="109"/>
      <c r="Y944" s="99">
        <f t="shared" si="8"/>
        <v>15795.675403407318</v>
      </c>
      <c r="Z944" s="108">
        <f t="shared" ref="Z944:AA944" si="1169">T944*$D$58/100</f>
        <v>10111.090939456099</v>
      </c>
      <c r="AA944" s="108">
        <f t="shared" si="1169"/>
        <v>5684.5844639512197</v>
      </c>
      <c r="AB944" s="108"/>
      <c r="AC944" s="108"/>
      <c r="AD944" s="109"/>
      <c r="AE944" s="99">
        <f t="shared" ref="AE944:AF944" si="1170">AO944</f>
        <v>24</v>
      </c>
      <c r="AF944" s="101">
        <f t="shared" si="1170"/>
        <v>36</v>
      </c>
      <c r="AG944" s="101">
        <f t="shared" si="1154"/>
        <v>100</v>
      </c>
      <c r="AH944" s="101">
        <f t="shared" si="851"/>
        <v>521</v>
      </c>
      <c r="AI944" s="101">
        <f t="shared" si="852"/>
        <v>200</v>
      </c>
      <c r="AJ944" s="108">
        <f t="shared" si="1155"/>
        <v>2.8571428571428572</v>
      </c>
      <c r="AK944" s="101">
        <f t="shared" si="461"/>
        <v>7897.8377017036591</v>
      </c>
      <c r="AL944" s="101">
        <f t="shared" si="1156"/>
        <v>5055.5454697280493</v>
      </c>
      <c r="AM944" s="101">
        <f t="shared" si="1157"/>
        <v>2842.2922319756099</v>
      </c>
      <c r="AN944" s="101"/>
      <c r="AO944" s="1">
        <v>24</v>
      </c>
      <c r="AP944" s="2">
        <v>36</v>
      </c>
      <c r="AQ944" s="74">
        <f t="shared" si="1158"/>
        <v>521</v>
      </c>
      <c r="AR944" s="31">
        <f t="shared" si="1159"/>
        <v>0</v>
      </c>
      <c r="AS944" s="2">
        <f t="shared" si="1160"/>
        <v>0</v>
      </c>
      <c r="AT944" s="33">
        <f t="shared" si="1161"/>
        <v>100</v>
      </c>
      <c r="AU944" s="31">
        <f t="shared" si="1162"/>
        <v>1</v>
      </c>
      <c r="AV944" s="2">
        <f t="shared" si="1163"/>
        <v>0</v>
      </c>
      <c r="AW944" s="33">
        <f t="shared" si="1164"/>
        <v>0</v>
      </c>
      <c r="AX944" s="31">
        <f t="shared" si="1165"/>
        <v>1</v>
      </c>
      <c r="AY944" s="33">
        <f t="shared" si="1166"/>
        <v>1</v>
      </c>
      <c r="AZ944" s="2"/>
      <c r="BA944" s="101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</row>
    <row r="945" spans="1:71" ht="12" customHeight="1">
      <c r="A945" s="2"/>
      <c r="B945" s="107">
        <v>870</v>
      </c>
      <c r="C945" s="31">
        <v>10</v>
      </c>
      <c r="D945" s="113" t="s">
        <v>19</v>
      </c>
      <c r="E945" s="2" t="s">
        <v>182</v>
      </c>
      <c r="F945" s="2"/>
      <c r="G945" s="2"/>
      <c r="H945" s="33">
        <f t="shared" si="1148"/>
        <v>4</v>
      </c>
      <c r="I945" s="99">
        <f t="shared" si="0"/>
        <v>676.37448881029263</v>
      </c>
      <c r="J945" s="101">
        <f t="shared" si="1"/>
        <v>21.708333333333332</v>
      </c>
      <c r="K945" s="101">
        <f t="shared" si="2"/>
        <v>377</v>
      </c>
      <c r="L945" s="74">
        <f t="shared" si="1008"/>
        <v>21</v>
      </c>
      <c r="M945" s="99">
        <f t="shared" si="1137"/>
        <v>16232.987731447023</v>
      </c>
      <c r="N945" s="108">
        <f t="shared" si="1149"/>
        <v>7520.2060388343571</v>
      </c>
      <c r="O945" s="108">
        <f t="shared" si="1090"/>
        <v>7105.7305799390251</v>
      </c>
      <c r="P945" s="108"/>
      <c r="Q945" s="108"/>
      <c r="R945" s="109"/>
      <c r="S945" s="99">
        <f t="shared" si="694"/>
        <v>9872.2971271295755</v>
      </c>
      <c r="T945" s="108">
        <f t="shared" si="1150"/>
        <v>6319.4318371600621</v>
      </c>
      <c r="U945" s="108">
        <f t="shared" si="1151"/>
        <v>3552.8652899695126</v>
      </c>
      <c r="V945" s="108"/>
      <c r="W945" s="108"/>
      <c r="X945" s="109"/>
      <c r="Y945" s="99">
        <f t="shared" si="8"/>
        <v>19744.594254259151</v>
      </c>
      <c r="Z945" s="108">
        <f t="shared" ref="Z945:AA945" si="1171">T945*$D$58/100</f>
        <v>12638.863674320124</v>
      </c>
      <c r="AA945" s="108">
        <f t="shared" si="1171"/>
        <v>7105.7305799390251</v>
      </c>
      <c r="AB945" s="108"/>
      <c r="AC945" s="108"/>
      <c r="AD945" s="109"/>
      <c r="AE945" s="99">
        <f t="shared" ref="AE945:AF945" si="1172">AO945</f>
        <v>24</v>
      </c>
      <c r="AF945" s="101">
        <f t="shared" si="1172"/>
        <v>36</v>
      </c>
      <c r="AG945" s="101">
        <f t="shared" si="1154"/>
        <v>100</v>
      </c>
      <c r="AH945" s="101">
        <f t="shared" si="851"/>
        <v>521</v>
      </c>
      <c r="AI945" s="101">
        <f t="shared" si="852"/>
        <v>200</v>
      </c>
      <c r="AJ945" s="108">
        <f t="shared" si="1155"/>
        <v>2.8571428571428572</v>
      </c>
      <c r="AK945" s="101">
        <f t="shared" si="461"/>
        <v>7897.8377017036591</v>
      </c>
      <c r="AL945" s="101">
        <f t="shared" si="1156"/>
        <v>5055.5454697280493</v>
      </c>
      <c r="AM945" s="101">
        <f t="shared" si="1157"/>
        <v>2842.2922319756099</v>
      </c>
      <c r="AN945" s="101"/>
      <c r="AO945" s="1">
        <v>24</v>
      </c>
      <c r="AP945" s="2">
        <v>36</v>
      </c>
      <c r="AQ945" s="74">
        <f t="shared" si="1158"/>
        <v>521</v>
      </c>
      <c r="AR945" s="31">
        <f t="shared" si="1159"/>
        <v>0</v>
      </c>
      <c r="AS945" s="2">
        <f t="shared" si="1160"/>
        <v>0</v>
      </c>
      <c r="AT945" s="33">
        <f t="shared" si="1161"/>
        <v>100</v>
      </c>
      <c r="AU945" s="31">
        <f t="shared" si="1162"/>
        <v>1.25</v>
      </c>
      <c r="AV945" s="2">
        <f t="shared" si="1163"/>
        <v>0</v>
      </c>
      <c r="AW945" s="33">
        <f t="shared" si="1164"/>
        <v>0</v>
      </c>
      <c r="AX945" s="31">
        <f t="shared" si="1165"/>
        <v>1</v>
      </c>
      <c r="AY945" s="33">
        <f t="shared" si="1166"/>
        <v>1</v>
      </c>
      <c r="AZ945" s="2"/>
      <c r="BA945" s="101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</row>
    <row r="946" spans="1:71" ht="12" customHeight="1">
      <c r="A946" s="2"/>
      <c r="B946" s="107">
        <v>871</v>
      </c>
      <c r="C946" s="31">
        <v>10</v>
      </c>
      <c r="D946" s="113" t="s">
        <v>19</v>
      </c>
      <c r="E946" s="2" t="s">
        <v>92</v>
      </c>
      <c r="F946" s="2"/>
      <c r="G946" s="2"/>
      <c r="H946" s="33">
        <f t="shared" si="1148"/>
        <v>6</v>
      </c>
      <c r="I946" s="99">
        <f t="shared" si="0"/>
        <v>620.11157226908051</v>
      </c>
      <c r="J946" s="101">
        <f t="shared" si="1"/>
        <v>21.708333333333332</v>
      </c>
      <c r="K946" s="101">
        <f t="shared" si="2"/>
        <v>440</v>
      </c>
      <c r="L946" s="74">
        <f t="shared" si="1008"/>
        <v>30</v>
      </c>
      <c r="M946" s="99">
        <f t="shared" si="1137"/>
        <v>14882.677734457933</v>
      </c>
      <c r="N946" s="108">
        <f t="shared" si="1149"/>
        <v>10026.941385112475</v>
      </c>
      <c r="O946" s="108">
        <f t="shared" si="1090"/>
        <v>3382.3647058499914</v>
      </c>
      <c r="P946" s="108"/>
      <c r="Q946" s="108"/>
      <c r="R946" s="109"/>
      <c r="S946" s="99">
        <f t="shared" si="694"/>
        <v>11268.201348189024</v>
      </c>
      <c r="T946" s="108">
        <f t="shared" si="1150"/>
        <v>8425.9091162134155</v>
      </c>
      <c r="U946" s="108">
        <f t="shared" si="1151"/>
        <v>2842.2922319756099</v>
      </c>
      <c r="V946" s="108"/>
      <c r="W946" s="108"/>
      <c r="X946" s="109"/>
      <c r="Y946" s="99">
        <f t="shared" si="8"/>
        <v>22536.402696378049</v>
      </c>
      <c r="Z946" s="108">
        <f t="shared" ref="Z946:AA946" si="1173">T946*$D$58/100</f>
        <v>16851.818232426831</v>
      </c>
      <c r="AA946" s="108">
        <f t="shared" si="1173"/>
        <v>5684.5844639512197</v>
      </c>
      <c r="AB946" s="108"/>
      <c r="AC946" s="108"/>
      <c r="AD946" s="109"/>
      <c r="AE946" s="99">
        <f t="shared" ref="AE946:AF946" si="1174">AO946</f>
        <v>24</v>
      </c>
      <c r="AF946" s="101">
        <f t="shared" si="1174"/>
        <v>36</v>
      </c>
      <c r="AG946" s="101">
        <f t="shared" si="1154"/>
        <v>19.001300000000001</v>
      </c>
      <c r="AH946" s="101">
        <f t="shared" si="851"/>
        <v>521</v>
      </c>
      <c r="AI946" s="101">
        <f t="shared" si="852"/>
        <v>200</v>
      </c>
      <c r="AJ946" s="108">
        <f t="shared" si="1155"/>
        <v>5</v>
      </c>
      <c r="AK946" s="101">
        <f t="shared" si="461"/>
        <v>11268.201348189024</v>
      </c>
      <c r="AL946" s="101">
        <f t="shared" si="1156"/>
        <v>8425.9091162134155</v>
      </c>
      <c r="AM946" s="101">
        <f t="shared" si="1157"/>
        <v>2842.2922319756099</v>
      </c>
      <c r="AN946" s="101"/>
      <c r="AO946" s="1">
        <v>24</v>
      </c>
      <c r="AP946" s="2">
        <v>36</v>
      </c>
      <c r="AQ946" s="74">
        <f t="shared" si="1158"/>
        <v>521</v>
      </c>
      <c r="AR946" s="31">
        <f t="shared" si="1159"/>
        <v>0</v>
      </c>
      <c r="AS946" s="2">
        <f t="shared" si="1160"/>
        <v>0</v>
      </c>
      <c r="AT946" s="33">
        <f t="shared" si="1161"/>
        <v>0</v>
      </c>
      <c r="AU946" s="31">
        <f t="shared" si="1162"/>
        <v>1</v>
      </c>
      <c r="AV946" s="2">
        <f t="shared" si="1163"/>
        <v>0</v>
      </c>
      <c r="AW946" s="33">
        <f t="shared" si="1164"/>
        <v>0</v>
      </c>
      <c r="AX946" s="31">
        <f t="shared" si="1165"/>
        <v>0</v>
      </c>
      <c r="AY946" s="33">
        <f t="shared" si="1166"/>
        <v>2</v>
      </c>
      <c r="AZ946" s="2"/>
      <c r="BA946" s="101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</row>
    <row r="947" spans="1:71" ht="12" customHeight="1">
      <c r="A947" s="2"/>
      <c r="B947" s="107">
        <v>872</v>
      </c>
      <c r="C947" s="31">
        <v>10</v>
      </c>
      <c r="D947" s="113" t="s">
        <v>19</v>
      </c>
      <c r="E947" s="2" t="s">
        <v>139</v>
      </c>
      <c r="F947" s="2"/>
      <c r="G947" s="2"/>
      <c r="H947" s="33">
        <f t="shared" si="1148"/>
        <v>6</v>
      </c>
      <c r="I947" s="99">
        <f t="shared" si="0"/>
        <v>775.13946533635078</v>
      </c>
      <c r="J947" s="101">
        <f t="shared" si="1"/>
        <v>21.708333333333332</v>
      </c>
      <c r="K947" s="101">
        <f t="shared" si="2"/>
        <v>281</v>
      </c>
      <c r="L947" s="74">
        <f t="shared" si="1008"/>
        <v>11</v>
      </c>
      <c r="M947" s="99">
        <f t="shared" si="1137"/>
        <v>18603.347168072418</v>
      </c>
      <c r="N947" s="108">
        <f t="shared" si="1149"/>
        <v>12533.676731390593</v>
      </c>
      <c r="O947" s="108">
        <f t="shared" si="1090"/>
        <v>4227.9558823124898</v>
      </c>
      <c r="P947" s="108"/>
      <c r="Q947" s="108"/>
      <c r="R947" s="109"/>
      <c r="S947" s="99">
        <f t="shared" si="694"/>
        <v>14085.251685236282</v>
      </c>
      <c r="T947" s="108">
        <f t="shared" si="1150"/>
        <v>10532.386395266769</v>
      </c>
      <c r="U947" s="108">
        <f t="shared" si="1151"/>
        <v>3552.8652899695126</v>
      </c>
      <c r="V947" s="108"/>
      <c r="W947" s="108"/>
      <c r="X947" s="109"/>
      <c r="Y947" s="99">
        <f t="shared" si="8"/>
        <v>28170.503370472565</v>
      </c>
      <c r="Z947" s="108">
        <f t="shared" ref="Z947:AA947" si="1175">T947*$D$58/100</f>
        <v>21064.772790533538</v>
      </c>
      <c r="AA947" s="108">
        <f t="shared" si="1175"/>
        <v>7105.7305799390251</v>
      </c>
      <c r="AB947" s="108"/>
      <c r="AC947" s="108"/>
      <c r="AD947" s="109"/>
      <c r="AE947" s="99">
        <f t="shared" ref="AE947:AF947" si="1176">AO947</f>
        <v>24</v>
      </c>
      <c r="AF947" s="101">
        <f t="shared" si="1176"/>
        <v>36</v>
      </c>
      <c r="AG947" s="101">
        <f t="shared" si="1154"/>
        <v>19.001300000000001</v>
      </c>
      <c r="AH947" s="101">
        <f t="shared" si="851"/>
        <v>521</v>
      </c>
      <c r="AI947" s="101">
        <f t="shared" si="852"/>
        <v>200</v>
      </c>
      <c r="AJ947" s="108">
        <f t="shared" si="1155"/>
        <v>5</v>
      </c>
      <c r="AK947" s="101">
        <f t="shared" si="461"/>
        <v>11268.201348189024</v>
      </c>
      <c r="AL947" s="101">
        <f t="shared" si="1156"/>
        <v>8425.9091162134155</v>
      </c>
      <c r="AM947" s="101">
        <f t="shared" si="1157"/>
        <v>2842.2922319756099</v>
      </c>
      <c r="AN947" s="101"/>
      <c r="AO947" s="1">
        <v>24</v>
      </c>
      <c r="AP947" s="2">
        <v>36</v>
      </c>
      <c r="AQ947" s="74">
        <f t="shared" si="1158"/>
        <v>521</v>
      </c>
      <c r="AR947" s="31">
        <f t="shared" si="1159"/>
        <v>0</v>
      </c>
      <c r="AS947" s="2">
        <f t="shared" si="1160"/>
        <v>0</v>
      </c>
      <c r="AT947" s="33">
        <f t="shared" si="1161"/>
        <v>0</v>
      </c>
      <c r="AU947" s="31">
        <f t="shared" si="1162"/>
        <v>1.25</v>
      </c>
      <c r="AV947" s="2">
        <f t="shared" si="1163"/>
        <v>0</v>
      </c>
      <c r="AW947" s="33">
        <f t="shared" si="1164"/>
        <v>0</v>
      </c>
      <c r="AX947" s="31">
        <f t="shared" si="1165"/>
        <v>0</v>
      </c>
      <c r="AY947" s="33">
        <f t="shared" si="1166"/>
        <v>2</v>
      </c>
      <c r="AZ947" s="2"/>
      <c r="BA947" s="101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</row>
    <row r="948" spans="1:71" ht="12" customHeight="1">
      <c r="A948" s="2"/>
      <c r="B948" s="107">
        <v>873</v>
      </c>
      <c r="C948" s="31">
        <v>10</v>
      </c>
      <c r="D948" s="113" t="s">
        <v>19</v>
      </c>
      <c r="E948" s="2" t="s">
        <v>111</v>
      </c>
      <c r="F948" s="2"/>
      <c r="G948" s="2"/>
      <c r="H948" s="33">
        <f t="shared" si="1148"/>
        <v>6</v>
      </c>
      <c r="I948" s="99">
        <f t="shared" si="0"/>
        <v>726.57741801983741</v>
      </c>
      <c r="J948" s="101">
        <f t="shared" si="1"/>
        <v>21.708333333333332</v>
      </c>
      <c r="K948" s="101">
        <f t="shared" si="2"/>
        <v>324</v>
      </c>
      <c r="L948" s="74">
        <f t="shared" si="1008"/>
        <v>17</v>
      </c>
      <c r="M948" s="99">
        <f t="shared" si="1137"/>
        <v>17437.858032476099</v>
      </c>
      <c r="N948" s="108">
        <f t="shared" si="1149"/>
        <v>10026.941385112475</v>
      </c>
      <c r="O948" s="108">
        <f t="shared" si="1090"/>
        <v>5684.5844639512197</v>
      </c>
      <c r="P948" s="108"/>
      <c r="Q948" s="108"/>
      <c r="R948" s="109"/>
      <c r="S948" s="99">
        <f t="shared" si="694"/>
        <v>11268.201348189024</v>
      </c>
      <c r="T948" s="108">
        <f t="shared" si="1150"/>
        <v>8425.9091162134155</v>
      </c>
      <c r="U948" s="108">
        <f t="shared" si="1151"/>
        <v>2842.2922319756099</v>
      </c>
      <c r="V948" s="108"/>
      <c r="W948" s="108"/>
      <c r="X948" s="109"/>
      <c r="Y948" s="99">
        <f t="shared" si="8"/>
        <v>22536.402696378049</v>
      </c>
      <c r="Z948" s="108">
        <f t="shared" ref="Z948:AA948" si="1177">T948*$D$58/100</f>
        <v>16851.818232426831</v>
      </c>
      <c r="AA948" s="108">
        <f t="shared" si="1177"/>
        <v>5684.5844639512197</v>
      </c>
      <c r="AB948" s="108"/>
      <c r="AC948" s="108"/>
      <c r="AD948" s="109"/>
      <c r="AE948" s="99">
        <f t="shared" ref="AE948:AF948" si="1178">AO948</f>
        <v>24</v>
      </c>
      <c r="AF948" s="101">
        <f t="shared" si="1178"/>
        <v>36</v>
      </c>
      <c r="AG948" s="101">
        <f t="shared" si="1154"/>
        <v>100</v>
      </c>
      <c r="AH948" s="101">
        <f t="shared" si="851"/>
        <v>521</v>
      </c>
      <c r="AI948" s="101">
        <f t="shared" si="852"/>
        <v>200</v>
      </c>
      <c r="AJ948" s="108">
        <f t="shared" si="1155"/>
        <v>5</v>
      </c>
      <c r="AK948" s="101">
        <f t="shared" si="461"/>
        <v>11268.201348189024</v>
      </c>
      <c r="AL948" s="101">
        <f t="shared" si="1156"/>
        <v>8425.9091162134155</v>
      </c>
      <c r="AM948" s="101">
        <f t="shared" si="1157"/>
        <v>2842.2922319756099</v>
      </c>
      <c r="AN948" s="101"/>
      <c r="AO948" s="1">
        <v>24</v>
      </c>
      <c r="AP948" s="2">
        <v>36</v>
      </c>
      <c r="AQ948" s="74">
        <f t="shared" si="1158"/>
        <v>521</v>
      </c>
      <c r="AR948" s="31">
        <f t="shared" si="1159"/>
        <v>0</v>
      </c>
      <c r="AS948" s="2">
        <f t="shared" si="1160"/>
        <v>0</v>
      </c>
      <c r="AT948" s="33">
        <f t="shared" si="1161"/>
        <v>100</v>
      </c>
      <c r="AU948" s="31">
        <f t="shared" si="1162"/>
        <v>1</v>
      </c>
      <c r="AV948" s="2">
        <f t="shared" si="1163"/>
        <v>0</v>
      </c>
      <c r="AW948" s="33">
        <f t="shared" si="1164"/>
        <v>0</v>
      </c>
      <c r="AX948" s="31">
        <f t="shared" si="1165"/>
        <v>0</v>
      </c>
      <c r="AY948" s="33">
        <f t="shared" si="1166"/>
        <v>2</v>
      </c>
      <c r="AZ948" s="2"/>
      <c r="BA948" s="101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</row>
    <row r="949" spans="1:71" ht="15.75" customHeight="1">
      <c r="A949" s="2"/>
      <c r="B949" s="107">
        <v>874</v>
      </c>
      <c r="C949" s="31">
        <v>10</v>
      </c>
      <c r="D949" s="113" t="s">
        <v>19</v>
      </c>
      <c r="E949" s="2" t="s">
        <v>145</v>
      </c>
      <c r="F949" s="2"/>
      <c r="G949" s="2"/>
      <c r="H949" s="33">
        <f t="shared" si="1148"/>
        <v>6</v>
      </c>
      <c r="I949" s="99">
        <f t="shared" si="0"/>
        <v>908.22177252479685</v>
      </c>
      <c r="J949" s="101">
        <f t="shared" si="1"/>
        <v>21.708333333333332</v>
      </c>
      <c r="K949" s="101">
        <f t="shared" si="2"/>
        <v>198</v>
      </c>
      <c r="L949" s="74">
        <f t="shared" si="1008"/>
        <v>7</v>
      </c>
      <c r="M949" s="99">
        <f t="shared" si="1137"/>
        <v>21797.322540595123</v>
      </c>
      <c r="N949" s="108">
        <f t="shared" si="1149"/>
        <v>12533.676731390593</v>
      </c>
      <c r="O949" s="108">
        <f t="shared" si="1090"/>
        <v>7105.7305799390251</v>
      </c>
      <c r="P949" s="108"/>
      <c r="Q949" s="108"/>
      <c r="R949" s="109"/>
      <c r="S949" s="99">
        <f t="shared" si="694"/>
        <v>14085.251685236282</v>
      </c>
      <c r="T949" s="108">
        <f t="shared" si="1150"/>
        <v>10532.386395266769</v>
      </c>
      <c r="U949" s="108">
        <f t="shared" si="1151"/>
        <v>3552.8652899695126</v>
      </c>
      <c r="V949" s="108"/>
      <c r="W949" s="108"/>
      <c r="X949" s="109"/>
      <c r="Y949" s="99">
        <f t="shared" si="8"/>
        <v>28170.503370472565</v>
      </c>
      <c r="Z949" s="108">
        <f t="shared" ref="Z949:AA949" si="1179">T949*$D$58/100</f>
        <v>21064.772790533538</v>
      </c>
      <c r="AA949" s="108">
        <f t="shared" si="1179"/>
        <v>7105.7305799390251</v>
      </c>
      <c r="AB949" s="108"/>
      <c r="AC949" s="108"/>
      <c r="AD949" s="109"/>
      <c r="AE949" s="99">
        <f t="shared" ref="AE949:AF949" si="1180">AO949</f>
        <v>24</v>
      </c>
      <c r="AF949" s="101">
        <f t="shared" si="1180"/>
        <v>36</v>
      </c>
      <c r="AG949" s="101">
        <f t="shared" si="1154"/>
        <v>100</v>
      </c>
      <c r="AH949" s="101">
        <f t="shared" si="851"/>
        <v>521</v>
      </c>
      <c r="AI949" s="101">
        <f t="shared" si="852"/>
        <v>200</v>
      </c>
      <c r="AJ949" s="108">
        <f t="shared" si="1155"/>
        <v>5</v>
      </c>
      <c r="AK949" s="101">
        <f t="shared" si="461"/>
        <v>11268.201348189024</v>
      </c>
      <c r="AL949" s="101">
        <f t="shared" si="1156"/>
        <v>8425.9091162134155</v>
      </c>
      <c r="AM949" s="101">
        <f t="shared" si="1157"/>
        <v>2842.2922319756099</v>
      </c>
      <c r="AN949" s="101"/>
      <c r="AO949" s="1">
        <v>24</v>
      </c>
      <c r="AP949" s="2">
        <v>36</v>
      </c>
      <c r="AQ949" s="74">
        <f t="shared" si="1158"/>
        <v>521</v>
      </c>
      <c r="AR949" s="31">
        <f t="shared" si="1159"/>
        <v>0</v>
      </c>
      <c r="AS949" s="2">
        <f t="shared" si="1160"/>
        <v>0</v>
      </c>
      <c r="AT949" s="33">
        <f t="shared" si="1161"/>
        <v>100</v>
      </c>
      <c r="AU949" s="31">
        <f t="shared" si="1162"/>
        <v>1.25</v>
      </c>
      <c r="AV949" s="2">
        <f t="shared" si="1163"/>
        <v>0</v>
      </c>
      <c r="AW949" s="33">
        <f t="shared" si="1164"/>
        <v>0</v>
      </c>
      <c r="AX949" s="31">
        <f t="shared" si="1165"/>
        <v>0</v>
      </c>
      <c r="AY949" s="33">
        <f t="shared" si="1166"/>
        <v>2</v>
      </c>
      <c r="AZ949" s="2"/>
      <c r="BA949" s="101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</row>
    <row r="950" spans="1:71" ht="12" customHeight="1">
      <c r="A950" s="2"/>
      <c r="B950" s="107">
        <v>875</v>
      </c>
      <c r="C950" s="31">
        <v>7</v>
      </c>
      <c r="D950" s="113" t="s">
        <v>19</v>
      </c>
      <c r="E950" s="2" t="s">
        <v>67</v>
      </c>
      <c r="F950" s="2"/>
      <c r="G950" s="2"/>
      <c r="H950" s="33">
        <f t="shared" si="1148"/>
        <v>4</v>
      </c>
      <c r="I950" s="99">
        <f t="shared" si="0"/>
        <v>415.90539652511058</v>
      </c>
      <c r="J950" s="101">
        <f t="shared" si="1"/>
        <v>15.125</v>
      </c>
      <c r="K950" s="101">
        <f t="shared" si="2"/>
        <v>717</v>
      </c>
      <c r="L950" s="74">
        <f t="shared" si="1008"/>
        <v>83</v>
      </c>
      <c r="M950" s="99">
        <f t="shared" si="1137"/>
        <v>9981.7295166026543</v>
      </c>
      <c r="N950" s="108">
        <f t="shared" si="1149"/>
        <v>5756.3291236970299</v>
      </c>
      <c r="O950" s="108">
        <f t="shared" si="1090"/>
        <v>3237.2181930886281</v>
      </c>
      <c r="P950" s="108"/>
      <c r="Q950" s="108"/>
      <c r="R950" s="109"/>
      <c r="S950" s="99">
        <f t="shared" si="694"/>
        <v>7557.5202260695123</v>
      </c>
      <c r="T950" s="108">
        <f t="shared" si="1150"/>
        <v>4837.1985211060974</v>
      </c>
      <c r="U950" s="108">
        <f t="shared" si="1151"/>
        <v>2720.321704963415</v>
      </c>
      <c r="V950" s="108"/>
      <c r="W950" s="108"/>
      <c r="X950" s="109"/>
      <c r="Y950" s="99">
        <f t="shared" si="8"/>
        <v>15115.040452139025</v>
      </c>
      <c r="Z950" s="108">
        <f t="shared" ref="Z950:AA950" si="1181">T950*$D$58/100</f>
        <v>9674.3970422121947</v>
      </c>
      <c r="AA950" s="108">
        <f t="shared" si="1181"/>
        <v>5440.6434099268299</v>
      </c>
      <c r="AB950" s="108"/>
      <c r="AC950" s="108"/>
      <c r="AD950" s="109"/>
      <c r="AE950" s="99">
        <f t="shared" ref="AE950:AF950" si="1182">AO950</f>
        <v>24</v>
      </c>
      <c r="AF950" s="101">
        <f t="shared" si="1182"/>
        <v>36</v>
      </c>
      <c r="AG950" s="101">
        <f t="shared" si="1154"/>
        <v>19.001300000000001</v>
      </c>
      <c r="AH950" s="101">
        <f t="shared" si="851"/>
        <v>363</v>
      </c>
      <c r="AI950" s="101">
        <f t="shared" si="852"/>
        <v>200</v>
      </c>
      <c r="AJ950" s="108">
        <f t="shared" si="1155"/>
        <v>4</v>
      </c>
      <c r="AK950" s="101">
        <f t="shared" si="461"/>
        <v>7557.5202260695123</v>
      </c>
      <c r="AL950" s="101">
        <f t="shared" si="1156"/>
        <v>4837.1985211060974</v>
      </c>
      <c r="AM950" s="101">
        <f t="shared" si="1157"/>
        <v>2720.321704963415</v>
      </c>
      <c r="AN950" s="101"/>
      <c r="AO950" s="1">
        <v>24</v>
      </c>
      <c r="AP950" s="2">
        <v>36</v>
      </c>
      <c r="AQ950" s="74">
        <f t="shared" si="1158"/>
        <v>363</v>
      </c>
      <c r="AR950" s="31">
        <f t="shared" si="1159"/>
        <v>0</v>
      </c>
      <c r="AS950" s="2">
        <f t="shared" si="1160"/>
        <v>0</v>
      </c>
      <c r="AT950" s="33">
        <f t="shared" si="1161"/>
        <v>0</v>
      </c>
      <c r="AU950" s="31">
        <f t="shared" si="1162"/>
        <v>1</v>
      </c>
      <c r="AV950" s="2">
        <f t="shared" si="1163"/>
        <v>0</v>
      </c>
      <c r="AW950" s="33">
        <f t="shared" si="1164"/>
        <v>0</v>
      </c>
      <c r="AX950" s="31">
        <f t="shared" si="1165"/>
        <v>0</v>
      </c>
      <c r="AY950" s="33">
        <f t="shared" si="1166"/>
        <v>1</v>
      </c>
      <c r="AZ950" s="2"/>
      <c r="BA950" s="101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</row>
    <row r="951" spans="1:71" ht="12" customHeight="1">
      <c r="A951" s="2"/>
      <c r="B951" s="107">
        <v>876</v>
      </c>
      <c r="C951" s="31">
        <v>7</v>
      </c>
      <c r="D951" s="113" t="s">
        <v>19</v>
      </c>
      <c r="E951" s="2" t="s">
        <v>136</v>
      </c>
      <c r="F951" s="2"/>
      <c r="G951" s="2"/>
      <c r="H951" s="33">
        <f t="shared" si="1148"/>
        <v>4</v>
      </c>
      <c r="I951" s="99">
        <f t="shared" si="0"/>
        <v>519.88174565638815</v>
      </c>
      <c r="J951" s="101">
        <f t="shared" si="1"/>
        <v>15.125</v>
      </c>
      <c r="K951" s="101">
        <f t="shared" si="2"/>
        <v>576</v>
      </c>
      <c r="L951" s="74">
        <f t="shared" si="1008"/>
        <v>57</v>
      </c>
      <c r="M951" s="99">
        <f t="shared" si="1137"/>
        <v>12477.161895753316</v>
      </c>
      <c r="N951" s="108">
        <f t="shared" si="1149"/>
        <v>7195.4114046212871</v>
      </c>
      <c r="O951" s="108">
        <f t="shared" si="1090"/>
        <v>4046.5227413607854</v>
      </c>
      <c r="P951" s="108"/>
      <c r="Q951" s="108"/>
      <c r="R951" s="109"/>
      <c r="S951" s="99">
        <f t="shared" si="694"/>
        <v>9446.9002825868902</v>
      </c>
      <c r="T951" s="108">
        <f t="shared" si="1150"/>
        <v>6046.4981513826215</v>
      </c>
      <c r="U951" s="108">
        <f t="shared" si="1151"/>
        <v>3400.4021312042687</v>
      </c>
      <c r="V951" s="108"/>
      <c r="W951" s="108"/>
      <c r="X951" s="109"/>
      <c r="Y951" s="99">
        <f t="shared" si="8"/>
        <v>18893.80056517378</v>
      </c>
      <c r="Z951" s="108">
        <f t="shared" ref="Z951:AA951" si="1183">T951*$D$58/100</f>
        <v>12092.996302765243</v>
      </c>
      <c r="AA951" s="108">
        <f t="shared" si="1183"/>
        <v>6800.8042624085374</v>
      </c>
      <c r="AB951" s="108"/>
      <c r="AC951" s="108"/>
      <c r="AD951" s="109"/>
      <c r="AE951" s="99">
        <f t="shared" ref="AE951:AF951" si="1184">AO951</f>
        <v>24</v>
      </c>
      <c r="AF951" s="101">
        <f t="shared" si="1184"/>
        <v>36</v>
      </c>
      <c r="AG951" s="101">
        <f t="shared" si="1154"/>
        <v>19.001300000000001</v>
      </c>
      <c r="AH951" s="101">
        <f t="shared" si="851"/>
        <v>363</v>
      </c>
      <c r="AI951" s="101">
        <f t="shared" si="852"/>
        <v>200</v>
      </c>
      <c r="AJ951" s="108">
        <f t="shared" si="1155"/>
        <v>4</v>
      </c>
      <c r="AK951" s="101">
        <f t="shared" si="461"/>
        <v>7557.5202260695123</v>
      </c>
      <c r="AL951" s="101">
        <f t="shared" si="1156"/>
        <v>4837.1985211060974</v>
      </c>
      <c r="AM951" s="101">
        <f t="shared" si="1157"/>
        <v>2720.321704963415</v>
      </c>
      <c r="AN951" s="101"/>
      <c r="AO951" s="1">
        <v>24</v>
      </c>
      <c r="AP951" s="2">
        <v>36</v>
      </c>
      <c r="AQ951" s="74">
        <f t="shared" si="1158"/>
        <v>363</v>
      </c>
      <c r="AR951" s="31">
        <f t="shared" si="1159"/>
        <v>0</v>
      </c>
      <c r="AS951" s="2">
        <f t="shared" si="1160"/>
        <v>0</v>
      </c>
      <c r="AT951" s="33">
        <f t="shared" si="1161"/>
        <v>0</v>
      </c>
      <c r="AU951" s="31">
        <f t="shared" si="1162"/>
        <v>1.25</v>
      </c>
      <c r="AV951" s="2">
        <f t="shared" si="1163"/>
        <v>0</v>
      </c>
      <c r="AW951" s="33">
        <f t="shared" si="1164"/>
        <v>0</v>
      </c>
      <c r="AX951" s="31">
        <f t="shared" si="1165"/>
        <v>0</v>
      </c>
      <c r="AY951" s="33">
        <f t="shared" si="1166"/>
        <v>1</v>
      </c>
      <c r="AZ951" s="2"/>
      <c r="BA951" s="101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</row>
    <row r="952" spans="1:71" ht="12" customHeight="1">
      <c r="A952" s="2"/>
      <c r="B952" s="107">
        <v>877</v>
      </c>
      <c r="C952" s="31">
        <v>7</v>
      </c>
      <c r="D952" s="113" t="s">
        <v>19</v>
      </c>
      <c r="E952" s="2" t="s">
        <v>87</v>
      </c>
      <c r="F952" s="2"/>
      <c r="G952" s="2"/>
      <c r="H952" s="33">
        <f t="shared" si="1148"/>
        <v>4</v>
      </c>
      <c r="I952" s="99">
        <f t="shared" si="0"/>
        <v>517.80250188776427</v>
      </c>
      <c r="J952" s="101">
        <f t="shared" si="1"/>
        <v>15.125</v>
      </c>
      <c r="K952" s="101">
        <f t="shared" si="2"/>
        <v>578</v>
      </c>
      <c r="L952" s="74">
        <f t="shared" si="1008"/>
        <v>58</v>
      </c>
      <c r="M952" s="99">
        <f t="shared" si="1137"/>
        <v>12427.260045306342</v>
      </c>
      <c r="N952" s="108">
        <f t="shared" si="1149"/>
        <v>5756.3291236970299</v>
      </c>
      <c r="O952" s="108">
        <f t="shared" si="1090"/>
        <v>5440.6434099268299</v>
      </c>
      <c r="P952" s="108"/>
      <c r="Q952" s="108"/>
      <c r="R952" s="109"/>
      <c r="S952" s="99">
        <f t="shared" si="694"/>
        <v>7557.5202260695123</v>
      </c>
      <c r="T952" s="108">
        <f t="shared" si="1150"/>
        <v>4837.1985211060974</v>
      </c>
      <c r="U952" s="108">
        <f t="shared" si="1151"/>
        <v>2720.321704963415</v>
      </c>
      <c r="V952" s="108"/>
      <c r="W952" s="108"/>
      <c r="X952" s="109"/>
      <c r="Y952" s="99">
        <f t="shared" si="8"/>
        <v>15115.040452139025</v>
      </c>
      <c r="Z952" s="108">
        <f t="shared" ref="Z952:AA952" si="1185">T952*$D$58/100</f>
        <v>9674.3970422121947</v>
      </c>
      <c r="AA952" s="108">
        <f t="shared" si="1185"/>
        <v>5440.6434099268299</v>
      </c>
      <c r="AB952" s="108"/>
      <c r="AC952" s="108"/>
      <c r="AD952" s="109"/>
      <c r="AE952" s="99">
        <f t="shared" ref="AE952:AF952" si="1186">AO952</f>
        <v>24</v>
      </c>
      <c r="AF952" s="101">
        <f t="shared" si="1186"/>
        <v>36</v>
      </c>
      <c r="AG952" s="101">
        <f t="shared" si="1154"/>
        <v>100</v>
      </c>
      <c r="AH952" s="101">
        <f t="shared" si="851"/>
        <v>363</v>
      </c>
      <c r="AI952" s="101">
        <f t="shared" si="852"/>
        <v>200</v>
      </c>
      <c r="AJ952" s="108">
        <f t="shared" si="1155"/>
        <v>4</v>
      </c>
      <c r="AK952" s="101">
        <f t="shared" si="461"/>
        <v>7557.5202260695123</v>
      </c>
      <c r="AL952" s="101">
        <f t="shared" si="1156"/>
        <v>4837.1985211060974</v>
      </c>
      <c r="AM952" s="101">
        <f t="shared" si="1157"/>
        <v>2720.321704963415</v>
      </c>
      <c r="AN952" s="101"/>
      <c r="AO952" s="1">
        <v>24</v>
      </c>
      <c r="AP952" s="2">
        <v>36</v>
      </c>
      <c r="AQ952" s="74">
        <f t="shared" si="1158"/>
        <v>363</v>
      </c>
      <c r="AR952" s="31">
        <f t="shared" si="1159"/>
        <v>0</v>
      </c>
      <c r="AS952" s="2">
        <f t="shared" si="1160"/>
        <v>0</v>
      </c>
      <c r="AT952" s="33">
        <f t="shared" si="1161"/>
        <v>100</v>
      </c>
      <c r="AU952" s="31">
        <f t="shared" si="1162"/>
        <v>1</v>
      </c>
      <c r="AV952" s="2">
        <f t="shared" si="1163"/>
        <v>0</v>
      </c>
      <c r="AW952" s="33">
        <f t="shared" si="1164"/>
        <v>0</v>
      </c>
      <c r="AX952" s="31">
        <f t="shared" si="1165"/>
        <v>0</v>
      </c>
      <c r="AY952" s="33">
        <f t="shared" si="1166"/>
        <v>1</v>
      </c>
      <c r="AZ952" s="2"/>
      <c r="BA952" s="101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</row>
    <row r="953" spans="1:71" ht="12" customHeight="1">
      <c r="A953" s="2"/>
      <c r="B953" s="107">
        <v>878</v>
      </c>
      <c r="C953" s="31">
        <v>7</v>
      </c>
      <c r="D953" s="113" t="s">
        <v>19</v>
      </c>
      <c r="E953" s="2" t="s">
        <v>179</v>
      </c>
      <c r="F953" s="2"/>
      <c r="G953" s="2"/>
      <c r="H953" s="33">
        <f t="shared" si="1148"/>
        <v>4</v>
      </c>
      <c r="I953" s="99">
        <f t="shared" si="0"/>
        <v>647.25312735970533</v>
      </c>
      <c r="J953" s="101">
        <f t="shared" si="1"/>
        <v>15.125</v>
      </c>
      <c r="K953" s="101">
        <f t="shared" si="2"/>
        <v>413</v>
      </c>
      <c r="L953" s="74">
        <f t="shared" si="1008"/>
        <v>25</v>
      </c>
      <c r="M953" s="99">
        <f t="shared" si="1137"/>
        <v>15534.075056632928</v>
      </c>
      <c r="N953" s="108">
        <f t="shared" si="1149"/>
        <v>7195.4114046212871</v>
      </c>
      <c r="O953" s="108">
        <f t="shared" si="1090"/>
        <v>6800.8042624085374</v>
      </c>
      <c r="P953" s="108"/>
      <c r="Q953" s="108"/>
      <c r="R953" s="109"/>
      <c r="S953" s="99">
        <f t="shared" si="694"/>
        <v>9446.9002825868902</v>
      </c>
      <c r="T953" s="108">
        <f t="shared" si="1150"/>
        <v>6046.4981513826215</v>
      </c>
      <c r="U953" s="108">
        <f t="shared" si="1151"/>
        <v>3400.4021312042687</v>
      </c>
      <c r="V953" s="108"/>
      <c r="W953" s="108"/>
      <c r="X953" s="109"/>
      <c r="Y953" s="99">
        <f t="shared" si="8"/>
        <v>18893.80056517378</v>
      </c>
      <c r="Z953" s="108">
        <f t="shared" ref="Z953:AA953" si="1187">T953*$D$58/100</f>
        <v>12092.996302765243</v>
      </c>
      <c r="AA953" s="108">
        <f t="shared" si="1187"/>
        <v>6800.8042624085374</v>
      </c>
      <c r="AB953" s="108"/>
      <c r="AC953" s="108"/>
      <c r="AD953" s="109"/>
      <c r="AE953" s="99">
        <f t="shared" ref="AE953:AF953" si="1188">AO953</f>
        <v>24</v>
      </c>
      <c r="AF953" s="101">
        <f t="shared" si="1188"/>
        <v>36</v>
      </c>
      <c r="AG953" s="101">
        <f t="shared" si="1154"/>
        <v>100</v>
      </c>
      <c r="AH953" s="101">
        <f t="shared" si="851"/>
        <v>363</v>
      </c>
      <c r="AI953" s="101">
        <f t="shared" si="852"/>
        <v>200</v>
      </c>
      <c r="AJ953" s="108">
        <f t="shared" si="1155"/>
        <v>4</v>
      </c>
      <c r="AK953" s="101">
        <f t="shared" si="461"/>
        <v>7557.5202260695123</v>
      </c>
      <c r="AL953" s="101">
        <f t="shared" si="1156"/>
        <v>4837.1985211060974</v>
      </c>
      <c r="AM953" s="101">
        <f t="shared" si="1157"/>
        <v>2720.321704963415</v>
      </c>
      <c r="AN953" s="101"/>
      <c r="AO953" s="1">
        <v>24</v>
      </c>
      <c r="AP953" s="2">
        <v>36</v>
      </c>
      <c r="AQ953" s="74">
        <f t="shared" si="1158"/>
        <v>363</v>
      </c>
      <c r="AR953" s="31">
        <f t="shared" si="1159"/>
        <v>0</v>
      </c>
      <c r="AS953" s="2">
        <f t="shared" si="1160"/>
        <v>0</v>
      </c>
      <c r="AT953" s="33">
        <f t="shared" si="1161"/>
        <v>100</v>
      </c>
      <c r="AU953" s="31">
        <f t="shared" si="1162"/>
        <v>1.25</v>
      </c>
      <c r="AV953" s="2">
        <f t="shared" si="1163"/>
        <v>0</v>
      </c>
      <c r="AW953" s="33">
        <f t="shared" si="1164"/>
        <v>0</v>
      </c>
      <c r="AX953" s="31">
        <f t="shared" si="1165"/>
        <v>0</v>
      </c>
      <c r="AY953" s="33">
        <f t="shared" si="1166"/>
        <v>1</v>
      </c>
      <c r="AZ953" s="2"/>
      <c r="BA953" s="101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</row>
    <row r="954" spans="1:71" ht="12" customHeight="1">
      <c r="A954" s="2"/>
      <c r="B954" s="107">
        <v>879</v>
      </c>
      <c r="C954" s="31">
        <v>4</v>
      </c>
      <c r="D954" s="113" t="s">
        <v>19</v>
      </c>
      <c r="E954" s="2" t="s">
        <v>67</v>
      </c>
      <c r="F954" s="2"/>
      <c r="G954" s="2"/>
      <c r="H954" s="33">
        <f t="shared" si="1148"/>
        <v>4</v>
      </c>
      <c r="I954" s="99">
        <f t="shared" si="0"/>
        <v>385.46915926825136</v>
      </c>
      <c r="J954" s="101">
        <f t="shared" si="1"/>
        <v>8.2916666666666661</v>
      </c>
      <c r="K954" s="101">
        <f t="shared" si="2"/>
        <v>748</v>
      </c>
      <c r="L954" s="74">
        <f t="shared" si="1008"/>
        <v>90</v>
      </c>
      <c r="M954" s="99">
        <f t="shared" si="1137"/>
        <v>9251.2598224380326</v>
      </c>
      <c r="N954" s="108">
        <f t="shared" si="1149"/>
        <v>5335.3104385786228</v>
      </c>
      <c r="O954" s="108">
        <f t="shared" si="1090"/>
        <v>3000.0830235047652</v>
      </c>
      <c r="P954" s="108"/>
      <c r="Q954" s="108"/>
      <c r="R954" s="109"/>
      <c r="S954" s="99">
        <f t="shared" si="694"/>
        <v>7004.4558018134157</v>
      </c>
      <c r="T954" s="108">
        <f t="shared" si="1150"/>
        <v>4483.4051716902441</v>
      </c>
      <c r="U954" s="108">
        <f t="shared" si="1151"/>
        <v>2521.0506301231712</v>
      </c>
      <c r="V954" s="108"/>
      <c r="W954" s="108"/>
      <c r="X954" s="109"/>
      <c r="Y954" s="99">
        <f t="shared" si="8"/>
        <v>14008.911603626831</v>
      </c>
      <c r="Z954" s="108">
        <f t="shared" ref="Z954:AA954" si="1189">T954*$D$58/100</f>
        <v>8966.8103433804881</v>
      </c>
      <c r="AA954" s="108">
        <f t="shared" si="1189"/>
        <v>5042.1012602463425</v>
      </c>
      <c r="AB954" s="108"/>
      <c r="AC954" s="108"/>
      <c r="AD954" s="109"/>
      <c r="AE954" s="99">
        <f t="shared" ref="AE954:AF954" si="1190">AO954</f>
        <v>24</v>
      </c>
      <c r="AF954" s="101">
        <f t="shared" si="1190"/>
        <v>36</v>
      </c>
      <c r="AG954" s="101">
        <f t="shared" si="1154"/>
        <v>19.001300000000001</v>
      </c>
      <c r="AH954" s="101">
        <f t="shared" si="851"/>
        <v>199</v>
      </c>
      <c r="AI954" s="101">
        <f t="shared" si="852"/>
        <v>200</v>
      </c>
      <c r="AJ954" s="108">
        <f t="shared" si="1155"/>
        <v>4</v>
      </c>
      <c r="AK954" s="101">
        <f t="shared" si="461"/>
        <v>7004.4558018134157</v>
      </c>
      <c r="AL954" s="101">
        <f t="shared" si="1156"/>
        <v>4483.4051716902441</v>
      </c>
      <c r="AM954" s="101">
        <f t="shared" si="1157"/>
        <v>2521.0506301231712</v>
      </c>
      <c r="AN954" s="101"/>
      <c r="AO954" s="1">
        <v>24</v>
      </c>
      <c r="AP954" s="2">
        <v>36</v>
      </c>
      <c r="AQ954" s="74">
        <f t="shared" si="1158"/>
        <v>199</v>
      </c>
      <c r="AR954" s="31">
        <f t="shared" si="1159"/>
        <v>0</v>
      </c>
      <c r="AS954" s="2">
        <f t="shared" si="1160"/>
        <v>0</v>
      </c>
      <c r="AT954" s="33">
        <f t="shared" si="1161"/>
        <v>0</v>
      </c>
      <c r="AU954" s="31">
        <f t="shared" si="1162"/>
        <v>1</v>
      </c>
      <c r="AV954" s="2">
        <f t="shared" si="1163"/>
        <v>0</v>
      </c>
      <c r="AW954" s="33">
        <f t="shared" si="1164"/>
        <v>0</v>
      </c>
      <c r="AX954" s="31">
        <f t="shared" si="1165"/>
        <v>0</v>
      </c>
      <c r="AY954" s="33">
        <f t="shared" si="1166"/>
        <v>1</v>
      </c>
      <c r="AZ954" s="2"/>
      <c r="BA954" s="101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</row>
    <row r="955" spans="1:71" ht="12" customHeight="1">
      <c r="A955" s="2"/>
      <c r="B955" s="107">
        <v>880</v>
      </c>
      <c r="C955" s="31">
        <v>4</v>
      </c>
      <c r="D955" s="113" t="s">
        <v>19</v>
      </c>
      <c r="E955" s="2" t="s">
        <v>87</v>
      </c>
      <c r="F955" s="2"/>
      <c r="G955" s="2"/>
      <c r="H955" s="33">
        <f t="shared" si="1148"/>
        <v>4</v>
      </c>
      <c r="I955" s="99">
        <f t="shared" si="0"/>
        <v>479.90202035726742</v>
      </c>
      <c r="J955" s="101">
        <f t="shared" si="1"/>
        <v>8.2916666666666661</v>
      </c>
      <c r="K955" s="101">
        <f t="shared" si="2"/>
        <v>632</v>
      </c>
      <c r="L955" s="74">
        <f t="shared" si="1008"/>
        <v>69</v>
      </c>
      <c r="M955" s="99">
        <f t="shared" si="1137"/>
        <v>11517.648488574418</v>
      </c>
      <c r="N955" s="108">
        <f t="shared" si="1149"/>
        <v>5335.3104385786228</v>
      </c>
      <c r="O955" s="108">
        <f t="shared" si="1090"/>
        <v>5042.1012602463425</v>
      </c>
      <c r="P955" s="108"/>
      <c r="Q955" s="108"/>
      <c r="R955" s="109"/>
      <c r="S955" s="99">
        <f t="shared" si="694"/>
        <v>7004.4558018134157</v>
      </c>
      <c r="T955" s="108">
        <f t="shared" si="1150"/>
        <v>4483.4051716902441</v>
      </c>
      <c r="U955" s="108">
        <f t="shared" si="1151"/>
        <v>2521.0506301231712</v>
      </c>
      <c r="V955" s="108"/>
      <c r="W955" s="108"/>
      <c r="X955" s="109"/>
      <c r="Y955" s="99">
        <f t="shared" si="8"/>
        <v>14008.911603626831</v>
      </c>
      <c r="Z955" s="108">
        <f t="shared" ref="Z955:AA955" si="1191">T955*$D$58/100</f>
        <v>8966.8103433804881</v>
      </c>
      <c r="AA955" s="108">
        <f t="shared" si="1191"/>
        <v>5042.1012602463425</v>
      </c>
      <c r="AB955" s="108"/>
      <c r="AC955" s="108"/>
      <c r="AD955" s="109"/>
      <c r="AE955" s="99">
        <f t="shared" ref="AE955:AF955" si="1192">AO955</f>
        <v>24</v>
      </c>
      <c r="AF955" s="101">
        <f t="shared" si="1192"/>
        <v>36</v>
      </c>
      <c r="AG955" s="101">
        <f t="shared" si="1154"/>
        <v>100</v>
      </c>
      <c r="AH955" s="101">
        <f t="shared" si="851"/>
        <v>199</v>
      </c>
      <c r="AI955" s="101">
        <f t="shared" si="852"/>
        <v>200</v>
      </c>
      <c r="AJ955" s="108">
        <f t="shared" si="1155"/>
        <v>4</v>
      </c>
      <c r="AK955" s="101">
        <f t="shared" si="461"/>
        <v>7004.4558018134157</v>
      </c>
      <c r="AL955" s="101">
        <f t="shared" si="1156"/>
        <v>4483.4051716902441</v>
      </c>
      <c r="AM955" s="101">
        <f t="shared" si="1157"/>
        <v>2521.0506301231712</v>
      </c>
      <c r="AN955" s="101"/>
      <c r="AO955" s="1">
        <v>24</v>
      </c>
      <c r="AP955" s="2">
        <v>36</v>
      </c>
      <c r="AQ955" s="74">
        <f t="shared" si="1158"/>
        <v>199</v>
      </c>
      <c r="AR955" s="31">
        <f t="shared" si="1159"/>
        <v>0</v>
      </c>
      <c r="AS955" s="2">
        <f t="shared" si="1160"/>
        <v>0</v>
      </c>
      <c r="AT955" s="33">
        <f t="shared" si="1161"/>
        <v>100</v>
      </c>
      <c r="AU955" s="31">
        <f t="shared" si="1162"/>
        <v>1</v>
      </c>
      <c r="AV955" s="2">
        <f t="shared" si="1163"/>
        <v>0</v>
      </c>
      <c r="AW955" s="33">
        <f t="shared" si="1164"/>
        <v>0</v>
      </c>
      <c r="AX955" s="31">
        <f t="shared" si="1165"/>
        <v>0</v>
      </c>
      <c r="AY955" s="33">
        <f t="shared" si="1166"/>
        <v>1</v>
      </c>
      <c r="AZ955" s="2"/>
      <c r="BA955" s="101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</row>
    <row r="956" spans="1:71" ht="12" customHeight="1">
      <c r="A956" s="2"/>
      <c r="B956" s="107">
        <v>881</v>
      </c>
      <c r="C956" s="31">
        <v>1</v>
      </c>
      <c r="D956" s="113" t="s">
        <v>19</v>
      </c>
      <c r="E956" s="2" t="s">
        <v>67</v>
      </c>
      <c r="F956" s="2"/>
      <c r="G956" s="2"/>
      <c r="H956" s="33">
        <f t="shared" si="1148"/>
        <v>4</v>
      </c>
      <c r="I956" s="99">
        <f t="shared" si="0"/>
        <v>309.30731877921147</v>
      </c>
      <c r="J956" s="101">
        <f t="shared" si="1"/>
        <v>4.208333333333333</v>
      </c>
      <c r="K956" s="101">
        <f t="shared" si="2"/>
        <v>828</v>
      </c>
      <c r="L956" s="74">
        <f t="shared" si="1008"/>
        <v>101</v>
      </c>
      <c r="M956" s="99">
        <f t="shared" si="1137"/>
        <v>7423.3756507010748</v>
      </c>
      <c r="N956" s="108">
        <f t="shared" si="1149"/>
        <v>4279.9990871086256</v>
      </c>
      <c r="O956" s="108">
        <f t="shared" si="1090"/>
        <v>2408.4690840443118</v>
      </c>
      <c r="P956" s="108"/>
      <c r="Q956" s="108"/>
      <c r="R956" s="109"/>
      <c r="S956" s="99">
        <f t="shared" si="694"/>
        <v>5620.5000879426843</v>
      </c>
      <c r="T956" s="108">
        <f t="shared" si="1150"/>
        <v>3596.5985977536593</v>
      </c>
      <c r="U956" s="108">
        <f t="shared" si="1151"/>
        <v>2023.9014901890246</v>
      </c>
      <c r="V956" s="108"/>
      <c r="W956" s="108"/>
      <c r="X956" s="109"/>
      <c r="Y956" s="99">
        <f t="shared" si="8"/>
        <v>11241.000175885369</v>
      </c>
      <c r="Z956" s="108">
        <f t="shared" ref="Z956:AA956" si="1193">T956*$D$58/100</f>
        <v>7193.1971955073186</v>
      </c>
      <c r="AA956" s="108">
        <f t="shared" si="1193"/>
        <v>4047.8029803780491</v>
      </c>
      <c r="AB956" s="108"/>
      <c r="AC956" s="108"/>
      <c r="AD956" s="109"/>
      <c r="AE956" s="99">
        <f t="shared" ref="AE956:AF956" si="1194">AO956</f>
        <v>24</v>
      </c>
      <c r="AF956" s="101">
        <f t="shared" si="1194"/>
        <v>36</v>
      </c>
      <c r="AG956" s="101">
        <f t="shared" si="1154"/>
        <v>19.001300000000001</v>
      </c>
      <c r="AH956" s="101">
        <f t="shared" si="851"/>
        <v>101</v>
      </c>
      <c r="AI956" s="101">
        <f t="shared" si="852"/>
        <v>200</v>
      </c>
      <c r="AJ956" s="108">
        <f t="shared" si="1155"/>
        <v>4</v>
      </c>
      <c r="AK956" s="101">
        <f t="shared" si="461"/>
        <v>5620.5000879426843</v>
      </c>
      <c r="AL956" s="101">
        <f t="shared" si="1156"/>
        <v>3596.5985977536593</v>
      </c>
      <c r="AM956" s="101">
        <f t="shared" si="1157"/>
        <v>2023.9014901890246</v>
      </c>
      <c r="AN956" s="101"/>
      <c r="AO956" s="1">
        <v>24</v>
      </c>
      <c r="AP956" s="2">
        <v>36</v>
      </c>
      <c r="AQ956" s="74">
        <f t="shared" si="1158"/>
        <v>101</v>
      </c>
      <c r="AR956" s="31">
        <f t="shared" si="1159"/>
        <v>0</v>
      </c>
      <c r="AS956" s="2">
        <f t="shared" si="1160"/>
        <v>0</v>
      </c>
      <c r="AT956" s="33">
        <f t="shared" si="1161"/>
        <v>0</v>
      </c>
      <c r="AU956" s="31">
        <f t="shared" si="1162"/>
        <v>1</v>
      </c>
      <c r="AV956" s="2">
        <f t="shared" si="1163"/>
        <v>0</v>
      </c>
      <c r="AW956" s="33">
        <f t="shared" si="1164"/>
        <v>0</v>
      </c>
      <c r="AX956" s="31">
        <f t="shared" si="1165"/>
        <v>0</v>
      </c>
      <c r="AY956" s="33">
        <f t="shared" si="1166"/>
        <v>1</v>
      </c>
      <c r="AZ956" s="2"/>
      <c r="BA956" s="101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</row>
    <row r="957" spans="1:71" ht="12" customHeight="1">
      <c r="A957" s="2"/>
      <c r="B957" s="107">
        <v>882</v>
      </c>
      <c r="C957" s="31">
        <v>10</v>
      </c>
      <c r="D957" s="113" t="s">
        <v>22</v>
      </c>
      <c r="E957" s="2" t="s">
        <v>67</v>
      </c>
      <c r="F957" s="2"/>
      <c r="G957" s="2"/>
      <c r="H957" s="33"/>
      <c r="I957" s="99">
        <f t="shared" si="0"/>
        <v>458.88182848517613</v>
      </c>
      <c r="J957" s="101">
        <f t="shared" si="1"/>
        <v>19.733333333333334</v>
      </c>
      <c r="K957" s="101">
        <f t="shared" si="2"/>
        <v>661</v>
      </c>
      <c r="L957" s="74">
        <f t="shared" si="1008"/>
        <v>71</v>
      </c>
      <c r="M957" s="99">
        <f t="shared" si="1137"/>
        <v>13766.454854555284</v>
      </c>
      <c r="N957" s="108">
        <f t="shared" ref="N957:N977" si="1195">T957*(1+(AG957/100)*(AI957/100-1))</f>
        <v>12403.588267234059</v>
      </c>
      <c r="O957" s="108"/>
      <c r="P957" s="108"/>
      <c r="Q957" s="108"/>
      <c r="R957" s="109">
        <f t="shared" ref="R957:R977" si="1196">X957*(1+($D$57/100)*(AI957/100-1))</f>
        <v>0</v>
      </c>
      <c r="S957" s="99">
        <f t="shared" si="694"/>
        <v>10423.069552378049</v>
      </c>
      <c r="T957" s="108">
        <f t="shared" si="1150"/>
        <v>10423.069552378049</v>
      </c>
      <c r="U957" s="108"/>
      <c r="V957" s="108"/>
      <c r="W957" s="108"/>
      <c r="X957" s="109">
        <f t="shared" ref="X957:X977" si="1197">AL957*AW957</f>
        <v>0</v>
      </c>
      <c r="Y957" s="99">
        <f t="shared" si="8"/>
        <v>20846.139104756097</v>
      </c>
      <c r="Z957" s="108">
        <f t="shared" ref="Z957:Z977" si="1198">T957*$D$58/100</f>
        <v>20846.139104756097</v>
      </c>
      <c r="AA957" s="108"/>
      <c r="AB957" s="108"/>
      <c r="AC957" s="108"/>
      <c r="AD957" s="109"/>
      <c r="AE957" s="99">
        <f t="shared" ref="AE957:AE977" si="1199">AO957</f>
        <v>30</v>
      </c>
      <c r="AF957" s="101">
        <f t="shared" ref="AF957:AF977" si="1200">AP957+AV957</f>
        <v>36</v>
      </c>
      <c r="AG957" s="101">
        <f t="shared" ref="AG957:AG977" si="1201">IF($D$57+AY957&gt;100,100,$D$57+AY957)</f>
        <v>19.001300000000001</v>
      </c>
      <c r="AH957" s="101">
        <f t="shared" ref="AH957:AH977" si="1202">AQ957*AR957</f>
        <v>592</v>
      </c>
      <c r="AI957" s="101">
        <f t="shared" si="852"/>
        <v>200</v>
      </c>
      <c r="AJ957" s="101">
        <f t="shared" ref="AJ957:AJ977" si="1203">10/5</f>
        <v>2</v>
      </c>
      <c r="AK957" s="101">
        <f t="shared" si="461"/>
        <v>10423.069552378049</v>
      </c>
      <c r="AL957" s="101">
        <f t="shared" ref="AL957:AL977" si="1204">(VLOOKUP(C957,$B$36:$AG$39,32,FALSE)+VLOOKUP(C957,$B$40:$AG$43,32,FALSE)*$D$54)*$D$59/100</f>
        <v>10423.069552378049</v>
      </c>
      <c r="AM957" s="101"/>
      <c r="AN957" s="101"/>
      <c r="AO957" s="1">
        <v>30</v>
      </c>
      <c r="AP957" s="2">
        <v>36</v>
      </c>
      <c r="AQ957" s="74">
        <f t="shared" ref="AQ957:AQ977" si="1205">VLOOKUP(C957,$B$45:$AG$48,32,FALSE)</f>
        <v>592</v>
      </c>
      <c r="AR957" s="31">
        <f t="shared" ref="AR957:AR977" si="1206">IF(LEFT(E957,1)*1=1,$S$72,$R$72)</f>
        <v>1</v>
      </c>
      <c r="AS957" s="2">
        <f t="shared" ref="AS957:AS977" si="1207">IF(LEFT(E957,1)*1=2,$U$72,$T$72)</f>
        <v>0</v>
      </c>
      <c r="AT957" s="33">
        <f t="shared" ref="AT957:AT977" si="1208">IF(LEFT(E957,1)*1=3,$W$72,$V$72)</f>
        <v>0</v>
      </c>
      <c r="AU957" s="31">
        <f t="shared" ref="AU957:AU977" si="1209">IF(MID(E957,3,1)*1=1,$Y$72,$X$72)</f>
        <v>1</v>
      </c>
      <c r="AV957" s="2">
        <f t="shared" ref="AV957:AV977" si="1210">IF(MID(E957,3,1)*1=2,$AA$72,$Z$72)</f>
        <v>0</v>
      </c>
      <c r="AW957" s="33">
        <f t="shared" ref="AW957:AW977" si="1211">IF(MID(E957,3,1)*1=3,$AC$72,$AB$72)</f>
        <v>0</v>
      </c>
      <c r="AX957" s="31">
        <f t="shared" ref="AX957:AX977" si="1212">IF(MID(E957,5,1)*1=1,$AE$72,$AD$72)</f>
        <v>0</v>
      </c>
      <c r="AY957" s="33">
        <f t="shared" ref="AY957:AY977" si="1213">IF(MID(E957,5,1)*1=2,$AG$72,$AF$72)</f>
        <v>0</v>
      </c>
      <c r="AZ957" s="2"/>
      <c r="BA957" s="101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</row>
    <row r="958" spans="1:71" ht="12" customHeight="1">
      <c r="A958" s="2"/>
      <c r="B958" s="107">
        <v>883</v>
      </c>
      <c r="C958" s="31">
        <v>10</v>
      </c>
      <c r="D958" s="113" t="s">
        <v>22</v>
      </c>
      <c r="E958" s="2" t="s">
        <v>136</v>
      </c>
      <c r="F958" s="2"/>
      <c r="G958" s="2"/>
      <c r="H958" s="33"/>
      <c r="I958" s="99">
        <f t="shared" si="0"/>
        <v>596.54637703072899</v>
      </c>
      <c r="J958" s="101">
        <f t="shared" si="1"/>
        <v>19.733333333333334</v>
      </c>
      <c r="K958" s="101">
        <f t="shared" si="2"/>
        <v>475</v>
      </c>
      <c r="L958" s="74">
        <f t="shared" si="1008"/>
        <v>37</v>
      </c>
      <c r="M958" s="99">
        <f t="shared" si="1137"/>
        <v>17896.39131092187</v>
      </c>
      <c r="N958" s="108">
        <f t="shared" si="1195"/>
        <v>16124.664747404277</v>
      </c>
      <c r="O958" s="108"/>
      <c r="P958" s="108"/>
      <c r="Q958" s="108"/>
      <c r="R958" s="109">
        <f t="shared" si="1196"/>
        <v>0</v>
      </c>
      <c r="S958" s="99">
        <f t="shared" si="694"/>
        <v>13549.990418091464</v>
      </c>
      <c r="T958" s="108">
        <f t="shared" si="1150"/>
        <v>13549.990418091464</v>
      </c>
      <c r="U958" s="108"/>
      <c r="V958" s="108"/>
      <c r="W958" s="108"/>
      <c r="X958" s="109">
        <f t="shared" si="1197"/>
        <v>0</v>
      </c>
      <c r="Y958" s="99">
        <f t="shared" si="8"/>
        <v>27099.980836182927</v>
      </c>
      <c r="Z958" s="108">
        <f t="shared" si="1198"/>
        <v>27099.980836182927</v>
      </c>
      <c r="AA958" s="108"/>
      <c r="AB958" s="108"/>
      <c r="AC958" s="108"/>
      <c r="AD958" s="109"/>
      <c r="AE958" s="99">
        <f t="shared" si="1199"/>
        <v>30</v>
      </c>
      <c r="AF958" s="101">
        <f t="shared" si="1200"/>
        <v>36</v>
      </c>
      <c r="AG958" s="101">
        <f t="shared" si="1201"/>
        <v>19.001300000000001</v>
      </c>
      <c r="AH958" s="101">
        <f t="shared" si="1202"/>
        <v>592</v>
      </c>
      <c r="AI958" s="101">
        <f t="shared" si="852"/>
        <v>200</v>
      </c>
      <c r="AJ958" s="101">
        <f t="shared" si="1203"/>
        <v>2</v>
      </c>
      <c r="AK958" s="101">
        <f t="shared" si="461"/>
        <v>10423.069552378049</v>
      </c>
      <c r="AL958" s="101">
        <f t="shared" si="1204"/>
        <v>10423.069552378049</v>
      </c>
      <c r="AM958" s="101"/>
      <c r="AN958" s="101"/>
      <c r="AO958" s="1">
        <v>30</v>
      </c>
      <c r="AP958" s="2">
        <v>36</v>
      </c>
      <c r="AQ958" s="74">
        <f t="shared" si="1205"/>
        <v>592</v>
      </c>
      <c r="AR958" s="31">
        <f t="shared" si="1206"/>
        <v>1</v>
      </c>
      <c r="AS958" s="2">
        <f t="shared" si="1207"/>
        <v>0</v>
      </c>
      <c r="AT958" s="33">
        <f t="shared" si="1208"/>
        <v>0</v>
      </c>
      <c r="AU958" s="31">
        <f t="shared" si="1209"/>
        <v>1.3</v>
      </c>
      <c r="AV958" s="2">
        <f t="shared" si="1210"/>
        <v>0</v>
      </c>
      <c r="AW958" s="33">
        <f t="shared" si="1211"/>
        <v>0</v>
      </c>
      <c r="AX958" s="31">
        <f t="shared" si="1212"/>
        <v>0</v>
      </c>
      <c r="AY958" s="33">
        <f t="shared" si="1213"/>
        <v>0</v>
      </c>
      <c r="AZ958" s="2"/>
      <c r="BA958" s="101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</row>
    <row r="959" spans="1:71" ht="12" customHeight="1">
      <c r="A959" s="2"/>
      <c r="B959" s="107">
        <v>884</v>
      </c>
      <c r="C959" s="31">
        <v>10</v>
      </c>
      <c r="D959" s="113" t="s">
        <v>22</v>
      </c>
      <c r="E959" s="2" t="s">
        <v>91</v>
      </c>
      <c r="F959" s="2"/>
      <c r="G959" s="2"/>
      <c r="H959" s="33"/>
      <c r="I959" s="99">
        <f t="shared" si="0"/>
        <v>642.43455987924665</v>
      </c>
      <c r="J959" s="101">
        <f t="shared" si="1"/>
        <v>19.733333333333334</v>
      </c>
      <c r="K959" s="101">
        <f t="shared" si="2"/>
        <v>418</v>
      </c>
      <c r="L959" s="74">
        <f t="shared" si="1008"/>
        <v>26</v>
      </c>
      <c r="M959" s="99">
        <f t="shared" si="1137"/>
        <v>19273.036796377401</v>
      </c>
      <c r="N959" s="108">
        <f t="shared" si="1195"/>
        <v>12403.588267234059</v>
      </c>
      <c r="O959" s="108"/>
      <c r="P959" s="108"/>
      <c r="Q959" s="108"/>
      <c r="R959" s="109">
        <f t="shared" si="1196"/>
        <v>4961.4353068936234</v>
      </c>
      <c r="S959" s="99">
        <f t="shared" si="694"/>
        <v>14592.297373329267</v>
      </c>
      <c r="T959" s="108">
        <f t="shared" si="1150"/>
        <v>10423.069552378049</v>
      </c>
      <c r="U959" s="108"/>
      <c r="V959" s="108"/>
      <c r="W959" s="108"/>
      <c r="X959" s="109">
        <f t="shared" si="1197"/>
        <v>4169.2278209512197</v>
      </c>
      <c r="Y959" s="99">
        <f t="shared" si="8"/>
        <v>20846.139104756097</v>
      </c>
      <c r="Z959" s="108">
        <f t="shared" si="1198"/>
        <v>20846.139104756097</v>
      </c>
      <c r="AA959" s="108"/>
      <c r="AB959" s="108"/>
      <c r="AC959" s="108"/>
      <c r="AD959" s="109"/>
      <c r="AE959" s="99">
        <f t="shared" si="1199"/>
        <v>30</v>
      </c>
      <c r="AF959" s="101">
        <f t="shared" si="1200"/>
        <v>36</v>
      </c>
      <c r="AG959" s="101">
        <f t="shared" si="1201"/>
        <v>19.001300000000001</v>
      </c>
      <c r="AH959" s="101">
        <f t="shared" si="1202"/>
        <v>592</v>
      </c>
      <c r="AI959" s="101">
        <f t="shared" si="852"/>
        <v>200</v>
      </c>
      <c r="AJ959" s="101">
        <f t="shared" si="1203"/>
        <v>2</v>
      </c>
      <c r="AK959" s="101">
        <f t="shared" si="461"/>
        <v>10423.069552378049</v>
      </c>
      <c r="AL959" s="101">
        <f t="shared" si="1204"/>
        <v>10423.069552378049</v>
      </c>
      <c r="AM959" s="101"/>
      <c r="AN959" s="101"/>
      <c r="AO959" s="1">
        <v>30</v>
      </c>
      <c r="AP959" s="2">
        <v>36</v>
      </c>
      <c r="AQ959" s="74">
        <f t="shared" si="1205"/>
        <v>592</v>
      </c>
      <c r="AR959" s="31">
        <f t="shared" si="1206"/>
        <v>1</v>
      </c>
      <c r="AS959" s="2">
        <f t="shared" si="1207"/>
        <v>0</v>
      </c>
      <c r="AT959" s="33">
        <f t="shared" si="1208"/>
        <v>0</v>
      </c>
      <c r="AU959" s="31">
        <f t="shared" si="1209"/>
        <v>1</v>
      </c>
      <c r="AV959" s="2">
        <f t="shared" si="1210"/>
        <v>0</v>
      </c>
      <c r="AW959" s="33">
        <f t="shared" si="1211"/>
        <v>0.4</v>
      </c>
      <c r="AX959" s="31">
        <f t="shared" si="1212"/>
        <v>0</v>
      </c>
      <c r="AY959" s="33">
        <f t="shared" si="1213"/>
        <v>0</v>
      </c>
      <c r="AZ959" s="2"/>
      <c r="BA959" s="101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</row>
    <row r="960" spans="1:71" ht="12" customHeight="1">
      <c r="A960" s="2"/>
      <c r="B960" s="107">
        <v>885</v>
      </c>
      <c r="C960" s="31">
        <v>10</v>
      </c>
      <c r="D960" s="113" t="s">
        <v>22</v>
      </c>
      <c r="E960" s="2" t="s">
        <v>148</v>
      </c>
      <c r="F960" s="2"/>
      <c r="G960" s="2"/>
      <c r="H960" s="33"/>
      <c r="I960" s="99">
        <f t="shared" si="0"/>
        <v>458.88182848517613</v>
      </c>
      <c r="J960" s="101">
        <f t="shared" si="1"/>
        <v>9.8666666666666671</v>
      </c>
      <c r="K960" s="101">
        <f t="shared" si="2"/>
        <v>661</v>
      </c>
      <c r="L960" s="74">
        <f t="shared" si="1008"/>
        <v>71</v>
      </c>
      <c r="M960" s="99">
        <f t="shared" si="1137"/>
        <v>13766.454854555284</v>
      </c>
      <c r="N960" s="108">
        <f t="shared" si="1195"/>
        <v>12403.588267234059</v>
      </c>
      <c r="O960" s="108"/>
      <c r="P960" s="108"/>
      <c r="Q960" s="108"/>
      <c r="R960" s="109">
        <f t="shared" si="1196"/>
        <v>0</v>
      </c>
      <c r="S960" s="99">
        <f t="shared" si="694"/>
        <v>10423.069552378049</v>
      </c>
      <c r="T960" s="108">
        <f t="shared" si="1150"/>
        <v>10423.069552378049</v>
      </c>
      <c r="U960" s="108"/>
      <c r="V960" s="108"/>
      <c r="W960" s="108"/>
      <c r="X960" s="109">
        <f t="shared" si="1197"/>
        <v>0</v>
      </c>
      <c r="Y960" s="99">
        <f t="shared" si="8"/>
        <v>20846.139104756097</v>
      </c>
      <c r="Z960" s="108">
        <f t="shared" si="1198"/>
        <v>20846.139104756097</v>
      </c>
      <c r="AA960" s="108"/>
      <c r="AB960" s="108"/>
      <c r="AC960" s="108"/>
      <c r="AD960" s="109"/>
      <c r="AE960" s="99">
        <f t="shared" si="1199"/>
        <v>30</v>
      </c>
      <c r="AF960" s="101">
        <f t="shared" si="1200"/>
        <v>36</v>
      </c>
      <c r="AG960" s="101">
        <f t="shared" si="1201"/>
        <v>19.001300000000001</v>
      </c>
      <c r="AH960" s="101">
        <f t="shared" si="1202"/>
        <v>296</v>
      </c>
      <c r="AI960" s="101">
        <f t="shared" si="852"/>
        <v>200</v>
      </c>
      <c r="AJ960" s="101">
        <f t="shared" si="1203"/>
        <v>2</v>
      </c>
      <c r="AK960" s="101">
        <f t="shared" si="461"/>
        <v>10423.069552378049</v>
      </c>
      <c r="AL960" s="101">
        <f t="shared" si="1204"/>
        <v>10423.069552378049</v>
      </c>
      <c r="AM960" s="101"/>
      <c r="AN960" s="101"/>
      <c r="AO960" s="1">
        <v>30</v>
      </c>
      <c r="AP960" s="2">
        <v>36</v>
      </c>
      <c r="AQ960" s="74">
        <f t="shared" si="1205"/>
        <v>592</v>
      </c>
      <c r="AR960" s="31">
        <f t="shared" si="1206"/>
        <v>0.5</v>
      </c>
      <c r="AS960" s="2">
        <f t="shared" si="1207"/>
        <v>0</v>
      </c>
      <c r="AT960" s="33">
        <f t="shared" si="1208"/>
        <v>0</v>
      </c>
      <c r="AU960" s="31">
        <f t="shared" si="1209"/>
        <v>1</v>
      </c>
      <c r="AV960" s="2">
        <f t="shared" si="1210"/>
        <v>0</v>
      </c>
      <c r="AW960" s="33">
        <f t="shared" si="1211"/>
        <v>0</v>
      </c>
      <c r="AX960" s="31">
        <f t="shared" si="1212"/>
        <v>0</v>
      </c>
      <c r="AY960" s="33">
        <f t="shared" si="1213"/>
        <v>0</v>
      </c>
      <c r="AZ960" s="2"/>
      <c r="BA960" s="101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</row>
    <row r="961" spans="1:71" ht="12" customHeight="1">
      <c r="A961" s="2"/>
      <c r="B961" s="107">
        <v>886</v>
      </c>
      <c r="C961" s="31">
        <v>10</v>
      </c>
      <c r="D961" s="113" t="s">
        <v>22</v>
      </c>
      <c r="E961" s="2" t="s">
        <v>163</v>
      </c>
      <c r="F961" s="2"/>
      <c r="G961" s="2"/>
      <c r="H961" s="33"/>
      <c r="I961" s="99">
        <f t="shared" si="0"/>
        <v>596.54637703072899</v>
      </c>
      <c r="J961" s="101">
        <f t="shared" si="1"/>
        <v>9.8666666666666671</v>
      </c>
      <c r="K961" s="101">
        <f t="shared" si="2"/>
        <v>475</v>
      </c>
      <c r="L961" s="74">
        <f t="shared" si="1008"/>
        <v>37</v>
      </c>
      <c r="M961" s="99">
        <f t="shared" si="1137"/>
        <v>17896.39131092187</v>
      </c>
      <c r="N961" s="108">
        <f t="shared" si="1195"/>
        <v>16124.664747404277</v>
      </c>
      <c r="O961" s="108"/>
      <c r="P961" s="108"/>
      <c r="Q961" s="108"/>
      <c r="R961" s="109">
        <f t="shared" si="1196"/>
        <v>0</v>
      </c>
      <c r="S961" s="99">
        <f t="shared" si="694"/>
        <v>13549.990418091464</v>
      </c>
      <c r="T961" s="108">
        <f t="shared" si="1150"/>
        <v>13549.990418091464</v>
      </c>
      <c r="U961" s="108"/>
      <c r="V961" s="108"/>
      <c r="W961" s="108"/>
      <c r="X961" s="109">
        <f t="shared" si="1197"/>
        <v>0</v>
      </c>
      <c r="Y961" s="99">
        <f t="shared" si="8"/>
        <v>27099.980836182927</v>
      </c>
      <c r="Z961" s="108">
        <f t="shared" si="1198"/>
        <v>27099.980836182927</v>
      </c>
      <c r="AA961" s="108"/>
      <c r="AB961" s="108"/>
      <c r="AC961" s="108"/>
      <c r="AD961" s="109"/>
      <c r="AE961" s="99">
        <f t="shared" si="1199"/>
        <v>30</v>
      </c>
      <c r="AF961" s="101">
        <f t="shared" si="1200"/>
        <v>36</v>
      </c>
      <c r="AG961" s="101">
        <f t="shared" si="1201"/>
        <v>19.001300000000001</v>
      </c>
      <c r="AH961" s="101">
        <f t="shared" si="1202"/>
        <v>296</v>
      </c>
      <c r="AI961" s="101">
        <f t="shared" si="852"/>
        <v>200</v>
      </c>
      <c r="AJ961" s="101">
        <f t="shared" si="1203"/>
        <v>2</v>
      </c>
      <c r="AK961" s="101">
        <f t="shared" si="461"/>
        <v>10423.069552378049</v>
      </c>
      <c r="AL961" s="101">
        <f t="shared" si="1204"/>
        <v>10423.069552378049</v>
      </c>
      <c r="AM961" s="101"/>
      <c r="AN961" s="101"/>
      <c r="AO961" s="1">
        <v>30</v>
      </c>
      <c r="AP961" s="2">
        <v>36</v>
      </c>
      <c r="AQ961" s="74">
        <f t="shared" si="1205"/>
        <v>592</v>
      </c>
      <c r="AR961" s="31">
        <f t="shared" si="1206"/>
        <v>0.5</v>
      </c>
      <c r="AS961" s="2">
        <f t="shared" si="1207"/>
        <v>0</v>
      </c>
      <c r="AT961" s="33">
        <f t="shared" si="1208"/>
        <v>0</v>
      </c>
      <c r="AU961" s="31">
        <f t="shared" si="1209"/>
        <v>1.3</v>
      </c>
      <c r="AV961" s="2">
        <f t="shared" si="1210"/>
        <v>0</v>
      </c>
      <c r="AW961" s="33">
        <f t="shared" si="1211"/>
        <v>0</v>
      </c>
      <c r="AX961" s="31">
        <f t="shared" si="1212"/>
        <v>0</v>
      </c>
      <c r="AY961" s="33">
        <f t="shared" si="1213"/>
        <v>0</v>
      </c>
      <c r="AZ961" s="2"/>
      <c r="BA961" s="101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</row>
    <row r="962" spans="1:71" ht="12" customHeight="1">
      <c r="A962" s="2"/>
      <c r="B962" s="107">
        <v>887</v>
      </c>
      <c r="C962" s="31">
        <v>10</v>
      </c>
      <c r="D962" s="113" t="s">
        <v>22</v>
      </c>
      <c r="E962" s="2" t="s">
        <v>155</v>
      </c>
      <c r="F962" s="2"/>
      <c r="G962" s="2"/>
      <c r="H962" s="33"/>
      <c r="I962" s="99">
        <f t="shared" si="0"/>
        <v>642.43455987924665</v>
      </c>
      <c r="J962" s="101">
        <f t="shared" si="1"/>
        <v>9.8666666666666671</v>
      </c>
      <c r="K962" s="101">
        <f t="shared" si="2"/>
        <v>418</v>
      </c>
      <c r="L962" s="74">
        <f t="shared" si="1008"/>
        <v>26</v>
      </c>
      <c r="M962" s="99">
        <f t="shared" si="1137"/>
        <v>19273.036796377401</v>
      </c>
      <c r="N962" s="108">
        <f t="shared" si="1195"/>
        <v>12403.588267234059</v>
      </c>
      <c r="O962" s="108"/>
      <c r="P962" s="108"/>
      <c r="Q962" s="108"/>
      <c r="R962" s="109">
        <f t="shared" si="1196"/>
        <v>4961.4353068936234</v>
      </c>
      <c r="S962" s="99">
        <f t="shared" si="694"/>
        <v>14592.297373329267</v>
      </c>
      <c r="T962" s="108">
        <f t="shared" si="1150"/>
        <v>10423.069552378049</v>
      </c>
      <c r="U962" s="108"/>
      <c r="V962" s="108"/>
      <c r="W962" s="108"/>
      <c r="X962" s="109">
        <f t="shared" si="1197"/>
        <v>4169.2278209512197</v>
      </c>
      <c r="Y962" s="99">
        <f t="shared" si="8"/>
        <v>20846.139104756097</v>
      </c>
      <c r="Z962" s="108">
        <f t="shared" si="1198"/>
        <v>20846.139104756097</v>
      </c>
      <c r="AA962" s="108"/>
      <c r="AB962" s="108"/>
      <c r="AC962" s="108"/>
      <c r="AD962" s="109"/>
      <c r="AE962" s="99">
        <f t="shared" si="1199"/>
        <v>30</v>
      </c>
      <c r="AF962" s="101">
        <f t="shared" si="1200"/>
        <v>36</v>
      </c>
      <c r="AG962" s="101">
        <f t="shared" si="1201"/>
        <v>19.001300000000001</v>
      </c>
      <c r="AH962" s="101">
        <f t="shared" si="1202"/>
        <v>296</v>
      </c>
      <c r="AI962" s="101">
        <f t="shared" si="852"/>
        <v>200</v>
      </c>
      <c r="AJ962" s="101">
        <f t="shared" si="1203"/>
        <v>2</v>
      </c>
      <c r="AK962" s="101">
        <f t="shared" si="461"/>
        <v>10423.069552378049</v>
      </c>
      <c r="AL962" s="101">
        <f t="shared" si="1204"/>
        <v>10423.069552378049</v>
      </c>
      <c r="AM962" s="101"/>
      <c r="AN962" s="101"/>
      <c r="AO962" s="1">
        <v>30</v>
      </c>
      <c r="AP962" s="2">
        <v>36</v>
      </c>
      <c r="AQ962" s="74">
        <f t="shared" si="1205"/>
        <v>592</v>
      </c>
      <c r="AR962" s="31">
        <f t="shared" si="1206"/>
        <v>0.5</v>
      </c>
      <c r="AS962" s="2">
        <f t="shared" si="1207"/>
        <v>0</v>
      </c>
      <c r="AT962" s="33">
        <f t="shared" si="1208"/>
        <v>0</v>
      </c>
      <c r="AU962" s="31">
        <f t="shared" si="1209"/>
        <v>1</v>
      </c>
      <c r="AV962" s="2">
        <f t="shared" si="1210"/>
        <v>0</v>
      </c>
      <c r="AW962" s="33">
        <f t="shared" si="1211"/>
        <v>0.4</v>
      </c>
      <c r="AX962" s="31">
        <f t="shared" si="1212"/>
        <v>0</v>
      </c>
      <c r="AY962" s="33">
        <f t="shared" si="1213"/>
        <v>0</v>
      </c>
      <c r="AZ962" s="2"/>
      <c r="BA962" s="101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</row>
    <row r="963" spans="1:71" ht="12" customHeight="1">
      <c r="A963" s="2"/>
      <c r="B963" s="107">
        <v>888</v>
      </c>
      <c r="C963" s="31">
        <v>10</v>
      </c>
      <c r="D963" s="113" t="s">
        <v>22</v>
      </c>
      <c r="E963" s="2" t="s">
        <v>92</v>
      </c>
      <c r="F963" s="2"/>
      <c r="G963" s="2"/>
      <c r="H963" s="33"/>
      <c r="I963" s="99">
        <f t="shared" si="0"/>
        <v>771.22153873138552</v>
      </c>
      <c r="J963" s="101">
        <f t="shared" si="1"/>
        <v>19.733333333333334</v>
      </c>
      <c r="K963" s="101">
        <f t="shared" si="2"/>
        <v>284</v>
      </c>
      <c r="L963" s="74">
        <f t="shared" si="1008"/>
        <v>12</v>
      </c>
      <c r="M963" s="99">
        <f t="shared" si="1137"/>
        <v>23136.646161941564</v>
      </c>
      <c r="N963" s="108">
        <f t="shared" si="1195"/>
        <v>20846.139104756097</v>
      </c>
      <c r="O963" s="108"/>
      <c r="P963" s="108"/>
      <c r="Q963" s="108"/>
      <c r="R963" s="109">
        <f t="shared" si="1196"/>
        <v>0</v>
      </c>
      <c r="S963" s="99">
        <f t="shared" si="694"/>
        <v>10423.069552378049</v>
      </c>
      <c r="T963" s="108">
        <f t="shared" si="1150"/>
        <v>10423.069552378049</v>
      </c>
      <c r="U963" s="108"/>
      <c r="V963" s="108"/>
      <c r="W963" s="108"/>
      <c r="X963" s="109">
        <f t="shared" si="1197"/>
        <v>0</v>
      </c>
      <c r="Y963" s="99">
        <f t="shared" si="8"/>
        <v>20846.139104756097</v>
      </c>
      <c r="Z963" s="108">
        <f t="shared" si="1198"/>
        <v>20846.139104756097</v>
      </c>
      <c r="AA963" s="108"/>
      <c r="AB963" s="108"/>
      <c r="AC963" s="108"/>
      <c r="AD963" s="109"/>
      <c r="AE963" s="99">
        <f t="shared" si="1199"/>
        <v>30</v>
      </c>
      <c r="AF963" s="101">
        <f t="shared" si="1200"/>
        <v>36</v>
      </c>
      <c r="AG963" s="101">
        <f t="shared" si="1201"/>
        <v>100</v>
      </c>
      <c r="AH963" s="101">
        <f t="shared" si="1202"/>
        <v>592</v>
      </c>
      <c r="AI963" s="101">
        <f t="shared" si="852"/>
        <v>200</v>
      </c>
      <c r="AJ963" s="101">
        <f t="shared" si="1203"/>
        <v>2</v>
      </c>
      <c r="AK963" s="101">
        <f t="shared" si="461"/>
        <v>10423.069552378049</v>
      </c>
      <c r="AL963" s="101">
        <f t="shared" si="1204"/>
        <v>10423.069552378049</v>
      </c>
      <c r="AM963" s="101"/>
      <c r="AN963" s="101"/>
      <c r="AO963" s="1">
        <v>30</v>
      </c>
      <c r="AP963" s="2">
        <v>36</v>
      </c>
      <c r="AQ963" s="74">
        <f t="shared" si="1205"/>
        <v>592</v>
      </c>
      <c r="AR963" s="31">
        <f t="shared" si="1206"/>
        <v>1</v>
      </c>
      <c r="AS963" s="2">
        <f t="shared" si="1207"/>
        <v>0</v>
      </c>
      <c r="AT963" s="33">
        <f t="shared" si="1208"/>
        <v>0</v>
      </c>
      <c r="AU963" s="31">
        <f t="shared" si="1209"/>
        <v>1</v>
      </c>
      <c r="AV963" s="2">
        <f t="shared" si="1210"/>
        <v>0</v>
      </c>
      <c r="AW963" s="33">
        <f t="shared" si="1211"/>
        <v>0</v>
      </c>
      <c r="AX963" s="31">
        <f t="shared" si="1212"/>
        <v>0</v>
      </c>
      <c r="AY963" s="33">
        <f t="shared" si="1213"/>
        <v>100</v>
      </c>
      <c r="AZ963" s="2"/>
      <c r="BA963" s="101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</row>
    <row r="964" spans="1:71" ht="12" customHeight="1">
      <c r="A964" s="2"/>
      <c r="B964" s="107">
        <v>889</v>
      </c>
      <c r="C964" s="31">
        <v>10</v>
      </c>
      <c r="D964" s="113" t="s">
        <v>22</v>
      </c>
      <c r="E964" s="2" t="s">
        <v>139</v>
      </c>
      <c r="F964" s="2"/>
      <c r="G964" s="2"/>
      <c r="H964" s="33"/>
      <c r="I964" s="99">
        <f t="shared" si="0"/>
        <v>1002.5880003508012</v>
      </c>
      <c r="J964" s="101">
        <f t="shared" si="1"/>
        <v>19.733333333333334</v>
      </c>
      <c r="K964" s="101">
        <f t="shared" si="2"/>
        <v>161</v>
      </c>
      <c r="L964" s="74">
        <f t="shared" si="1008"/>
        <v>2</v>
      </c>
      <c r="M964" s="99">
        <f t="shared" si="1137"/>
        <v>30077.640010524035</v>
      </c>
      <c r="N964" s="108">
        <f t="shared" si="1195"/>
        <v>27099.980836182927</v>
      </c>
      <c r="O964" s="108"/>
      <c r="P964" s="108"/>
      <c r="Q964" s="108"/>
      <c r="R964" s="109">
        <f t="shared" si="1196"/>
        <v>0</v>
      </c>
      <c r="S964" s="99">
        <f t="shared" si="694"/>
        <v>13549.990418091464</v>
      </c>
      <c r="T964" s="108">
        <f t="shared" si="1150"/>
        <v>13549.990418091464</v>
      </c>
      <c r="U964" s="108"/>
      <c r="V964" s="108"/>
      <c r="W964" s="108"/>
      <c r="X964" s="109">
        <f t="shared" si="1197"/>
        <v>0</v>
      </c>
      <c r="Y964" s="99">
        <f t="shared" si="8"/>
        <v>27099.980836182927</v>
      </c>
      <c r="Z964" s="108">
        <f t="shared" si="1198"/>
        <v>27099.980836182927</v>
      </c>
      <c r="AA964" s="108"/>
      <c r="AB964" s="108"/>
      <c r="AC964" s="108"/>
      <c r="AD964" s="109"/>
      <c r="AE964" s="99">
        <f t="shared" si="1199"/>
        <v>30</v>
      </c>
      <c r="AF964" s="101">
        <f t="shared" si="1200"/>
        <v>36</v>
      </c>
      <c r="AG964" s="101">
        <f t="shared" si="1201"/>
        <v>100</v>
      </c>
      <c r="AH964" s="101">
        <f t="shared" si="1202"/>
        <v>592</v>
      </c>
      <c r="AI964" s="101">
        <f t="shared" si="852"/>
        <v>200</v>
      </c>
      <c r="AJ964" s="101">
        <f t="shared" si="1203"/>
        <v>2</v>
      </c>
      <c r="AK964" s="101">
        <f t="shared" si="461"/>
        <v>10423.069552378049</v>
      </c>
      <c r="AL964" s="101">
        <f t="shared" si="1204"/>
        <v>10423.069552378049</v>
      </c>
      <c r="AM964" s="101"/>
      <c r="AN964" s="101"/>
      <c r="AO964" s="1">
        <v>30</v>
      </c>
      <c r="AP964" s="2">
        <v>36</v>
      </c>
      <c r="AQ964" s="74">
        <f t="shared" si="1205"/>
        <v>592</v>
      </c>
      <c r="AR964" s="31">
        <f t="shared" si="1206"/>
        <v>1</v>
      </c>
      <c r="AS964" s="2">
        <f t="shared" si="1207"/>
        <v>0</v>
      </c>
      <c r="AT964" s="33">
        <f t="shared" si="1208"/>
        <v>0</v>
      </c>
      <c r="AU964" s="31">
        <f t="shared" si="1209"/>
        <v>1.3</v>
      </c>
      <c r="AV964" s="2">
        <f t="shared" si="1210"/>
        <v>0</v>
      </c>
      <c r="AW964" s="33">
        <f t="shared" si="1211"/>
        <v>0</v>
      </c>
      <c r="AX964" s="31">
        <f t="shared" si="1212"/>
        <v>0</v>
      </c>
      <c r="AY964" s="33">
        <f t="shared" si="1213"/>
        <v>100</v>
      </c>
      <c r="AZ964" s="2"/>
      <c r="BA964" s="101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</row>
    <row r="965" spans="1:71" ht="12" customHeight="1">
      <c r="A965" s="2"/>
      <c r="B965" s="107">
        <v>890</v>
      </c>
      <c r="C965" s="31">
        <v>10</v>
      </c>
      <c r="D965" s="113" t="s">
        <v>22</v>
      </c>
      <c r="E965" s="2" t="s">
        <v>98</v>
      </c>
      <c r="F965" s="2"/>
      <c r="G965" s="2"/>
      <c r="H965" s="33"/>
      <c r="I965" s="99">
        <f t="shared" si="0"/>
        <v>954.77427012545593</v>
      </c>
      <c r="J965" s="101">
        <f t="shared" si="1"/>
        <v>19.733333333333334</v>
      </c>
      <c r="K965" s="101">
        <f t="shared" si="2"/>
        <v>180</v>
      </c>
      <c r="L965" s="74">
        <f t="shared" si="1008"/>
        <v>4</v>
      </c>
      <c r="M965" s="99">
        <f t="shared" si="1137"/>
        <v>28643.228103763679</v>
      </c>
      <c r="N965" s="108">
        <f t="shared" si="1195"/>
        <v>20846.139104756097</v>
      </c>
      <c r="O965" s="108"/>
      <c r="P965" s="108"/>
      <c r="Q965" s="108"/>
      <c r="R965" s="109">
        <f t="shared" si="1196"/>
        <v>4961.4353068936234</v>
      </c>
      <c r="S965" s="99">
        <f t="shared" si="694"/>
        <v>14592.297373329267</v>
      </c>
      <c r="T965" s="108">
        <f t="shared" si="1150"/>
        <v>10423.069552378049</v>
      </c>
      <c r="U965" s="108"/>
      <c r="V965" s="108"/>
      <c r="W965" s="108"/>
      <c r="X965" s="109">
        <f t="shared" si="1197"/>
        <v>4169.2278209512197</v>
      </c>
      <c r="Y965" s="99">
        <f t="shared" si="8"/>
        <v>20846.139104756097</v>
      </c>
      <c r="Z965" s="108">
        <f t="shared" si="1198"/>
        <v>20846.139104756097</v>
      </c>
      <c r="AA965" s="108"/>
      <c r="AB965" s="108"/>
      <c r="AC965" s="108"/>
      <c r="AD965" s="109"/>
      <c r="AE965" s="99">
        <f t="shared" si="1199"/>
        <v>30</v>
      </c>
      <c r="AF965" s="101">
        <f t="shared" si="1200"/>
        <v>36</v>
      </c>
      <c r="AG965" s="101">
        <f t="shared" si="1201"/>
        <v>100</v>
      </c>
      <c r="AH965" s="101">
        <f t="shared" si="1202"/>
        <v>592</v>
      </c>
      <c r="AI965" s="101">
        <f t="shared" si="852"/>
        <v>200</v>
      </c>
      <c r="AJ965" s="101">
        <f t="shared" si="1203"/>
        <v>2</v>
      </c>
      <c r="AK965" s="101">
        <f t="shared" si="461"/>
        <v>10423.069552378049</v>
      </c>
      <c r="AL965" s="101">
        <f t="shared" si="1204"/>
        <v>10423.069552378049</v>
      </c>
      <c r="AM965" s="101"/>
      <c r="AN965" s="101"/>
      <c r="AO965" s="1">
        <v>30</v>
      </c>
      <c r="AP965" s="2">
        <v>36</v>
      </c>
      <c r="AQ965" s="74">
        <f t="shared" si="1205"/>
        <v>592</v>
      </c>
      <c r="AR965" s="31">
        <f t="shared" si="1206"/>
        <v>1</v>
      </c>
      <c r="AS965" s="2">
        <f t="shared" si="1207"/>
        <v>0</v>
      </c>
      <c r="AT965" s="33">
        <f t="shared" si="1208"/>
        <v>0</v>
      </c>
      <c r="AU965" s="31">
        <f t="shared" si="1209"/>
        <v>1</v>
      </c>
      <c r="AV965" s="2">
        <f t="shared" si="1210"/>
        <v>0</v>
      </c>
      <c r="AW965" s="33">
        <f t="shared" si="1211"/>
        <v>0.4</v>
      </c>
      <c r="AX965" s="31">
        <f t="shared" si="1212"/>
        <v>0</v>
      </c>
      <c r="AY965" s="33">
        <f t="shared" si="1213"/>
        <v>100</v>
      </c>
      <c r="AZ965" s="2"/>
      <c r="BA965" s="101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</row>
    <row r="966" spans="1:71" ht="12" customHeight="1">
      <c r="A966" s="2"/>
      <c r="B966" s="107">
        <v>891</v>
      </c>
      <c r="C966" s="31">
        <v>10</v>
      </c>
      <c r="D966" s="113" t="s">
        <v>22</v>
      </c>
      <c r="E966" s="2" t="s">
        <v>151</v>
      </c>
      <c r="F966" s="2"/>
      <c r="G966" s="2"/>
      <c r="H966" s="33"/>
      <c r="I966" s="99">
        <f t="shared" si="0"/>
        <v>771.22153873138552</v>
      </c>
      <c r="J966" s="101">
        <f t="shared" si="1"/>
        <v>9.8666666666666671</v>
      </c>
      <c r="K966" s="101">
        <f t="shared" si="2"/>
        <v>284</v>
      </c>
      <c r="L966" s="74">
        <f t="shared" si="1008"/>
        <v>12</v>
      </c>
      <c r="M966" s="99">
        <f t="shared" si="1137"/>
        <v>23136.646161941564</v>
      </c>
      <c r="N966" s="108">
        <f t="shared" si="1195"/>
        <v>20846.139104756097</v>
      </c>
      <c r="O966" s="108"/>
      <c r="P966" s="108"/>
      <c r="Q966" s="108"/>
      <c r="R966" s="109">
        <f t="shared" si="1196"/>
        <v>0</v>
      </c>
      <c r="S966" s="99">
        <f t="shared" si="694"/>
        <v>10423.069552378049</v>
      </c>
      <c r="T966" s="108">
        <f t="shared" si="1150"/>
        <v>10423.069552378049</v>
      </c>
      <c r="U966" s="108"/>
      <c r="V966" s="108"/>
      <c r="W966" s="108"/>
      <c r="X966" s="109">
        <f t="shared" si="1197"/>
        <v>0</v>
      </c>
      <c r="Y966" s="99">
        <f t="shared" si="8"/>
        <v>20846.139104756097</v>
      </c>
      <c r="Z966" s="108">
        <f t="shared" si="1198"/>
        <v>20846.139104756097</v>
      </c>
      <c r="AA966" s="108"/>
      <c r="AB966" s="108"/>
      <c r="AC966" s="108"/>
      <c r="AD966" s="109"/>
      <c r="AE966" s="99">
        <f t="shared" si="1199"/>
        <v>30</v>
      </c>
      <c r="AF966" s="101">
        <f t="shared" si="1200"/>
        <v>36</v>
      </c>
      <c r="AG966" s="101">
        <f t="shared" si="1201"/>
        <v>100</v>
      </c>
      <c r="AH966" s="101">
        <f t="shared" si="1202"/>
        <v>296</v>
      </c>
      <c r="AI966" s="101">
        <f t="shared" si="852"/>
        <v>200</v>
      </c>
      <c r="AJ966" s="101">
        <f t="shared" si="1203"/>
        <v>2</v>
      </c>
      <c r="AK966" s="101">
        <f t="shared" si="461"/>
        <v>10423.069552378049</v>
      </c>
      <c r="AL966" s="101">
        <f t="shared" si="1204"/>
        <v>10423.069552378049</v>
      </c>
      <c r="AM966" s="101"/>
      <c r="AN966" s="101"/>
      <c r="AO966" s="1">
        <v>30</v>
      </c>
      <c r="AP966" s="2">
        <v>36</v>
      </c>
      <c r="AQ966" s="74">
        <f t="shared" si="1205"/>
        <v>592</v>
      </c>
      <c r="AR966" s="31">
        <f t="shared" si="1206"/>
        <v>0.5</v>
      </c>
      <c r="AS966" s="2">
        <f t="shared" si="1207"/>
        <v>0</v>
      </c>
      <c r="AT966" s="33">
        <f t="shared" si="1208"/>
        <v>0</v>
      </c>
      <c r="AU966" s="31">
        <f t="shared" si="1209"/>
        <v>1</v>
      </c>
      <c r="AV966" s="2">
        <f t="shared" si="1210"/>
        <v>0</v>
      </c>
      <c r="AW966" s="33">
        <f t="shared" si="1211"/>
        <v>0</v>
      </c>
      <c r="AX966" s="31">
        <f t="shared" si="1212"/>
        <v>0</v>
      </c>
      <c r="AY966" s="33">
        <f t="shared" si="1213"/>
        <v>100</v>
      </c>
      <c r="AZ966" s="2"/>
      <c r="BA966" s="101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</row>
    <row r="967" spans="1:71" ht="12" customHeight="1">
      <c r="A967" s="2"/>
      <c r="B967" s="107">
        <v>892</v>
      </c>
      <c r="C967" s="31">
        <v>10</v>
      </c>
      <c r="D967" s="113" t="s">
        <v>22</v>
      </c>
      <c r="E967" s="2" t="s">
        <v>165</v>
      </c>
      <c r="F967" s="2"/>
      <c r="G967" s="2"/>
      <c r="H967" s="33"/>
      <c r="I967" s="99">
        <f t="shared" si="0"/>
        <v>1002.5880003508012</v>
      </c>
      <c r="J967" s="101">
        <f t="shared" si="1"/>
        <v>9.8666666666666671</v>
      </c>
      <c r="K967" s="101">
        <f t="shared" si="2"/>
        <v>161</v>
      </c>
      <c r="L967" s="74">
        <f t="shared" si="1008"/>
        <v>2</v>
      </c>
      <c r="M967" s="99">
        <f t="shared" si="1137"/>
        <v>30077.640010524035</v>
      </c>
      <c r="N967" s="108">
        <f t="shared" si="1195"/>
        <v>27099.980836182927</v>
      </c>
      <c r="O967" s="108"/>
      <c r="P967" s="108"/>
      <c r="Q967" s="108"/>
      <c r="R967" s="109">
        <f t="shared" si="1196"/>
        <v>0</v>
      </c>
      <c r="S967" s="99">
        <f t="shared" si="694"/>
        <v>13549.990418091464</v>
      </c>
      <c r="T967" s="108">
        <f t="shared" si="1150"/>
        <v>13549.990418091464</v>
      </c>
      <c r="U967" s="108"/>
      <c r="V967" s="108"/>
      <c r="W967" s="108"/>
      <c r="X967" s="109">
        <f t="shared" si="1197"/>
        <v>0</v>
      </c>
      <c r="Y967" s="99">
        <f t="shared" si="8"/>
        <v>27099.980836182927</v>
      </c>
      <c r="Z967" s="108">
        <f t="shared" si="1198"/>
        <v>27099.980836182927</v>
      </c>
      <c r="AA967" s="108"/>
      <c r="AB967" s="108"/>
      <c r="AC967" s="108"/>
      <c r="AD967" s="109"/>
      <c r="AE967" s="99">
        <f t="shared" si="1199"/>
        <v>30</v>
      </c>
      <c r="AF967" s="101">
        <f t="shared" si="1200"/>
        <v>36</v>
      </c>
      <c r="AG967" s="101">
        <f t="shared" si="1201"/>
        <v>100</v>
      </c>
      <c r="AH967" s="101">
        <f t="shared" si="1202"/>
        <v>296</v>
      </c>
      <c r="AI967" s="101">
        <f t="shared" si="852"/>
        <v>200</v>
      </c>
      <c r="AJ967" s="101">
        <f t="shared" si="1203"/>
        <v>2</v>
      </c>
      <c r="AK967" s="101">
        <f t="shared" si="461"/>
        <v>10423.069552378049</v>
      </c>
      <c r="AL967" s="101">
        <f t="shared" si="1204"/>
        <v>10423.069552378049</v>
      </c>
      <c r="AM967" s="101"/>
      <c r="AN967" s="101"/>
      <c r="AO967" s="1">
        <v>30</v>
      </c>
      <c r="AP967" s="2">
        <v>36</v>
      </c>
      <c r="AQ967" s="74">
        <f t="shared" si="1205"/>
        <v>592</v>
      </c>
      <c r="AR967" s="31">
        <f t="shared" si="1206"/>
        <v>0.5</v>
      </c>
      <c r="AS967" s="2">
        <f t="shared" si="1207"/>
        <v>0</v>
      </c>
      <c r="AT967" s="33">
        <f t="shared" si="1208"/>
        <v>0</v>
      </c>
      <c r="AU967" s="31">
        <f t="shared" si="1209"/>
        <v>1.3</v>
      </c>
      <c r="AV967" s="2">
        <f t="shared" si="1210"/>
        <v>0</v>
      </c>
      <c r="AW967" s="33">
        <f t="shared" si="1211"/>
        <v>0</v>
      </c>
      <c r="AX967" s="31">
        <f t="shared" si="1212"/>
        <v>0</v>
      </c>
      <c r="AY967" s="33">
        <f t="shared" si="1213"/>
        <v>100</v>
      </c>
      <c r="AZ967" s="2"/>
      <c r="BA967" s="101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</row>
    <row r="968" spans="1:71" ht="12" customHeight="1">
      <c r="A968" s="2"/>
      <c r="B968" s="107">
        <v>893</v>
      </c>
      <c r="C968" s="31">
        <v>10</v>
      </c>
      <c r="D968" s="113" t="s">
        <v>22</v>
      </c>
      <c r="E968" s="2" t="s">
        <v>157</v>
      </c>
      <c r="F968" s="2"/>
      <c r="G968" s="2"/>
      <c r="H968" s="33"/>
      <c r="I968" s="99">
        <f t="shared" si="0"/>
        <v>954.77427012545593</v>
      </c>
      <c r="J968" s="101">
        <f t="shared" si="1"/>
        <v>9.8666666666666671</v>
      </c>
      <c r="K968" s="101">
        <f t="shared" si="2"/>
        <v>180</v>
      </c>
      <c r="L968" s="74">
        <f t="shared" si="1008"/>
        <v>4</v>
      </c>
      <c r="M968" s="99">
        <f t="shared" si="1137"/>
        <v>28643.228103763679</v>
      </c>
      <c r="N968" s="108">
        <f t="shared" si="1195"/>
        <v>20846.139104756097</v>
      </c>
      <c r="O968" s="108"/>
      <c r="P968" s="108"/>
      <c r="Q968" s="108"/>
      <c r="R968" s="109">
        <f t="shared" si="1196"/>
        <v>4961.4353068936234</v>
      </c>
      <c r="S968" s="99">
        <f t="shared" si="694"/>
        <v>14592.297373329267</v>
      </c>
      <c r="T968" s="108">
        <f t="shared" si="1150"/>
        <v>10423.069552378049</v>
      </c>
      <c r="U968" s="108"/>
      <c r="V968" s="108"/>
      <c r="W968" s="108"/>
      <c r="X968" s="109">
        <f t="shared" si="1197"/>
        <v>4169.2278209512197</v>
      </c>
      <c r="Y968" s="99">
        <f t="shared" si="8"/>
        <v>20846.139104756097</v>
      </c>
      <c r="Z968" s="108">
        <f t="shared" si="1198"/>
        <v>20846.139104756097</v>
      </c>
      <c r="AA968" s="108"/>
      <c r="AB968" s="108"/>
      <c r="AC968" s="108"/>
      <c r="AD968" s="109"/>
      <c r="AE968" s="99">
        <f t="shared" si="1199"/>
        <v>30</v>
      </c>
      <c r="AF968" s="101">
        <f t="shared" si="1200"/>
        <v>36</v>
      </c>
      <c r="AG968" s="101">
        <f t="shared" si="1201"/>
        <v>100</v>
      </c>
      <c r="AH968" s="101">
        <f t="shared" si="1202"/>
        <v>296</v>
      </c>
      <c r="AI968" s="101">
        <f t="shared" si="852"/>
        <v>200</v>
      </c>
      <c r="AJ968" s="101">
        <f t="shared" si="1203"/>
        <v>2</v>
      </c>
      <c r="AK968" s="101">
        <f t="shared" si="461"/>
        <v>10423.069552378049</v>
      </c>
      <c r="AL968" s="101">
        <f t="shared" si="1204"/>
        <v>10423.069552378049</v>
      </c>
      <c r="AM968" s="101"/>
      <c r="AN968" s="101"/>
      <c r="AO968" s="1">
        <v>30</v>
      </c>
      <c r="AP968" s="2">
        <v>36</v>
      </c>
      <c r="AQ968" s="74">
        <f t="shared" si="1205"/>
        <v>592</v>
      </c>
      <c r="AR968" s="31">
        <f t="shared" si="1206"/>
        <v>0.5</v>
      </c>
      <c r="AS968" s="2">
        <f t="shared" si="1207"/>
        <v>0</v>
      </c>
      <c r="AT968" s="33">
        <f t="shared" si="1208"/>
        <v>0</v>
      </c>
      <c r="AU968" s="31">
        <f t="shared" si="1209"/>
        <v>1</v>
      </c>
      <c r="AV968" s="2">
        <f t="shared" si="1210"/>
        <v>0</v>
      </c>
      <c r="AW968" s="33">
        <f t="shared" si="1211"/>
        <v>0.4</v>
      </c>
      <c r="AX968" s="31">
        <f t="shared" si="1212"/>
        <v>0</v>
      </c>
      <c r="AY968" s="33">
        <f t="shared" si="1213"/>
        <v>100</v>
      </c>
      <c r="AZ968" s="2"/>
      <c r="BA968" s="101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</row>
    <row r="969" spans="1:71" ht="12" customHeight="1">
      <c r="A969" s="2"/>
      <c r="B969" s="107">
        <v>894</v>
      </c>
      <c r="C969" s="31">
        <v>7</v>
      </c>
      <c r="D969" s="113" t="s">
        <v>22</v>
      </c>
      <c r="E969" s="2" t="s">
        <v>67</v>
      </c>
      <c r="F969" s="2"/>
      <c r="G969" s="2"/>
      <c r="H969" s="33"/>
      <c r="I969" s="99">
        <f t="shared" si="0"/>
        <v>439.33566583525419</v>
      </c>
      <c r="J969" s="101">
        <f t="shared" si="1"/>
        <v>13.733333333333333</v>
      </c>
      <c r="K969" s="101">
        <f t="shared" si="2"/>
        <v>687</v>
      </c>
      <c r="L969" s="74">
        <f t="shared" si="1008"/>
        <v>76</v>
      </c>
      <c r="M969" s="99">
        <f t="shared" si="1137"/>
        <v>13180.069975057626</v>
      </c>
      <c r="N969" s="108">
        <f t="shared" si="1195"/>
        <v>11875.254960782697</v>
      </c>
      <c r="O969" s="108"/>
      <c r="P969" s="108"/>
      <c r="Q969" s="108"/>
      <c r="R969" s="109">
        <f t="shared" si="1196"/>
        <v>0</v>
      </c>
      <c r="S969" s="99">
        <f t="shared" si="694"/>
        <v>9979.0968340536583</v>
      </c>
      <c r="T969" s="108">
        <f t="shared" si="1150"/>
        <v>9979.0968340536583</v>
      </c>
      <c r="U969" s="108"/>
      <c r="V969" s="108"/>
      <c r="W969" s="108"/>
      <c r="X969" s="109">
        <f t="shared" si="1197"/>
        <v>0</v>
      </c>
      <c r="Y969" s="99">
        <f t="shared" si="8"/>
        <v>19958.193668107317</v>
      </c>
      <c r="Z969" s="108">
        <f t="shared" si="1198"/>
        <v>19958.193668107317</v>
      </c>
      <c r="AA969" s="108"/>
      <c r="AB969" s="108"/>
      <c r="AC969" s="108"/>
      <c r="AD969" s="109"/>
      <c r="AE969" s="99">
        <f t="shared" si="1199"/>
        <v>30</v>
      </c>
      <c r="AF969" s="101">
        <f t="shared" si="1200"/>
        <v>36</v>
      </c>
      <c r="AG969" s="101">
        <f t="shared" si="1201"/>
        <v>19.001300000000001</v>
      </c>
      <c r="AH969" s="101">
        <f t="shared" si="1202"/>
        <v>412</v>
      </c>
      <c r="AI969" s="101">
        <f t="shared" si="852"/>
        <v>200</v>
      </c>
      <c r="AJ969" s="101">
        <f t="shared" si="1203"/>
        <v>2</v>
      </c>
      <c r="AK969" s="101">
        <f t="shared" si="461"/>
        <v>9979.0968340536583</v>
      </c>
      <c r="AL969" s="101">
        <f t="shared" si="1204"/>
        <v>9979.0968340536583</v>
      </c>
      <c r="AM969" s="101"/>
      <c r="AN969" s="101"/>
      <c r="AO969" s="1">
        <v>30</v>
      </c>
      <c r="AP969" s="2">
        <v>36</v>
      </c>
      <c r="AQ969" s="74">
        <f t="shared" si="1205"/>
        <v>412</v>
      </c>
      <c r="AR969" s="31">
        <f t="shared" si="1206"/>
        <v>1</v>
      </c>
      <c r="AS969" s="2">
        <f t="shared" si="1207"/>
        <v>0</v>
      </c>
      <c r="AT969" s="33">
        <f t="shared" si="1208"/>
        <v>0</v>
      </c>
      <c r="AU969" s="31">
        <f t="shared" si="1209"/>
        <v>1</v>
      </c>
      <c r="AV969" s="2">
        <f t="shared" si="1210"/>
        <v>0</v>
      </c>
      <c r="AW969" s="33">
        <f t="shared" si="1211"/>
        <v>0</v>
      </c>
      <c r="AX969" s="31">
        <f t="shared" si="1212"/>
        <v>0</v>
      </c>
      <c r="AY969" s="33">
        <f t="shared" si="1213"/>
        <v>0</v>
      </c>
      <c r="AZ969" s="2"/>
      <c r="BA969" s="101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</row>
    <row r="970" spans="1:71" ht="12" customHeight="1">
      <c r="A970" s="2"/>
      <c r="B970" s="107">
        <v>895</v>
      </c>
      <c r="C970" s="31">
        <v>7</v>
      </c>
      <c r="D970" s="113" t="s">
        <v>22</v>
      </c>
      <c r="E970" s="2" t="s">
        <v>136</v>
      </c>
      <c r="F970" s="2"/>
      <c r="G970" s="2"/>
      <c r="H970" s="33"/>
      <c r="I970" s="99">
        <f t="shared" si="0"/>
        <v>571.1363655858305</v>
      </c>
      <c r="J970" s="101">
        <f t="shared" si="1"/>
        <v>13.733333333333333</v>
      </c>
      <c r="K970" s="101">
        <f t="shared" si="2"/>
        <v>504</v>
      </c>
      <c r="L970" s="74">
        <f t="shared" si="1008"/>
        <v>39</v>
      </c>
      <c r="M970" s="99">
        <f t="shared" si="1137"/>
        <v>17134.090967574914</v>
      </c>
      <c r="N970" s="108">
        <f t="shared" si="1195"/>
        <v>15437.831449017505</v>
      </c>
      <c r="O970" s="108"/>
      <c r="P970" s="108"/>
      <c r="Q970" s="108"/>
      <c r="R970" s="109">
        <f t="shared" si="1196"/>
        <v>0</v>
      </c>
      <c r="S970" s="99">
        <f t="shared" si="694"/>
        <v>12972.825884269756</v>
      </c>
      <c r="T970" s="108">
        <f t="shared" si="1150"/>
        <v>12972.825884269756</v>
      </c>
      <c r="U970" s="108"/>
      <c r="V970" s="108"/>
      <c r="W970" s="108"/>
      <c r="X970" s="109">
        <f t="shared" si="1197"/>
        <v>0</v>
      </c>
      <c r="Y970" s="99">
        <f t="shared" si="8"/>
        <v>25945.651768539512</v>
      </c>
      <c r="Z970" s="108">
        <f t="shared" si="1198"/>
        <v>25945.651768539512</v>
      </c>
      <c r="AA970" s="108"/>
      <c r="AB970" s="108"/>
      <c r="AC970" s="108"/>
      <c r="AD970" s="109"/>
      <c r="AE970" s="99">
        <f t="shared" si="1199"/>
        <v>30</v>
      </c>
      <c r="AF970" s="101">
        <f t="shared" si="1200"/>
        <v>36</v>
      </c>
      <c r="AG970" s="101">
        <f t="shared" si="1201"/>
        <v>19.001300000000001</v>
      </c>
      <c r="AH970" s="101">
        <f t="shared" si="1202"/>
        <v>412</v>
      </c>
      <c r="AI970" s="101">
        <f t="shared" si="852"/>
        <v>200</v>
      </c>
      <c r="AJ970" s="101">
        <f t="shared" si="1203"/>
        <v>2</v>
      </c>
      <c r="AK970" s="101">
        <f t="shared" si="461"/>
        <v>9979.0968340536583</v>
      </c>
      <c r="AL970" s="101">
        <f t="shared" si="1204"/>
        <v>9979.0968340536583</v>
      </c>
      <c r="AM970" s="101"/>
      <c r="AN970" s="101"/>
      <c r="AO970" s="1">
        <v>30</v>
      </c>
      <c r="AP970" s="2">
        <v>36</v>
      </c>
      <c r="AQ970" s="74">
        <f t="shared" si="1205"/>
        <v>412</v>
      </c>
      <c r="AR970" s="31">
        <f t="shared" si="1206"/>
        <v>1</v>
      </c>
      <c r="AS970" s="2">
        <f t="shared" si="1207"/>
        <v>0</v>
      </c>
      <c r="AT970" s="33">
        <f t="shared" si="1208"/>
        <v>0</v>
      </c>
      <c r="AU970" s="31">
        <f t="shared" si="1209"/>
        <v>1.3</v>
      </c>
      <c r="AV970" s="2">
        <f t="shared" si="1210"/>
        <v>0</v>
      </c>
      <c r="AW970" s="33">
        <f t="shared" si="1211"/>
        <v>0</v>
      </c>
      <c r="AX970" s="31">
        <f t="shared" si="1212"/>
        <v>0</v>
      </c>
      <c r="AY970" s="33">
        <f t="shared" si="1213"/>
        <v>0</v>
      </c>
      <c r="AZ970" s="2"/>
      <c r="BA970" s="101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</row>
    <row r="971" spans="1:71" ht="12" customHeight="1">
      <c r="A971" s="2"/>
      <c r="B971" s="107">
        <v>896</v>
      </c>
      <c r="C971" s="31">
        <v>7</v>
      </c>
      <c r="D971" s="113" t="s">
        <v>22</v>
      </c>
      <c r="E971" s="2" t="s">
        <v>91</v>
      </c>
      <c r="F971" s="2"/>
      <c r="G971" s="2"/>
      <c r="H971" s="33"/>
      <c r="I971" s="99">
        <f t="shared" si="0"/>
        <v>615.06993216935587</v>
      </c>
      <c r="J971" s="101">
        <f t="shared" si="1"/>
        <v>13.733333333333333</v>
      </c>
      <c r="K971" s="101">
        <f t="shared" si="2"/>
        <v>444</v>
      </c>
      <c r="L971" s="74">
        <f t="shared" si="1008"/>
        <v>33</v>
      </c>
      <c r="M971" s="99">
        <f t="shared" si="1137"/>
        <v>18452.097965080677</v>
      </c>
      <c r="N971" s="108">
        <f t="shared" si="1195"/>
        <v>11875.254960782697</v>
      </c>
      <c r="O971" s="108"/>
      <c r="P971" s="108"/>
      <c r="Q971" s="108"/>
      <c r="R971" s="109">
        <f t="shared" si="1196"/>
        <v>4750.1019843130789</v>
      </c>
      <c r="S971" s="99">
        <f t="shared" si="694"/>
        <v>13970.735567675121</v>
      </c>
      <c r="T971" s="108">
        <f t="shared" si="1150"/>
        <v>9979.0968340536583</v>
      </c>
      <c r="U971" s="108"/>
      <c r="V971" s="108"/>
      <c r="W971" s="108"/>
      <c r="X971" s="109">
        <f t="shared" si="1197"/>
        <v>3991.6387336214634</v>
      </c>
      <c r="Y971" s="99">
        <f t="shared" si="8"/>
        <v>19958.193668107317</v>
      </c>
      <c r="Z971" s="108">
        <f t="shared" si="1198"/>
        <v>19958.193668107317</v>
      </c>
      <c r="AA971" s="108"/>
      <c r="AB971" s="108"/>
      <c r="AC971" s="108"/>
      <c r="AD971" s="109"/>
      <c r="AE971" s="99">
        <f t="shared" si="1199"/>
        <v>30</v>
      </c>
      <c r="AF971" s="101">
        <f t="shared" si="1200"/>
        <v>36</v>
      </c>
      <c r="AG971" s="101">
        <f t="shared" si="1201"/>
        <v>19.001300000000001</v>
      </c>
      <c r="AH971" s="101">
        <f t="shared" si="1202"/>
        <v>412</v>
      </c>
      <c r="AI971" s="101">
        <f t="shared" si="852"/>
        <v>200</v>
      </c>
      <c r="AJ971" s="101">
        <f t="shared" si="1203"/>
        <v>2</v>
      </c>
      <c r="AK971" s="101">
        <f t="shared" si="461"/>
        <v>9979.0968340536583</v>
      </c>
      <c r="AL971" s="101">
        <f t="shared" si="1204"/>
        <v>9979.0968340536583</v>
      </c>
      <c r="AM971" s="101"/>
      <c r="AN971" s="101"/>
      <c r="AO971" s="1">
        <v>30</v>
      </c>
      <c r="AP971" s="2">
        <v>36</v>
      </c>
      <c r="AQ971" s="74">
        <f t="shared" si="1205"/>
        <v>412</v>
      </c>
      <c r="AR971" s="31">
        <f t="shared" si="1206"/>
        <v>1</v>
      </c>
      <c r="AS971" s="2">
        <f t="shared" si="1207"/>
        <v>0</v>
      </c>
      <c r="AT971" s="33">
        <f t="shared" si="1208"/>
        <v>0</v>
      </c>
      <c r="AU971" s="31">
        <f t="shared" si="1209"/>
        <v>1</v>
      </c>
      <c r="AV971" s="2">
        <f t="shared" si="1210"/>
        <v>0</v>
      </c>
      <c r="AW971" s="33">
        <f t="shared" si="1211"/>
        <v>0.4</v>
      </c>
      <c r="AX971" s="31">
        <f t="shared" si="1212"/>
        <v>0</v>
      </c>
      <c r="AY971" s="33">
        <f t="shared" si="1213"/>
        <v>0</v>
      </c>
      <c r="AZ971" s="2"/>
      <c r="BA971" s="101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</row>
    <row r="972" spans="1:71" ht="12" customHeight="1">
      <c r="A972" s="2"/>
      <c r="B972" s="107">
        <v>897</v>
      </c>
      <c r="C972" s="31">
        <v>7</v>
      </c>
      <c r="D972" s="113" t="s">
        <v>22</v>
      </c>
      <c r="E972" s="2" t="s">
        <v>148</v>
      </c>
      <c r="F972" s="2"/>
      <c r="G972" s="2"/>
      <c r="H972" s="33"/>
      <c r="I972" s="99">
        <f t="shared" si="0"/>
        <v>439.33566583525419</v>
      </c>
      <c r="J972" s="101">
        <f t="shared" si="1"/>
        <v>6.8666666666666663</v>
      </c>
      <c r="K972" s="101">
        <f t="shared" si="2"/>
        <v>687</v>
      </c>
      <c r="L972" s="74">
        <f t="shared" si="1008"/>
        <v>76</v>
      </c>
      <c r="M972" s="99">
        <f t="shared" si="1137"/>
        <v>13180.069975057626</v>
      </c>
      <c r="N972" s="108">
        <f t="shared" si="1195"/>
        <v>11875.254960782697</v>
      </c>
      <c r="O972" s="108"/>
      <c r="P972" s="108"/>
      <c r="Q972" s="108"/>
      <c r="R972" s="109">
        <f t="shared" si="1196"/>
        <v>0</v>
      </c>
      <c r="S972" s="99">
        <f t="shared" si="694"/>
        <v>9979.0968340536583</v>
      </c>
      <c r="T972" s="108">
        <f t="shared" si="1150"/>
        <v>9979.0968340536583</v>
      </c>
      <c r="U972" s="108"/>
      <c r="V972" s="108"/>
      <c r="W972" s="108"/>
      <c r="X972" s="109">
        <f t="shared" si="1197"/>
        <v>0</v>
      </c>
      <c r="Y972" s="99">
        <f t="shared" si="8"/>
        <v>19958.193668107317</v>
      </c>
      <c r="Z972" s="108">
        <f t="shared" si="1198"/>
        <v>19958.193668107317</v>
      </c>
      <c r="AA972" s="108"/>
      <c r="AB972" s="108"/>
      <c r="AC972" s="108"/>
      <c r="AD972" s="109"/>
      <c r="AE972" s="99">
        <f t="shared" si="1199"/>
        <v>30</v>
      </c>
      <c r="AF972" s="101">
        <f t="shared" si="1200"/>
        <v>36</v>
      </c>
      <c r="AG972" s="101">
        <f t="shared" si="1201"/>
        <v>19.001300000000001</v>
      </c>
      <c r="AH972" s="101">
        <f t="shared" si="1202"/>
        <v>206</v>
      </c>
      <c r="AI972" s="101">
        <f t="shared" si="852"/>
        <v>200</v>
      </c>
      <c r="AJ972" s="101">
        <f t="shared" si="1203"/>
        <v>2</v>
      </c>
      <c r="AK972" s="101">
        <f t="shared" si="461"/>
        <v>9979.0968340536583</v>
      </c>
      <c r="AL972" s="101">
        <f t="shared" si="1204"/>
        <v>9979.0968340536583</v>
      </c>
      <c r="AM972" s="101"/>
      <c r="AN972" s="101"/>
      <c r="AO972" s="1">
        <v>30</v>
      </c>
      <c r="AP972" s="2">
        <v>36</v>
      </c>
      <c r="AQ972" s="74">
        <f t="shared" si="1205"/>
        <v>412</v>
      </c>
      <c r="AR972" s="31">
        <f t="shared" si="1206"/>
        <v>0.5</v>
      </c>
      <c r="AS972" s="2">
        <f t="shared" si="1207"/>
        <v>0</v>
      </c>
      <c r="AT972" s="33">
        <f t="shared" si="1208"/>
        <v>0</v>
      </c>
      <c r="AU972" s="31">
        <f t="shared" si="1209"/>
        <v>1</v>
      </c>
      <c r="AV972" s="2">
        <f t="shared" si="1210"/>
        <v>0</v>
      </c>
      <c r="AW972" s="33">
        <f t="shared" si="1211"/>
        <v>0</v>
      </c>
      <c r="AX972" s="31">
        <f t="shared" si="1212"/>
        <v>0</v>
      </c>
      <c r="AY972" s="33">
        <f t="shared" si="1213"/>
        <v>0</v>
      </c>
      <c r="AZ972" s="2"/>
      <c r="BA972" s="101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</row>
    <row r="973" spans="1:71" ht="12" customHeight="1">
      <c r="A973" s="2"/>
      <c r="B973" s="107">
        <v>898</v>
      </c>
      <c r="C973" s="31">
        <v>7</v>
      </c>
      <c r="D973" s="113" t="s">
        <v>22</v>
      </c>
      <c r="E973" s="2" t="s">
        <v>163</v>
      </c>
      <c r="F973" s="2"/>
      <c r="G973" s="2"/>
      <c r="H973" s="33"/>
      <c r="I973" s="99">
        <f t="shared" si="0"/>
        <v>571.1363655858305</v>
      </c>
      <c r="J973" s="101">
        <f t="shared" si="1"/>
        <v>6.8666666666666663</v>
      </c>
      <c r="K973" s="101">
        <f t="shared" si="2"/>
        <v>504</v>
      </c>
      <c r="L973" s="74">
        <f t="shared" si="1008"/>
        <v>39</v>
      </c>
      <c r="M973" s="99">
        <f t="shared" si="1137"/>
        <v>17134.090967574914</v>
      </c>
      <c r="N973" s="108">
        <f t="shared" si="1195"/>
        <v>15437.831449017505</v>
      </c>
      <c r="O973" s="108"/>
      <c r="P973" s="108"/>
      <c r="Q973" s="108"/>
      <c r="R973" s="109">
        <f t="shared" si="1196"/>
        <v>0</v>
      </c>
      <c r="S973" s="99">
        <f t="shared" si="694"/>
        <v>12972.825884269756</v>
      </c>
      <c r="T973" s="108">
        <f t="shared" si="1150"/>
        <v>12972.825884269756</v>
      </c>
      <c r="U973" s="108"/>
      <c r="V973" s="108"/>
      <c r="W973" s="108"/>
      <c r="X973" s="109">
        <f t="shared" si="1197"/>
        <v>0</v>
      </c>
      <c r="Y973" s="99">
        <f t="shared" si="8"/>
        <v>25945.651768539512</v>
      </c>
      <c r="Z973" s="108">
        <f t="shared" si="1198"/>
        <v>25945.651768539512</v>
      </c>
      <c r="AA973" s="108"/>
      <c r="AB973" s="108"/>
      <c r="AC973" s="108"/>
      <c r="AD973" s="109"/>
      <c r="AE973" s="99">
        <f t="shared" si="1199"/>
        <v>30</v>
      </c>
      <c r="AF973" s="101">
        <f t="shared" si="1200"/>
        <v>36</v>
      </c>
      <c r="AG973" s="101">
        <f t="shared" si="1201"/>
        <v>19.001300000000001</v>
      </c>
      <c r="AH973" s="101">
        <f t="shared" si="1202"/>
        <v>206</v>
      </c>
      <c r="AI973" s="101">
        <f t="shared" si="852"/>
        <v>200</v>
      </c>
      <c r="AJ973" s="101">
        <f t="shared" si="1203"/>
        <v>2</v>
      </c>
      <c r="AK973" s="101">
        <f t="shared" si="461"/>
        <v>9979.0968340536583</v>
      </c>
      <c r="AL973" s="101">
        <f t="shared" si="1204"/>
        <v>9979.0968340536583</v>
      </c>
      <c r="AM973" s="101"/>
      <c r="AN973" s="101"/>
      <c r="AO973" s="1">
        <v>30</v>
      </c>
      <c r="AP973" s="2">
        <v>36</v>
      </c>
      <c r="AQ973" s="74">
        <f t="shared" si="1205"/>
        <v>412</v>
      </c>
      <c r="AR973" s="31">
        <f t="shared" si="1206"/>
        <v>0.5</v>
      </c>
      <c r="AS973" s="2">
        <f t="shared" si="1207"/>
        <v>0</v>
      </c>
      <c r="AT973" s="33">
        <f t="shared" si="1208"/>
        <v>0</v>
      </c>
      <c r="AU973" s="31">
        <f t="shared" si="1209"/>
        <v>1.3</v>
      </c>
      <c r="AV973" s="2">
        <f t="shared" si="1210"/>
        <v>0</v>
      </c>
      <c r="AW973" s="33">
        <f t="shared" si="1211"/>
        <v>0</v>
      </c>
      <c r="AX973" s="31">
        <f t="shared" si="1212"/>
        <v>0</v>
      </c>
      <c r="AY973" s="33">
        <f t="shared" si="1213"/>
        <v>0</v>
      </c>
      <c r="AZ973" s="2"/>
      <c r="BA973" s="101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</row>
    <row r="974" spans="1:71" ht="12" customHeight="1">
      <c r="A974" s="2"/>
      <c r="B974" s="107">
        <v>899</v>
      </c>
      <c r="C974" s="31">
        <v>7</v>
      </c>
      <c r="D974" s="113" t="s">
        <v>22</v>
      </c>
      <c r="E974" s="2" t="s">
        <v>155</v>
      </c>
      <c r="F974" s="2"/>
      <c r="G974" s="2"/>
      <c r="H974" s="33"/>
      <c r="I974" s="99">
        <f t="shared" si="0"/>
        <v>615.06993216935587</v>
      </c>
      <c r="J974" s="101">
        <f t="shared" si="1"/>
        <v>6.8666666666666663</v>
      </c>
      <c r="K974" s="101">
        <f t="shared" si="2"/>
        <v>444</v>
      </c>
      <c r="L974" s="74">
        <f t="shared" si="1008"/>
        <v>33</v>
      </c>
      <c r="M974" s="99">
        <f t="shared" si="1137"/>
        <v>18452.097965080677</v>
      </c>
      <c r="N974" s="108">
        <f t="shared" si="1195"/>
        <v>11875.254960782697</v>
      </c>
      <c r="O974" s="108"/>
      <c r="P974" s="108"/>
      <c r="Q974" s="108"/>
      <c r="R974" s="109">
        <f t="shared" si="1196"/>
        <v>4750.1019843130789</v>
      </c>
      <c r="S974" s="99">
        <f t="shared" si="694"/>
        <v>13970.735567675121</v>
      </c>
      <c r="T974" s="108">
        <f t="shared" si="1150"/>
        <v>9979.0968340536583</v>
      </c>
      <c r="U974" s="108"/>
      <c r="V974" s="108"/>
      <c r="W974" s="108"/>
      <c r="X974" s="109">
        <f t="shared" si="1197"/>
        <v>3991.6387336214634</v>
      </c>
      <c r="Y974" s="99">
        <f t="shared" si="8"/>
        <v>19958.193668107317</v>
      </c>
      <c r="Z974" s="108">
        <f t="shared" si="1198"/>
        <v>19958.193668107317</v>
      </c>
      <c r="AA974" s="108"/>
      <c r="AB974" s="108"/>
      <c r="AC974" s="108"/>
      <c r="AD974" s="109"/>
      <c r="AE974" s="99">
        <f t="shared" si="1199"/>
        <v>30</v>
      </c>
      <c r="AF974" s="101">
        <f t="shared" si="1200"/>
        <v>36</v>
      </c>
      <c r="AG974" s="101">
        <f t="shared" si="1201"/>
        <v>19.001300000000001</v>
      </c>
      <c r="AH974" s="101">
        <f t="shared" si="1202"/>
        <v>206</v>
      </c>
      <c r="AI974" s="101">
        <f t="shared" si="852"/>
        <v>200</v>
      </c>
      <c r="AJ974" s="101">
        <f t="shared" si="1203"/>
        <v>2</v>
      </c>
      <c r="AK974" s="101">
        <f t="shared" si="461"/>
        <v>9979.0968340536583</v>
      </c>
      <c r="AL974" s="101">
        <f t="shared" si="1204"/>
        <v>9979.0968340536583</v>
      </c>
      <c r="AM974" s="101"/>
      <c r="AN974" s="101"/>
      <c r="AO974" s="1">
        <v>30</v>
      </c>
      <c r="AP974" s="2">
        <v>36</v>
      </c>
      <c r="AQ974" s="74">
        <f t="shared" si="1205"/>
        <v>412</v>
      </c>
      <c r="AR974" s="31">
        <f t="shared" si="1206"/>
        <v>0.5</v>
      </c>
      <c r="AS974" s="2">
        <f t="shared" si="1207"/>
        <v>0</v>
      </c>
      <c r="AT974" s="33">
        <f t="shared" si="1208"/>
        <v>0</v>
      </c>
      <c r="AU974" s="31">
        <f t="shared" si="1209"/>
        <v>1</v>
      </c>
      <c r="AV974" s="2">
        <f t="shared" si="1210"/>
        <v>0</v>
      </c>
      <c r="AW974" s="33">
        <f t="shared" si="1211"/>
        <v>0.4</v>
      </c>
      <c r="AX974" s="31">
        <f t="shared" si="1212"/>
        <v>0</v>
      </c>
      <c r="AY974" s="33">
        <f t="shared" si="1213"/>
        <v>0</v>
      </c>
      <c r="AZ974" s="2"/>
      <c r="BA974" s="101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</row>
    <row r="975" spans="1:71" ht="12" customHeight="1">
      <c r="A975" s="2"/>
      <c r="B975" s="107">
        <v>900</v>
      </c>
      <c r="C975" s="31">
        <v>4</v>
      </c>
      <c r="D975" s="113" t="s">
        <v>22</v>
      </c>
      <c r="E975" s="2" t="s">
        <v>67</v>
      </c>
      <c r="F975" s="2"/>
      <c r="G975" s="2"/>
      <c r="H975" s="33"/>
      <c r="I975" s="99">
        <f t="shared" si="0"/>
        <v>405.41303156211632</v>
      </c>
      <c r="J975" s="101">
        <f t="shared" si="1"/>
        <v>7.5666666666666664</v>
      </c>
      <c r="K975" s="101">
        <f t="shared" si="2"/>
        <v>725</v>
      </c>
      <c r="L975" s="74">
        <f t="shared" si="1008"/>
        <v>84</v>
      </c>
      <c r="M975" s="99">
        <f t="shared" si="1137"/>
        <v>12162.39094686349</v>
      </c>
      <c r="N975" s="108">
        <f t="shared" si="1195"/>
        <v>10958.325236515881</v>
      </c>
      <c r="O975" s="108"/>
      <c r="P975" s="108"/>
      <c r="Q975" s="108"/>
      <c r="R975" s="109">
        <f t="shared" si="1196"/>
        <v>0</v>
      </c>
      <c r="S975" s="99">
        <f t="shared" si="694"/>
        <v>9208.5760714512198</v>
      </c>
      <c r="T975" s="108">
        <f t="shared" si="1150"/>
        <v>9208.5760714512198</v>
      </c>
      <c r="U975" s="108"/>
      <c r="V975" s="108"/>
      <c r="W975" s="108"/>
      <c r="X975" s="109">
        <f t="shared" si="1197"/>
        <v>0</v>
      </c>
      <c r="Y975" s="99">
        <f t="shared" si="8"/>
        <v>18417.15214290244</v>
      </c>
      <c r="Z975" s="108">
        <f t="shared" si="1198"/>
        <v>18417.15214290244</v>
      </c>
      <c r="AA975" s="108"/>
      <c r="AB975" s="108"/>
      <c r="AC975" s="108"/>
      <c r="AD975" s="109"/>
      <c r="AE975" s="99">
        <f t="shared" si="1199"/>
        <v>30</v>
      </c>
      <c r="AF975" s="101">
        <f t="shared" si="1200"/>
        <v>36</v>
      </c>
      <c r="AG975" s="101">
        <f t="shared" si="1201"/>
        <v>19.001300000000001</v>
      </c>
      <c r="AH975" s="101">
        <f t="shared" si="1202"/>
        <v>227</v>
      </c>
      <c r="AI975" s="101">
        <f t="shared" si="852"/>
        <v>200</v>
      </c>
      <c r="AJ975" s="101">
        <f t="shared" si="1203"/>
        <v>2</v>
      </c>
      <c r="AK975" s="101">
        <f t="shared" si="461"/>
        <v>9208.5760714512198</v>
      </c>
      <c r="AL975" s="101">
        <f t="shared" si="1204"/>
        <v>9208.5760714512198</v>
      </c>
      <c r="AM975" s="101"/>
      <c r="AN975" s="101"/>
      <c r="AO975" s="1">
        <v>30</v>
      </c>
      <c r="AP975" s="2">
        <v>36</v>
      </c>
      <c r="AQ975" s="74">
        <f t="shared" si="1205"/>
        <v>227</v>
      </c>
      <c r="AR975" s="31">
        <f t="shared" si="1206"/>
        <v>1</v>
      </c>
      <c r="AS975" s="2">
        <f t="shared" si="1207"/>
        <v>0</v>
      </c>
      <c r="AT975" s="33">
        <f t="shared" si="1208"/>
        <v>0</v>
      </c>
      <c r="AU975" s="31">
        <f t="shared" si="1209"/>
        <v>1</v>
      </c>
      <c r="AV975" s="2">
        <f t="shared" si="1210"/>
        <v>0</v>
      </c>
      <c r="AW975" s="33">
        <f t="shared" si="1211"/>
        <v>0</v>
      </c>
      <c r="AX975" s="31">
        <f t="shared" si="1212"/>
        <v>0</v>
      </c>
      <c r="AY975" s="33">
        <f t="shared" si="1213"/>
        <v>0</v>
      </c>
      <c r="AZ975" s="2"/>
      <c r="BA975" s="101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</row>
    <row r="976" spans="1:71" ht="12" customHeight="1">
      <c r="A976" s="2"/>
      <c r="B976" s="107">
        <v>901</v>
      </c>
      <c r="C976" s="31">
        <v>4</v>
      </c>
      <c r="D976" s="113" t="s">
        <v>22</v>
      </c>
      <c r="E976" s="2" t="s">
        <v>148</v>
      </c>
      <c r="F976" s="2"/>
      <c r="G976" s="2"/>
      <c r="H976" s="33"/>
      <c r="I976" s="99">
        <f t="shared" si="0"/>
        <v>405.41303156211632</v>
      </c>
      <c r="J976" s="101">
        <f t="shared" si="1"/>
        <v>3.7833333333333332</v>
      </c>
      <c r="K976" s="101">
        <f t="shared" si="2"/>
        <v>725</v>
      </c>
      <c r="L976" s="74">
        <f t="shared" si="1008"/>
        <v>84</v>
      </c>
      <c r="M976" s="99">
        <f t="shared" si="1137"/>
        <v>12162.39094686349</v>
      </c>
      <c r="N976" s="108">
        <f t="shared" si="1195"/>
        <v>10958.325236515881</v>
      </c>
      <c r="O976" s="108"/>
      <c r="P976" s="108"/>
      <c r="Q976" s="108"/>
      <c r="R976" s="109">
        <f t="shared" si="1196"/>
        <v>0</v>
      </c>
      <c r="S976" s="99">
        <f t="shared" si="694"/>
        <v>9208.5760714512198</v>
      </c>
      <c r="T976" s="108">
        <f t="shared" si="1150"/>
        <v>9208.5760714512198</v>
      </c>
      <c r="U976" s="108"/>
      <c r="V976" s="108"/>
      <c r="W976" s="108"/>
      <c r="X976" s="109">
        <f t="shared" si="1197"/>
        <v>0</v>
      </c>
      <c r="Y976" s="99">
        <f t="shared" si="8"/>
        <v>18417.15214290244</v>
      </c>
      <c r="Z976" s="108">
        <f t="shared" si="1198"/>
        <v>18417.15214290244</v>
      </c>
      <c r="AA976" s="108"/>
      <c r="AB976" s="108"/>
      <c r="AC976" s="108"/>
      <c r="AD976" s="109"/>
      <c r="AE976" s="99">
        <f t="shared" si="1199"/>
        <v>30</v>
      </c>
      <c r="AF976" s="101">
        <f t="shared" si="1200"/>
        <v>36</v>
      </c>
      <c r="AG976" s="101">
        <f t="shared" si="1201"/>
        <v>19.001300000000001</v>
      </c>
      <c r="AH976" s="101">
        <f t="shared" si="1202"/>
        <v>113.5</v>
      </c>
      <c r="AI976" s="101">
        <f t="shared" si="852"/>
        <v>200</v>
      </c>
      <c r="AJ976" s="101">
        <f t="shared" si="1203"/>
        <v>2</v>
      </c>
      <c r="AK976" s="101">
        <f t="shared" si="461"/>
        <v>9208.5760714512198</v>
      </c>
      <c r="AL976" s="101">
        <f t="shared" si="1204"/>
        <v>9208.5760714512198</v>
      </c>
      <c r="AM976" s="101"/>
      <c r="AN976" s="101"/>
      <c r="AO976" s="1">
        <v>30</v>
      </c>
      <c r="AP976" s="2">
        <v>36</v>
      </c>
      <c r="AQ976" s="74">
        <f t="shared" si="1205"/>
        <v>227</v>
      </c>
      <c r="AR976" s="31">
        <f t="shared" si="1206"/>
        <v>0.5</v>
      </c>
      <c r="AS976" s="2">
        <f t="shared" si="1207"/>
        <v>0</v>
      </c>
      <c r="AT976" s="33">
        <f t="shared" si="1208"/>
        <v>0</v>
      </c>
      <c r="AU976" s="31">
        <f t="shared" si="1209"/>
        <v>1</v>
      </c>
      <c r="AV976" s="2">
        <f t="shared" si="1210"/>
        <v>0</v>
      </c>
      <c r="AW976" s="33">
        <f t="shared" si="1211"/>
        <v>0</v>
      </c>
      <c r="AX976" s="31">
        <f t="shared" si="1212"/>
        <v>0</v>
      </c>
      <c r="AY976" s="33">
        <f t="shared" si="1213"/>
        <v>0</v>
      </c>
      <c r="AZ976" s="2"/>
      <c r="BA976" s="101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</row>
    <row r="977" spans="1:71" ht="12" customHeight="1" thickBot="1">
      <c r="A977" s="2"/>
      <c r="B977" s="116">
        <v>902</v>
      </c>
      <c r="C977" s="81">
        <v>1</v>
      </c>
      <c r="D977" s="117" t="s">
        <v>22</v>
      </c>
      <c r="E977" s="82" t="s">
        <v>67</v>
      </c>
      <c r="F977" s="82"/>
      <c r="G977" s="82"/>
      <c r="H977" s="83"/>
      <c r="I977" s="118">
        <f t="shared" si="0"/>
        <v>326.70857120300229</v>
      </c>
      <c r="J977" s="119">
        <f t="shared" si="1"/>
        <v>3.8</v>
      </c>
      <c r="K977" s="119">
        <f t="shared" si="2"/>
        <v>807</v>
      </c>
      <c r="L977" s="74">
        <f t="shared" si="1008"/>
        <v>100</v>
      </c>
      <c r="M977" s="99">
        <f t="shared" si="1137"/>
        <v>9801.2571360900693</v>
      </c>
      <c r="N977" s="121">
        <f t="shared" si="1195"/>
        <v>8830.941538817704</v>
      </c>
      <c r="O977" s="121"/>
      <c r="P977" s="121"/>
      <c r="Q977" s="121"/>
      <c r="R977" s="122">
        <f t="shared" si="1196"/>
        <v>0</v>
      </c>
      <c r="S977" s="118">
        <f t="shared" si="694"/>
        <v>7420.8782079000011</v>
      </c>
      <c r="T977" s="121">
        <f t="shared" si="1150"/>
        <v>7420.8782079000011</v>
      </c>
      <c r="U977" s="121"/>
      <c r="V977" s="121"/>
      <c r="W977" s="121"/>
      <c r="X977" s="122">
        <f t="shared" si="1197"/>
        <v>0</v>
      </c>
      <c r="Y977" s="118">
        <f t="shared" si="8"/>
        <v>14841.756415800002</v>
      </c>
      <c r="Z977" s="121">
        <f t="shared" si="1198"/>
        <v>14841.756415800002</v>
      </c>
      <c r="AA977" s="121"/>
      <c r="AB977" s="121"/>
      <c r="AC977" s="121"/>
      <c r="AD977" s="122"/>
      <c r="AE977" s="118">
        <f t="shared" si="1199"/>
        <v>30</v>
      </c>
      <c r="AF977" s="119">
        <f t="shared" si="1200"/>
        <v>36</v>
      </c>
      <c r="AG977" s="119">
        <f t="shared" si="1201"/>
        <v>19.001300000000001</v>
      </c>
      <c r="AH977" s="119">
        <f t="shared" si="1202"/>
        <v>114</v>
      </c>
      <c r="AI977" s="119">
        <f t="shared" si="852"/>
        <v>200</v>
      </c>
      <c r="AJ977" s="119">
        <f t="shared" si="1203"/>
        <v>2</v>
      </c>
      <c r="AK977" s="119">
        <f t="shared" si="461"/>
        <v>7420.8782079000011</v>
      </c>
      <c r="AL977" s="119">
        <f t="shared" si="1204"/>
        <v>7420.8782079000011</v>
      </c>
      <c r="AM977" s="119"/>
      <c r="AN977" s="119"/>
      <c r="AO977" s="17">
        <v>30</v>
      </c>
      <c r="AP977" s="82">
        <v>36</v>
      </c>
      <c r="AQ977" s="120">
        <f t="shared" si="1205"/>
        <v>114</v>
      </c>
      <c r="AR977" s="31">
        <f t="shared" si="1206"/>
        <v>1</v>
      </c>
      <c r="AS977" s="2">
        <f t="shared" si="1207"/>
        <v>0</v>
      </c>
      <c r="AT977" s="33">
        <f t="shared" si="1208"/>
        <v>0</v>
      </c>
      <c r="AU977" s="31">
        <f t="shared" si="1209"/>
        <v>1</v>
      </c>
      <c r="AV977" s="2">
        <f t="shared" si="1210"/>
        <v>0</v>
      </c>
      <c r="AW977" s="33">
        <f t="shared" si="1211"/>
        <v>0</v>
      </c>
      <c r="AX977" s="31">
        <f t="shared" si="1212"/>
        <v>0</v>
      </c>
      <c r="AY977" s="33">
        <f t="shared" si="1213"/>
        <v>0</v>
      </c>
      <c r="AZ977" s="2"/>
      <c r="BA977" s="101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</row>
  </sheetData>
  <mergeCells count="16">
    <mergeCell ref="B2:C2"/>
    <mergeCell ref="B10:C10"/>
    <mergeCell ref="B11:C11"/>
    <mergeCell ref="B19:B22"/>
    <mergeCell ref="S74:X74"/>
    <mergeCell ref="Y74:AD74"/>
    <mergeCell ref="F52:O53"/>
    <mergeCell ref="F69:O70"/>
    <mergeCell ref="I74:R74"/>
    <mergeCell ref="F74:H74"/>
    <mergeCell ref="F56:O57"/>
    <mergeCell ref="F58:O59"/>
    <mergeCell ref="F54:O55"/>
    <mergeCell ref="F64:O65"/>
    <mergeCell ref="F62:O63"/>
    <mergeCell ref="F66:O67"/>
  </mergeCells>
  <phoneticPr fontId="15" type="noConversion"/>
  <dataValidations disablePrompts="1" count="2">
    <dataValidation type="list" allowBlank="1" showErrorMessage="1" sqref="H451:H534 H557:H804">
      <formula1>$C$60:$C$61</formula1>
    </dataValidation>
    <dataValidation type="list" allowBlank="1" showErrorMessage="1" sqref="C76:C977">
      <formula1>$B$36:$B$39</formula1>
    </dataValidation>
  </dataValidation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66"/>
  <sheetViews>
    <sheetView topLeftCell="A31" workbookViewId="0">
      <selection activeCell="S57" sqref="S57"/>
    </sheetView>
  </sheetViews>
  <sheetFormatPr defaultColWidth="12.625" defaultRowHeight="15" customHeight="1"/>
  <cols>
    <col min="1" max="1" width="10.75" customWidth="1"/>
    <col min="2" max="3" width="3.875" customWidth="1"/>
    <col min="4" max="4" width="12.625" customWidth="1"/>
    <col min="5" max="6" width="7.875" customWidth="1"/>
    <col min="7" max="7" width="5.25" customWidth="1"/>
    <col min="8" max="12" width="4.375" customWidth="1"/>
    <col min="13" max="13" width="7.875" customWidth="1"/>
    <col min="14" max="48" width="4.375" customWidth="1"/>
    <col min="49" max="49" width="3.875" customWidth="1"/>
    <col min="50" max="51" width="3.75" customWidth="1"/>
    <col min="52" max="52" width="3.875" customWidth="1"/>
    <col min="53" max="53" width="4.5" customWidth="1"/>
    <col min="54" max="54" width="3.75" customWidth="1"/>
    <col min="55" max="55" width="5.875" customWidth="1"/>
    <col min="56" max="60" width="4.375" customWidth="1"/>
    <col min="61" max="61" width="5.125" customWidth="1"/>
    <col min="62" max="66" width="4.375" customWidth="1"/>
    <col min="67" max="67" width="5.125" customWidth="1"/>
    <col min="68" max="78" width="4.375" customWidth="1"/>
    <col min="79" max="79" width="3.875" customWidth="1"/>
    <col min="80" max="80" width="3.75" customWidth="1"/>
    <col min="81" max="82" width="3.875" customWidth="1"/>
    <col min="83" max="84" width="3.75" customWidth="1"/>
  </cols>
  <sheetData>
    <row r="1" spans="1:84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ht="16.5" customHeight="1">
      <c r="A2" s="1"/>
      <c r="B2" s="203" t="s">
        <v>0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ht="16.5" customHeight="1">
      <c r="A3" s="1"/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ht="12" customHeight="1">
      <c r="A4" s="1"/>
      <c r="B4" s="203" t="s">
        <v>23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4"/>
      <c r="P4" s="4"/>
      <c r="Q4" s="4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ht="12" customHeight="1">
      <c r="A5" s="1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4"/>
      <c r="P5" s="4"/>
      <c r="Q5" s="4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ht="16.5" customHeight="1">
      <c r="A6" s="1"/>
      <c r="B6" s="203" t="s">
        <v>25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4"/>
      <c r="P6" s="4"/>
      <c r="Q6" s="204" t="s">
        <v>26</v>
      </c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ht="16.5" customHeight="1">
      <c r="A7" s="1"/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4"/>
      <c r="P7" s="4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2" customHeight="1">
      <c r="A8" s="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2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ht="12" customHeight="1">
      <c r="A10" s="1"/>
      <c r="B10" s="1"/>
      <c r="C10" s="1"/>
      <c r="D10" s="1"/>
      <c r="E10" s="1"/>
      <c r="F10" s="1"/>
      <c r="G10" s="190" t="s">
        <v>27</v>
      </c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2"/>
      <c r="S10" s="190" t="s">
        <v>28</v>
      </c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2"/>
    </row>
    <row r="11" spans="1:84" ht="12" customHeight="1">
      <c r="A11" s="1"/>
      <c r="B11" s="2"/>
      <c r="C11" s="2"/>
      <c r="D11" s="2"/>
      <c r="E11" s="1"/>
      <c r="F11" s="2"/>
      <c r="G11" s="190" t="s">
        <v>29</v>
      </c>
      <c r="H11" s="191"/>
      <c r="I11" s="191"/>
      <c r="J11" s="191"/>
      <c r="K11" s="191"/>
      <c r="L11" s="192"/>
      <c r="M11" s="190" t="s">
        <v>30</v>
      </c>
      <c r="N11" s="191"/>
      <c r="O11" s="191"/>
      <c r="P11" s="191"/>
      <c r="Q11" s="191"/>
      <c r="R11" s="192"/>
      <c r="S11" s="200" t="s">
        <v>31</v>
      </c>
      <c r="T11" s="201"/>
      <c r="U11" s="201"/>
      <c r="V11" s="201"/>
      <c r="W11" s="201"/>
      <c r="X11" s="202"/>
      <c r="Y11" s="200" t="s">
        <v>32</v>
      </c>
      <c r="Z11" s="201"/>
      <c r="AA11" s="201"/>
      <c r="AB11" s="201"/>
      <c r="AC11" s="201"/>
      <c r="AD11" s="202"/>
      <c r="AE11" s="200" t="s">
        <v>37</v>
      </c>
      <c r="AF11" s="201"/>
      <c r="AG11" s="201"/>
      <c r="AH11" s="201"/>
      <c r="AI11" s="201"/>
      <c r="AJ11" s="202"/>
      <c r="AK11" s="200" t="s">
        <v>38</v>
      </c>
      <c r="AL11" s="201"/>
      <c r="AM11" s="201"/>
      <c r="AN11" s="201"/>
      <c r="AO11" s="201"/>
      <c r="AP11" s="202"/>
      <c r="AQ11" s="200" t="s">
        <v>39</v>
      </c>
      <c r="AR11" s="201"/>
      <c r="AS11" s="201"/>
      <c r="AT11" s="201"/>
      <c r="AU11" s="201"/>
      <c r="AV11" s="202"/>
      <c r="AW11" s="200" t="s">
        <v>40</v>
      </c>
      <c r="AX11" s="201"/>
      <c r="AY11" s="201"/>
      <c r="AZ11" s="201"/>
      <c r="BA11" s="201"/>
      <c r="BB11" s="202"/>
      <c r="BC11" s="200" t="s">
        <v>41</v>
      </c>
      <c r="BD11" s="201"/>
      <c r="BE11" s="201"/>
      <c r="BF11" s="201"/>
      <c r="BG11" s="201"/>
      <c r="BH11" s="202"/>
      <c r="BI11" s="200" t="s">
        <v>42</v>
      </c>
      <c r="BJ11" s="201"/>
      <c r="BK11" s="201"/>
      <c r="BL11" s="201"/>
      <c r="BM11" s="201"/>
      <c r="BN11" s="202"/>
      <c r="BO11" s="200" t="s">
        <v>43</v>
      </c>
      <c r="BP11" s="201"/>
      <c r="BQ11" s="201"/>
      <c r="BR11" s="201"/>
      <c r="BS11" s="201"/>
      <c r="BT11" s="202"/>
      <c r="BU11" s="200" t="s">
        <v>44</v>
      </c>
      <c r="BV11" s="201"/>
      <c r="BW11" s="201"/>
      <c r="BX11" s="201"/>
      <c r="BY11" s="201"/>
      <c r="BZ11" s="202"/>
      <c r="CA11" s="200" t="s">
        <v>45</v>
      </c>
      <c r="CB11" s="201"/>
      <c r="CC11" s="201"/>
      <c r="CD11" s="201"/>
      <c r="CE11" s="201"/>
      <c r="CF11" s="202"/>
    </row>
    <row r="12" spans="1:84" ht="12" customHeight="1">
      <c r="A12" s="2" t="s">
        <v>46</v>
      </c>
      <c r="B12" s="18" t="s">
        <v>47</v>
      </c>
      <c r="C12" s="20" t="s">
        <v>48</v>
      </c>
      <c r="D12" s="8" t="s">
        <v>49</v>
      </c>
      <c r="E12" s="22" t="s">
        <v>50</v>
      </c>
      <c r="F12" s="23" t="s">
        <v>51</v>
      </c>
      <c r="G12" s="30" t="s">
        <v>52</v>
      </c>
      <c r="H12" s="32" t="s">
        <v>31</v>
      </c>
      <c r="I12" s="32" t="s">
        <v>32</v>
      </c>
      <c r="J12" s="32" t="s">
        <v>37</v>
      </c>
      <c r="K12" s="32" t="s">
        <v>38</v>
      </c>
      <c r="L12" s="34" t="s">
        <v>39</v>
      </c>
      <c r="M12" s="36" t="s">
        <v>57</v>
      </c>
      <c r="N12" s="36" t="s">
        <v>31</v>
      </c>
      <c r="O12" s="36" t="s">
        <v>32</v>
      </c>
      <c r="P12" s="36" t="s">
        <v>37</v>
      </c>
      <c r="Q12" s="36" t="s">
        <v>38</v>
      </c>
      <c r="R12" s="36" t="s">
        <v>39</v>
      </c>
      <c r="S12" s="38" t="s">
        <v>58</v>
      </c>
      <c r="T12" s="40" t="s">
        <v>59</v>
      </c>
      <c r="U12" s="40" t="s">
        <v>60</v>
      </c>
      <c r="V12" s="40" t="s">
        <v>61</v>
      </c>
      <c r="W12" s="40" t="s">
        <v>62</v>
      </c>
      <c r="X12" s="41" t="s">
        <v>63</v>
      </c>
      <c r="Y12" s="38" t="s">
        <v>58</v>
      </c>
      <c r="Z12" s="40" t="s">
        <v>59</v>
      </c>
      <c r="AA12" s="40" t="s">
        <v>60</v>
      </c>
      <c r="AB12" s="40" t="s">
        <v>61</v>
      </c>
      <c r="AC12" s="40" t="s">
        <v>62</v>
      </c>
      <c r="AD12" s="41" t="s">
        <v>63</v>
      </c>
      <c r="AE12" s="38" t="s">
        <v>58</v>
      </c>
      <c r="AF12" s="40" t="s">
        <v>59</v>
      </c>
      <c r="AG12" s="40" t="s">
        <v>60</v>
      </c>
      <c r="AH12" s="40" t="s">
        <v>61</v>
      </c>
      <c r="AI12" s="40" t="s">
        <v>62</v>
      </c>
      <c r="AJ12" s="41" t="s">
        <v>63</v>
      </c>
      <c r="AK12" s="38" t="s">
        <v>58</v>
      </c>
      <c r="AL12" s="40" t="s">
        <v>59</v>
      </c>
      <c r="AM12" s="40" t="s">
        <v>60</v>
      </c>
      <c r="AN12" s="40" t="s">
        <v>61</v>
      </c>
      <c r="AO12" s="40" t="s">
        <v>62</v>
      </c>
      <c r="AP12" s="41" t="s">
        <v>63</v>
      </c>
      <c r="AQ12" s="38" t="s">
        <v>58</v>
      </c>
      <c r="AR12" s="40" t="s">
        <v>59</v>
      </c>
      <c r="AS12" s="40" t="s">
        <v>60</v>
      </c>
      <c r="AT12" s="40" t="s">
        <v>61</v>
      </c>
      <c r="AU12" s="40" t="s">
        <v>62</v>
      </c>
      <c r="AV12" s="41" t="s">
        <v>63</v>
      </c>
      <c r="AW12" s="38" t="s">
        <v>64</v>
      </c>
      <c r="AX12" s="40" t="s">
        <v>59</v>
      </c>
      <c r="AY12" s="40" t="s">
        <v>60</v>
      </c>
      <c r="AZ12" s="40" t="s">
        <v>61</v>
      </c>
      <c r="BA12" s="40" t="s">
        <v>62</v>
      </c>
      <c r="BB12" s="41" t="s">
        <v>63</v>
      </c>
      <c r="BC12" s="38" t="s">
        <v>58</v>
      </c>
      <c r="BD12" s="40" t="s">
        <v>59</v>
      </c>
      <c r="BE12" s="40" t="s">
        <v>60</v>
      </c>
      <c r="BF12" s="40" t="s">
        <v>61</v>
      </c>
      <c r="BG12" s="40" t="s">
        <v>62</v>
      </c>
      <c r="BH12" s="41" t="s">
        <v>63</v>
      </c>
      <c r="BI12" s="38" t="s">
        <v>58</v>
      </c>
      <c r="BJ12" s="40" t="s">
        <v>59</v>
      </c>
      <c r="BK12" s="40" t="s">
        <v>60</v>
      </c>
      <c r="BL12" s="40" t="s">
        <v>61</v>
      </c>
      <c r="BM12" s="40" t="s">
        <v>62</v>
      </c>
      <c r="BN12" s="41" t="s">
        <v>63</v>
      </c>
      <c r="BO12" s="38" t="s">
        <v>58</v>
      </c>
      <c r="BP12" s="40" t="s">
        <v>59</v>
      </c>
      <c r="BQ12" s="40" t="s">
        <v>60</v>
      </c>
      <c r="BR12" s="40" t="s">
        <v>61</v>
      </c>
      <c r="BS12" s="40" t="s">
        <v>62</v>
      </c>
      <c r="BT12" s="41" t="s">
        <v>63</v>
      </c>
      <c r="BU12" s="38" t="s">
        <v>58</v>
      </c>
      <c r="BV12" s="40" t="s">
        <v>59</v>
      </c>
      <c r="BW12" s="40" t="s">
        <v>60</v>
      </c>
      <c r="BX12" s="40" t="s">
        <v>61</v>
      </c>
      <c r="BY12" s="40" t="s">
        <v>62</v>
      </c>
      <c r="BZ12" s="41" t="s">
        <v>63</v>
      </c>
      <c r="CA12" s="38" t="s">
        <v>64</v>
      </c>
      <c r="CB12" s="40" t="s">
        <v>59</v>
      </c>
      <c r="CC12" s="40" t="s">
        <v>60</v>
      </c>
      <c r="CD12" s="40" t="s">
        <v>61</v>
      </c>
      <c r="CE12" s="40" t="s">
        <v>62</v>
      </c>
      <c r="CF12" s="41" t="s">
        <v>63</v>
      </c>
    </row>
    <row r="13" spans="1:84" ht="12" customHeight="1">
      <c r="A13" s="2"/>
      <c r="B13" s="44">
        <v>1</v>
      </c>
      <c r="C13" s="46">
        <v>10</v>
      </c>
      <c r="D13" s="48" t="s">
        <v>2</v>
      </c>
      <c r="E13" s="49" t="s">
        <v>67</v>
      </c>
      <c r="F13" s="51"/>
      <c r="G13" s="52">
        <v>609.14146341463413</v>
      </c>
      <c r="H13" s="53">
        <v>609.14146341463413</v>
      </c>
      <c r="I13" s="53"/>
      <c r="J13" s="53"/>
      <c r="K13" s="53"/>
      <c r="L13" s="55"/>
      <c r="M13" s="52">
        <v>1218.2829268292683</v>
      </c>
      <c r="N13" s="53">
        <v>1218.2829268292683</v>
      </c>
      <c r="O13" s="53"/>
      <c r="P13" s="53"/>
      <c r="Q13" s="53"/>
      <c r="R13" s="55"/>
      <c r="S13" s="52">
        <v>615.6</v>
      </c>
      <c r="T13" s="53">
        <v>603</v>
      </c>
      <c r="U13" s="53">
        <v>622</v>
      </c>
      <c r="V13" s="53">
        <v>607</v>
      </c>
      <c r="W13" s="53">
        <v>623</v>
      </c>
      <c r="X13" s="55">
        <v>623</v>
      </c>
      <c r="Y13" s="52"/>
      <c r="Z13" s="53"/>
      <c r="AA13" s="53"/>
      <c r="AB13" s="53"/>
      <c r="AC13" s="53"/>
      <c r="AD13" s="55"/>
      <c r="AE13" s="52"/>
      <c r="AF13" s="53"/>
      <c r="AG13" s="53"/>
      <c r="AH13" s="53"/>
      <c r="AI13" s="53"/>
      <c r="AJ13" s="55"/>
      <c r="AK13" s="52"/>
      <c r="AL13" s="53"/>
      <c r="AM13" s="53"/>
      <c r="AN13" s="53"/>
      <c r="AO13" s="53"/>
      <c r="AP13" s="55"/>
      <c r="AQ13" s="52"/>
      <c r="AR13" s="53"/>
      <c r="AS13" s="53"/>
      <c r="AT13" s="53"/>
      <c r="AU13" s="53"/>
      <c r="AV13" s="55"/>
      <c r="AW13" s="57">
        <v>-7.8889417668093209E-2</v>
      </c>
      <c r="AX13" s="58">
        <v>1.9567560249289073</v>
      </c>
      <c r="AY13" s="58">
        <v>-1.7655670701055892</v>
      </c>
      <c r="AZ13" s="58">
        <v>-2.0728119308166537E-2</v>
      </c>
      <c r="BA13" s="58">
        <v>-1.2421153848663713</v>
      </c>
      <c r="BB13" s="59">
        <v>0.67720746101078699</v>
      </c>
      <c r="BC13" s="46"/>
      <c r="BD13" s="61"/>
      <c r="BE13" s="61"/>
      <c r="BF13" s="61"/>
      <c r="BG13" s="61"/>
      <c r="BH13" s="51"/>
      <c r="BI13" s="46"/>
      <c r="BJ13" s="61"/>
      <c r="BK13" s="61"/>
      <c r="BL13" s="61"/>
      <c r="BM13" s="61"/>
      <c r="BN13" s="51"/>
      <c r="BO13" s="46"/>
      <c r="BP13" s="61"/>
      <c r="BQ13" s="61"/>
      <c r="BR13" s="61"/>
      <c r="BS13" s="61"/>
      <c r="BT13" s="51"/>
      <c r="BU13" s="46"/>
      <c r="BV13" s="61"/>
      <c r="BW13" s="61"/>
      <c r="BX13" s="61"/>
      <c r="BY13" s="61"/>
      <c r="BZ13" s="51"/>
      <c r="CA13" s="62"/>
      <c r="CB13" s="61"/>
      <c r="CC13" s="61"/>
      <c r="CD13" s="61"/>
      <c r="CE13" s="61"/>
      <c r="CF13" s="51"/>
    </row>
    <row r="14" spans="1:84" ht="12" customHeight="1">
      <c r="A14" s="2"/>
      <c r="B14" s="64">
        <v>2</v>
      </c>
      <c r="C14" s="65">
        <v>10</v>
      </c>
      <c r="D14" s="66" t="s">
        <v>2</v>
      </c>
      <c r="E14" s="69" t="s">
        <v>79</v>
      </c>
      <c r="F14" s="70"/>
      <c r="G14" s="71">
        <v>609.14146341463413</v>
      </c>
      <c r="H14" s="72">
        <v>609.14146341463413</v>
      </c>
      <c r="I14" s="72"/>
      <c r="J14" s="72"/>
      <c r="K14" s="72"/>
      <c r="L14" s="73"/>
      <c r="M14" s="71">
        <v>1218.2829268292683</v>
      </c>
      <c r="N14" s="72">
        <v>1218.2829268292683</v>
      </c>
      <c r="O14" s="72"/>
      <c r="P14" s="72"/>
      <c r="Q14" s="72"/>
      <c r="R14" s="73"/>
      <c r="S14" s="71">
        <v>615.6</v>
      </c>
      <c r="T14" s="72">
        <v>603</v>
      </c>
      <c r="U14" s="72">
        <v>622</v>
      </c>
      <c r="V14" s="72">
        <v>607</v>
      </c>
      <c r="W14" s="72">
        <v>623</v>
      </c>
      <c r="X14" s="73">
        <v>623</v>
      </c>
      <c r="Y14" s="71"/>
      <c r="Z14" s="72"/>
      <c r="AA14" s="72"/>
      <c r="AB14" s="72"/>
      <c r="AC14" s="72"/>
      <c r="AD14" s="73"/>
      <c r="AE14" s="71"/>
      <c r="AF14" s="72"/>
      <c r="AG14" s="72"/>
      <c r="AH14" s="72"/>
      <c r="AI14" s="72"/>
      <c r="AJ14" s="73"/>
      <c r="AK14" s="71"/>
      <c r="AL14" s="72"/>
      <c r="AM14" s="72"/>
      <c r="AN14" s="72"/>
      <c r="AO14" s="72"/>
      <c r="AP14" s="73"/>
      <c r="AQ14" s="71"/>
      <c r="AR14" s="72"/>
      <c r="AS14" s="72"/>
      <c r="AT14" s="72"/>
      <c r="AU14" s="72"/>
      <c r="AV14" s="73"/>
      <c r="AW14" s="75">
        <v>-2.604469865093495</v>
      </c>
      <c r="AX14" s="76">
        <v>-4.0831469420404503</v>
      </c>
      <c r="AY14" s="76">
        <v>-0.73147890096066925</v>
      </c>
      <c r="AZ14" s="76">
        <v>-0.83005737275713143</v>
      </c>
      <c r="BA14" s="76">
        <v>-4.4774608292263096</v>
      </c>
      <c r="BB14" s="77">
        <v>-2.9002052804828926</v>
      </c>
      <c r="BC14" s="65"/>
      <c r="BD14" s="78"/>
      <c r="BE14" s="78"/>
      <c r="BF14" s="78"/>
      <c r="BG14" s="78"/>
      <c r="BH14" s="70"/>
      <c r="BI14" s="65"/>
      <c r="BJ14" s="78"/>
      <c r="BK14" s="78"/>
      <c r="BL14" s="78"/>
      <c r="BM14" s="78"/>
      <c r="BN14" s="70"/>
      <c r="BO14" s="65"/>
      <c r="BP14" s="78"/>
      <c r="BQ14" s="78"/>
      <c r="BR14" s="78"/>
      <c r="BS14" s="78"/>
      <c r="BT14" s="70"/>
      <c r="BU14" s="65"/>
      <c r="BV14" s="78"/>
      <c r="BW14" s="78"/>
      <c r="BX14" s="78"/>
      <c r="BY14" s="78"/>
      <c r="BZ14" s="70"/>
      <c r="CA14" s="80"/>
      <c r="CB14" s="78"/>
      <c r="CC14" s="78"/>
      <c r="CD14" s="78"/>
      <c r="CE14" s="78"/>
      <c r="CF14" s="70"/>
    </row>
    <row r="15" spans="1:84" ht="12" customHeight="1">
      <c r="A15" s="2"/>
      <c r="B15" s="64">
        <v>3</v>
      </c>
      <c r="C15" s="65">
        <v>10</v>
      </c>
      <c r="D15" s="66" t="s">
        <v>2</v>
      </c>
      <c r="E15" s="69" t="s">
        <v>87</v>
      </c>
      <c r="F15" s="70"/>
      <c r="G15" s="71">
        <v>609.14146341463413</v>
      </c>
      <c r="H15" s="72">
        <v>609.14146341463413</v>
      </c>
      <c r="I15" s="72"/>
      <c r="J15" s="72"/>
      <c r="K15" s="72"/>
      <c r="L15" s="73"/>
      <c r="M15" s="71">
        <v>1218.2829268292683</v>
      </c>
      <c r="N15" s="72">
        <v>1218.2829268292683</v>
      </c>
      <c r="O15" s="72"/>
      <c r="P15" s="72"/>
      <c r="Q15" s="72"/>
      <c r="R15" s="73"/>
      <c r="S15" s="71">
        <v>615.6</v>
      </c>
      <c r="T15" s="72">
        <v>603</v>
      </c>
      <c r="U15" s="72">
        <v>622</v>
      </c>
      <c r="V15" s="72">
        <v>607</v>
      </c>
      <c r="W15" s="72">
        <v>623</v>
      </c>
      <c r="X15" s="73">
        <v>623</v>
      </c>
      <c r="Y15" s="71"/>
      <c r="Z15" s="72"/>
      <c r="AA15" s="72"/>
      <c r="AB15" s="72"/>
      <c r="AC15" s="72"/>
      <c r="AD15" s="73"/>
      <c r="AE15" s="71"/>
      <c r="AF15" s="72"/>
      <c r="AG15" s="72"/>
      <c r="AH15" s="72"/>
      <c r="AI15" s="72"/>
      <c r="AJ15" s="73"/>
      <c r="AK15" s="71"/>
      <c r="AL15" s="72"/>
      <c r="AM15" s="72"/>
      <c r="AN15" s="72"/>
      <c r="AO15" s="72"/>
      <c r="AP15" s="73"/>
      <c r="AQ15" s="71"/>
      <c r="AR15" s="72"/>
      <c r="AS15" s="72"/>
      <c r="AT15" s="72"/>
      <c r="AU15" s="72"/>
      <c r="AV15" s="73"/>
      <c r="AW15" s="75">
        <v>-0.60466755484169799</v>
      </c>
      <c r="AX15" s="76">
        <v>-0.19521201438790214</v>
      </c>
      <c r="AY15" s="76">
        <v>-0.52091528520343822</v>
      </c>
      <c r="AZ15" s="76">
        <v>-0.47438624651549022</v>
      </c>
      <c r="BA15" s="76">
        <v>-1.8702574071534306</v>
      </c>
      <c r="BB15" s="77">
        <v>3.743317905173793E-2</v>
      </c>
      <c r="BC15" s="65"/>
      <c r="BD15" s="78"/>
      <c r="BE15" s="78"/>
      <c r="BF15" s="78"/>
      <c r="BG15" s="78"/>
      <c r="BH15" s="70"/>
      <c r="BI15" s="65"/>
      <c r="BJ15" s="78"/>
      <c r="BK15" s="78"/>
      <c r="BL15" s="78"/>
      <c r="BM15" s="78"/>
      <c r="BN15" s="70"/>
      <c r="BO15" s="65"/>
      <c r="BP15" s="78"/>
      <c r="BQ15" s="78"/>
      <c r="BR15" s="78"/>
      <c r="BS15" s="78"/>
      <c r="BT15" s="70"/>
      <c r="BU15" s="65"/>
      <c r="BV15" s="78"/>
      <c r="BW15" s="78"/>
      <c r="BX15" s="78"/>
      <c r="BY15" s="78"/>
      <c r="BZ15" s="70"/>
      <c r="CA15" s="80"/>
      <c r="CB15" s="78"/>
      <c r="CC15" s="78"/>
      <c r="CD15" s="78"/>
      <c r="CE15" s="78"/>
      <c r="CF15" s="70"/>
    </row>
    <row r="16" spans="1:84" ht="12" customHeight="1">
      <c r="A16" s="2"/>
      <c r="B16" s="64">
        <v>4</v>
      </c>
      <c r="C16" s="65">
        <v>10</v>
      </c>
      <c r="D16" s="66" t="s">
        <v>2</v>
      </c>
      <c r="E16" s="69" t="s">
        <v>89</v>
      </c>
      <c r="F16" s="70"/>
      <c r="G16" s="71">
        <v>718.78692682926828</v>
      </c>
      <c r="H16" s="72">
        <v>718.78692682926828</v>
      </c>
      <c r="I16" s="72"/>
      <c r="J16" s="72"/>
      <c r="K16" s="72"/>
      <c r="L16" s="73"/>
      <c r="M16" s="71">
        <v>1437.5738536585368</v>
      </c>
      <c r="N16" s="72">
        <v>1437.5738536585368</v>
      </c>
      <c r="O16" s="72"/>
      <c r="P16" s="72"/>
      <c r="Q16" s="72"/>
      <c r="R16" s="73"/>
      <c r="S16" s="71">
        <v>720.6</v>
      </c>
      <c r="T16" s="72">
        <v>707</v>
      </c>
      <c r="U16" s="72">
        <v>715</v>
      </c>
      <c r="V16" s="72">
        <v>750</v>
      </c>
      <c r="W16" s="72">
        <v>710</v>
      </c>
      <c r="X16" s="73">
        <v>721</v>
      </c>
      <c r="Y16" s="71"/>
      <c r="Z16" s="72"/>
      <c r="AA16" s="72"/>
      <c r="AB16" s="72"/>
      <c r="AC16" s="72"/>
      <c r="AD16" s="73"/>
      <c r="AE16" s="71"/>
      <c r="AF16" s="72"/>
      <c r="AG16" s="72"/>
      <c r="AH16" s="72"/>
      <c r="AI16" s="72"/>
      <c r="AJ16" s="73"/>
      <c r="AK16" s="71"/>
      <c r="AL16" s="72"/>
      <c r="AM16" s="72"/>
      <c r="AN16" s="72"/>
      <c r="AO16" s="72"/>
      <c r="AP16" s="73"/>
      <c r="AQ16" s="71"/>
      <c r="AR16" s="72"/>
      <c r="AS16" s="72"/>
      <c r="AT16" s="72"/>
      <c r="AU16" s="72"/>
      <c r="AV16" s="73"/>
      <c r="AW16" s="75">
        <v>-7.8889417668093209E-2</v>
      </c>
      <c r="AX16" s="76">
        <v>1.9567560249289073</v>
      </c>
      <c r="AY16" s="76">
        <v>-1.7655670701055892</v>
      </c>
      <c r="AZ16" s="76">
        <v>-2.0728119308166537E-2</v>
      </c>
      <c r="BA16" s="76">
        <v>-1.2421153848663713</v>
      </c>
      <c r="BB16" s="77">
        <v>0.67720746101078699</v>
      </c>
      <c r="BC16" s="65"/>
      <c r="BD16" s="78"/>
      <c r="BE16" s="78"/>
      <c r="BF16" s="78"/>
      <c r="BG16" s="78"/>
      <c r="BH16" s="70"/>
      <c r="BI16" s="65"/>
      <c r="BJ16" s="78"/>
      <c r="BK16" s="78"/>
      <c r="BL16" s="78"/>
      <c r="BM16" s="78"/>
      <c r="BN16" s="70"/>
      <c r="BO16" s="65"/>
      <c r="BP16" s="78"/>
      <c r="BQ16" s="78"/>
      <c r="BR16" s="78"/>
      <c r="BS16" s="78"/>
      <c r="BT16" s="70"/>
      <c r="BU16" s="65"/>
      <c r="BV16" s="78"/>
      <c r="BW16" s="78"/>
      <c r="BX16" s="78"/>
      <c r="BY16" s="78"/>
      <c r="BZ16" s="70"/>
      <c r="CA16" s="80"/>
      <c r="CB16" s="78"/>
      <c r="CC16" s="78"/>
      <c r="CD16" s="78"/>
      <c r="CE16" s="78"/>
      <c r="CF16" s="70"/>
    </row>
    <row r="17" spans="1:84" ht="12" customHeight="1">
      <c r="A17" s="2"/>
      <c r="B17" s="64">
        <v>5</v>
      </c>
      <c r="C17" s="65">
        <v>10</v>
      </c>
      <c r="D17" s="66" t="s">
        <v>2</v>
      </c>
      <c r="E17" s="69" t="s">
        <v>91</v>
      </c>
      <c r="F17" s="70"/>
      <c r="G17" s="71">
        <v>791.88390243902438</v>
      </c>
      <c r="H17" s="72">
        <v>791.88390243902438</v>
      </c>
      <c r="I17" s="72"/>
      <c r="J17" s="72"/>
      <c r="K17" s="72"/>
      <c r="L17" s="73"/>
      <c r="M17" s="71">
        <v>1583.7678048780488</v>
      </c>
      <c r="N17" s="72">
        <v>1583.7678048780488</v>
      </c>
      <c r="O17" s="72"/>
      <c r="P17" s="72"/>
      <c r="Q17" s="72"/>
      <c r="R17" s="73"/>
      <c r="S17" s="71">
        <v>798.2</v>
      </c>
      <c r="T17" s="72">
        <v>792</v>
      </c>
      <c r="U17" s="72">
        <v>808</v>
      </c>
      <c r="V17" s="72">
        <v>786</v>
      </c>
      <c r="W17" s="72">
        <v>786</v>
      </c>
      <c r="X17" s="73">
        <v>819</v>
      </c>
      <c r="Y17" s="71"/>
      <c r="Z17" s="72"/>
      <c r="AA17" s="72"/>
      <c r="AB17" s="72"/>
      <c r="AC17" s="72"/>
      <c r="AD17" s="73"/>
      <c r="AE17" s="71"/>
      <c r="AF17" s="72"/>
      <c r="AG17" s="72"/>
      <c r="AH17" s="72"/>
      <c r="AI17" s="72"/>
      <c r="AJ17" s="73"/>
      <c r="AK17" s="71"/>
      <c r="AL17" s="72"/>
      <c r="AM17" s="72"/>
      <c r="AN17" s="72"/>
      <c r="AO17" s="72"/>
      <c r="AP17" s="73"/>
      <c r="AQ17" s="71"/>
      <c r="AR17" s="72"/>
      <c r="AS17" s="72"/>
      <c r="AT17" s="72"/>
      <c r="AU17" s="72"/>
      <c r="AV17" s="73"/>
      <c r="AW17" s="75">
        <v>-0.76519273831505696</v>
      </c>
      <c r="AX17" s="76">
        <v>-1.9400509651853359</v>
      </c>
      <c r="AY17" s="76">
        <v>-0.13705071602799768</v>
      </c>
      <c r="AZ17" s="76">
        <v>3.743317905173793E-2</v>
      </c>
      <c r="BA17" s="76">
        <v>-2.9287930373038673</v>
      </c>
      <c r="BB17" s="77">
        <v>1.1424978478901116</v>
      </c>
      <c r="BC17" s="65"/>
      <c r="BD17" s="78"/>
      <c r="BE17" s="78"/>
      <c r="BF17" s="78"/>
      <c r="BG17" s="78"/>
      <c r="BH17" s="70"/>
      <c r="BI17" s="65"/>
      <c r="BJ17" s="78"/>
      <c r="BK17" s="78"/>
      <c r="BL17" s="78"/>
      <c r="BM17" s="78"/>
      <c r="BN17" s="70"/>
      <c r="BO17" s="65"/>
      <c r="BP17" s="78"/>
      <c r="BQ17" s="78"/>
      <c r="BR17" s="78"/>
      <c r="BS17" s="78"/>
      <c r="BT17" s="70"/>
      <c r="BU17" s="65"/>
      <c r="BV17" s="78"/>
      <c r="BW17" s="78"/>
      <c r="BX17" s="78"/>
      <c r="BY17" s="78"/>
      <c r="BZ17" s="70"/>
      <c r="CA17" s="80"/>
      <c r="CB17" s="78"/>
      <c r="CC17" s="78"/>
      <c r="CD17" s="78"/>
      <c r="CE17" s="78"/>
      <c r="CF17" s="70"/>
    </row>
    <row r="18" spans="1:84" ht="12" customHeight="1">
      <c r="A18" s="2"/>
      <c r="B18" s="64">
        <v>6</v>
      </c>
      <c r="C18" s="65">
        <v>10</v>
      </c>
      <c r="D18" s="66" t="s">
        <v>2</v>
      </c>
      <c r="E18" s="69" t="s">
        <v>92</v>
      </c>
      <c r="F18" s="70"/>
      <c r="G18" s="71">
        <v>1218.2829268292683</v>
      </c>
      <c r="H18" s="72">
        <v>1218.2829268292683</v>
      </c>
      <c r="I18" s="72"/>
      <c r="J18" s="72"/>
      <c r="K18" s="72"/>
      <c r="L18" s="73"/>
      <c r="M18" s="71">
        <v>2436.5658536585365</v>
      </c>
      <c r="N18" s="72">
        <v>2436.5658536585365</v>
      </c>
      <c r="O18" s="72"/>
      <c r="P18" s="72"/>
      <c r="Q18" s="72"/>
      <c r="R18" s="73"/>
      <c r="S18" s="71">
        <v>1231.5999999999999</v>
      </c>
      <c r="T18" s="72">
        <v>1232</v>
      </c>
      <c r="U18" s="72">
        <v>1247</v>
      </c>
      <c r="V18" s="72">
        <v>1230</v>
      </c>
      <c r="W18" s="72">
        <v>1225</v>
      </c>
      <c r="X18" s="73">
        <v>1224</v>
      </c>
      <c r="Y18" s="71"/>
      <c r="Z18" s="72"/>
      <c r="AA18" s="72"/>
      <c r="AB18" s="72"/>
      <c r="AC18" s="72"/>
      <c r="AD18" s="73"/>
      <c r="AE18" s="71"/>
      <c r="AF18" s="72"/>
      <c r="AG18" s="72"/>
      <c r="AH18" s="72"/>
      <c r="AI18" s="72"/>
      <c r="AJ18" s="73"/>
      <c r="AK18" s="71"/>
      <c r="AL18" s="72"/>
      <c r="AM18" s="72"/>
      <c r="AN18" s="72"/>
      <c r="AO18" s="72"/>
      <c r="AP18" s="73"/>
      <c r="AQ18" s="71"/>
      <c r="AR18" s="72"/>
      <c r="AS18" s="72"/>
      <c r="AT18" s="72"/>
      <c r="AU18" s="72"/>
      <c r="AV18" s="73"/>
      <c r="AW18" s="75">
        <v>0.73536875937070256</v>
      </c>
      <c r="AX18" s="76">
        <v>3.8760788708060545</v>
      </c>
      <c r="AY18" s="76">
        <v>-2.056373561905156</v>
      </c>
      <c r="AZ18" s="76">
        <v>-0.89314759470686678</v>
      </c>
      <c r="BA18" s="76">
        <v>2.247562516728463</v>
      </c>
      <c r="BB18" s="77">
        <v>0.50272356593106249</v>
      </c>
      <c r="BC18" s="65"/>
      <c r="BD18" s="78"/>
      <c r="BE18" s="78"/>
      <c r="BF18" s="78"/>
      <c r="BG18" s="78"/>
      <c r="BH18" s="70"/>
      <c r="BI18" s="65"/>
      <c r="BJ18" s="78"/>
      <c r="BK18" s="78"/>
      <c r="BL18" s="78"/>
      <c r="BM18" s="78"/>
      <c r="BN18" s="70"/>
      <c r="BO18" s="65"/>
      <c r="BP18" s="78"/>
      <c r="BQ18" s="78"/>
      <c r="BR18" s="78"/>
      <c r="BS18" s="78"/>
      <c r="BT18" s="70"/>
      <c r="BU18" s="65"/>
      <c r="BV18" s="78"/>
      <c r="BW18" s="78"/>
      <c r="BX18" s="78"/>
      <c r="BY18" s="78"/>
      <c r="BZ18" s="70"/>
      <c r="CA18" s="80"/>
      <c r="CB18" s="78"/>
      <c r="CC18" s="78"/>
      <c r="CD18" s="78"/>
      <c r="CE18" s="78"/>
      <c r="CF18" s="70"/>
    </row>
    <row r="19" spans="1:84" ht="12" customHeight="1">
      <c r="A19" s="2"/>
      <c r="B19" s="64">
        <v>7</v>
      </c>
      <c r="C19" s="65">
        <v>10</v>
      </c>
      <c r="D19" s="66" t="s">
        <v>2</v>
      </c>
      <c r="E19" s="69" t="s">
        <v>95</v>
      </c>
      <c r="F19" s="70"/>
      <c r="G19" s="71">
        <v>1437.5738536585366</v>
      </c>
      <c r="H19" s="72">
        <v>1437.5738536585366</v>
      </c>
      <c r="I19" s="72"/>
      <c r="J19" s="72"/>
      <c r="K19" s="72"/>
      <c r="L19" s="73"/>
      <c r="M19" s="71">
        <v>2875.1477073170736</v>
      </c>
      <c r="N19" s="72">
        <v>2875.1477073170736</v>
      </c>
      <c r="O19" s="72"/>
      <c r="P19" s="72"/>
      <c r="Q19" s="72"/>
      <c r="R19" s="73"/>
      <c r="S19" s="71">
        <v>1464</v>
      </c>
      <c r="T19" s="72">
        <v>1472</v>
      </c>
      <c r="U19" s="72">
        <v>1456</v>
      </c>
      <c r="V19" s="72">
        <v>1456</v>
      </c>
      <c r="W19" s="72">
        <v>1473</v>
      </c>
      <c r="X19" s="73">
        <v>1463</v>
      </c>
      <c r="Y19" s="71"/>
      <c r="Z19" s="72"/>
      <c r="AA19" s="72"/>
      <c r="AB19" s="72"/>
      <c r="AC19" s="72"/>
      <c r="AD19" s="73"/>
      <c r="AE19" s="71"/>
      <c r="AF19" s="72"/>
      <c r="AG19" s="72"/>
      <c r="AH19" s="72"/>
      <c r="AI19" s="72"/>
      <c r="AJ19" s="73"/>
      <c r="AK19" s="71"/>
      <c r="AL19" s="72"/>
      <c r="AM19" s="72"/>
      <c r="AN19" s="72"/>
      <c r="AO19" s="72"/>
      <c r="AP19" s="73"/>
      <c r="AQ19" s="71"/>
      <c r="AR19" s="72"/>
      <c r="AS19" s="72"/>
      <c r="AT19" s="72"/>
      <c r="AU19" s="72"/>
      <c r="AV19" s="73"/>
      <c r="AW19" s="75">
        <v>-0.50230366972825458</v>
      </c>
      <c r="AX19" s="76">
        <v>-1.9633154845292933</v>
      </c>
      <c r="AY19" s="76">
        <v>-0.93967663339480367</v>
      </c>
      <c r="AZ19" s="76">
        <v>0.13049125642758952</v>
      </c>
      <c r="BA19" s="76">
        <v>1.2006591462500271</v>
      </c>
      <c r="BB19" s="77">
        <v>-0.93967663339480367</v>
      </c>
      <c r="BC19" s="65"/>
      <c r="BD19" s="78"/>
      <c r="BE19" s="78"/>
      <c r="BF19" s="78"/>
      <c r="BG19" s="78"/>
      <c r="BH19" s="70"/>
      <c r="BI19" s="65"/>
      <c r="BJ19" s="78"/>
      <c r="BK19" s="78"/>
      <c r="BL19" s="78"/>
      <c r="BM19" s="78"/>
      <c r="BN19" s="70"/>
      <c r="BO19" s="65"/>
      <c r="BP19" s="78"/>
      <c r="BQ19" s="78"/>
      <c r="BR19" s="78"/>
      <c r="BS19" s="78"/>
      <c r="BT19" s="70"/>
      <c r="BU19" s="65"/>
      <c r="BV19" s="78"/>
      <c r="BW19" s="78"/>
      <c r="BX19" s="78"/>
      <c r="BY19" s="78"/>
      <c r="BZ19" s="70"/>
      <c r="CA19" s="80"/>
      <c r="CB19" s="78"/>
      <c r="CC19" s="78"/>
      <c r="CD19" s="78"/>
      <c r="CE19" s="78"/>
      <c r="CF19" s="70"/>
    </row>
    <row r="20" spans="1:84" ht="12" customHeight="1">
      <c r="A20" s="2"/>
      <c r="B20" s="64">
        <v>8</v>
      </c>
      <c r="C20" s="65">
        <v>10</v>
      </c>
      <c r="D20" s="66" t="s">
        <v>2</v>
      </c>
      <c r="E20" s="69" t="s">
        <v>98</v>
      </c>
      <c r="F20" s="70"/>
      <c r="G20" s="71">
        <v>1583.7678048780488</v>
      </c>
      <c r="H20" s="72">
        <v>1583.7678048780488</v>
      </c>
      <c r="I20" s="72"/>
      <c r="J20" s="72"/>
      <c r="K20" s="72"/>
      <c r="L20" s="73"/>
      <c r="M20" s="71">
        <v>3167.5356097560975</v>
      </c>
      <c r="N20" s="72">
        <v>3167.5356097560975</v>
      </c>
      <c r="O20" s="72"/>
      <c r="P20" s="72"/>
      <c r="Q20" s="72"/>
      <c r="R20" s="73"/>
      <c r="S20" s="71">
        <v>1584.4</v>
      </c>
      <c r="T20" s="72">
        <v>1611</v>
      </c>
      <c r="U20" s="72">
        <v>1576</v>
      </c>
      <c r="V20" s="72">
        <v>1578</v>
      </c>
      <c r="W20" s="72">
        <v>1575</v>
      </c>
      <c r="X20" s="73">
        <v>1582</v>
      </c>
      <c r="Y20" s="71"/>
      <c r="Z20" s="72"/>
      <c r="AA20" s="72"/>
      <c r="AB20" s="72"/>
      <c r="AC20" s="72"/>
      <c r="AD20" s="73"/>
      <c r="AE20" s="71"/>
      <c r="AF20" s="72"/>
      <c r="AG20" s="72"/>
      <c r="AH20" s="72"/>
      <c r="AI20" s="72"/>
      <c r="AJ20" s="73"/>
      <c r="AK20" s="71"/>
      <c r="AL20" s="72"/>
      <c r="AM20" s="72"/>
      <c r="AN20" s="72"/>
      <c r="AO20" s="72"/>
      <c r="AP20" s="73"/>
      <c r="AQ20" s="71"/>
      <c r="AR20" s="72"/>
      <c r="AS20" s="72"/>
      <c r="AT20" s="72"/>
      <c r="AU20" s="72"/>
      <c r="AV20" s="73"/>
      <c r="AW20" s="75">
        <v>1.8821563576576494E-2</v>
      </c>
      <c r="AX20" s="76">
        <v>-0.14868297569998745</v>
      </c>
      <c r="AY20" s="76">
        <v>-1.9167864458413675</v>
      </c>
      <c r="AZ20" s="76">
        <v>-0.42785720782757553</v>
      </c>
      <c r="BA20" s="76">
        <v>1.247188184937964</v>
      </c>
      <c r="BB20" s="77">
        <v>1.3402462623138156</v>
      </c>
      <c r="BC20" s="65"/>
      <c r="BD20" s="78"/>
      <c r="BE20" s="78"/>
      <c r="BF20" s="78"/>
      <c r="BG20" s="78"/>
      <c r="BH20" s="70"/>
      <c r="BI20" s="65"/>
      <c r="BJ20" s="78"/>
      <c r="BK20" s="78"/>
      <c r="BL20" s="78"/>
      <c r="BM20" s="78"/>
      <c r="BN20" s="70"/>
      <c r="BO20" s="65"/>
      <c r="BP20" s="78"/>
      <c r="BQ20" s="78"/>
      <c r="BR20" s="78"/>
      <c r="BS20" s="78"/>
      <c r="BT20" s="70"/>
      <c r="BU20" s="65"/>
      <c r="BV20" s="78"/>
      <c r="BW20" s="78"/>
      <c r="BX20" s="78"/>
      <c r="BY20" s="78"/>
      <c r="BZ20" s="70"/>
      <c r="CA20" s="80"/>
      <c r="CB20" s="78"/>
      <c r="CC20" s="78"/>
      <c r="CD20" s="78"/>
      <c r="CE20" s="78"/>
      <c r="CF20" s="70"/>
    </row>
    <row r="21" spans="1:84" ht="12" customHeight="1">
      <c r="A21" s="2"/>
      <c r="B21" s="64">
        <v>9</v>
      </c>
      <c r="C21" s="65">
        <v>10</v>
      </c>
      <c r="D21" s="66" t="s">
        <v>2</v>
      </c>
      <c r="E21" s="69" t="s">
        <v>99</v>
      </c>
      <c r="F21" s="70"/>
      <c r="G21" s="71">
        <v>1218.2829268292683</v>
      </c>
      <c r="H21" s="72">
        <v>1218.2829268292683</v>
      </c>
      <c r="I21" s="72"/>
      <c r="J21" s="72"/>
      <c r="K21" s="72"/>
      <c r="L21" s="73"/>
      <c r="M21" s="71">
        <v>2436.5658536585365</v>
      </c>
      <c r="N21" s="72">
        <v>2436.5658536585365</v>
      </c>
      <c r="O21" s="72"/>
      <c r="P21" s="72"/>
      <c r="Q21" s="72"/>
      <c r="R21" s="73"/>
      <c r="S21" s="71">
        <v>1231.5999999999999</v>
      </c>
      <c r="T21" s="72">
        <v>1232</v>
      </c>
      <c r="U21" s="72">
        <v>1247</v>
      </c>
      <c r="V21" s="72">
        <v>1230</v>
      </c>
      <c r="W21" s="72">
        <v>1225</v>
      </c>
      <c r="X21" s="73">
        <v>1224</v>
      </c>
      <c r="Y21" s="71"/>
      <c r="Z21" s="72"/>
      <c r="AA21" s="72"/>
      <c r="AB21" s="72"/>
      <c r="AC21" s="72"/>
      <c r="AD21" s="73"/>
      <c r="AE21" s="71"/>
      <c r="AF21" s="72"/>
      <c r="AG21" s="72"/>
      <c r="AH21" s="72"/>
      <c r="AI21" s="72"/>
      <c r="AJ21" s="73"/>
      <c r="AK21" s="71"/>
      <c r="AL21" s="72"/>
      <c r="AM21" s="72"/>
      <c r="AN21" s="72"/>
      <c r="AO21" s="72"/>
      <c r="AP21" s="73"/>
      <c r="AQ21" s="71"/>
      <c r="AR21" s="72"/>
      <c r="AS21" s="72"/>
      <c r="AT21" s="72"/>
      <c r="AU21" s="72"/>
      <c r="AV21" s="73"/>
      <c r="AW21" s="75">
        <v>-0.76519273831505696</v>
      </c>
      <c r="AX21" s="76">
        <v>-1.9400509651853359</v>
      </c>
      <c r="AY21" s="76">
        <v>-0.13705071602799768</v>
      </c>
      <c r="AZ21" s="76">
        <v>3.743317905173793E-2</v>
      </c>
      <c r="BA21" s="76">
        <v>-2.9287930373038673</v>
      </c>
      <c r="BB21" s="77">
        <v>1.1424978478901116</v>
      </c>
      <c r="BC21" s="65"/>
      <c r="BD21" s="78"/>
      <c r="BE21" s="78"/>
      <c r="BF21" s="78"/>
      <c r="BG21" s="78"/>
      <c r="BH21" s="70"/>
      <c r="BI21" s="65"/>
      <c r="BJ21" s="78"/>
      <c r="BK21" s="78"/>
      <c r="BL21" s="78"/>
      <c r="BM21" s="78"/>
      <c r="BN21" s="70"/>
      <c r="BO21" s="65"/>
      <c r="BP21" s="78"/>
      <c r="BQ21" s="78"/>
      <c r="BR21" s="78"/>
      <c r="BS21" s="78"/>
      <c r="BT21" s="70"/>
      <c r="BU21" s="65"/>
      <c r="BV21" s="78"/>
      <c r="BW21" s="78"/>
      <c r="BX21" s="78"/>
      <c r="BY21" s="78"/>
      <c r="BZ21" s="70"/>
      <c r="CA21" s="80"/>
      <c r="CB21" s="78"/>
      <c r="CC21" s="78"/>
      <c r="CD21" s="78"/>
      <c r="CE21" s="78"/>
      <c r="CF21" s="70"/>
    </row>
    <row r="22" spans="1:84" ht="12" customHeight="1">
      <c r="A22" s="2"/>
      <c r="B22" s="64">
        <v>10</v>
      </c>
      <c r="C22" s="65">
        <v>10</v>
      </c>
      <c r="D22" s="66" t="s">
        <v>2</v>
      </c>
      <c r="E22" s="69" t="s">
        <v>101</v>
      </c>
      <c r="F22" s="70"/>
      <c r="G22" s="71">
        <v>718.78692682926828</v>
      </c>
      <c r="H22" s="72">
        <v>718.78692682926828</v>
      </c>
      <c r="I22" s="72"/>
      <c r="J22" s="72"/>
      <c r="K22" s="72"/>
      <c r="L22" s="73"/>
      <c r="M22" s="71">
        <v>1437.5738536585368</v>
      </c>
      <c r="N22" s="72">
        <v>1437.5738536585368</v>
      </c>
      <c r="O22" s="72"/>
      <c r="P22" s="72"/>
      <c r="Q22" s="72"/>
      <c r="R22" s="73"/>
      <c r="S22" s="71">
        <v>720.6</v>
      </c>
      <c r="T22" s="72">
        <v>707</v>
      </c>
      <c r="U22" s="72">
        <v>715</v>
      </c>
      <c r="V22" s="72">
        <v>750</v>
      </c>
      <c r="W22" s="72">
        <v>710</v>
      </c>
      <c r="X22" s="73">
        <v>721</v>
      </c>
      <c r="Y22" s="71"/>
      <c r="Z22" s="72"/>
      <c r="AA22" s="72"/>
      <c r="AB22" s="72"/>
      <c r="AC22" s="72"/>
      <c r="AD22" s="73"/>
      <c r="AE22" s="71"/>
      <c r="AF22" s="72"/>
      <c r="AG22" s="72"/>
      <c r="AH22" s="72"/>
      <c r="AI22" s="72"/>
      <c r="AJ22" s="73"/>
      <c r="AK22" s="71"/>
      <c r="AL22" s="72"/>
      <c r="AM22" s="72"/>
      <c r="AN22" s="72"/>
      <c r="AO22" s="72"/>
      <c r="AP22" s="73"/>
      <c r="AQ22" s="71"/>
      <c r="AR22" s="72"/>
      <c r="AS22" s="72"/>
      <c r="AT22" s="72"/>
      <c r="AU22" s="72"/>
      <c r="AV22" s="73"/>
      <c r="AW22" s="75">
        <v>0.73536875937070256</v>
      </c>
      <c r="AX22" s="76">
        <v>3.8760788708060545</v>
      </c>
      <c r="AY22" s="76">
        <v>-2.056373561905156</v>
      </c>
      <c r="AZ22" s="76">
        <v>-0.89314759470686678</v>
      </c>
      <c r="BA22" s="76">
        <v>2.247562516728463</v>
      </c>
      <c r="BB22" s="77">
        <v>0.50272356593106249</v>
      </c>
      <c r="BC22" s="65"/>
      <c r="BD22" s="78"/>
      <c r="BE22" s="78"/>
      <c r="BF22" s="78"/>
      <c r="BG22" s="78"/>
      <c r="BH22" s="70"/>
      <c r="BI22" s="65"/>
      <c r="BJ22" s="78"/>
      <c r="BK22" s="78"/>
      <c r="BL22" s="78"/>
      <c r="BM22" s="78"/>
      <c r="BN22" s="70"/>
      <c r="BO22" s="65"/>
      <c r="BP22" s="78"/>
      <c r="BQ22" s="78"/>
      <c r="BR22" s="78"/>
      <c r="BS22" s="78"/>
      <c r="BT22" s="70"/>
      <c r="BU22" s="65"/>
      <c r="BV22" s="78"/>
      <c r="BW22" s="78"/>
      <c r="BX22" s="78"/>
      <c r="BY22" s="78"/>
      <c r="BZ22" s="70"/>
      <c r="CA22" s="80"/>
      <c r="CB22" s="78"/>
      <c r="CC22" s="78"/>
      <c r="CD22" s="78"/>
      <c r="CE22" s="78"/>
      <c r="CF22" s="70"/>
    </row>
    <row r="23" spans="1:84" ht="12" customHeight="1">
      <c r="A23" s="2"/>
      <c r="B23" s="64">
        <v>11</v>
      </c>
      <c r="C23" s="65">
        <v>10</v>
      </c>
      <c r="D23" s="66" t="s">
        <v>2</v>
      </c>
      <c r="E23" s="69" t="s">
        <v>102</v>
      </c>
      <c r="F23" s="70"/>
      <c r="G23" s="71">
        <v>1437.5738536585366</v>
      </c>
      <c r="H23" s="72">
        <v>1437.5738536585366</v>
      </c>
      <c r="I23" s="72"/>
      <c r="J23" s="72"/>
      <c r="K23" s="72"/>
      <c r="L23" s="73"/>
      <c r="M23" s="71">
        <v>2875.1477073170736</v>
      </c>
      <c r="N23" s="72">
        <v>2875.1477073170736</v>
      </c>
      <c r="O23" s="72"/>
      <c r="P23" s="72"/>
      <c r="Q23" s="72"/>
      <c r="R23" s="73"/>
      <c r="S23" s="71">
        <v>1464</v>
      </c>
      <c r="T23" s="72">
        <v>1472</v>
      </c>
      <c r="U23" s="72">
        <v>1456</v>
      </c>
      <c r="V23" s="72">
        <v>1456</v>
      </c>
      <c r="W23" s="72">
        <v>1473</v>
      </c>
      <c r="X23" s="73">
        <v>1463</v>
      </c>
      <c r="Y23" s="71"/>
      <c r="Z23" s="72"/>
      <c r="AA23" s="72"/>
      <c r="AB23" s="72"/>
      <c r="AC23" s="72"/>
      <c r="AD23" s="73"/>
      <c r="AE23" s="71"/>
      <c r="AF23" s="72"/>
      <c r="AG23" s="72"/>
      <c r="AH23" s="72"/>
      <c r="AI23" s="72"/>
      <c r="AJ23" s="73"/>
      <c r="AK23" s="71"/>
      <c r="AL23" s="72"/>
      <c r="AM23" s="72"/>
      <c r="AN23" s="72"/>
      <c r="AO23" s="72"/>
      <c r="AP23" s="73"/>
      <c r="AQ23" s="71"/>
      <c r="AR23" s="72"/>
      <c r="AS23" s="72"/>
      <c r="AT23" s="72"/>
      <c r="AU23" s="72"/>
      <c r="AV23" s="73"/>
      <c r="AW23" s="75">
        <v>-0.98778292763148645</v>
      </c>
      <c r="AX23" s="76">
        <v>-0.28787577787657836</v>
      </c>
      <c r="AY23" s="76">
        <v>-1.6186851471288621</v>
      </c>
      <c r="AZ23" s="76">
        <v>-2.2594452138058774</v>
      </c>
      <c r="BA23" s="76">
        <v>-1.5201066753323889</v>
      </c>
      <c r="BB23" s="77">
        <v>0.74719817598629668</v>
      </c>
      <c r="BC23" s="65"/>
      <c r="BD23" s="78"/>
      <c r="BE23" s="78"/>
      <c r="BF23" s="78"/>
      <c r="BG23" s="78"/>
      <c r="BH23" s="70"/>
      <c r="BI23" s="65"/>
      <c r="BJ23" s="78"/>
      <c r="BK23" s="78"/>
      <c r="BL23" s="78"/>
      <c r="BM23" s="78"/>
      <c r="BN23" s="70"/>
      <c r="BO23" s="65"/>
      <c r="BP23" s="78"/>
      <c r="BQ23" s="78"/>
      <c r="BR23" s="78"/>
      <c r="BS23" s="78"/>
      <c r="BT23" s="70"/>
      <c r="BU23" s="65"/>
      <c r="BV23" s="78"/>
      <c r="BW23" s="78"/>
      <c r="BX23" s="78"/>
      <c r="BY23" s="78"/>
      <c r="BZ23" s="70"/>
      <c r="CA23" s="80"/>
      <c r="CB23" s="78"/>
      <c r="CC23" s="78"/>
      <c r="CD23" s="78"/>
      <c r="CE23" s="78"/>
      <c r="CF23" s="70"/>
    </row>
    <row r="24" spans="1:84" ht="12" customHeight="1">
      <c r="A24" s="2"/>
      <c r="B24" s="64">
        <v>12</v>
      </c>
      <c r="C24" s="65">
        <v>10</v>
      </c>
      <c r="D24" s="66" t="s">
        <v>2</v>
      </c>
      <c r="E24" s="69" t="s">
        <v>103</v>
      </c>
      <c r="F24" s="70"/>
      <c r="G24" s="71">
        <v>791.88390243902438</v>
      </c>
      <c r="H24" s="72">
        <v>791.88390243902438</v>
      </c>
      <c r="I24" s="72"/>
      <c r="J24" s="72"/>
      <c r="K24" s="72"/>
      <c r="L24" s="73"/>
      <c r="M24" s="71">
        <v>1583.7678048780488</v>
      </c>
      <c r="N24" s="72">
        <v>1583.7678048780488</v>
      </c>
      <c r="O24" s="72"/>
      <c r="P24" s="72"/>
      <c r="Q24" s="72"/>
      <c r="R24" s="73"/>
      <c r="S24" s="71">
        <v>798.2</v>
      </c>
      <c r="T24" s="72">
        <v>792</v>
      </c>
      <c r="U24" s="72">
        <v>808</v>
      </c>
      <c r="V24" s="72">
        <v>786</v>
      </c>
      <c r="W24" s="72">
        <v>786</v>
      </c>
      <c r="X24" s="73">
        <v>819</v>
      </c>
      <c r="Y24" s="71"/>
      <c r="Z24" s="72"/>
      <c r="AA24" s="72"/>
      <c r="AB24" s="72"/>
      <c r="AC24" s="72"/>
      <c r="AD24" s="73"/>
      <c r="AE24" s="71"/>
      <c r="AF24" s="72"/>
      <c r="AG24" s="72"/>
      <c r="AH24" s="72"/>
      <c r="AI24" s="72"/>
      <c r="AJ24" s="73"/>
      <c r="AK24" s="71"/>
      <c r="AL24" s="72"/>
      <c r="AM24" s="72"/>
      <c r="AN24" s="72"/>
      <c r="AO24" s="72"/>
      <c r="AP24" s="73"/>
      <c r="AQ24" s="71"/>
      <c r="AR24" s="72"/>
      <c r="AS24" s="72"/>
      <c r="AT24" s="72"/>
      <c r="AU24" s="72"/>
      <c r="AV24" s="73"/>
      <c r="AW24" s="75">
        <v>0.31345290008184534</v>
      </c>
      <c r="AX24" s="76">
        <v>0.94435511957922103</v>
      </c>
      <c r="AY24" s="76">
        <v>0.2543058170039636</v>
      </c>
      <c r="AZ24" s="76">
        <v>2.0287183093403272</v>
      </c>
      <c r="BA24" s="76">
        <v>-1.9144205625182487</v>
      </c>
      <c r="BB24" s="77">
        <v>0.2543058170039636</v>
      </c>
      <c r="BC24" s="65"/>
      <c r="BD24" s="78"/>
      <c r="BE24" s="78"/>
      <c r="BF24" s="78"/>
      <c r="BG24" s="78"/>
      <c r="BH24" s="70"/>
      <c r="BI24" s="65"/>
      <c r="BJ24" s="78"/>
      <c r="BK24" s="78"/>
      <c r="BL24" s="78"/>
      <c r="BM24" s="78"/>
      <c r="BN24" s="70"/>
      <c r="BO24" s="65"/>
      <c r="BP24" s="78"/>
      <c r="BQ24" s="78"/>
      <c r="BR24" s="78"/>
      <c r="BS24" s="78"/>
      <c r="BT24" s="70"/>
      <c r="BU24" s="65"/>
      <c r="BV24" s="78"/>
      <c r="BW24" s="78"/>
      <c r="BX24" s="78"/>
      <c r="BY24" s="78"/>
      <c r="BZ24" s="70"/>
      <c r="CA24" s="80"/>
      <c r="CB24" s="78"/>
      <c r="CC24" s="78"/>
      <c r="CD24" s="78"/>
      <c r="CE24" s="78"/>
      <c r="CF24" s="70"/>
    </row>
    <row r="25" spans="1:84" ht="12" customHeight="1">
      <c r="A25" s="2"/>
      <c r="B25" s="64">
        <v>13</v>
      </c>
      <c r="C25" s="65">
        <v>10</v>
      </c>
      <c r="D25" s="66" t="s">
        <v>2</v>
      </c>
      <c r="E25" s="69" t="s">
        <v>108</v>
      </c>
      <c r="F25" s="70"/>
      <c r="G25" s="71">
        <v>1583.7678048780488</v>
      </c>
      <c r="H25" s="72">
        <v>1583.7678048780488</v>
      </c>
      <c r="I25" s="72"/>
      <c r="J25" s="72"/>
      <c r="K25" s="72"/>
      <c r="L25" s="73"/>
      <c r="M25" s="71">
        <v>3167.5356097560975</v>
      </c>
      <c r="N25" s="72">
        <v>3167.5356097560975</v>
      </c>
      <c r="O25" s="72"/>
      <c r="P25" s="72"/>
      <c r="Q25" s="72"/>
      <c r="R25" s="73"/>
      <c r="S25" s="71">
        <v>1584.4</v>
      </c>
      <c r="T25" s="72">
        <v>1611</v>
      </c>
      <c r="U25" s="72">
        <v>1576</v>
      </c>
      <c r="V25" s="72">
        <v>1578</v>
      </c>
      <c r="W25" s="72">
        <v>1575</v>
      </c>
      <c r="X25" s="73">
        <v>1582</v>
      </c>
      <c r="Y25" s="71"/>
      <c r="Z25" s="72"/>
      <c r="AA25" s="72"/>
      <c r="AB25" s="72"/>
      <c r="AC25" s="72"/>
      <c r="AD25" s="73"/>
      <c r="AE25" s="71"/>
      <c r="AF25" s="72"/>
      <c r="AG25" s="72"/>
      <c r="AH25" s="72"/>
      <c r="AI25" s="72"/>
      <c r="AJ25" s="73"/>
      <c r="AK25" s="71"/>
      <c r="AL25" s="72"/>
      <c r="AM25" s="72"/>
      <c r="AN25" s="72"/>
      <c r="AO25" s="72"/>
      <c r="AP25" s="73"/>
      <c r="AQ25" s="71"/>
      <c r="AR25" s="72"/>
      <c r="AS25" s="72"/>
      <c r="AT25" s="72"/>
      <c r="AU25" s="72"/>
      <c r="AV25" s="73"/>
      <c r="AW25" s="75">
        <v>-2.4782894211940243</v>
      </c>
      <c r="AX25" s="76">
        <v>-2.4861756989377315</v>
      </c>
      <c r="AY25" s="76">
        <v>-0.51460626300845469</v>
      </c>
      <c r="AZ25" s="76">
        <v>-4.1028626363997507</v>
      </c>
      <c r="BA25" s="76">
        <v>-4.0239998589625792</v>
      </c>
      <c r="BB25" s="77">
        <v>-1.2638026486615939</v>
      </c>
      <c r="BC25" s="65"/>
      <c r="BD25" s="78"/>
      <c r="BE25" s="78"/>
      <c r="BF25" s="78"/>
      <c r="BG25" s="78"/>
      <c r="BH25" s="70"/>
      <c r="BI25" s="65"/>
      <c r="BJ25" s="78"/>
      <c r="BK25" s="78"/>
      <c r="BL25" s="78"/>
      <c r="BM25" s="78"/>
      <c r="BN25" s="70"/>
      <c r="BO25" s="65"/>
      <c r="BP25" s="78"/>
      <c r="BQ25" s="78"/>
      <c r="BR25" s="78"/>
      <c r="BS25" s="78"/>
      <c r="BT25" s="70"/>
      <c r="BU25" s="65"/>
      <c r="BV25" s="78"/>
      <c r="BW25" s="78"/>
      <c r="BX25" s="78"/>
      <c r="BY25" s="78"/>
      <c r="BZ25" s="70"/>
      <c r="CA25" s="80"/>
      <c r="CB25" s="78"/>
      <c r="CC25" s="78"/>
      <c r="CD25" s="78"/>
      <c r="CE25" s="78"/>
      <c r="CF25" s="70"/>
    </row>
    <row r="26" spans="1:84" ht="12" customHeight="1">
      <c r="A26" s="2"/>
      <c r="B26" s="64">
        <v>14</v>
      </c>
      <c r="C26" s="65">
        <v>10</v>
      </c>
      <c r="D26" s="66" t="s">
        <v>2</v>
      </c>
      <c r="E26" s="69" t="s">
        <v>111</v>
      </c>
      <c r="F26" s="70"/>
      <c r="G26" s="71">
        <v>1218.2829268292683</v>
      </c>
      <c r="H26" s="72">
        <v>1218.2829268292683</v>
      </c>
      <c r="I26" s="72"/>
      <c r="J26" s="72"/>
      <c r="K26" s="72"/>
      <c r="L26" s="73"/>
      <c r="M26" s="71">
        <v>2436.5658536585365</v>
      </c>
      <c r="N26" s="72">
        <v>2436.5658536585365</v>
      </c>
      <c r="O26" s="72"/>
      <c r="P26" s="72"/>
      <c r="Q26" s="72"/>
      <c r="R26" s="73"/>
      <c r="S26" s="71">
        <v>1231.5999999999999</v>
      </c>
      <c r="T26" s="72">
        <v>1232</v>
      </c>
      <c r="U26" s="72">
        <v>1247</v>
      </c>
      <c r="V26" s="72">
        <v>1230</v>
      </c>
      <c r="W26" s="72">
        <v>1225</v>
      </c>
      <c r="X26" s="73">
        <v>1224</v>
      </c>
      <c r="Y26" s="71"/>
      <c r="Z26" s="72"/>
      <c r="AA26" s="72"/>
      <c r="AB26" s="72"/>
      <c r="AC26" s="72"/>
      <c r="AD26" s="73"/>
      <c r="AE26" s="71"/>
      <c r="AF26" s="72"/>
      <c r="AG26" s="72"/>
      <c r="AH26" s="72"/>
      <c r="AI26" s="72"/>
      <c r="AJ26" s="73"/>
      <c r="AK26" s="71"/>
      <c r="AL26" s="72"/>
      <c r="AM26" s="72"/>
      <c r="AN26" s="72"/>
      <c r="AO26" s="72"/>
      <c r="AP26" s="73"/>
      <c r="AQ26" s="71"/>
      <c r="AR26" s="72"/>
      <c r="AS26" s="72"/>
      <c r="AT26" s="72"/>
      <c r="AU26" s="72"/>
      <c r="AV26" s="73"/>
      <c r="AW26" s="75">
        <v>-1.3742105370736279</v>
      </c>
      <c r="AX26" s="76">
        <v>-2.9987837522793548</v>
      </c>
      <c r="AY26" s="76">
        <v>-0.47517487428987426</v>
      </c>
      <c r="AZ26" s="76">
        <v>-4.1429598385422928E-2</v>
      </c>
      <c r="BA26" s="76">
        <v>-1.618685147128851</v>
      </c>
      <c r="BB26" s="77">
        <v>-1.7369793132846145</v>
      </c>
      <c r="BC26" s="65"/>
      <c r="BD26" s="78"/>
      <c r="BE26" s="78"/>
      <c r="BF26" s="78"/>
      <c r="BG26" s="78"/>
      <c r="BH26" s="70"/>
      <c r="BI26" s="65"/>
      <c r="BJ26" s="78"/>
      <c r="BK26" s="78"/>
      <c r="BL26" s="78"/>
      <c r="BM26" s="78"/>
      <c r="BN26" s="70"/>
      <c r="BO26" s="65"/>
      <c r="BP26" s="78"/>
      <c r="BQ26" s="78"/>
      <c r="BR26" s="78"/>
      <c r="BS26" s="78"/>
      <c r="BT26" s="70"/>
      <c r="BU26" s="65"/>
      <c r="BV26" s="78"/>
      <c r="BW26" s="78"/>
      <c r="BX26" s="78"/>
      <c r="BY26" s="78"/>
      <c r="BZ26" s="70"/>
      <c r="CA26" s="80"/>
      <c r="CB26" s="78"/>
      <c r="CC26" s="78"/>
      <c r="CD26" s="78"/>
      <c r="CE26" s="78"/>
      <c r="CF26" s="70"/>
    </row>
    <row r="27" spans="1:84" ht="12" customHeight="1">
      <c r="A27" s="2"/>
      <c r="B27" s="64">
        <v>15</v>
      </c>
      <c r="C27" s="65">
        <v>10</v>
      </c>
      <c r="D27" s="66" t="s">
        <v>2</v>
      </c>
      <c r="E27" s="69" t="s">
        <v>117</v>
      </c>
      <c r="F27" s="70"/>
      <c r="G27" s="71">
        <v>718.78692682926828</v>
      </c>
      <c r="H27" s="72">
        <v>718.78692682926828</v>
      </c>
      <c r="I27" s="72"/>
      <c r="J27" s="72"/>
      <c r="K27" s="72"/>
      <c r="L27" s="73"/>
      <c r="M27" s="71">
        <v>1437.5738536585368</v>
      </c>
      <c r="N27" s="72">
        <v>1437.5738536585368</v>
      </c>
      <c r="O27" s="72"/>
      <c r="P27" s="72"/>
      <c r="Q27" s="72"/>
      <c r="R27" s="73"/>
      <c r="S27" s="71">
        <v>720.6</v>
      </c>
      <c r="T27" s="72">
        <v>707</v>
      </c>
      <c r="U27" s="72">
        <v>715</v>
      </c>
      <c r="V27" s="72">
        <v>750</v>
      </c>
      <c r="W27" s="72">
        <v>710</v>
      </c>
      <c r="X27" s="73">
        <v>721</v>
      </c>
      <c r="Y27" s="71"/>
      <c r="Z27" s="72"/>
      <c r="AA27" s="72"/>
      <c r="AB27" s="72"/>
      <c r="AC27" s="72"/>
      <c r="AD27" s="73"/>
      <c r="AE27" s="71"/>
      <c r="AF27" s="72"/>
      <c r="AG27" s="72"/>
      <c r="AH27" s="72"/>
      <c r="AI27" s="72"/>
      <c r="AJ27" s="73"/>
      <c r="AK27" s="71"/>
      <c r="AL27" s="72"/>
      <c r="AM27" s="72"/>
      <c r="AN27" s="72"/>
      <c r="AO27" s="72"/>
      <c r="AP27" s="73"/>
      <c r="AQ27" s="71"/>
      <c r="AR27" s="72"/>
      <c r="AS27" s="72"/>
      <c r="AT27" s="72"/>
      <c r="AU27" s="72"/>
      <c r="AV27" s="73"/>
      <c r="AW27" s="75">
        <v>-0.17549632002861193</v>
      </c>
      <c r="AX27" s="76">
        <v>-0.31744931941554144</v>
      </c>
      <c r="AY27" s="76">
        <v>1.9695712262624454</v>
      </c>
      <c r="AZ27" s="76">
        <v>-0.71176320660139014</v>
      </c>
      <c r="BA27" s="76">
        <v>0.23459012264466228</v>
      </c>
      <c r="BB27" s="77">
        <v>-2.0524304230333024</v>
      </c>
      <c r="BC27" s="65"/>
      <c r="BD27" s="78"/>
      <c r="BE27" s="78"/>
      <c r="BF27" s="78"/>
      <c r="BG27" s="78"/>
      <c r="BH27" s="70"/>
      <c r="BI27" s="65"/>
      <c r="BJ27" s="78"/>
      <c r="BK27" s="78"/>
      <c r="BL27" s="78"/>
      <c r="BM27" s="78"/>
      <c r="BN27" s="70"/>
      <c r="BO27" s="65"/>
      <c r="BP27" s="78"/>
      <c r="BQ27" s="78"/>
      <c r="BR27" s="78"/>
      <c r="BS27" s="78"/>
      <c r="BT27" s="70"/>
      <c r="BU27" s="65"/>
      <c r="BV27" s="78"/>
      <c r="BW27" s="78"/>
      <c r="BX27" s="78"/>
      <c r="BY27" s="78"/>
      <c r="BZ27" s="70"/>
      <c r="CA27" s="80"/>
      <c r="CB27" s="78"/>
      <c r="CC27" s="78"/>
      <c r="CD27" s="78"/>
      <c r="CE27" s="78"/>
      <c r="CF27" s="70"/>
    </row>
    <row r="28" spans="1:84" ht="12" customHeight="1">
      <c r="A28" s="2"/>
      <c r="B28" s="64">
        <v>16</v>
      </c>
      <c r="C28" s="65">
        <v>10</v>
      </c>
      <c r="D28" s="66" t="s">
        <v>2</v>
      </c>
      <c r="E28" s="69" t="s">
        <v>132</v>
      </c>
      <c r="F28" s="70"/>
      <c r="G28" s="71">
        <v>1437.5738536585366</v>
      </c>
      <c r="H28" s="72">
        <v>1437.5738536585366</v>
      </c>
      <c r="I28" s="72"/>
      <c r="J28" s="72"/>
      <c r="K28" s="72"/>
      <c r="L28" s="73"/>
      <c r="M28" s="71">
        <v>2875.1477073170736</v>
      </c>
      <c r="N28" s="72">
        <v>2875.1477073170736</v>
      </c>
      <c r="O28" s="72"/>
      <c r="P28" s="72"/>
      <c r="Q28" s="72"/>
      <c r="R28" s="73"/>
      <c r="S28" s="71">
        <v>1464</v>
      </c>
      <c r="T28" s="72">
        <v>1472</v>
      </c>
      <c r="U28" s="72">
        <v>1456</v>
      </c>
      <c r="V28" s="72">
        <v>1456</v>
      </c>
      <c r="W28" s="72">
        <v>1473</v>
      </c>
      <c r="X28" s="73">
        <v>1463</v>
      </c>
      <c r="Y28" s="71"/>
      <c r="Z28" s="72"/>
      <c r="AA28" s="72"/>
      <c r="AB28" s="72"/>
      <c r="AC28" s="72"/>
      <c r="AD28" s="73"/>
      <c r="AE28" s="71"/>
      <c r="AF28" s="72"/>
      <c r="AG28" s="72"/>
      <c r="AH28" s="72"/>
      <c r="AI28" s="72"/>
      <c r="AJ28" s="73"/>
      <c r="AK28" s="71"/>
      <c r="AL28" s="72"/>
      <c r="AM28" s="72"/>
      <c r="AN28" s="72"/>
      <c r="AO28" s="72"/>
      <c r="AP28" s="73"/>
      <c r="AQ28" s="71"/>
      <c r="AR28" s="72"/>
      <c r="AS28" s="72"/>
      <c r="AT28" s="72"/>
      <c r="AU28" s="72"/>
      <c r="AV28" s="73"/>
      <c r="AW28" s="75">
        <v>-2.604469865093495</v>
      </c>
      <c r="AX28" s="76">
        <v>-4.0831469420404503</v>
      </c>
      <c r="AY28" s="76">
        <v>-0.73147890096066925</v>
      </c>
      <c r="AZ28" s="76">
        <v>-0.83005737275713143</v>
      </c>
      <c r="BA28" s="76">
        <v>-4.4774608292263096</v>
      </c>
      <c r="BB28" s="77">
        <v>-2.9002052804828926</v>
      </c>
      <c r="BC28" s="65"/>
      <c r="BD28" s="78"/>
      <c r="BE28" s="78"/>
      <c r="BF28" s="78"/>
      <c r="BG28" s="78"/>
      <c r="BH28" s="70"/>
      <c r="BI28" s="65"/>
      <c r="BJ28" s="78"/>
      <c r="BK28" s="78"/>
      <c r="BL28" s="78"/>
      <c r="BM28" s="78"/>
      <c r="BN28" s="70"/>
      <c r="BO28" s="65"/>
      <c r="BP28" s="78"/>
      <c r="BQ28" s="78"/>
      <c r="BR28" s="78"/>
      <c r="BS28" s="78"/>
      <c r="BT28" s="70"/>
      <c r="BU28" s="65"/>
      <c r="BV28" s="78"/>
      <c r="BW28" s="78"/>
      <c r="BX28" s="78"/>
      <c r="BY28" s="78"/>
      <c r="BZ28" s="70"/>
      <c r="CA28" s="80"/>
      <c r="CB28" s="78"/>
      <c r="CC28" s="78"/>
      <c r="CD28" s="78"/>
      <c r="CE28" s="78"/>
      <c r="CF28" s="70"/>
    </row>
    <row r="29" spans="1:84" ht="12" customHeight="1">
      <c r="A29" s="2"/>
      <c r="B29" s="64">
        <v>17</v>
      </c>
      <c r="C29" s="65">
        <v>10</v>
      </c>
      <c r="D29" s="66" t="s">
        <v>2</v>
      </c>
      <c r="E29" s="69" t="s">
        <v>134</v>
      </c>
      <c r="F29" s="70"/>
      <c r="G29" s="71">
        <v>791.88390243902438</v>
      </c>
      <c r="H29" s="72">
        <v>791.88390243902438</v>
      </c>
      <c r="I29" s="72"/>
      <c r="J29" s="72"/>
      <c r="K29" s="72"/>
      <c r="L29" s="73"/>
      <c r="M29" s="71">
        <v>1583.7678048780488</v>
      </c>
      <c r="N29" s="72">
        <v>1583.7678048780488</v>
      </c>
      <c r="O29" s="72"/>
      <c r="P29" s="72"/>
      <c r="Q29" s="72"/>
      <c r="R29" s="73"/>
      <c r="S29" s="71">
        <v>798.2</v>
      </c>
      <c r="T29" s="72">
        <v>792</v>
      </c>
      <c r="U29" s="72">
        <v>808</v>
      </c>
      <c r="V29" s="72">
        <v>786</v>
      </c>
      <c r="W29" s="72">
        <v>786</v>
      </c>
      <c r="X29" s="73">
        <v>819</v>
      </c>
      <c r="Y29" s="71"/>
      <c r="Z29" s="72"/>
      <c r="AA29" s="72"/>
      <c r="AB29" s="72"/>
      <c r="AC29" s="72"/>
      <c r="AD29" s="73"/>
      <c r="AE29" s="71"/>
      <c r="AF29" s="72"/>
      <c r="AG29" s="72"/>
      <c r="AH29" s="72"/>
      <c r="AI29" s="72"/>
      <c r="AJ29" s="73"/>
      <c r="AK29" s="71"/>
      <c r="AL29" s="72"/>
      <c r="AM29" s="72"/>
      <c r="AN29" s="72"/>
      <c r="AO29" s="72"/>
      <c r="AP29" s="73"/>
      <c r="AQ29" s="71"/>
      <c r="AR29" s="72"/>
      <c r="AS29" s="72"/>
      <c r="AT29" s="72"/>
      <c r="AU29" s="72"/>
      <c r="AV29" s="73"/>
      <c r="AW29" s="75">
        <v>-0.98778292763148645</v>
      </c>
      <c r="AX29" s="76">
        <v>-0.28787577787657836</v>
      </c>
      <c r="AY29" s="76">
        <v>-1.6186851471288621</v>
      </c>
      <c r="AZ29" s="76">
        <v>-2.2594452138058774</v>
      </c>
      <c r="BA29" s="76">
        <v>-1.5201066753323889</v>
      </c>
      <c r="BB29" s="77">
        <v>0.74719817598629668</v>
      </c>
      <c r="BC29" s="65"/>
      <c r="BD29" s="78"/>
      <c r="BE29" s="78"/>
      <c r="BF29" s="78"/>
      <c r="BG29" s="78"/>
      <c r="BH29" s="70"/>
      <c r="BI29" s="65"/>
      <c r="BJ29" s="78"/>
      <c r="BK29" s="78"/>
      <c r="BL29" s="78"/>
      <c r="BM29" s="78"/>
      <c r="BN29" s="70"/>
      <c r="BO29" s="65"/>
      <c r="BP29" s="78"/>
      <c r="BQ29" s="78"/>
      <c r="BR29" s="78"/>
      <c r="BS29" s="78"/>
      <c r="BT29" s="70"/>
      <c r="BU29" s="65"/>
      <c r="BV29" s="78"/>
      <c r="BW29" s="78"/>
      <c r="BX29" s="78"/>
      <c r="BY29" s="78"/>
      <c r="BZ29" s="70"/>
      <c r="CA29" s="80"/>
      <c r="CB29" s="78"/>
      <c r="CC29" s="78"/>
      <c r="CD29" s="78"/>
      <c r="CE29" s="78"/>
      <c r="CF29" s="70"/>
    </row>
    <row r="30" spans="1:84" ht="12" customHeight="1">
      <c r="A30" s="2"/>
      <c r="B30" s="64">
        <v>18</v>
      </c>
      <c r="C30" s="65">
        <v>10</v>
      </c>
      <c r="D30" s="66" t="s">
        <v>2</v>
      </c>
      <c r="E30" s="69" t="s">
        <v>135</v>
      </c>
      <c r="F30" s="70"/>
      <c r="G30" s="71">
        <v>1583.7678048780488</v>
      </c>
      <c r="H30" s="72">
        <v>1583.7678048780488</v>
      </c>
      <c r="I30" s="72"/>
      <c r="J30" s="72"/>
      <c r="K30" s="72"/>
      <c r="L30" s="73"/>
      <c r="M30" s="71">
        <v>3167.5356097560975</v>
      </c>
      <c r="N30" s="72">
        <v>3167.5356097560975</v>
      </c>
      <c r="O30" s="72"/>
      <c r="P30" s="72"/>
      <c r="Q30" s="72"/>
      <c r="R30" s="73"/>
      <c r="S30" s="71">
        <v>1584.4</v>
      </c>
      <c r="T30" s="72">
        <v>1611</v>
      </c>
      <c r="U30" s="72">
        <v>1576</v>
      </c>
      <c r="V30" s="72">
        <v>1578</v>
      </c>
      <c r="W30" s="72">
        <v>1575</v>
      </c>
      <c r="X30" s="73">
        <v>1582</v>
      </c>
      <c r="Y30" s="71"/>
      <c r="Z30" s="72"/>
      <c r="AA30" s="72"/>
      <c r="AB30" s="72"/>
      <c r="AC30" s="72"/>
      <c r="AD30" s="73"/>
      <c r="AE30" s="71"/>
      <c r="AF30" s="72"/>
      <c r="AG30" s="72"/>
      <c r="AH30" s="72"/>
      <c r="AI30" s="72"/>
      <c r="AJ30" s="73"/>
      <c r="AK30" s="71"/>
      <c r="AL30" s="72"/>
      <c r="AM30" s="72"/>
      <c r="AN30" s="72"/>
      <c r="AO30" s="72"/>
      <c r="AP30" s="73"/>
      <c r="AQ30" s="71"/>
      <c r="AR30" s="72"/>
      <c r="AS30" s="72"/>
      <c r="AT30" s="72"/>
      <c r="AU30" s="72"/>
      <c r="AV30" s="73"/>
      <c r="AW30" s="75">
        <v>0.31345290008184534</v>
      </c>
      <c r="AX30" s="76">
        <v>0.94435511957922103</v>
      </c>
      <c r="AY30" s="76">
        <v>0.2543058170039636</v>
      </c>
      <c r="AZ30" s="76">
        <v>2.0287183093403272</v>
      </c>
      <c r="BA30" s="76">
        <v>-1.9144205625182487</v>
      </c>
      <c r="BB30" s="77">
        <v>0.2543058170039636</v>
      </c>
      <c r="BC30" s="65"/>
      <c r="BD30" s="78"/>
      <c r="BE30" s="78"/>
      <c r="BF30" s="78"/>
      <c r="BG30" s="78"/>
      <c r="BH30" s="70"/>
      <c r="BI30" s="65"/>
      <c r="BJ30" s="78"/>
      <c r="BK30" s="78"/>
      <c r="BL30" s="78"/>
      <c r="BM30" s="78"/>
      <c r="BN30" s="70"/>
      <c r="BO30" s="65"/>
      <c r="BP30" s="78"/>
      <c r="BQ30" s="78"/>
      <c r="BR30" s="78"/>
      <c r="BS30" s="78"/>
      <c r="BT30" s="70"/>
      <c r="BU30" s="65"/>
      <c r="BV30" s="78"/>
      <c r="BW30" s="78"/>
      <c r="BX30" s="78"/>
      <c r="BY30" s="78"/>
      <c r="BZ30" s="70"/>
      <c r="CA30" s="80"/>
      <c r="CB30" s="78"/>
      <c r="CC30" s="78"/>
      <c r="CD30" s="78"/>
      <c r="CE30" s="78"/>
      <c r="CF30" s="70"/>
    </row>
    <row r="31" spans="1:84" ht="12" customHeight="1">
      <c r="A31" s="2"/>
      <c r="B31" s="64">
        <v>19</v>
      </c>
      <c r="C31" s="65">
        <v>10</v>
      </c>
      <c r="D31" s="66" t="s">
        <v>3</v>
      </c>
      <c r="E31" s="69" t="s">
        <v>67</v>
      </c>
      <c r="F31" s="70"/>
      <c r="G31" s="71">
        <v>356.32195121951219</v>
      </c>
      <c r="H31" s="72">
        <v>356.32195121951219</v>
      </c>
      <c r="I31" s="72"/>
      <c r="J31" s="72"/>
      <c r="K31" s="72"/>
      <c r="L31" s="73"/>
      <c r="M31" s="71">
        <v>712.64390243902437</v>
      </c>
      <c r="N31" s="72">
        <v>712.64390243902437</v>
      </c>
      <c r="O31" s="72"/>
      <c r="P31" s="72"/>
      <c r="Q31" s="72"/>
      <c r="R31" s="73"/>
      <c r="S31" s="71">
        <v>354.2</v>
      </c>
      <c r="T31" s="72">
        <v>349</v>
      </c>
      <c r="U31" s="72">
        <v>342</v>
      </c>
      <c r="V31" s="72">
        <v>364</v>
      </c>
      <c r="W31" s="72">
        <v>338</v>
      </c>
      <c r="X31" s="73">
        <v>378</v>
      </c>
      <c r="Y31" s="71"/>
      <c r="Z31" s="72"/>
      <c r="AA31" s="72"/>
      <c r="AB31" s="72"/>
      <c r="AC31" s="72"/>
      <c r="AD31" s="73"/>
      <c r="AE31" s="71"/>
      <c r="AF31" s="72"/>
      <c r="AG31" s="72"/>
      <c r="AH31" s="72"/>
      <c r="AI31" s="72"/>
      <c r="AJ31" s="73"/>
      <c r="AK31" s="71"/>
      <c r="AL31" s="72"/>
      <c r="AM31" s="72"/>
      <c r="AN31" s="72"/>
      <c r="AO31" s="72"/>
      <c r="AP31" s="73"/>
      <c r="AQ31" s="71"/>
      <c r="AR31" s="72"/>
      <c r="AS31" s="72"/>
      <c r="AT31" s="72"/>
      <c r="AU31" s="72"/>
      <c r="AV31" s="73"/>
      <c r="AW31" s="75">
        <v>-0.59551515483393658</v>
      </c>
      <c r="AX31" s="76">
        <v>-2.0548695342660794</v>
      </c>
      <c r="AY31" s="76">
        <v>-4.0193850450401136</v>
      </c>
      <c r="AZ31" s="76">
        <v>2.1548065602497113</v>
      </c>
      <c r="BA31" s="76">
        <v>-5.1419653369109808</v>
      </c>
      <c r="BB31" s="77">
        <v>6.0838375817977797</v>
      </c>
      <c r="BC31" s="65"/>
      <c r="BD31" s="78"/>
      <c r="BE31" s="78"/>
      <c r="BF31" s="78"/>
      <c r="BG31" s="78"/>
      <c r="BH31" s="70"/>
      <c r="BI31" s="65"/>
      <c r="BJ31" s="78"/>
      <c r="BK31" s="78"/>
      <c r="BL31" s="78"/>
      <c r="BM31" s="78"/>
      <c r="BN31" s="70"/>
      <c r="BO31" s="65"/>
      <c r="BP31" s="78"/>
      <c r="BQ31" s="78"/>
      <c r="BR31" s="78"/>
      <c r="BS31" s="78"/>
      <c r="BT31" s="70"/>
      <c r="BU31" s="65"/>
      <c r="BV31" s="78"/>
      <c r="BW31" s="78"/>
      <c r="BX31" s="78"/>
      <c r="BY31" s="78"/>
      <c r="BZ31" s="70"/>
      <c r="CA31" s="80"/>
      <c r="CB31" s="78"/>
      <c r="CC31" s="78"/>
      <c r="CD31" s="78"/>
      <c r="CE31" s="78"/>
      <c r="CF31" s="70"/>
    </row>
    <row r="32" spans="1:84" ht="12" customHeight="1">
      <c r="A32" s="2"/>
      <c r="B32" s="64">
        <v>20</v>
      </c>
      <c r="C32" s="65">
        <v>10</v>
      </c>
      <c r="D32" s="66" t="s">
        <v>3</v>
      </c>
      <c r="E32" s="69" t="s">
        <v>136</v>
      </c>
      <c r="F32" s="70"/>
      <c r="G32" s="71">
        <v>534.48292682926831</v>
      </c>
      <c r="H32" s="72">
        <v>534.48292682926831</v>
      </c>
      <c r="I32" s="72"/>
      <c r="J32" s="72"/>
      <c r="K32" s="72"/>
      <c r="L32" s="73"/>
      <c r="M32" s="71">
        <v>1068.9658536585366</v>
      </c>
      <c r="N32" s="72">
        <v>1068.9658536585366</v>
      </c>
      <c r="O32" s="72"/>
      <c r="P32" s="72"/>
      <c r="Q32" s="72"/>
      <c r="R32" s="73"/>
      <c r="S32" s="71">
        <v>538.20000000000005</v>
      </c>
      <c r="T32" s="72">
        <v>549</v>
      </c>
      <c r="U32" s="72">
        <v>556</v>
      </c>
      <c r="V32" s="72">
        <v>531</v>
      </c>
      <c r="W32" s="72">
        <v>544</v>
      </c>
      <c r="X32" s="73">
        <v>511</v>
      </c>
      <c r="Y32" s="71"/>
      <c r="Z32" s="72"/>
      <c r="AA32" s="72"/>
      <c r="AB32" s="72"/>
      <c r="AC32" s="72"/>
      <c r="AD32" s="73"/>
      <c r="AE32" s="71"/>
      <c r="AF32" s="72"/>
      <c r="AG32" s="72"/>
      <c r="AH32" s="72"/>
      <c r="AI32" s="72"/>
      <c r="AJ32" s="73"/>
      <c r="AK32" s="71"/>
      <c r="AL32" s="72"/>
      <c r="AM32" s="72"/>
      <c r="AN32" s="72"/>
      <c r="AO32" s="72"/>
      <c r="AP32" s="73"/>
      <c r="AQ32" s="71"/>
      <c r="AR32" s="72"/>
      <c r="AS32" s="72"/>
      <c r="AT32" s="72"/>
      <c r="AU32" s="72"/>
      <c r="AV32" s="73"/>
      <c r="AW32" s="75">
        <v>0.69545218081756843</v>
      </c>
      <c r="AX32" s="76">
        <v>2.7160967061851338</v>
      </c>
      <c r="AY32" s="76">
        <v>4.0257737133678306</v>
      </c>
      <c r="AZ32" s="76">
        <v>-0.65164416942748993</v>
      </c>
      <c r="BA32" s="76">
        <v>1.7806131296260741</v>
      </c>
      <c r="BB32" s="77">
        <v>-4.3935784756637393</v>
      </c>
      <c r="BC32" s="65"/>
      <c r="BD32" s="78"/>
      <c r="BE32" s="78"/>
      <c r="BF32" s="78"/>
      <c r="BG32" s="78"/>
      <c r="BH32" s="70"/>
      <c r="BI32" s="65"/>
      <c r="BJ32" s="78"/>
      <c r="BK32" s="78"/>
      <c r="BL32" s="78"/>
      <c r="BM32" s="78"/>
      <c r="BN32" s="70"/>
      <c r="BO32" s="65"/>
      <c r="BP32" s="78"/>
      <c r="BQ32" s="78"/>
      <c r="BR32" s="78"/>
      <c r="BS32" s="78"/>
      <c r="BT32" s="70"/>
      <c r="BU32" s="65"/>
      <c r="BV32" s="78"/>
      <c r="BW32" s="78"/>
      <c r="BX32" s="78"/>
      <c r="BY32" s="78"/>
      <c r="BZ32" s="70"/>
      <c r="CA32" s="80"/>
      <c r="CB32" s="78"/>
      <c r="CC32" s="78"/>
      <c r="CD32" s="78"/>
      <c r="CE32" s="78"/>
      <c r="CF32" s="70"/>
    </row>
    <row r="33" spans="1:84" ht="12" customHeight="1">
      <c r="A33" s="2"/>
      <c r="B33" s="64">
        <v>21</v>
      </c>
      <c r="C33" s="65">
        <v>10</v>
      </c>
      <c r="D33" s="66" t="s">
        <v>3</v>
      </c>
      <c r="E33" s="69" t="s">
        <v>89</v>
      </c>
      <c r="F33" s="70"/>
      <c r="G33" s="71">
        <v>178.16097560975609</v>
      </c>
      <c r="H33" s="72">
        <v>178.16097560975609</v>
      </c>
      <c r="I33" s="72"/>
      <c r="J33" s="72"/>
      <c r="K33" s="72"/>
      <c r="L33" s="73"/>
      <c r="M33" s="71">
        <v>356.32195121951219</v>
      </c>
      <c r="N33" s="72">
        <v>356.32195121951219</v>
      </c>
      <c r="O33" s="72"/>
      <c r="P33" s="72"/>
      <c r="Q33" s="72"/>
      <c r="R33" s="73"/>
      <c r="S33" s="71">
        <v>178.2</v>
      </c>
      <c r="T33" s="72">
        <v>177</v>
      </c>
      <c r="U33" s="72">
        <v>183</v>
      </c>
      <c r="V33" s="72">
        <v>187</v>
      </c>
      <c r="W33" s="72">
        <v>171</v>
      </c>
      <c r="X33" s="73">
        <v>173</v>
      </c>
      <c r="Y33" s="71"/>
      <c r="Z33" s="72"/>
      <c r="AA33" s="72"/>
      <c r="AB33" s="72"/>
      <c r="AC33" s="72"/>
      <c r="AD33" s="73"/>
      <c r="AE33" s="71"/>
      <c r="AF33" s="72"/>
      <c r="AG33" s="72"/>
      <c r="AH33" s="72"/>
      <c r="AI33" s="72"/>
      <c r="AJ33" s="73"/>
      <c r="AK33" s="71"/>
      <c r="AL33" s="72"/>
      <c r="AM33" s="72"/>
      <c r="AN33" s="72"/>
      <c r="AO33" s="72"/>
      <c r="AP33" s="73"/>
      <c r="AQ33" s="71"/>
      <c r="AR33" s="72"/>
      <c r="AS33" s="72"/>
      <c r="AT33" s="72"/>
      <c r="AU33" s="72"/>
      <c r="AV33" s="73"/>
      <c r="AW33" s="75">
        <v>2.1904005695039253E-2</v>
      </c>
      <c r="AX33" s="76">
        <v>-0.65164416942747883</v>
      </c>
      <c r="AY33" s="76">
        <v>2.716096706185156</v>
      </c>
      <c r="AZ33" s="76">
        <v>4.9612572899268903</v>
      </c>
      <c r="BA33" s="76">
        <v>-4.0193850450401136</v>
      </c>
      <c r="BB33" s="77">
        <v>-2.8968047531692354</v>
      </c>
      <c r="BC33" s="65"/>
      <c r="BD33" s="78"/>
      <c r="BE33" s="78"/>
      <c r="BF33" s="78"/>
      <c r="BG33" s="78"/>
      <c r="BH33" s="70"/>
      <c r="BI33" s="65"/>
      <c r="BJ33" s="78"/>
      <c r="BK33" s="78"/>
      <c r="BL33" s="78"/>
      <c r="BM33" s="78"/>
      <c r="BN33" s="70"/>
      <c r="BO33" s="65"/>
      <c r="BP33" s="78"/>
      <c r="BQ33" s="78"/>
      <c r="BR33" s="78"/>
      <c r="BS33" s="78"/>
      <c r="BT33" s="70"/>
      <c r="BU33" s="65"/>
      <c r="BV33" s="78"/>
      <c r="BW33" s="78"/>
      <c r="BX33" s="78"/>
      <c r="BY33" s="78"/>
      <c r="BZ33" s="70"/>
      <c r="CA33" s="80"/>
      <c r="CB33" s="78"/>
      <c r="CC33" s="78"/>
      <c r="CD33" s="78"/>
      <c r="CE33" s="78"/>
      <c r="CF33" s="70"/>
    </row>
    <row r="34" spans="1:84" ht="12" customHeight="1">
      <c r="A34" s="2" t="s">
        <v>137</v>
      </c>
      <c r="B34" s="64">
        <v>22</v>
      </c>
      <c r="C34" s="65">
        <v>10</v>
      </c>
      <c r="D34" s="66" t="s">
        <v>3</v>
      </c>
      <c r="E34" s="69" t="s">
        <v>91</v>
      </c>
      <c r="F34" s="70"/>
      <c r="G34" s="71">
        <v>22.270121951219512</v>
      </c>
      <c r="H34" s="72">
        <v>22.270121951219512</v>
      </c>
      <c r="I34" s="72"/>
      <c r="J34" s="72"/>
      <c r="K34" s="72"/>
      <c r="L34" s="73"/>
      <c r="M34" s="71">
        <v>44.540243902439023</v>
      </c>
      <c r="N34" s="72">
        <v>44.540243902439023</v>
      </c>
      <c r="O34" s="72"/>
      <c r="P34" s="72"/>
      <c r="Q34" s="72"/>
      <c r="R34" s="73"/>
      <c r="S34" s="71">
        <v>22.4</v>
      </c>
      <c r="T34" s="72">
        <v>23</v>
      </c>
      <c r="U34" s="72">
        <v>23</v>
      </c>
      <c r="V34" s="72">
        <v>21</v>
      </c>
      <c r="W34" s="72">
        <v>23</v>
      </c>
      <c r="X34" s="73">
        <v>22</v>
      </c>
      <c r="Y34" s="71"/>
      <c r="Z34" s="72"/>
      <c r="AA34" s="72"/>
      <c r="AB34" s="72"/>
      <c r="AC34" s="72"/>
      <c r="AD34" s="73"/>
      <c r="AE34" s="71"/>
      <c r="AF34" s="72"/>
      <c r="AG34" s="72"/>
      <c r="AH34" s="72"/>
      <c r="AI34" s="72"/>
      <c r="AJ34" s="73"/>
      <c r="AK34" s="71"/>
      <c r="AL34" s="72"/>
      <c r="AM34" s="72"/>
      <c r="AN34" s="72"/>
      <c r="AO34" s="72"/>
      <c r="AP34" s="73"/>
      <c r="AQ34" s="71"/>
      <c r="AR34" s="72"/>
      <c r="AS34" s="72"/>
      <c r="AT34" s="72"/>
      <c r="AU34" s="72"/>
      <c r="AV34" s="73"/>
      <c r="AW34" s="75">
        <v>0.58319415163048394</v>
      </c>
      <c r="AX34" s="76">
        <v>3.2773868521205785</v>
      </c>
      <c r="AY34" s="76">
        <v>3.2773868521205785</v>
      </c>
      <c r="AZ34" s="76">
        <v>-5.7032554828464255</v>
      </c>
      <c r="BA34" s="76">
        <v>3.2773868521205785</v>
      </c>
      <c r="BB34" s="77">
        <v>-1.2129343153629235</v>
      </c>
      <c r="BC34" s="65"/>
      <c r="BD34" s="78"/>
      <c r="BE34" s="78"/>
      <c r="BF34" s="78"/>
      <c r="BG34" s="78"/>
      <c r="BH34" s="70"/>
      <c r="BI34" s="65"/>
      <c r="BJ34" s="78"/>
      <c r="BK34" s="78"/>
      <c r="BL34" s="78"/>
      <c r="BM34" s="78"/>
      <c r="BN34" s="70"/>
      <c r="BO34" s="65"/>
      <c r="BP34" s="78"/>
      <c r="BQ34" s="78"/>
      <c r="BR34" s="78"/>
      <c r="BS34" s="78"/>
      <c r="BT34" s="70"/>
      <c r="BU34" s="65"/>
      <c r="BV34" s="78"/>
      <c r="BW34" s="78"/>
      <c r="BX34" s="78"/>
      <c r="BY34" s="78"/>
      <c r="BZ34" s="70"/>
      <c r="CA34" s="80"/>
      <c r="CB34" s="78"/>
      <c r="CC34" s="78"/>
      <c r="CD34" s="78"/>
      <c r="CE34" s="78"/>
      <c r="CF34" s="70"/>
    </row>
    <row r="35" spans="1:84" ht="12" customHeight="1">
      <c r="A35" s="2"/>
      <c r="B35" s="64">
        <v>23</v>
      </c>
      <c r="C35" s="65">
        <v>10</v>
      </c>
      <c r="D35" s="66" t="s">
        <v>3</v>
      </c>
      <c r="E35" s="69" t="s">
        <v>138</v>
      </c>
      <c r="F35" s="70"/>
      <c r="G35" s="71">
        <v>641.37951219512195</v>
      </c>
      <c r="H35" s="72">
        <v>641.37951219512195</v>
      </c>
      <c r="I35" s="72"/>
      <c r="J35" s="72"/>
      <c r="K35" s="72"/>
      <c r="L35" s="73"/>
      <c r="M35" s="71">
        <v>1282.7590243902439</v>
      </c>
      <c r="N35" s="72">
        <v>1282.7590243902439</v>
      </c>
      <c r="O35" s="72"/>
      <c r="P35" s="72"/>
      <c r="Q35" s="72"/>
      <c r="R35" s="73"/>
      <c r="S35" s="71">
        <v>639</v>
      </c>
      <c r="T35" s="72">
        <v>619</v>
      </c>
      <c r="U35" s="72">
        <v>644</v>
      </c>
      <c r="V35" s="72">
        <v>634</v>
      </c>
      <c r="W35" s="72">
        <v>648</v>
      </c>
      <c r="X35" s="73">
        <v>650</v>
      </c>
      <c r="Y35" s="71"/>
      <c r="Z35" s="72"/>
      <c r="AA35" s="72"/>
      <c r="AB35" s="72"/>
      <c r="AC35" s="72"/>
      <c r="AD35" s="73"/>
      <c r="AE35" s="71"/>
      <c r="AF35" s="72"/>
      <c r="AG35" s="72"/>
      <c r="AH35" s="72"/>
      <c r="AI35" s="72"/>
      <c r="AJ35" s="73"/>
      <c r="AK35" s="71"/>
      <c r="AL35" s="72"/>
      <c r="AM35" s="72"/>
      <c r="AN35" s="72"/>
      <c r="AO35" s="72"/>
      <c r="AP35" s="73"/>
      <c r="AQ35" s="71"/>
      <c r="AR35" s="72"/>
      <c r="AS35" s="72"/>
      <c r="AT35" s="72"/>
      <c r="AU35" s="72"/>
      <c r="AV35" s="73"/>
      <c r="AW35" s="75">
        <v>-0.37099909645976759</v>
      </c>
      <c r="AX35" s="76">
        <v>-3.4892776849899776</v>
      </c>
      <c r="AY35" s="76">
        <v>0.40857055067278214</v>
      </c>
      <c r="AZ35" s="76">
        <v>-1.1505687435923173</v>
      </c>
      <c r="BA35" s="76">
        <v>1.0322262683788219</v>
      </c>
      <c r="BB35" s="77">
        <v>1.3440541272318418</v>
      </c>
      <c r="BC35" s="65"/>
      <c r="BD35" s="78"/>
      <c r="BE35" s="78"/>
      <c r="BF35" s="78"/>
      <c r="BG35" s="78"/>
      <c r="BH35" s="70"/>
      <c r="BI35" s="65"/>
      <c r="BJ35" s="78"/>
      <c r="BK35" s="78"/>
      <c r="BL35" s="78"/>
      <c r="BM35" s="78"/>
      <c r="BN35" s="70"/>
      <c r="BO35" s="65"/>
      <c r="BP35" s="78"/>
      <c r="BQ35" s="78"/>
      <c r="BR35" s="78"/>
      <c r="BS35" s="78"/>
      <c r="BT35" s="70"/>
      <c r="BU35" s="65"/>
      <c r="BV35" s="78"/>
      <c r="BW35" s="78"/>
      <c r="BX35" s="78"/>
      <c r="BY35" s="78"/>
      <c r="BZ35" s="70"/>
      <c r="CA35" s="80"/>
      <c r="CB35" s="78"/>
      <c r="CC35" s="78"/>
      <c r="CD35" s="78"/>
      <c r="CE35" s="78"/>
      <c r="CF35" s="70"/>
    </row>
    <row r="36" spans="1:84" ht="12" customHeight="1">
      <c r="A36" s="2"/>
      <c r="B36" s="64">
        <v>24</v>
      </c>
      <c r="C36" s="65">
        <v>10</v>
      </c>
      <c r="D36" s="66" t="s">
        <v>3</v>
      </c>
      <c r="E36" s="69" t="s">
        <v>139</v>
      </c>
      <c r="F36" s="70"/>
      <c r="G36" s="71">
        <v>1068.9658536585366</v>
      </c>
      <c r="H36" s="72">
        <v>534.48292682926831</v>
      </c>
      <c r="I36" s="72"/>
      <c r="J36" s="72"/>
      <c r="K36" s="72"/>
      <c r="L36" s="73">
        <v>534.48292682926831</v>
      </c>
      <c r="M36" s="71">
        <v>2137.9317073170732</v>
      </c>
      <c r="N36" s="72">
        <v>1068.9658536585366</v>
      </c>
      <c r="O36" s="72"/>
      <c r="P36" s="72"/>
      <c r="Q36" s="72"/>
      <c r="R36" s="73">
        <v>1068.9658536585366</v>
      </c>
      <c r="S36" s="71">
        <v>528.4</v>
      </c>
      <c r="T36" s="72">
        <v>519</v>
      </c>
      <c r="U36" s="72">
        <v>528</v>
      </c>
      <c r="V36" s="72">
        <v>520</v>
      </c>
      <c r="W36" s="72">
        <v>546</v>
      </c>
      <c r="X36" s="73">
        <v>529</v>
      </c>
      <c r="Y36" s="71"/>
      <c r="Z36" s="72"/>
      <c r="AA36" s="72"/>
      <c r="AB36" s="72"/>
      <c r="AC36" s="72"/>
      <c r="AD36" s="73"/>
      <c r="AE36" s="71"/>
      <c r="AF36" s="72"/>
      <c r="AG36" s="72"/>
      <c r="AH36" s="72"/>
      <c r="AI36" s="72"/>
      <c r="AJ36" s="73"/>
      <c r="AK36" s="71"/>
      <c r="AL36" s="72"/>
      <c r="AM36" s="72"/>
      <c r="AN36" s="72"/>
      <c r="AO36" s="72"/>
      <c r="AP36" s="73"/>
      <c r="AQ36" s="71">
        <v>548.79999999999995</v>
      </c>
      <c r="AR36" s="72">
        <v>549</v>
      </c>
      <c r="AS36" s="72">
        <v>565</v>
      </c>
      <c r="AT36" s="72">
        <v>547</v>
      </c>
      <c r="AU36" s="72">
        <v>564</v>
      </c>
      <c r="AV36" s="73">
        <v>519</v>
      </c>
      <c r="AW36" s="75">
        <v>0.77029086694226923</v>
      </c>
      <c r="AX36" s="76">
        <v>-9.0354023492045243E-2</v>
      </c>
      <c r="AY36" s="76">
        <v>2.2483549179056039</v>
      </c>
      <c r="AZ36" s="76">
        <v>-0.18390238114796009</v>
      </c>
      <c r="BA36" s="76">
        <v>3.8386769980560231</v>
      </c>
      <c r="BB36" s="77">
        <v>-1.9613211766101757</v>
      </c>
      <c r="BC36" s="65"/>
      <c r="BD36" s="78"/>
      <c r="BE36" s="78"/>
      <c r="BF36" s="78"/>
      <c r="BG36" s="78"/>
      <c r="BH36" s="70"/>
      <c r="BI36" s="65"/>
      <c r="BJ36" s="78"/>
      <c r="BK36" s="78"/>
      <c r="BL36" s="78"/>
      <c r="BM36" s="78"/>
      <c r="BN36" s="70"/>
      <c r="BO36" s="65"/>
      <c r="BP36" s="78"/>
      <c r="BQ36" s="78"/>
      <c r="BR36" s="78"/>
      <c r="BS36" s="78"/>
      <c r="BT36" s="70"/>
      <c r="BU36" s="65"/>
      <c r="BV36" s="78"/>
      <c r="BW36" s="78"/>
      <c r="BX36" s="78"/>
      <c r="BY36" s="78"/>
      <c r="BZ36" s="70"/>
      <c r="CA36" s="80"/>
      <c r="CB36" s="78"/>
      <c r="CC36" s="78"/>
      <c r="CD36" s="78"/>
      <c r="CE36" s="78"/>
      <c r="CF36" s="70"/>
    </row>
    <row r="37" spans="1:84" ht="12" customHeight="1">
      <c r="A37" s="2"/>
      <c r="B37" s="64">
        <v>25</v>
      </c>
      <c r="C37" s="65">
        <v>10</v>
      </c>
      <c r="D37" s="66" t="s">
        <v>3</v>
      </c>
      <c r="E37" s="69" t="s">
        <v>140</v>
      </c>
      <c r="F37" s="70"/>
      <c r="G37" s="71">
        <v>213.79317073170731</v>
      </c>
      <c r="H37" s="72">
        <v>213.79317073170731</v>
      </c>
      <c r="I37" s="72"/>
      <c r="J37" s="72"/>
      <c r="K37" s="72"/>
      <c r="L37" s="73"/>
      <c r="M37" s="71">
        <v>427.58634146341467</v>
      </c>
      <c r="N37" s="72">
        <v>427.58634146341467</v>
      </c>
      <c r="O37" s="72"/>
      <c r="P37" s="72"/>
      <c r="Q37" s="72"/>
      <c r="R37" s="73"/>
      <c r="S37" s="71">
        <v>220.4</v>
      </c>
      <c r="T37" s="72">
        <v>222</v>
      </c>
      <c r="U37" s="72">
        <v>221</v>
      </c>
      <c r="V37" s="72">
        <v>220</v>
      </c>
      <c r="W37" s="72">
        <v>216</v>
      </c>
      <c r="X37" s="73">
        <v>223</v>
      </c>
      <c r="Y37" s="71"/>
      <c r="Z37" s="72"/>
      <c r="AA37" s="72"/>
      <c r="AB37" s="72"/>
      <c r="AC37" s="72"/>
      <c r="AD37" s="73"/>
      <c r="AE37" s="71"/>
      <c r="AF37" s="72"/>
      <c r="AG37" s="72"/>
      <c r="AH37" s="72"/>
      <c r="AI37" s="72"/>
      <c r="AJ37" s="73"/>
      <c r="AK37" s="71"/>
      <c r="AL37" s="72"/>
      <c r="AM37" s="72"/>
      <c r="AN37" s="72"/>
      <c r="AO37" s="72"/>
      <c r="AP37" s="73"/>
      <c r="AQ37" s="71"/>
      <c r="AR37" s="72"/>
      <c r="AS37" s="72"/>
      <c r="AT37" s="72"/>
      <c r="AU37" s="72"/>
      <c r="AV37" s="73"/>
      <c r="AW37" s="75">
        <v>3.090290136808771</v>
      </c>
      <c r="AX37" s="76">
        <v>3.8386769980560231</v>
      </c>
      <c r="AY37" s="76">
        <v>3.3709352097764933</v>
      </c>
      <c r="AZ37" s="76">
        <v>2.9031934214969635</v>
      </c>
      <c r="BA37" s="76">
        <v>1.0322262683788441</v>
      </c>
      <c r="BB37" s="77">
        <v>4.306418786335553</v>
      </c>
      <c r="BC37" s="65"/>
      <c r="BD37" s="78"/>
      <c r="BE37" s="78"/>
      <c r="BF37" s="78"/>
      <c r="BG37" s="78"/>
      <c r="BH37" s="70"/>
      <c r="BI37" s="65"/>
      <c r="BJ37" s="78"/>
      <c r="BK37" s="78"/>
      <c r="BL37" s="78"/>
      <c r="BM37" s="78"/>
      <c r="BN37" s="70"/>
      <c r="BO37" s="65"/>
      <c r="BP37" s="78"/>
      <c r="BQ37" s="78"/>
      <c r="BR37" s="78"/>
      <c r="BS37" s="78"/>
      <c r="BT37" s="70"/>
      <c r="BU37" s="65"/>
      <c r="BV37" s="78"/>
      <c r="BW37" s="78"/>
      <c r="BX37" s="78"/>
      <c r="BY37" s="78"/>
      <c r="BZ37" s="70"/>
      <c r="CA37" s="80"/>
      <c r="CB37" s="78"/>
      <c r="CC37" s="78"/>
      <c r="CD37" s="78"/>
      <c r="CE37" s="78"/>
      <c r="CF37" s="70"/>
    </row>
    <row r="38" spans="1:84" ht="12" customHeight="1">
      <c r="A38" s="2"/>
      <c r="B38" s="64">
        <v>26</v>
      </c>
      <c r="C38" s="65">
        <v>10</v>
      </c>
      <c r="D38" s="66" t="s">
        <v>3</v>
      </c>
      <c r="E38" s="69" t="s">
        <v>95</v>
      </c>
      <c r="F38" s="70"/>
      <c r="G38" s="71">
        <v>356.32195121951219</v>
      </c>
      <c r="H38" s="72">
        <v>178.16097560975609</v>
      </c>
      <c r="I38" s="72"/>
      <c r="J38" s="72"/>
      <c r="K38" s="72"/>
      <c r="L38" s="73">
        <v>178.16097560975609</v>
      </c>
      <c r="M38" s="71">
        <v>712.64390243902437</v>
      </c>
      <c r="N38" s="72">
        <v>356.32195121951219</v>
      </c>
      <c r="O38" s="72"/>
      <c r="P38" s="72"/>
      <c r="Q38" s="72"/>
      <c r="R38" s="73">
        <v>356.32195121951219</v>
      </c>
      <c r="S38" s="71">
        <v>177.2</v>
      </c>
      <c r="T38" s="72">
        <v>175</v>
      </c>
      <c r="U38" s="72">
        <v>176</v>
      </c>
      <c r="V38" s="72">
        <v>178</v>
      </c>
      <c r="W38" s="72">
        <v>183</v>
      </c>
      <c r="X38" s="73">
        <v>174</v>
      </c>
      <c r="Y38" s="71"/>
      <c r="Z38" s="72"/>
      <c r="AA38" s="72"/>
      <c r="AB38" s="72"/>
      <c r="AC38" s="72"/>
      <c r="AD38" s="73"/>
      <c r="AE38" s="71"/>
      <c r="AF38" s="72"/>
      <c r="AG38" s="72"/>
      <c r="AH38" s="72"/>
      <c r="AI38" s="72"/>
      <c r="AJ38" s="73"/>
      <c r="AK38" s="71"/>
      <c r="AL38" s="72"/>
      <c r="AM38" s="72"/>
      <c r="AN38" s="72"/>
      <c r="AO38" s="72"/>
      <c r="AP38" s="73"/>
      <c r="AQ38" s="71">
        <v>174.4</v>
      </c>
      <c r="AR38" s="72">
        <v>169</v>
      </c>
      <c r="AS38" s="72">
        <v>170</v>
      </c>
      <c r="AT38" s="72">
        <v>185</v>
      </c>
      <c r="AU38" s="72">
        <v>172</v>
      </c>
      <c r="AV38" s="73">
        <v>176</v>
      </c>
      <c r="AW38" s="75">
        <v>-1.3251923445499969</v>
      </c>
      <c r="AX38" s="76">
        <v>-3.4580948991046689</v>
      </c>
      <c r="AY38" s="76">
        <v>-2.8968047531692354</v>
      </c>
      <c r="AZ38" s="76">
        <v>1.8741614872819889</v>
      </c>
      <c r="BA38" s="76">
        <v>-0.37099909645976759</v>
      </c>
      <c r="BB38" s="77">
        <v>-1.7742244612983571</v>
      </c>
      <c r="BC38" s="65"/>
      <c r="BD38" s="78"/>
      <c r="BE38" s="78"/>
      <c r="BF38" s="78"/>
      <c r="BG38" s="78"/>
      <c r="BH38" s="70"/>
      <c r="BI38" s="65"/>
      <c r="BJ38" s="78"/>
      <c r="BK38" s="78"/>
      <c r="BL38" s="78"/>
      <c r="BM38" s="78"/>
      <c r="BN38" s="70"/>
      <c r="BO38" s="65"/>
      <c r="BP38" s="78"/>
      <c r="BQ38" s="78"/>
      <c r="BR38" s="78"/>
      <c r="BS38" s="78"/>
      <c r="BT38" s="70"/>
      <c r="BU38" s="65"/>
      <c r="BV38" s="78"/>
      <c r="BW38" s="78"/>
      <c r="BX38" s="78"/>
      <c r="BY38" s="78"/>
      <c r="BZ38" s="70"/>
      <c r="CA38" s="80"/>
      <c r="CB38" s="78"/>
      <c r="CC38" s="78"/>
      <c r="CD38" s="78"/>
      <c r="CE38" s="78"/>
      <c r="CF38" s="70"/>
    </row>
    <row r="39" spans="1:84" ht="12" customHeight="1">
      <c r="A39" s="2" t="s">
        <v>137</v>
      </c>
      <c r="B39" s="64">
        <v>27</v>
      </c>
      <c r="C39" s="65">
        <v>10</v>
      </c>
      <c r="D39" s="66" t="s">
        <v>3</v>
      </c>
      <c r="E39" s="69" t="s">
        <v>141</v>
      </c>
      <c r="F39" s="70"/>
      <c r="G39" s="71">
        <v>26.724146341463413</v>
      </c>
      <c r="H39" s="72">
        <v>26.724146341463413</v>
      </c>
      <c r="I39" s="72"/>
      <c r="J39" s="72"/>
      <c r="K39" s="72"/>
      <c r="L39" s="73"/>
      <c r="M39" s="71">
        <v>53.448292682926834</v>
      </c>
      <c r="N39" s="72">
        <v>53.448292682926834</v>
      </c>
      <c r="O39" s="72"/>
      <c r="P39" s="72"/>
      <c r="Q39" s="72"/>
      <c r="R39" s="73"/>
      <c r="S39" s="71">
        <v>28</v>
      </c>
      <c r="T39" s="72">
        <v>28</v>
      </c>
      <c r="U39" s="72">
        <v>28</v>
      </c>
      <c r="V39" s="72">
        <v>28</v>
      </c>
      <c r="W39" s="72">
        <v>28</v>
      </c>
      <c r="X39" s="73">
        <v>28</v>
      </c>
      <c r="Y39" s="71"/>
      <c r="Z39" s="72"/>
      <c r="AA39" s="72"/>
      <c r="AB39" s="72"/>
      <c r="AC39" s="72"/>
      <c r="AD39" s="73"/>
      <c r="AE39" s="71"/>
      <c r="AF39" s="72"/>
      <c r="AG39" s="72"/>
      <c r="AH39" s="72"/>
      <c r="AI39" s="72"/>
      <c r="AJ39" s="73"/>
      <c r="AK39" s="71"/>
      <c r="AL39" s="72"/>
      <c r="AM39" s="72"/>
      <c r="AN39" s="72"/>
      <c r="AO39" s="72"/>
      <c r="AP39" s="73"/>
      <c r="AQ39" s="71"/>
      <c r="AR39" s="72"/>
      <c r="AS39" s="72"/>
      <c r="AT39" s="72"/>
      <c r="AU39" s="72"/>
      <c r="AV39" s="73"/>
      <c r="AW39" s="75">
        <v>4.7741605746150828</v>
      </c>
      <c r="AX39" s="76">
        <v>4.7741605746150828</v>
      </c>
      <c r="AY39" s="76">
        <v>4.7741605746150828</v>
      </c>
      <c r="AZ39" s="76">
        <v>4.7741605746150828</v>
      </c>
      <c r="BA39" s="76">
        <v>4.7741605746150828</v>
      </c>
      <c r="BB39" s="77">
        <v>4.7741605746150828</v>
      </c>
      <c r="BC39" s="65"/>
      <c r="BD39" s="78"/>
      <c r="BE39" s="78"/>
      <c r="BF39" s="78"/>
      <c r="BG39" s="78"/>
      <c r="BH39" s="70"/>
      <c r="BI39" s="65"/>
      <c r="BJ39" s="78"/>
      <c r="BK39" s="78"/>
      <c r="BL39" s="78"/>
      <c r="BM39" s="78"/>
      <c r="BN39" s="70"/>
      <c r="BO39" s="65"/>
      <c r="BP39" s="78"/>
      <c r="BQ39" s="78"/>
      <c r="BR39" s="78"/>
      <c r="BS39" s="78"/>
      <c r="BT39" s="70"/>
      <c r="BU39" s="65"/>
      <c r="BV39" s="78"/>
      <c r="BW39" s="78"/>
      <c r="BX39" s="78"/>
      <c r="BY39" s="78"/>
      <c r="BZ39" s="70"/>
      <c r="CA39" s="80"/>
      <c r="CB39" s="78"/>
      <c r="CC39" s="78"/>
      <c r="CD39" s="78"/>
      <c r="CE39" s="78"/>
      <c r="CF39" s="70"/>
    </row>
    <row r="40" spans="1:84" ht="12" customHeight="1">
      <c r="A40" s="2" t="s">
        <v>137</v>
      </c>
      <c r="B40" s="64">
        <v>28</v>
      </c>
      <c r="C40" s="65">
        <v>10</v>
      </c>
      <c r="D40" s="66" t="s">
        <v>3</v>
      </c>
      <c r="E40" s="69" t="s">
        <v>98</v>
      </c>
      <c r="F40" s="70"/>
      <c r="G40" s="71">
        <v>111.35060975609755</v>
      </c>
      <c r="H40" s="72">
        <v>22.270121951219512</v>
      </c>
      <c r="I40" s="72"/>
      <c r="J40" s="72"/>
      <c r="K40" s="72"/>
      <c r="L40" s="73">
        <v>89.080487804878047</v>
      </c>
      <c r="M40" s="71">
        <v>222.70121951219511</v>
      </c>
      <c r="N40" s="72">
        <v>44.540243902439023</v>
      </c>
      <c r="O40" s="72"/>
      <c r="P40" s="72"/>
      <c r="Q40" s="72"/>
      <c r="R40" s="73">
        <v>178.16097560975609</v>
      </c>
      <c r="S40" s="71">
        <v>23</v>
      </c>
      <c r="T40" s="72">
        <v>23</v>
      </c>
      <c r="U40" s="72">
        <v>23</v>
      </c>
      <c r="V40" s="72">
        <v>22</v>
      </c>
      <c r="W40" s="72">
        <v>24</v>
      </c>
      <c r="X40" s="73">
        <v>23</v>
      </c>
      <c r="Y40" s="71"/>
      <c r="Z40" s="72"/>
      <c r="AA40" s="72"/>
      <c r="AB40" s="72"/>
      <c r="AC40" s="72"/>
      <c r="AD40" s="73"/>
      <c r="AE40" s="71"/>
      <c r="AF40" s="72"/>
      <c r="AG40" s="72"/>
      <c r="AH40" s="72"/>
      <c r="AI40" s="72"/>
      <c r="AJ40" s="73"/>
      <c r="AK40" s="71"/>
      <c r="AL40" s="72"/>
      <c r="AM40" s="72"/>
      <c r="AN40" s="72"/>
      <c r="AO40" s="72"/>
      <c r="AP40" s="73"/>
      <c r="AQ40" s="71">
        <v>90</v>
      </c>
      <c r="AR40" s="72">
        <v>94</v>
      </c>
      <c r="AS40" s="72">
        <v>89</v>
      </c>
      <c r="AT40" s="72">
        <v>93</v>
      </c>
      <c r="AU40" s="72">
        <v>91</v>
      </c>
      <c r="AV40" s="73">
        <v>83</v>
      </c>
      <c r="AW40" s="75">
        <v>1.4812583851271821</v>
      </c>
      <c r="AX40" s="76">
        <v>5.073515319113997</v>
      </c>
      <c r="AY40" s="76">
        <v>0.58319415163048394</v>
      </c>
      <c r="AZ40" s="76">
        <v>3.2773868521205785</v>
      </c>
      <c r="BA40" s="76">
        <v>3.2773868521205785</v>
      </c>
      <c r="BB40" s="77">
        <v>-4.8051912493497166</v>
      </c>
      <c r="BC40" s="65"/>
      <c r="BD40" s="78"/>
      <c r="BE40" s="78"/>
      <c r="BF40" s="78"/>
      <c r="BG40" s="78"/>
      <c r="BH40" s="70"/>
      <c r="BI40" s="65"/>
      <c r="BJ40" s="78"/>
      <c r="BK40" s="78"/>
      <c r="BL40" s="78"/>
      <c r="BM40" s="78"/>
      <c r="BN40" s="70"/>
      <c r="BO40" s="65"/>
      <c r="BP40" s="78"/>
      <c r="BQ40" s="78"/>
      <c r="BR40" s="78"/>
      <c r="BS40" s="78"/>
      <c r="BT40" s="70"/>
      <c r="BU40" s="65"/>
      <c r="BV40" s="78"/>
      <c r="BW40" s="78"/>
      <c r="BX40" s="78"/>
      <c r="BY40" s="78"/>
      <c r="BZ40" s="70"/>
      <c r="CA40" s="80"/>
      <c r="CB40" s="78"/>
      <c r="CC40" s="78"/>
      <c r="CD40" s="78"/>
      <c r="CE40" s="78"/>
      <c r="CF40" s="70"/>
    </row>
    <row r="41" spans="1:84" ht="12" customHeight="1">
      <c r="A41" s="2"/>
      <c r="B41" s="64">
        <v>29</v>
      </c>
      <c r="C41" s="65">
        <v>10</v>
      </c>
      <c r="D41" s="66" t="s">
        <v>4</v>
      </c>
      <c r="E41" s="69" t="s">
        <v>67</v>
      </c>
      <c r="F41" s="70"/>
      <c r="G41" s="71">
        <v>570.10731707317075</v>
      </c>
      <c r="H41" s="72">
        <v>113.93170731707319</v>
      </c>
      <c r="I41" s="72">
        <v>456.17560975609757</v>
      </c>
      <c r="J41" s="72"/>
      <c r="K41" s="72"/>
      <c r="L41" s="73"/>
      <c r="M41" s="71">
        <v>1140.2146341463415</v>
      </c>
      <c r="N41" s="72">
        <v>227.86341463414638</v>
      </c>
      <c r="O41" s="72">
        <v>912.35121951219514</v>
      </c>
      <c r="P41" s="72"/>
      <c r="Q41" s="72"/>
      <c r="R41" s="73"/>
      <c r="S41" s="71">
        <v>117</v>
      </c>
      <c r="T41" s="72">
        <v>116</v>
      </c>
      <c r="U41" s="72">
        <v>118</v>
      </c>
      <c r="V41" s="72">
        <v>119</v>
      </c>
      <c r="W41" s="72">
        <v>116</v>
      </c>
      <c r="X41" s="73">
        <v>116</v>
      </c>
      <c r="Y41" s="71">
        <v>456</v>
      </c>
      <c r="Z41" s="72">
        <v>452</v>
      </c>
      <c r="AA41" s="72">
        <v>457</v>
      </c>
      <c r="AB41" s="72">
        <v>460</v>
      </c>
      <c r="AC41" s="72">
        <v>453</v>
      </c>
      <c r="AD41" s="73">
        <v>458</v>
      </c>
      <c r="AE41" s="71"/>
      <c r="AF41" s="72"/>
      <c r="AG41" s="72"/>
      <c r="AH41" s="72"/>
      <c r="AI41" s="72"/>
      <c r="AJ41" s="73"/>
      <c r="AK41" s="71"/>
      <c r="AL41" s="72"/>
      <c r="AM41" s="72"/>
      <c r="AN41" s="72"/>
      <c r="AO41" s="72"/>
      <c r="AP41" s="73"/>
      <c r="AQ41" s="71"/>
      <c r="AR41" s="72"/>
      <c r="AS41" s="72"/>
      <c r="AT41" s="72"/>
      <c r="AU41" s="72"/>
      <c r="AV41" s="73"/>
      <c r="AW41" s="75">
        <v>0.50739270312820661</v>
      </c>
      <c r="AX41" s="76">
        <v>-0.36963515641043054</v>
      </c>
      <c r="AY41" s="76">
        <v>0.85820384694366147</v>
      </c>
      <c r="AZ41" s="76">
        <v>1.5598261345745712</v>
      </c>
      <c r="BA41" s="76">
        <v>-0.19422958450270311</v>
      </c>
      <c r="BB41" s="77">
        <v>0.68279827503592294</v>
      </c>
      <c r="BC41" s="65"/>
      <c r="BD41" s="78"/>
      <c r="BE41" s="78"/>
      <c r="BF41" s="78"/>
      <c r="BG41" s="78"/>
      <c r="BH41" s="70"/>
      <c r="BI41" s="65"/>
      <c r="BJ41" s="78"/>
      <c r="BK41" s="78"/>
      <c r="BL41" s="78"/>
      <c r="BM41" s="78"/>
      <c r="BN41" s="70"/>
      <c r="BO41" s="65"/>
      <c r="BP41" s="78"/>
      <c r="BQ41" s="78"/>
      <c r="BR41" s="78"/>
      <c r="BS41" s="78"/>
      <c r="BT41" s="70"/>
      <c r="BU41" s="65"/>
      <c r="BV41" s="78"/>
      <c r="BW41" s="78"/>
      <c r="BX41" s="78"/>
      <c r="BY41" s="78"/>
      <c r="BZ41" s="70"/>
      <c r="CA41" s="80"/>
      <c r="CB41" s="78"/>
      <c r="CC41" s="78"/>
      <c r="CD41" s="78"/>
      <c r="CE41" s="78"/>
      <c r="CF41" s="70"/>
    </row>
    <row r="42" spans="1:84" ht="12" customHeight="1">
      <c r="A42" s="2"/>
      <c r="B42" s="64">
        <v>30</v>
      </c>
      <c r="C42" s="65">
        <v>10</v>
      </c>
      <c r="D42" s="66" t="s">
        <v>4</v>
      </c>
      <c r="E42" s="69" t="s">
        <v>87</v>
      </c>
      <c r="F42" s="70"/>
      <c r="G42" s="71">
        <v>627.07317073170736</v>
      </c>
      <c r="H42" s="72">
        <v>170.89756097560979</v>
      </c>
      <c r="I42" s="72">
        <v>456.17560975609757</v>
      </c>
      <c r="J42" s="72"/>
      <c r="K42" s="72"/>
      <c r="L42" s="73"/>
      <c r="M42" s="71">
        <v>1254.1463414634147</v>
      </c>
      <c r="N42" s="72">
        <v>341.79512195121953</v>
      </c>
      <c r="O42" s="72">
        <v>912.35121951219514</v>
      </c>
      <c r="P42" s="72"/>
      <c r="Q42" s="72"/>
      <c r="R42" s="73"/>
      <c r="S42" s="71">
        <v>174.4</v>
      </c>
      <c r="T42" s="72">
        <v>174</v>
      </c>
      <c r="U42" s="72">
        <v>179</v>
      </c>
      <c r="V42" s="72">
        <v>171</v>
      </c>
      <c r="W42" s="72">
        <v>171</v>
      </c>
      <c r="X42" s="73">
        <v>177</v>
      </c>
      <c r="Y42" s="71">
        <v>457.6</v>
      </c>
      <c r="Z42" s="72">
        <v>461</v>
      </c>
      <c r="AA42" s="72">
        <v>431</v>
      </c>
      <c r="AB42" s="72">
        <v>466</v>
      </c>
      <c r="AC42" s="72">
        <v>459</v>
      </c>
      <c r="AD42" s="73">
        <v>471</v>
      </c>
      <c r="AE42" s="71"/>
      <c r="AF42" s="72"/>
      <c r="AG42" s="72"/>
      <c r="AH42" s="72"/>
      <c r="AI42" s="72"/>
      <c r="AJ42" s="73"/>
      <c r="AK42" s="71"/>
      <c r="AL42" s="72"/>
      <c r="AM42" s="72"/>
      <c r="AN42" s="72"/>
      <c r="AO42" s="72"/>
      <c r="AP42" s="73"/>
      <c r="AQ42" s="71"/>
      <c r="AR42" s="72"/>
      <c r="AS42" s="72"/>
      <c r="AT42" s="72"/>
      <c r="AU42" s="72"/>
      <c r="AV42" s="73"/>
      <c r="AW42" s="75">
        <v>0.78568650330610446</v>
      </c>
      <c r="AX42" s="76">
        <v>1.2640995721509007</v>
      </c>
      <c r="AY42" s="76">
        <v>-2.7226760015558238</v>
      </c>
      <c r="AZ42" s="76">
        <v>1.5830416180474538</v>
      </c>
      <c r="BA42" s="76">
        <v>0.46674445740955139</v>
      </c>
      <c r="BB42" s="77">
        <v>3.3372228704783957</v>
      </c>
      <c r="BC42" s="65"/>
      <c r="BD42" s="78"/>
      <c r="BE42" s="78"/>
      <c r="BF42" s="78"/>
      <c r="BG42" s="78"/>
      <c r="BH42" s="70"/>
      <c r="BI42" s="65"/>
      <c r="BJ42" s="78"/>
      <c r="BK42" s="78"/>
      <c r="BL42" s="78"/>
      <c r="BM42" s="78"/>
      <c r="BN42" s="70"/>
      <c r="BO42" s="65"/>
      <c r="BP42" s="78"/>
      <c r="BQ42" s="78"/>
      <c r="BR42" s="78"/>
      <c r="BS42" s="78"/>
      <c r="BT42" s="70"/>
      <c r="BU42" s="65"/>
      <c r="BV42" s="78"/>
      <c r="BW42" s="78"/>
      <c r="BX42" s="78"/>
      <c r="BY42" s="78"/>
      <c r="BZ42" s="70"/>
      <c r="CA42" s="80"/>
      <c r="CB42" s="78"/>
      <c r="CC42" s="78"/>
      <c r="CD42" s="78"/>
      <c r="CE42" s="78"/>
      <c r="CF42" s="70"/>
    </row>
    <row r="43" spans="1:84" ht="12" customHeight="1">
      <c r="A43" s="2" t="s">
        <v>143</v>
      </c>
      <c r="B43" s="64">
        <v>31</v>
      </c>
      <c r="C43" s="65">
        <v>10</v>
      </c>
      <c r="D43" s="66" t="s">
        <v>4</v>
      </c>
      <c r="E43" s="69" t="s">
        <v>91</v>
      </c>
      <c r="F43" s="70"/>
      <c r="G43" s="71">
        <v>752.5775609756098</v>
      </c>
      <c r="H43" s="72">
        <v>113.93170731707319</v>
      </c>
      <c r="I43" s="72">
        <v>638.64585365853657</v>
      </c>
      <c r="J43" s="72"/>
      <c r="K43" s="72"/>
      <c r="L43" s="73"/>
      <c r="M43" s="71">
        <v>1505.1551219512196</v>
      </c>
      <c r="N43" s="72">
        <v>227.86341463414638</v>
      </c>
      <c r="O43" s="72">
        <v>1277.2917073170731</v>
      </c>
      <c r="P43" s="72"/>
      <c r="Q43" s="72"/>
      <c r="R43" s="73"/>
      <c r="S43" s="71">
        <v>117</v>
      </c>
      <c r="T43" s="72">
        <v>117</v>
      </c>
      <c r="U43" s="72">
        <v>118</v>
      </c>
      <c r="V43" s="72">
        <v>118</v>
      </c>
      <c r="W43" s="72">
        <v>114</v>
      </c>
      <c r="X43" s="73">
        <v>118</v>
      </c>
      <c r="Y43" s="71">
        <v>641.4</v>
      </c>
      <c r="Z43" s="72">
        <v>637</v>
      </c>
      <c r="AA43" s="72">
        <v>631</v>
      </c>
      <c r="AB43" s="72">
        <v>629</v>
      </c>
      <c r="AC43" s="72">
        <v>655</v>
      </c>
      <c r="AD43" s="73">
        <v>655</v>
      </c>
      <c r="AE43" s="71"/>
      <c r="AF43" s="72"/>
      <c r="AG43" s="72"/>
      <c r="AH43" s="72"/>
      <c r="AI43" s="72"/>
      <c r="AJ43" s="73"/>
      <c r="AK43" s="71"/>
      <c r="AL43" s="72"/>
      <c r="AM43" s="72"/>
      <c r="AN43" s="72"/>
      <c r="AO43" s="72"/>
      <c r="AP43" s="73"/>
      <c r="AQ43" s="71"/>
      <c r="AR43" s="72"/>
      <c r="AS43" s="72"/>
      <c r="AT43" s="72"/>
      <c r="AU43" s="72"/>
      <c r="AV43" s="73"/>
      <c r="AW43" s="75">
        <v>0.77366630714343909</v>
      </c>
      <c r="AX43" s="76">
        <v>0.18900896042477466</v>
      </c>
      <c r="AY43" s="76">
        <v>-0.47537438811914301</v>
      </c>
      <c r="AZ43" s="76">
        <v>-0.74112772753671674</v>
      </c>
      <c r="BA43" s="76">
        <v>2.1821590060565832</v>
      </c>
      <c r="BB43" s="77">
        <v>2.7136656848917307</v>
      </c>
      <c r="BC43" s="65"/>
      <c r="BD43" s="78"/>
      <c r="BE43" s="78"/>
      <c r="BF43" s="78"/>
      <c r="BG43" s="78"/>
      <c r="BH43" s="70"/>
      <c r="BI43" s="65"/>
      <c r="BJ43" s="78"/>
      <c r="BK43" s="78"/>
      <c r="BL43" s="78"/>
      <c r="BM43" s="78"/>
      <c r="BN43" s="70"/>
      <c r="BO43" s="65"/>
      <c r="BP43" s="78"/>
      <c r="BQ43" s="78"/>
      <c r="BR43" s="78"/>
      <c r="BS43" s="78"/>
      <c r="BT43" s="70"/>
      <c r="BU43" s="65"/>
      <c r="BV43" s="78"/>
      <c r="BW43" s="78"/>
      <c r="BX43" s="78"/>
      <c r="BY43" s="78"/>
      <c r="BZ43" s="70"/>
      <c r="CA43" s="80"/>
      <c r="CB43" s="78"/>
      <c r="CC43" s="78"/>
      <c r="CD43" s="78"/>
      <c r="CE43" s="78"/>
      <c r="CF43" s="70"/>
    </row>
    <row r="44" spans="1:84" ht="12" customHeight="1">
      <c r="A44" s="2"/>
      <c r="B44" s="64">
        <v>32</v>
      </c>
      <c r="C44" s="65">
        <v>10</v>
      </c>
      <c r="D44" s="66" t="s">
        <v>4</v>
      </c>
      <c r="E44" s="69" t="s">
        <v>144</v>
      </c>
      <c r="F44" s="70"/>
      <c r="G44" s="71">
        <v>1026.2829268292683</v>
      </c>
      <c r="H44" s="72">
        <v>113.93170731707319</v>
      </c>
      <c r="I44" s="72">
        <v>912.35121951219514</v>
      </c>
      <c r="J44" s="72"/>
      <c r="K44" s="72"/>
      <c r="L44" s="73"/>
      <c r="M44" s="71">
        <v>2052.5658536585365</v>
      </c>
      <c r="N44" s="72">
        <v>227.86341463414638</v>
      </c>
      <c r="O44" s="72">
        <v>1824.7024390243903</v>
      </c>
      <c r="P44" s="72"/>
      <c r="Q44" s="72"/>
      <c r="R44" s="73"/>
      <c r="S44" s="71">
        <v>112.8</v>
      </c>
      <c r="T44" s="72">
        <v>118</v>
      </c>
      <c r="U44" s="72">
        <v>116</v>
      </c>
      <c r="V44" s="72">
        <v>112</v>
      </c>
      <c r="W44" s="72">
        <v>108</v>
      </c>
      <c r="X44" s="73">
        <v>110</v>
      </c>
      <c r="Y44" s="71">
        <v>917.6</v>
      </c>
      <c r="Z44" s="72">
        <v>912</v>
      </c>
      <c r="AA44" s="72">
        <v>922</v>
      </c>
      <c r="AB44" s="72">
        <v>892</v>
      </c>
      <c r="AC44" s="72">
        <v>922</v>
      </c>
      <c r="AD44" s="73">
        <v>940</v>
      </c>
      <c r="AE44" s="71"/>
      <c r="AF44" s="72"/>
      <c r="AG44" s="72"/>
      <c r="AH44" s="72"/>
      <c r="AI44" s="72"/>
      <c r="AJ44" s="73"/>
      <c r="AK44" s="71"/>
      <c r="AL44" s="72"/>
      <c r="AM44" s="72"/>
      <c r="AN44" s="72"/>
      <c r="AO44" s="72"/>
      <c r="AP44" s="73"/>
      <c r="AQ44" s="71"/>
      <c r="AR44" s="72"/>
      <c r="AS44" s="72"/>
      <c r="AT44" s="72"/>
      <c r="AU44" s="72"/>
      <c r="AV44" s="73"/>
      <c r="AW44" s="75">
        <v>0.40116356446187051</v>
      </c>
      <c r="AX44" s="76">
        <v>0.36218795748808041</v>
      </c>
      <c r="AY44" s="76">
        <v>1.1417000969637048</v>
      </c>
      <c r="AZ44" s="76">
        <v>-2.1712264958077432</v>
      </c>
      <c r="BA44" s="76">
        <v>0.36218795748808041</v>
      </c>
      <c r="BB44" s="77">
        <v>2.3109683061771635</v>
      </c>
      <c r="BC44" s="65"/>
      <c r="BD44" s="78"/>
      <c r="BE44" s="78"/>
      <c r="BF44" s="78"/>
      <c r="BG44" s="78"/>
      <c r="BH44" s="70"/>
      <c r="BI44" s="65"/>
      <c r="BJ44" s="78"/>
      <c r="BK44" s="78"/>
      <c r="BL44" s="78"/>
      <c r="BM44" s="78"/>
      <c r="BN44" s="70"/>
      <c r="BO44" s="65"/>
      <c r="BP44" s="78"/>
      <c r="BQ44" s="78"/>
      <c r="BR44" s="78"/>
      <c r="BS44" s="78"/>
      <c r="BT44" s="70"/>
      <c r="BU44" s="65"/>
      <c r="BV44" s="78"/>
      <c r="BW44" s="78"/>
      <c r="BX44" s="78"/>
      <c r="BY44" s="78"/>
      <c r="BZ44" s="70"/>
      <c r="CA44" s="80"/>
      <c r="CB44" s="78"/>
      <c r="CC44" s="78"/>
      <c r="CD44" s="78"/>
      <c r="CE44" s="78"/>
      <c r="CF44" s="70"/>
    </row>
    <row r="45" spans="1:84" ht="12" customHeight="1">
      <c r="A45" s="2"/>
      <c r="B45" s="64">
        <v>33</v>
      </c>
      <c r="C45" s="65">
        <v>10</v>
      </c>
      <c r="D45" s="66" t="s">
        <v>4</v>
      </c>
      <c r="E45" s="69" t="s">
        <v>92</v>
      </c>
      <c r="F45" s="70"/>
      <c r="G45" s="71">
        <v>912.23902439024403</v>
      </c>
      <c r="H45" s="72">
        <v>113.93170731707319</v>
      </c>
      <c r="I45" s="72">
        <v>798.30731707317079</v>
      </c>
      <c r="J45" s="72"/>
      <c r="K45" s="72"/>
      <c r="L45" s="73"/>
      <c r="M45" s="71">
        <v>1824.4780487804883</v>
      </c>
      <c r="N45" s="72">
        <v>227.86341463414638</v>
      </c>
      <c r="O45" s="72">
        <v>1596.6146341463418</v>
      </c>
      <c r="P45" s="72"/>
      <c r="Q45" s="72"/>
      <c r="R45" s="73"/>
      <c r="S45" s="71">
        <v>111.6</v>
      </c>
      <c r="T45" s="72">
        <v>116</v>
      </c>
      <c r="U45" s="72">
        <v>106</v>
      </c>
      <c r="V45" s="72">
        <v>114</v>
      </c>
      <c r="W45" s="72">
        <v>110</v>
      </c>
      <c r="X45" s="73">
        <v>112</v>
      </c>
      <c r="Y45" s="71">
        <v>787.8</v>
      </c>
      <c r="Z45" s="72">
        <v>784</v>
      </c>
      <c r="AA45" s="72">
        <v>776</v>
      </c>
      <c r="AB45" s="72">
        <v>795</v>
      </c>
      <c r="AC45" s="72">
        <v>793</v>
      </c>
      <c r="AD45" s="73">
        <v>791</v>
      </c>
      <c r="AE45" s="71"/>
      <c r="AF45" s="72"/>
      <c r="AG45" s="72"/>
      <c r="AH45" s="72"/>
      <c r="AI45" s="72"/>
      <c r="AJ45" s="73"/>
      <c r="AK45" s="71"/>
      <c r="AL45" s="72"/>
      <c r="AM45" s="72"/>
      <c r="AN45" s="72"/>
      <c r="AO45" s="72"/>
      <c r="AP45" s="73"/>
      <c r="AQ45" s="71"/>
      <c r="AR45" s="72"/>
      <c r="AS45" s="72"/>
      <c r="AT45" s="72"/>
      <c r="AU45" s="72"/>
      <c r="AV45" s="73"/>
      <c r="AW45" s="75">
        <v>-1.4074188942778343</v>
      </c>
      <c r="AX45" s="76">
        <v>-1.3416466587169773</v>
      </c>
      <c r="AY45" s="76">
        <v>-3.3148137255426313</v>
      </c>
      <c r="AZ45" s="76">
        <v>-0.35506312530414474</v>
      </c>
      <c r="BA45" s="76">
        <v>-1.0127854809126924</v>
      </c>
      <c r="BB45" s="77">
        <v>-1.0127854809126924</v>
      </c>
      <c r="BC45" s="65"/>
      <c r="BD45" s="78"/>
      <c r="BE45" s="78"/>
      <c r="BF45" s="78"/>
      <c r="BG45" s="78"/>
      <c r="BH45" s="70"/>
      <c r="BI45" s="65"/>
      <c r="BJ45" s="78"/>
      <c r="BK45" s="78"/>
      <c r="BL45" s="78"/>
      <c r="BM45" s="78"/>
      <c r="BN45" s="70"/>
      <c r="BO45" s="65"/>
      <c r="BP45" s="78"/>
      <c r="BQ45" s="78"/>
      <c r="BR45" s="78"/>
      <c r="BS45" s="78"/>
      <c r="BT45" s="70"/>
      <c r="BU45" s="65"/>
      <c r="BV45" s="78"/>
      <c r="BW45" s="78"/>
      <c r="BX45" s="78"/>
      <c r="BY45" s="78"/>
      <c r="BZ45" s="70"/>
      <c r="CA45" s="80"/>
      <c r="CB45" s="78"/>
      <c r="CC45" s="78"/>
      <c r="CD45" s="78"/>
      <c r="CE45" s="78"/>
      <c r="CF45" s="70"/>
    </row>
    <row r="46" spans="1:84" ht="12" customHeight="1">
      <c r="A46" s="2" t="s">
        <v>143</v>
      </c>
      <c r="B46" s="64">
        <v>34</v>
      </c>
      <c r="C46" s="65">
        <v>10</v>
      </c>
      <c r="D46" s="66" t="s">
        <v>4</v>
      </c>
      <c r="E46" s="69" t="s">
        <v>141</v>
      </c>
      <c r="F46" s="70"/>
      <c r="G46" s="71">
        <v>1391.2234146341464</v>
      </c>
      <c r="H46" s="72">
        <v>113.93170731707319</v>
      </c>
      <c r="I46" s="72">
        <v>1277.2917073170731</v>
      </c>
      <c r="J46" s="72"/>
      <c r="K46" s="72"/>
      <c r="L46" s="73"/>
      <c r="M46" s="71">
        <v>2782.4468292682927</v>
      </c>
      <c r="N46" s="72">
        <v>227.86341463414638</v>
      </c>
      <c r="O46" s="72">
        <v>2554.5834146341463</v>
      </c>
      <c r="P46" s="72"/>
      <c r="Q46" s="72"/>
      <c r="R46" s="73"/>
      <c r="S46" s="71">
        <v>115.6</v>
      </c>
      <c r="T46" s="72">
        <v>116</v>
      </c>
      <c r="U46" s="72">
        <v>114</v>
      </c>
      <c r="V46" s="72">
        <v>120</v>
      </c>
      <c r="W46" s="72">
        <v>108</v>
      </c>
      <c r="X46" s="73">
        <v>120</v>
      </c>
      <c r="Y46" s="71">
        <v>1289</v>
      </c>
      <c r="Z46" s="72">
        <v>1257</v>
      </c>
      <c r="AA46" s="72">
        <v>1331</v>
      </c>
      <c r="AB46" s="72">
        <v>1261</v>
      </c>
      <c r="AC46" s="72">
        <v>1284</v>
      </c>
      <c r="AD46" s="73">
        <v>1312</v>
      </c>
      <c r="AE46" s="71"/>
      <c r="AF46" s="72"/>
      <c r="AG46" s="72"/>
      <c r="AH46" s="72"/>
      <c r="AI46" s="72"/>
      <c r="AJ46" s="73"/>
      <c r="AK46" s="71"/>
      <c r="AL46" s="72"/>
      <c r="AM46" s="72"/>
      <c r="AN46" s="72"/>
      <c r="AO46" s="72"/>
      <c r="AP46" s="73"/>
      <c r="AQ46" s="71"/>
      <c r="AR46" s="72"/>
      <c r="AS46" s="72"/>
      <c r="AT46" s="72"/>
      <c r="AU46" s="72"/>
      <c r="AV46" s="73"/>
      <c r="AW46" s="75">
        <v>0.96149800421316822</v>
      </c>
      <c r="AX46" s="76">
        <v>-1.3098841237471959</v>
      </c>
      <c r="AY46" s="76">
        <v>3.8654169273017347</v>
      </c>
      <c r="AZ46" s="76">
        <v>-0.73485067363064926</v>
      </c>
      <c r="BA46" s="76">
        <v>5.5820320279598157E-2</v>
      </c>
      <c r="BB46" s="77">
        <v>2.9309875708623423</v>
      </c>
      <c r="BC46" s="65"/>
      <c r="BD46" s="78"/>
      <c r="BE46" s="78"/>
      <c r="BF46" s="78"/>
      <c r="BG46" s="78"/>
      <c r="BH46" s="70"/>
      <c r="BI46" s="65"/>
      <c r="BJ46" s="78"/>
      <c r="BK46" s="78"/>
      <c r="BL46" s="78"/>
      <c r="BM46" s="78"/>
      <c r="BN46" s="70"/>
      <c r="BO46" s="65"/>
      <c r="BP46" s="78"/>
      <c r="BQ46" s="78"/>
      <c r="BR46" s="78"/>
      <c r="BS46" s="78"/>
      <c r="BT46" s="70"/>
      <c r="BU46" s="65"/>
      <c r="BV46" s="78"/>
      <c r="BW46" s="78"/>
      <c r="BX46" s="78"/>
      <c r="BY46" s="78"/>
      <c r="BZ46" s="70"/>
      <c r="CA46" s="80"/>
      <c r="CB46" s="78"/>
      <c r="CC46" s="78"/>
      <c r="CD46" s="78"/>
      <c r="CE46" s="78"/>
      <c r="CF46" s="70"/>
    </row>
    <row r="47" spans="1:84" ht="12" customHeight="1">
      <c r="A47" s="2" t="s">
        <v>143</v>
      </c>
      <c r="B47" s="64">
        <v>35</v>
      </c>
      <c r="C47" s="65">
        <v>10</v>
      </c>
      <c r="D47" s="66" t="s">
        <v>4</v>
      </c>
      <c r="E47" s="69" t="s">
        <v>98</v>
      </c>
      <c r="F47" s="70"/>
      <c r="G47" s="71">
        <v>1231.5619512195121</v>
      </c>
      <c r="H47" s="72">
        <v>113.93170731707319</v>
      </c>
      <c r="I47" s="72">
        <v>1117.6302439024389</v>
      </c>
      <c r="J47" s="72"/>
      <c r="K47" s="72"/>
      <c r="L47" s="73"/>
      <c r="M47" s="71">
        <v>2463.1239024390243</v>
      </c>
      <c r="N47" s="72">
        <v>227.86341463414638</v>
      </c>
      <c r="O47" s="72">
        <v>2235.2604878048778</v>
      </c>
      <c r="P47" s="72"/>
      <c r="Q47" s="72"/>
      <c r="R47" s="73"/>
      <c r="S47" s="71">
        <v>114.2</v>
      </c>
      <c r="T47" s="72">
        <v>110</v>
      </c>
      <c r="U47" s="72">
        <v>108</v>
      </c>
      <c r="V47" s="72">
        <v>118</v>
      </c>
      <c r="W47" s="72">
        <v>118</v>
      </c>
      <c r="X47" s="73">
        <v>117</v>
      </c>
      <c r="Y47" s="71">
        <v>1094.4000000000001</v>
      </c>
      <c r="Z47" s="72">
        <v>1048</v>
      </c>
      <c r="AA47" s="72">
        <v>1088</v>
      </c>
      <c r="AB47" s="72">
        <v>1125</v>
      </c>
      <c r="AC47" s="72">
        <v>1098</v>
      </c>
      <c r="AD47" s="73">
        <v>1113</v>
      </c>
      <c r="AE47" s="71"/>
      <c r="AF47" s="72"/>
      <c r="AG47" s="72"/>
      <c r="AH47" s="72"/>
      <c r="AI47" s="72"/>
      <c r="AJ47" s="73"/>
      <c r="AK47" s="71"/>
      <c r="AL47" s="72"/>
      <c r="AM47" s="72"/>
      <c r="AN47" s="72"/>
      <c r="AO47" s="72"/>
      <c r="AP47" s="73"/>
      <c r="AQ47" s="71"/>
      <c r="AR47" s="72"/>
      <c r="AS47" s="72"/>
      <c r="AT47" s="72"/>
      <c r="AU47" s="72"/>
      <c r="AV47" s="73"/>
      <c r="AW47" s="75">
        <v>-1.8644576666869805</v>
      </c>
      <c r="AX47" s="76">
        <v>-5.973061375164268</v>
      </c>
      <c r="AY47" s="76">
        <v>-2.88754870871889</v>
      </c>
      <c r="AZ47" s="76">
        <v>0.92874327346357255</v>
      </c>
      <c r="BA47" s="76">
        <v>-1.2635946737476256</v>
      </c>
      <c r="BB47" s="77">
        <v>-0.12682684926774712</v>
      </c>
      <c r="BC47" s="65"/>
      <c r="BD47" s="78"/>
      <c r="BE47" s="78"/>
      <c r="BF47" s="78"/>
      <c r="BG47" s="78"/>
      <c r="BH47" s="70"/>
      <c r="BI47" s="65"/>
      <c r="BJ47" s="78"/>
      <c r="BK47" s="78"/>
      <c r="BL47" s="78"/>
      <c r="BM47" s="78"/>
      <c r="BN47" s="70"/>
      <c r="BO47" s="65"/>
      <c r="BP47" s="78"/>
      <c r="BQ47" s="78"/>
      <c r="BR47" s="78"/>
      <c r="BS47" s="78"/>
      <c r="BT47" s="70"/>
      <c r="BU47" s="65"/>
      <c r="BV47" s="78"/>
      <c r="BW47" s="78"/>
      <c r="BX47" s="78"/>
      <c r="BY47" s="78"/>
      <c r="BZ47" s="70"/>
      <c r="CA47" s="80"/>
      <c r="CB47" s="78"/>
      <c r="CC47" s="78"/>
      <c r="CD47" s="78"/>
      <c r="CE47" s="78"/>
      <c r="CF47" s="70"/>
    </row>
    <row r="48" spans="1:84" ht="12" customHeight="1">
      <c r="A48" s="2"/>
      <c r="B48" s="64">
        <v>36</v>
      </c>
      <c r="C48" s="65">
        <v>10</v>
      </c>
      <c r="D48" s="66" t="s">
        <v>4</v>
      </c>
      <c r="E48" s="69" t="s">
        <v>146</v>
      </c>
      <c r="F48" s="70"/>
      <c r="G48" s="71">
        <v>1083.2487804878049</v>
      </c>
      <c r="H48" s="72">
        <v>170.89756097560979</v>
      </c>
      <c r="I48" s="72">
        <v>912.35121951219514</v>
      </c>
      <c r="J48" s="72"/>
      <c r="K48" s="72"/>
      <c r="L48" s="73"/>
      <c r="M48" s="71">
        <v>2166.4975609756098</v>
      </c>
      <c r="N48" s="72">
        <v>341.79512195121953</v>
      </c>
      <c r="O48" s="72">
        <v>1824.7024390243903</v>
      </c>
      <c r="P48" s="72"/>
      <c r="Q48" s="72"/>
      <c r="R48" s="73"/>
      <c r="S48" s="71">
        <v>172</v>
      </c>
      <c r="T48" s="72">
        <v>177</v>
      </c>
      <c r="U48" s="72">
        <v>166</v>
      </c>
      <c r="V48" s="72">
        <v>171</v>
      </c>
      <c r="W48" s="72">
        <v>169</v>
      </c>
      <c r="X48" s="73">
        <v>177</v>
      </c>
      <c r="Y48" s="71">
        <v>915.8</v>
      </c>
      <c r="Z48" s="72">
        <v>918</v>
      </c>
      <c r="AA48" s="72">
        <v>876</v>
      </c>
      <c r="AB48" s="72">
        <v>930</v>
      </c>
      <c r="AC48" s="72">
        <v>931</v>
      </c>
      <c r="AD48" s="73">
        <v>924</v>
      </c>
      <c r="AE48" s="71"/>
      <c r="AF48" s="72"/>
      <c r="AG48" s="72"/>
      <c r="AH48" s="72"/>
      <c r="AI48" s="72"/>
      <c r="AJ48" s="73"/>
      <c r="AK48" s="71"/>
      <c r="AL48" s="72"/>
      <c r="AM48" s="72"/>
      <c r="AN48" s="72"/>
      <c r="AO48" s="72"/>
      <c r="AP48" s="73"/>
      <c r="AQ48" s="71"/>
      <c r="AR48" s="72"/>
      <c r="AS48" s="72"/>
      <c r="AT48" s="72"/>
      <c r="AU48" s="72"/>
      <c r="AV48" s="73"/>
      <c r="AW48" s="75">
        <v>0.42014536218961673</v>
      </c>
      <c r="AX48" s="76">
        <v>1.0848126232741562</v>
      </c>
      <c r="AY48" s="76">
        <v>-3.8078769374870536</v>
      </c>
      <c r="AZ48" s="76">
        <v>1.6387020075112835</v>
      </c>
      <c r="BA48" s="76">
        <v>1.5463871101384363</v>
      </c>
      <c r="BB48" s="77">
        <v>1.6387020075112835</v>
      </c>
      <c r="BC48" s="65"/>
      <c r="BD48" s="78"/>
      <c r="BE48" s="78"/>
      <c r="BF48" s="78"/>
      <c r="BG48" s="78"/>
      <c r="BH48" s="70"/>
      <c r="BI48" s="65"/>
      <c r="BJ48" s="78"/>
      <c r="BK48" s="78"/>
      <c r="BL48" s="78"/>
      <c r="BM48" s="78"/>
      <c r="BN48" s="70"/>
      <c r="BO48" s="65"/>
      <c r="BP48" s="78"/>
      <c r="BQ48" s="78"/>
      <c r="BR48" s="78"/>
      <c r="BS48" s="78"/>
      <c r="BT48" s="70"/>
      <c r="BU48" s="65"/>
      <c r="BV48" s="78"/>
      <c r="BW48" s="78"/>
      <c r="BX48" s="78"/>
      <c r="BY48" s="78"/>
      <c r="BZ48" s="70"/>
      <c r="CA48" s="80"/>
      <c r="CB48" s="78"/>
      <c r="CC48" s="78"/>
      <c r="CD48" s="78"/>
      <c r="CE48" s="78"/>
      <c r="CF48" s="70"/>
    </row>
    <row r="49" spans="1:84" ht="12" customHeight="1">
      <c r="A49" s="2"/>
      <c r="B49" s="64">
        <v>37</v>
      </c>
      <c r="C49" s="65">
        <v>10</v>
      </c>
      <c r="D49" s="66" t="s">
        <v>4</v>
      </c>
      <c r="E49" s="69" t="s">
        <v>111</v>
      </c>
      <c r="F49" s="70"/>
      <c r="G49" s="71">
        <v>969.20487804878053</v>
      </c>
      <c r="H49" s="72">
        <v>170.89756097560979</v>
      </c>
      <c r="I49" s="72">
        <v>798.30731707317079</v>
      </c>
      <c r="J49" s="72"/>
      <c r="K49" s="72"/>
      <c r="L49" s="73"/>
      <c r="M49" s="71">
        <v>1938.4097560975613</v>
      </c>
      <c r="N49" s="72">
        <v>341.79512195121953</v>
      </c>
      <c r="O49" s="72">
        <v>1596.6146341463418</v>
      </c>
      <c r="P49" s="72"/>
      <c r="Q49" s="72"/>
      <c r="R49" s="73"/>
      <c r="S49" s="71">
        <v>170.4</v>
      </c>
      <c r="T49" s="72">
        <v>162</v>
      </c>
      <c r="U49" s="72">
        <v>181</v>
      </c>
      <c r="V49" s="72">
        <v>169</v>
      </c>
      <c r="W49" s="72">
        <v>160</v>
      </c>
      <c r="X49" s="73">
        <v>180</v>
      </c>
      <c r="Y49" s="71">
        <v>777.2</v>
      </c>
      <c r="Z49" s="72">
        <v>737</v>
      </c>
      <c r="AA49" s="72">
        <v>807</v>
      </c>
      <c r="AB49" s="72">
        <v>799</v>
      </c>
      <c r="AC49" s="72">
        <v>766</v>
      </c>
      <c r="AD49" s="73">
        <v>777</v>
      </c>
      <c r="AE49" s="71"/>
      <c r="AF49" s="72"/>
      <c r="AG49" s="72"/>
      <c r="AH49" s="72"/>
      <c r="AI49" s="72"/>
      <c r="AJ49" s="73"/>
      <c r="AK49" s="71"/>
      <c r="AL49" s="72"/>
      <c r="AM49" s="72"/>
      <c r="AN49" s="72"/>
      <c r="AO49" s="72"/>
      <c r="AP49" s="73"/>
      <c r="AQ49" s="71"/>
      <c r="AR49" s="72"/>
      <c r="AS49" s="72"/>
      <c r="AT49" s="72"/>
      <c r="AU49" s="72"/>
      <c r="AV49" s="73"/>
      <c r="AW49" s="75">
        <v>-2.2291342664593095</v>
      </c>
      <c r="AX49" s="76">
        <v>-7.2435539315606974</v>
      </c>
      <c r="AY49" s="76">
        <v>1.9392310518554279</v>
      </c>
      <c r="AZ49" s="76">
        <v>-0.12431613542909226</v>
      </c>
      <c r="BA49" s="76">
        <v>-4.4577652287265952</v>
      </c>
      <c r="BB49" s="77">
        <v>-1.2592670884355783</v>
      </c>
      <c r="BC49" s="65"/>
      <c r="BD49" s="78"/>
      <c r="BE49" s="78"/>
      <c r="BF49" s="78"/>
      <c r="BG49" s="78"/>
      <c r="BH49" s="70"/>
      <c r="BI49" s="65"/>
      <c r="BJ49" s="78"/>
      <c r="BK49" s="78"/>
      <c r="BL49" s="78"/>
      <c r="BM49" s="78"/>
      <c r="BN49" s="70"/>
      <c r="BO49" s="65"/>
      <c r="BP49" s="78"/>
      <c r="BQ49" s="78"/>
      <c r="BR49" s="78"/>
      <c r="BS49" s="78"/>
      <c r="BT49" s="70"/>
      <c r="BU49" s="65"/>
      <c r="BV49" s="78"/>
      <c r="BW49" s="78"/>
      <c r="BX49" s="78"/>
      <c r="BY49" s="78"/>
      <c r="BZ49" s="70"/>
      <c r="CA49" s="80"/>
      <c r="CB49" s="78"/>
      <c r="CC49" s="78"/>
      <c r="CD49" s="78"/>
      <c r="CE49" s="78"/>
      <c r="CF49" s="70"/>
    </row>
    <row r="50" spans="1:84" ht="12" customHeight="1">
      <c r="A50" s="2" t="s">
        <v>143</v>
      </c>
      <c r="B50" s="64">
        <v>38</v>
      </c>
      <c r="C50" s="65">
        <v>10</v>
      </c>
      <c r="D50" s="66" t="s">
        <v>4</v>
      </c>
      <c r="E50" s="69" t="s">
        <v>134</v>
      </c>
      <c r="F50" s="70"/>
      <c r="G50" s="71">
        <v>809.5434146341463</v>
      </c>
      <c r="H50" s="72">
        <v>170.89756097560979</v>
      </c>
      <c r="I50" s="72">
        <v>638.64585365853657</v>
      </c>
      <c r="J50" s="72"/>
      <c r="K50" s="72"/>
      <c r="L50" s="73"/>
      <c r="M50" s="71">
        <v>1619.0868292682926</v>
      </c>
      <c r="N50" s="72">
        <v>341.79512195121953</v>
      </c>
      <c r="O50" s="72">
        <v>1277.2917073170731</v>
      </c>
      <c r="P50" s="72"/>
      <c r="Q50" s="72"/>
      <c r="R50" s="73"/>
      <c r="S50" s="71">
        <v>171.2</v>
      </c>
      <c r="T50" s="72">
        <v>160</v>
      </c>
      <c r="U50" s="72">
        <v>172</v>
      </c>
      <c r="V50" s="72">
        <v>170</v>
      </c>
      <c r="W50" s="72">
        <v>180</v>
      </c>
      <c r="X50" s="73">
        <v>174</v>
      </c>
      <c r="Y50" s="71">
        <v>640.4</v>
      </c>
      <c r="Z50" s="72">
        <v>670</v>
      </c>
      <c r="AA50" s="72">
        <v>621</v>
      </c>
      <c r="AB50" s="72">
        <v>643</v>
      </c>
      <c r="AC50" s="72">
        <v>639</v>
      </c>
      <c r="AD50" s="73">
        <v>629</v>
      </c>
      <c r="AE50" s="71"/>
      <c r="AF50" s="72"/>
      <c r="AG50" s="72"/>
      <c r="AH50" s="72"/>
      <c r="AI50" s="72"/>
      <c r="AJ50" s="73"/>
      <c r="AK50" s="71"/>
      <c r="AL50" s="72"/>
      <c r="AM50" s="72"/>
      <c r="AN50" s="72"/>
      <c r="AO50" s="72"/>
      <c r="AP50" s="73"/>
      <c r="AQ50" s="71"/>
      <c r="AR50" s="72"/>
      <c r="AS50" s="72"/>
      <c r="AT50" s="72"/>
      <c r="AU50" s="72"/>
      <c r="AV50" s="73"/>
      <c r="AW50" s="75">
        <v>0.25404262806374422</v>
      </c>
      <c r="AX50" s="76">
        <v>2.5269287596019208</v>
      </c>
      <c r="AY50" s="76">
        <v>-2.0435487875128611</v>
      </c>
      <c r="AZ50" s="76">
        <v>0.42697961633297865</v>
      </c>
      <c r="BA50" s="76">
        <v>1.1681381374867073</v>
      </c>
      <c r="BB50" s="77">
        <v>-0.80828458558994676</v>
      </c>
      <c r="BC50" s="65"/>
      <c r="BD50" s="78"/>
      <c r="BE50" s="78"/>
      <c r="BF50" s="78"/>
      <c r="BG50" s="78"/>
      <c r="BH50" s="70"/>
      <c r="BI50" s="65"/>
      <c r="BJ50" s="78"/>
      <c r="BK50" s="78"/>
      <c r="BL50" s="78"/>
      <c r="BM50" s="78"/>
      <c r="BN50" s="70"/>
      <c r="BO50" s="65"/>
      <c r="BP50" s="78"/>
      <c r="BQ50" s="78"/>
      <c r="BR50" s="78"/>
      <c r="BS50" s="78"/>
      <c r="BT50" s="70"/>
      <c r="BU50" s="65"/>
      <c r="BV50" s="78"/>
      <c r="BW50" s="78"/>
      <c r="BX50" s="78"/>
      <c r="BY50" s="78"/>
      <c r="BZ50" s="70"/>
      <c r="CA50" s="80"/>
      <c r="CB50" s="78"/>
      <c r="CC50" s="78"/>
      <c r="CD50" s="78"/>
      <c r="CE50" s="78"/>
      <c r="CF50" s="70"/>
    </row>
    <row r="51" spans="1:84" ht="12" customHeight="1">
      <c r="A51" s="2" t="s">
        <v>143</v>
      </c>
      <c r="B51" s="64">
        <v>39</v>
      </c>
      <c r="C51" s="65">
        <v>10</v>
      </c>
      <c r="D51" s="66" t="s">
        <v>4</v>
      </c>
      <c r="E51" s="69" t="s">
        <v>147</v>
      </c>
      <c r="F51" s="70"/>
      <c r="G51" s="71">
        <v>1448.189268292683</v>
      </c>
      <c r="H51" s="72">
        <v>170.89756097560979</v>
      </c>
      <c r="I51" s="72">
        <v>1277.2917073170731</v>
      </c>
      <c r="J51" s="72"/>
      <c r="K51" s="72"/>
      <c r="L51" s="73"/>
      <c r="M51" s="71">
        <v>2896.378536585366</v>
      </c>
      <c r="N51" s="72">
        <v>341.79512195121953</v>
      </c>
      <c r="O51" s="72">
        <v>2554.5834146341463</v>
      </c>
      <c r="P51" s="72"/>
      <c r="Q51" s="72"/>
      <c r="R51" s="73"/>
      <c r="S51" s="71">
        <v>173.6</v>
      </c>
      <c r="T51" s="72">
        <v>180</v>
      </c>
      <c r="U51" s="72">
        <v>180</v>
      </c>
      <c r="V51" s="72">
        <v>171</v>
      </c>
      <c r="W51" s="72">
        <v>172</v>
      </c>
      <c r="X51" s="73">
        <v>165</v>
      </c>
      <c r="Y51" s="71">
        <v>1270.5999999999999</v>
      </c>
      <c r="Z51" s="72">
        <v>1258</v>
      </c>
      <c r="AA51" s="72">
        <v>1298</v>
      </c>
      <c r="AB51" s="72">
        <v>1227</v>
      </c>
      <c r="AC51" s="72">
        <v>1264</v>
      </c>
      <c r="AD51" s="73">
        <v>1306</v>
      </c>
      <c r="AE51" s="71"/>
      <c r="AF51" s="72"/>
      <c r="AG51" s="72"/>
      <c r="AH51" s="72"/>
      <c r="AI51" s="72"/>
      <c r="AJ51" s="73"/>
      <c r="AK51" s="71"/>
      <c r="AL51" s="72"/>
      <c r="AM51" s="72"/>
      <c r="AN51" s="72"/>
      <c r="AO51" s="72"/>
      <c r="AP51" s="73"/>
      <c r="AQ51" s="71"/>
      <c r="AR51" s="72"/>
      <c r="AS51" s="72"/>
      <c r="AT51" s="72"/>
      <c r="AU51" s="72"/>
      <c r="AV51" s="73"/>
      <c r="AW51" s="75">
        <v>-0.27546594772009936</v>
      </c>
      <c r="AX51" s="76">
        <v>-0.70358678356285953</v>
      </c>
      <c r="AY51" s="76">
        <v>2.0584831251001967</v>
      </c>
      <c r="AZ51" s="76">
        <v>-3.4656566922259269</v>
      </c>
      <c r="BA51" s="76">
        <v>-0.84169027899601012</v>
      </c>
      <c r="BB51" s="77">
        <v>1.5751208910841585</v>
      </c>
      <c r="BC51" s="65"/>
      <c r="BD51" s="78"/>
      <c r="BE51" s="78"/>
      <c r="BF51" s="78"/>
      <c r="BG51" s="78"/>
      <c r="BH51" s="70"/>
      <c r="BI51" s="65"/>
      <c r="BJ51" s="78"/>
      <c r="BK51" s="78"/>
      <c r="BL51" s="78"/>
      <c r="BM51" s="78"/>
      <c r="BN51" s="70"/>
      <c r="BO51" s="65"/>
      <c r="BP51" s="78"/>
      <c r="BQ51" s="78"/>
      <c r="BR51" s="78"/>
      <c r="BS51" s="78"/>
      <c r="BT51" s="70"/>
      <c r="BU51" s="65"/>
      <c r="BV51" s="78"/>
      <c r="BW51" s="78"/>
      <c r="BX51" s="78"/>
      <c r="BY51" s="78"/>
      <c r="BZ51" s="70"/>
      <c r="CA51" s="80"/>
      <c r="CB51" s="78"/>
      <c r="CC51" s="78"/>
      <c r="CD51" s="78"/>
      <c r="CE51" s="78"/>
      <c r="CF51" s="70"/>
    </row>
    <row r="52" spans="1:84" ht="12" customHeight="1">
      <c r="A52" s="2" t="s">
        <v>143</v>
      </c>
      <c r="B52" s="64">
        <v>40</v>
      </c>
      <c r="C52" s="65">
        <v>10</v>
      </c>
      <c r="D52" s="66" t="s">
        <v>4</v>
      </c>
      <c r="E52" s="69" t="s">
        <v>135</v>
      </c>
      <c r="F52" s="70"/>
      <c r="G52" s="71">
        <v>1288.5278048780488</v>
      </c>
      <c r="H52" s="72">
        <v>170.89756097560979</v>
      </c>
      <c r="I52" s="72">
        <v>1117.6302439024389</v>
      </c>
      <c r="J52" s="72"/>
      <c r="K52" s="72"/>
      <c r="L52" s="73"/>
      <c r="M52" s="71">
        <v>2577.0556097560975</v>
      </c>
      <c r="N52" s="72">
        <v>341.79512195121953</v>
      </c>
      <c r="O52" s="72">
        <v>2235.2604878048778</v>
      </c>
      <c r="P52" s="72"/>
      <c r="Q52" s="72"/>
      <c r="R52" s="73"/>
      <c r="S52" s="71">
        <v>172</v>
      </c>
      <c r="T52" s="72">
        <v>178</v>
      </c>
      <c r="U52" s="72">
        <v>177</v>
      </c>
      <c r="V52" s="72">
        <v>162</v>
      </c>
      <c r="W52" s="72">
        <v>172</v>
      </c>
      <c r="X52" s="73">
        <v>171</v>
      </c>
      <c r="Y52" s="71">
        <v>1105.5999999999999</v>
      </c>
      <c r="Z52" s="72">
        <v>1106</v>
      </c>
      <c r="AA52" s="72">
        <v>1112</v>
      </c>
      <c r="AB52" s="72">
        <v>1100</v>
      </c>
      <c r="AC52" s="72">
        <v>1111</v>
      </c>
      <c r="AD52" s="73">
        <v>1099</v>
      </c>
      <c r="AE52" s="71"/>
      <c r="AF52" s="72"/>
      <c r="AG52" s="72"/>
      <c r="AH52" s="72"/>
      <c r="AI52" s="72"/>
      <c r="AJ52" s="73"/>
      <c r="AK52" s="71"/>
      <c r="AL52" s="72"/>
      <c r="AM52" s="72"/>
      <c r="AN52" s="72"/>
      <c r="AO52" s="72"/>
      <c r="AP52" s="73"/>
      <c r="AQ52" s="71"/>
      <c r="AR52" s="72"/>
      <c r="AS52" s="72"/>
      <c r="AT52" s="72"/>
      <c r="AU52" s="72"/>
      <c r="AV52" s="73"/>
      <c r="AW52" s="75">
        <v>-0.84808452224925945</v>
      </c>
      <c r="AX52" s="76">
        <v>-0.35139364947404106</v>
      </c>
      <c r="AY52" s="76">
        <v>3.664609488158721E-2</v>
      </c>
      <c r="AZ52" s="76">
        <v>-2.058768524638821</v>
      </c>
      <c r="BA52" s="76">
        <v>-0.42900159834516893</v>
      </c>
      <c r="BB52" s="77">
        <v>-1.4379049336698091</v>
      </c>
      <c r="BC52" s="65"/>
      <c r="BD52" s="78"/>
      <c r="BE52" s="78"/>
      <c r="BF52" s="78"/>
      <c r="BG52" s="78"/>
      <c r="BH52" s="70"/>
      <c r="BI52" s="65"/>
      <c r="BJ52" s="78"/>
      <c r="BK52" s="78"/>
      <c r="BL52" s="78"/>
      <c r="BM52" s="78"/>
      <c r="BN52" s="70"/>
      <c r="BO52" s="65"/>
      <c r="BP52" s="78"/>
      <c r="BQ52" s="78"/>
      <c r="BR52" s="78"/>
      <c r="BS52" s="78"/>
      <c r="BT52" s="70"/>
      <c r="BU52" s="65"/>
      <c r="BV52" s="78"/>
      <c r="BW52" s="78"/>
      <c r="BX52" s="78"/>
      <c r="BY52" s="78"/>
      <c r="BZ52" s="70"/>
      <c r="CA52" s="80"/>
      <c r="CB52" s="78"/>
      <c r="CC52" s="78"/>
      <c r="CD52" s="78"/>
      <c r="CE52" s="78"/>
      <c r="CF52" s="70"/>
    </row>
    <row r="53" spans="1:84" ht="12" customHeight="1">
      <c r="A53" s="2"/>
      <c r="B53" s="64">
        <v>41</v>
      </c>
      <c r="C53" s="65">
        <v>10</v>
      </c>
      <c r="D53" s="66" t="s">
        <v>5</v>
      </c>
      <c r="E53" s="69" t="s">
        <v>67</v>
      </c>
      <c r="F53" s="70">
        <v>9</v>
      </c>
      <c r="G53" s="71">
        <v>461.76585365853651</v>
      </c>
      <c r="H53" s="72">
        <v>461.76585365853651</v>
      </c>
      <c r="I53" s="72"/>
      <c r="J53" s="72"/>
      <c r="K53" s="72"/>
      <c r="L53" s="73"/>
      <c r="M53" s="71">
        <v>923.53170731707303</v>
      </c>
      <c r="N53" s="72">
        <v>923.53170731707303</v>
      </c>
      <c r="O53" s="72"/>
      <c r="P53" s="72"/>
      <c r="Q53" s="72"/>
      <c r="R53" s="73"/>
      <c r="S53" s="71">
        <v>460</v>
      </c>
      <c r="T53" s="72">
        <v>461</v>
      </c>
      <c r="U53" s="72">
        <v>458</v>
      </c>
      <c r="V53" s="72">
        <v>460</v>
      </c>
      <c r="W53" s="72">
        <v>461</v>
      </c>
      <c r="X53" s="73">
        <v>460</v>
      </c>
      <c r="Y53" s="71"/>
      <c r="Z53" s="72"/>
      <c r="AA53" s="72"/>
      <c r="AB53" s="72"/>
      <c r="AC53" s="72"/>
      <c r="AD53" s="73"/>
      <c r="AE53" s="71"/>
      <c r="AF53" s="72"/>
      <c r="AG53" s="72"/>
      <c r="AH53" s="72"/>
      <c r="AI53" s="72"/>
      <c r="AJ53" s="73"/>
      <c r="AK53" s="71"/>
      <c r="AL53" s="72"/>
      <c r="AM53" s="72"/>
      <c r="AN53" s="72"/>
      <c r="AO53" s="72"/>
      <c r="AP53" s="73"/>
      <c r="AQ53" s="71"/>
      <c r="AR53" s="72"/>
      <c r="AS53" s="72"/>
      <c r="AT53" s="72"/>
      <c r="AU53" s="72"/>
      <c r="AV53" s="73"/>
      <c r="AW53" s="75">
        <v>-0.3824132175529571</v>
      </c>
      <c r="AX53" s="76">
        <v>-0.16585324628677345</v>
      </c>
      <c r="AY53" s="76">
        <v>-0.8155331600853355</v>
      </c>
      <c r="AZ53" s="76">
        <v>-0.3824132175529571</v>
      </c>
      <c r="BA53" s="76">
        <v>-0.16585324628677345</v>
      </c>
      <c r="BB53" s="77">
        <v>-0.3824132175529571</v>
      </c>
      <c r="BC53" s="65"/>
      <c r="BD53" s="78"/>
      <c r="BE53" s="78"/>
      <c r="BF53" s="78"/>
      <c r="BG53" s="78"/>
      <c r="BH53" s="70"/>
      <c r="BI53" s="65"/>
      <c r="BJ53" s="78"/>
      <c r="BK53" s="78"/>
      <c r="BL53" s="78"/>
      <c r="BM53" s="78"/>
      <c r="BN53" s="70"/>
      <c r="BO53" s="65"/>
      <c r="BP53" s="78"/>
      <c r="BQ53" s="78"/>
      <c r="BR53" s="78"/>
      <c r="BS53" s="78"/>
      <c r="BT53" s="70"/>
      <c r="BU53" s="65"/>
      <c r="BV53" s="78"/>
      <c r="BW53" s="78"/>
      <c r="BX53" s="78"/>
      <c r="BY53" s="78"/>
      <c r="BZ53" s="70"/>
      <c r="CA53" s="80"/>
      <c r="CB53" s="78"/>
      <c r="CC53" s="78"/>
      <c r="CD53" s="78"/>
      <c r="CE53" s="78"/>
      <c r="CF53" s="70"/>
    </row>
    <row r="54" spans="1:84" ht="12" customHeight="1">
      <c r="A54" s="2"/>
      <c r="B54" s="64">
        <v>42</v>
      </c>
      <c r="C54" s="65">
        <v>10</v>
      </c>
      <c r="D54" s="66" t="s">
        <v>5</v>
      </c>
      <c r="E54" s="69" t="s">
        <v>136</v>
      </c>
      <c r="F54" s="70">
        <v>9</v>
      </c>
      <c r="G54" s="71">
        <v>577.20731707317066</v>
      </c>
      <c r="H54" s="72">
        <v>577.20731707317066</v>
      </c>
      <c r="I54" s="72"/>
      <c r="J54" s="72"/>
      <c r="K54" s="72"/>
      <c r="L54" s="73"/>
      <c r="M54" s="71">
        <v>1154.4146341463413</v>
      </c>
      <c r="N54" s="72">
        <v>1154.4146341463413</v>
      </c>
      <c r="O54" s="72"/>
      <c r="P54" s="72"/>
      <c r="Q54" s="72"/>
      <c r="R54" s="73"/>
      <c r="S54" s="71">
        <v>576.79999999999995</v>
      </c>
      <c r="T54" s="72">
        <v>564</v>
      </c>
      <c r="U54" s="72">
        <v>575</v>
      </c>
      <c r="V54" s="72">
        <v>589</v>
      </c>
      <c r="W54" s="72">
        <v>588</v>
      </c>
      <c r="X54" s="73">
        <v>568</v>
      </c>
      <c r="Y54" s="71"/>
      <c r="Z54" s="72"/>
      <c r="AA54" s="72"/>
      <c r="AB54" s="72"/>
      <c r="AC54" s="72"/>
      <c r="AD54" s="73"/>
      <c r="AE54" s="71"/>
      <c r="AF54" s="72"/>
      <c r="AG54" s="72"/>
      <c r="AH54" s="72"/>
      <c r="AI54" s="72"/>
      <c r="AJ54" s="73"/>
      <c r="AK54" s="71"/>
      <c r="AL54" s="72"/>
      <c r="AM54" s="72"/>
      <c r="AN54" s="72"/>
      <c r="AO54" s="72"/>
      <c r="AP54" s="73"/>
      <c r="AQ54" s="71"/>
      <c r="AR54" s="72"/>
      <c r="AS54" s="72"/>
      <c r="AT54" s="72"/>
      <c r="AU54" s="72"/>
      <c r="AV54" s="73"/>
      <c r="AW54" s="75">
        <v>-7.0566858929665965E-2</v>
      </c>
      <c r="AX54" s="76">
        <v>-2.2881409646954287</v>
      </c>
      <c r="AY54" s="76">
        <v>-0.3824132175529682</v>
      </c>
      <c r="AZ54" s="76">
        <v>2.0430584606283553</v>
      </c>
      <c r="BA54" s="76">
        <v>1.8698104836154084</v>
      </c>
      <c r="BB54" s="77">
        <v>-1.5951490566436299</v>
      </c>
      <c r="BC54" s="65"/>
      <c r="BD54" s="78"/>
      <c r="BE54" s="78"/>
      <c r="BF54" s="78"/>
      <c r="BG54" s="78"/>
      <c r="BH54" s="70"/>
      <c r="BI54" s="65"/>
      <c r="BJ54" s="78"/>
      <c r="BK54" s="78"/>
      <c r="BL54" s="78"/>
      <c r="BM54" s="78"/>
      <c r="BN54" s="70"/>
      <c r="BO54" s="65"/>
      <c r="BP54" s="78"/>
      <c r="BQ54" s="78"/>
      <c r="BR54" s="78"/>
      <c r="BS54" s="78"/>
      <c r="BT54" s="70"/>
      <c r="BU54" s="65"/>
      <c r="BV54" s="78"/>
      <c r="BW54" s="78"/>
      <c r="BX54" s="78"/>
      <c r="BY54" s="78"/>
      <c r="BZ54" s="70"/>
      <c r="CA54" s="80"/>
      <c r="CB54" s="78"/>
      <c r="CC54" s="78"/>
      <c r="CD54" s="78"/>
      <c r="CE54" s="78"/>
      <c r="CF54" s="70"/>
    </row>
    <row r="55" spans="1:84" ht="12" customHeight="1">
      <c r="A55" s="2"/>
      <c r="B55" s="64">
        <v>43</v>
      </c>
      <c r="C55" s="65">
        <v>10</v>
      </c>
      <c r="D55" s="66" t="s">
        <v>5</v>
      </c>
      <c r="E55" s="69" t="s">
        <v>91</v>
      </c>
      <c r="F55" s="70">
        <v>9</v>
      </c>
      <c r="G55" s="71">
        <v>560.27590243902432</v>
      </c>
      <c r="H55" s="72">
        <v>560.27590243902432</v>
      </c>
      <c r="I55" s="72"/>
      <c r="J55" s="72"/>
      <c r="K55" s="72"/>
      <c r="L55" s="73"/>
      <c r="M55" s="71">
        <v>1120.5518048780486</v>
      </c>
      <c r="N55" s="72">
        <v>1120.5518048780486</v>
      </c>
      <c r="O55" s="72"/>
      <c r="P55" s="72"/>
      <c r="Q55" s="72"/>
      <c r="R55" s="73"/>
      <c r="S55" s="71">
        <v>570.79999999999995</v>
      </c>
      <c r="T55" s="72">
        <v>576</v>
      </c>
      <c r="U55" s="72">
        <v>594</v>
      </c>
      <c r="V55" s="72">
        <v>581</v>
      </c>
      <c r="W55" s="72">
        <v>565</v>
      </c>
      <c r="X55" s="73">
        <v>538</v>
      </c>
      <c r="Y55" s="71"/>
      <c r="Z55" s="72"/>
      <c r="AA55" s="72"/>
      <c r="AB55" s="72"/>
      <c r="AC55" s="72"/>
      <c r="AD55" s="73"/>
      <c r="AE55" s="71"/>
      <c r="AF55" s="72"/>
      <c r="AG55" s="72"/>
      <c r="AH55" s="72"/>
      <c r="AI55" s="72"/>
      <c r="AJ55" s="73"/>
      <c r="AK55" s="71"/>
      <c r="AL55" s="72"/>
      <c r="AM55" s="72"/>
      <c r="AN55" s="72"/>
      <c r="AO55" s="72"/>
      <c r="AP55" s="73"/>
      <c r="AQ55" s="71"/>
      <c r="AR55" s="72"/>
      <c r="AS55" s="72"/>
      <c r="AT55" s="72"/>
      <c r="AU55" s="72"/>
      <c r="AV55" s="73"/>
      <c r="AW55" s="75">
        <v>1.8783776912698835</v>
      </c>
      <c r="AX55" s="76">
        <v>2.8064918538392769</v>
      </c>
      <c r="AY55" s="76">
        <v>6.0191947242717481</v>
      </c>
      <c r="AZ55" s="76">
        <v>3.6989093178482868</v>
      </c>
      <c r="BA55" s="76">
        <v>0.84317343301942849</v>
      </c>
      <c r="BB55" s="77">
        <v>-3.9758808726292894</v>
      </c>
      <c r="BC55" s="65"/>
      <c r="BD55" s="78"/>
      <c r="BE55" s="78"/>
      <c r="BF55" s="78"/>
      <c r="BG55" s="78"/>
      <c r="BH55" s="70"/>
      <c r="BI55" s="65"/>
      <c r="BJ55" s="78"/>
      <c r="BK55" s="78"/>
      <c r="BL55" s="78"/>
      <c r="BM55" s="78"/>
      <c r="BN55" s="70"/>
      <c r="BO55" s="65"/>
      <c r="BP55" s="78"/>
      <c r="BQ55" s="78"/>
      <c r="BR55" s="78"/>
      <c r="BS55" s="78"/>
      <c r="BT55" s="70"/>
      <c r="BU55" s="65"/>
      <c r="BV55" s="78"/>
      <c r="BW55" s="78"/>
      <c r="BX55" s="78"/>
      <c r="BY55" s="78"/>
      <c r="BZ55" s="70"/>
      <c r="CA55" s="80"/>
      <c r="CB55" s="78"/>
      <c r="CC55" s="78"/>
      <c r="CD55" s="78"/>
      <c r="CE55" s="78"/>
      <c r="CF55" s="70"/>
    </row>
    <row r="56" spans="1:84" ht="12" customHeight="1">
      <c r="A56" s="2"/>
      <c r="B56" s="64">
        <v>44</v>
      </c>
      <c r="C56" s="65">
        <v>10</v>
      </c>
      <c r="D56" s="66" t="s">
        <v>5</v>
      </c>
      <c r="E56" s="69" t="s">
        <v>144</v>
      </c>
      <c r="F56" s="70">
        <v>9</v>
      </c>
      <c r="G56" s="71">
        <v>692.64878048780474</v>
      </c>
      <c r="H56" s="72">
        <v>692.64878048780474</v>
      </c>
      <c r="I56" s="72"/>
      <c r="J56" s="72"/>
      <c r="K56" s="72"/>
      <c r="L56" s="73"/>
      <c r="M56" s="71">
        <v>1385.2975609756095</v>
      </c>
      <c r="N56" s="72">
        <v>1385.2975609756095</v>
      </c>
      <c r="O56" s="72"/>
      <c r="P56" s="72"/>
      <c r="Q56" s="72"/>
      <c r="R56" s="73"/>
      <c r="S56" s="71">
        <v>685.8</v>
      </c>
      <c r="T56" s="72">
        <v>691</v>
      </c>
      <c r="U56" s="72">
        <v>685</v>
      </c>
      <c r="V56" s="72">
        <v>695</v>
      </c>
      <c r="W56" s="72">
        <v>676</v>
      </c>
      <c r="X56" s="73">
        <v>682</v>
      </c>
      <c r="Y56" s="71"/>
      <c r="Z56" s="72"/>
      <c r="AA56" s="72"/>
      <c r="AB56" s="72"/>
      <c r="AC56" s="72"/>
      <c r="AD56" s="73"/>
      <c r="AE56" s="71"/>
      <c r="AF56" s="72"/>
      <c r="AG56" s="72"/>
      <c r="AH56" s="72"/>
      <c r="AI56" s="72"/>
      <c r="AJ56" s="73"/>
      <c r="AK56" s="71"/>
      <c r="AL56" s="72"/>
      <c r="AM56" s="72"/>
      <c r="AN56" s="72"/>
      <c r="AO56" s="72"/>
      <c r="AP56" s="73"/>
      <c r="AQ56" s="71"/>
      <c r="AR56" s="72"/>
      <c r="AS56" s="72"/>
      <c r="AT56" s="72"/>
      <c r="AU56" s="72"/>
      <c r="AV56" s="73"/>
      <c r="AW56" s="75">
        <v>-0.98878113709829352</v>
      </c>
      <c r="AX56" s="76">
        <v>-0.23803990337549763</v>
      </c>
      <c r="AY56" s="76">
        <v>-1.1042797884402544</v>
      </c>
      <c r="AZ56" s="76">
        <v>0.33945335333434024</v>
      </c>
      <c r="BA56" s="76">
        <v>-2.4036396160373896</v>
      </c>
      <c r="BB56" s="77">
        <v>-1.5373997309726328</v>
      </c>
      <c r="BC56" s="65"/>
      <c r="BD56" s="78"/>
      <c r="BE56" s="78"/>
      <c r="BF56" s="78"/>
      <c r="BG56" s="78"/>
      <c r="BH56" s="70"/>
      <c r="BI56" s="65"/>
      <c r="BJ56" s="78"/>
      <c r="BK56" s="78"/>
      <c r="BL56" s="78"/>
      <c r="BM56" s="78"/>
      <c r="BN56" s="70"/>
      <c r="BO56" s="65"/>
      <c r="BP56" s="78"/>
      <c r="BQ56" s="78"/>
      <c r="BR56" s="78"/>
      <c r="BS56" s="78"/>
      <c r="BT56" s="70"/>
      <c r="BU56" s="65"/>
      <c r="BV56" s="78"/>
      <c r="BW56" s="78"/>
      <c r="BX56" s="78"/>
      <c r="BY56" s="78"/>
      <c r="BZ56" s="70"/>
      <c r="CA56" s="80"/>
      <c r="CB56" s="78"/>
      <c r="CC56" s="78"/>
      <c r="CD56" s="78"/>
      <c r="CE56" s="78"/>
      <c r="CF56" s="70"/>
    </row>
    <row r="57" spans="1:84" ht="12" customHeight="1">
      <c r="A57" s="2"/>
      <c r="B57" s="64">
        <v>45</v>
      </c>
      <c r="C57" s="65">
        <v>10</v>
      </c>
      <c r="D57" s="66" t="s">
        <v>5</v>
      </c>
      <c r="E57" s="69" t="s">
        <v>92</v>
      </c>
      <c r="F57" s="70">
        <v>9</v>
      </c>
      <c r="G57" s="71">
        <v>1108.2380487804876</v>
      </c>
      <c r="H57" s="72">
        <v>1108.2380487804876</v>
      </c>
      <c r="I57" s="72"/>
      <c r="J57" s="72"/>
      <c r="K57" s="72"/>
      <c r="L57" s="73"/>
      <c r="M57" s="71">
        <v>2216.4760975609752</v>
      </c>
      <c r="N57" s="72">
        <v>2216.4760975609752</v>
      </c>
      <c r="O57" s="72"/>
      <c r="P57" s="72"/>
      <c r="Q57" s="72"/>
      <c r="R57" s="73"/>
      <c r="S57" s="71">
        <v>1125</v>
      </c>
      <c r="T57" s="72">
        <v>1098</v>
      </c>
      <c r="U57" s="72">
        <v>1152</v>
      </c>
      <c r="V57" s="72">
        <v>1152</v>
      </c>
      <c r="W57" s="72">
        <v>1107</v>
      </c>
      <c r="X57" s="73">
        <v>1116</v>
      </c>
      <c r="Y57" s="71"/>
      <c r="Z57" s="72"/>
      <c r="AA57" s="72"/>
      <c r="AB57" s="72"/>
      <c r="AC57" s="72"/>
      <c r="AD57" s="73"/>
      <c r="AE57" s="71"/>
      <c r="AF57" s="72"/>
      <c r="AG57" s="72"/>
      <c r="AH57" s="72"/>
      <c r="AI57" s="72"/>
      <c r="AJ57" s="73"/>
      <c r="AK57" s="71"/>
      <c r="AL57" s="72"/>
      <c r="AM57" s="72"/>
      <c r="AN57" s="72"/>
      <c r="AO57" s="72"/>
      <c r="AP57" s="73"/>
      <c r="AQ57" s="71"/>
      <c r="AR57" s="72"/>
      <c r="AS57" s="72"/>
      <c r="AT57" s="72"/>
      <c r="AU57" s="72"/>
      <c r="AV57" s="73"/>
      <c r="AW57" s="75">
        <v>1.5124865310262026</v>
      </c>
      <c r="AX57" s="76">
        <v>-0.92381314571843287</v>
      </c>
      <c r="AY57" s="76">
        <v>3.9487862077708158</v>
      </c>
      <c r="AZ57" s="76">
        <v>3.9487862077708158</v>
      </c>
      <c r="BA57" s="76">
        <v>-0.11171325347022476</v>
      </c>
      <c r="BB57" s="77">
        <v>0.70038663877798335</v>
      </c>
      <c r="BC57" s="65"/>
      <c r="BD57" s="78"/>
      <c r="BE57" s="78"/>
      <c r="BF57" s="78"/>
      <c r="BG57" s="78"/>
      <c r="BH57" s="70"/>
      <c r="BI57" s="65"/>
      <c r="BJ57" s="78"/>
      <c r="BK57" s="78"/>
      <c r="BL57" s="78"/>
      <c r="BM57" s="78"/>
      <c r="BN57" s="70"/>
      <c r="BO57" s="65"/>
      <c r="BP57" s="78"/>
      <c r="BQ57" s="78"/>
      <c r="BR57" s="78"/>
      <c r="BS57" s="78"/>
      <c r="BT57" s="70"/>
      <c r="BU57" s="65"/>
      <c r="BV57" s="78"/>
      <c r="BW57" s="78"/>
      <c r="BX57" s="78"/>
      <c r="BY57" s="78"/>
      <c r="BZ57" s="70"/>
      <c r="CA57" s="80"/>
      <c r="CB57" s="78"/>
      <c r="CC57" s="78"/>
      <c r="CD57" s="78"/>
      <c r="CE57" s="78"/>
      <c r="CF57" s="70"/>
    </row>
    <row r="58" spans="1:84" ht="12" customHeight="1">
      <c r="A58" s="2"/>
      <c r="B58" s="64">
        <v>46</v>
      </c>
      <c r="C58" s="65">
        <v>10</v>
      </c>
      <c r="D58" s="66" t="s">
        <v>5</v>
      </c>
      <c r="E58" s="69" t="s">
        <v>138</v>
      </c>
      <c r="F58" s="70">
        <v>9</v>
      </c>
      <c r="G58" s="71">
        <v>865.81097560975604</v>
      </c>
      <c r="H58" s="72">
        <v>865.81097560975604</v>
      </c>
      <c r="I58" s="72"/>
      <c r="J58" s="72"/>
      <c r="K58" s="72"/>
      <c r="L58" s="73"/>
      <c r="M58" s="71">
        <v>1731.6219512195121</v>
      </c>
      <c r="N58" s="72">
        <v>1731.6219512195121</v>
      </c>
      <c r="O58" s="72"/>
      <c r="P58" s="72"/>
      <c r="Q58" s="72"/>
      <c r="R58" s="73"/>
      <c r="S58" s="71">
        <v>852</v>
      </c>
      <c r="T58" s="72">
        <v>862</v>
      </c>
      <c r="U58" s="72">
        <v>855</v>
      </c>
      <c r="V58" s="72">
        <v>852</v>
      </c>
      <c r="W58" s="72">
        <v>846</v>
      </c>
      <c r="X58" s="73">
        <v>845</v>
      </c>
      <c r="Y58" s="71"/>
      <c r="Z58" s="72"/>
      <c r="AA58" s="72"/>
      <c r="AB58" s="72"/>
      <c r="AC58" s="72"/>
      <c r="AD58" s="73"/>
      <c r="AE58" s="71"/>
      <c r="AF58" s="72"/>
      <c r="AG58" s="72"/>
      <c r="AH58" s="72"/>
      <c r="AI58" s="72"/>
      <c r="AJ58" s="73"/>
      <c r="AK58" s="71"/>
      <c r="AL58" s="72"/>
      <c r="AM58" s="72"/>
      <c r="AN58" s="72"/>
      <c r="AO58" s="72"/>
      <c r="AP58" s="73"/>
      <c r="AQ58" s="71"/>
      <c r="AR58" s="72"/>
      <c r="AS58" s="72"/>
      <c r="AT58" s="72"/>
      <c r="AU58" s="72"/>
      <c r="AV58" s="73"/>
      <c r="AW58" s="75">
        <v>-1.5951490566436299</v>
      </c>
      <c r="AX58" s="76">
        <v>-0.44016254322395421</v>
      </c>
      <c r="AY58" s="76">
        <v>-1.248653102617725</v>
      </c>
      <c r="AZ58" s="76">
        <v>-1.5951490566436299</v>
      </c>
      <c r="BA58" s="76">
        <v>-2.2881409646954398</v>
      </c>
      <c r="BB58" s="77">
        <v>-2.4036396160374007</v>
      </c>
      <c r="BC58" s="65"/>
      <c r="BD58" s="78"/>
      <c r="BE58" s="78"/>
      <c r="BF58" s="78"/>
      <c r="BG58" s="78"/>
      <c r="BH58" s="70"/>
      <c r="BI58" s="65"/>
      <c r="BJ58" s="78"/>
      <c r="BK58" s="78"/>
      <c r="BL58" s="78"/>
      <c r="BM58" s="78"/>
      <c r="BN58" s="70"/>
      <c r="BO58" s="65"/>
      <c r="BP58" s="78"/>
      <c r="BQ58" s="78"/>
      <c r="BR58" s="78"/>
      <c r="BS58" s="78"/>
      <c r="BT58" s="70"/>
      <c r="BU58" s="65"/>
      <c r="BV58" s="78"/>
      <c r="BW58" s="78"/>
      <c r="BX58" s="78"/>
      <c r="BY58" s="78"/>
      <c r="BZ58" s="70"/>
      <c r="CA58" s="80"/>
      <c r="CB58" s="78"/>
      <c r="CC58" s="78"/>
      <c r="CD58" s="78"/>
      <c r="CE58" s="78"/>
      <c r="CF58" s="70"/>
    </row>
    <row r="59" spans="1:84" ht="12" customHeight="1">
      <c r="A59" s="2"/>
      <c r="B59" s="64">
        <v>47</v>
      </c>
      <c r="C59" s="65">
        <v>10</v>
      </c>
      <c r="D59" s="66" t="s">
        <v>5</v>
      </c>
      <c r="E59" s="69" t="s">
        <v>139</v>
      </c>
      <c r="F59" s="70">
        <v>9</v>
      </c>
      <c r="G59" s="71">
        <v>1385.2975609756095</v>
      </c>
      <c r="H59" s="72">
        <v>1385.2975609756095</v>
      </c>
      <c r="I59" s="72"/>
      <c r="J59" s="72"/>
      <c r="K59" s="72"/>
      <c r="L59" s="73"/>
      <c r="M59" s="71">
        <v>2770.595121951219</v>
      </c>
      <c r="N59" s="72">
        <v>2770.595121951219</v>
      </c>
      <c r="O59" s="72"/>
      <c r="P59" s="72"/>
      <c r="Q59" s="72"/>
      <c r="R59" s="73"/>
      <c r="S59" s="71">
        <v>1418.4</v>
      </c>
      <c r="T59" s="72">
        <v>1413</v>
      </c>
      <c r="U59" s="72">
        <v>1395</v>
      </c>
      <c r="V59" s="72">
        <v>1413</v>
      </c>
      <c r="W59" s="72">
        <v>1440</v>
      </c>
      <c r="X59" s="73">
        <v>1431</v>
      </c>
      <c r="Y59" s="71"/>
      <c r="Z59" s="72"/>
      <c r="AA59" s="72"/>
      <c r="AB59" s="72"/>
      <c r="AC59" s="72"/>
      <c r="AD59" s="73"/>
      <c r="AE59" s="71"/>
      <c r="AF59" s="72"/>
      <c r="AG59" s="72"/>
      <c r="AH59" s="72"/>
      <c r="AI59" s="72"/>
      <c r="AJ59" s="73"/>
      <c r="AK59" s="71"/>
      <c r="AL59" s="72"/>
      <c r="AM59" s="72"/>
      <c r="AN59" s="72"/>
      <c r="AO59" s="72"/>
      <c r="AP59" s="73"/>
      <c r="AQ59" s="71"/>
      <c r="AR59" s="72"/>
      <c r="AS59" s="72"/>
      <c r="AT59" s="72"/>
      <c r="AU59" s="72"/>
      <c r="AV59" s="73"/>
      <c r="AW59" s="75">
        <v>2.3895544146542713</v>
      </c>
      <c r="AX59" s="76">
        <v>1.9997464663751296</v>
      </c>
      <c r="AY59" s="76">
        <v>0.70038663877798335</v>
      </c>
      <c r="AZ59" s="76">
        <v>1.9997464663751296</v>
      </c>
      <c r="BA59" s="76">
        <v>3.9487862077708158</v>
      </c>
      <c r="BB59" s="77">
        <v>3.2991062939722537</v>
      </c>
      <c r="BC59" s="65"/>
      <c r="BD59" s="78"/>
      <c r="BE59" s="78"/>
      <c r="BF59" s="78"/>
      <c r="BG59" s="78"/>
      <c r="BH59" s="70"/>
      <c r="BI59" s="65"/>
      <c r="BJ59" s="78"/>
      <c r="BK59" s="78"/>
      <c r="BL59" s="78"/>
      <c r="BM59" s="78"/>
      <c r="BN59" s="70"/>
      <c r="BO59" s="65"/>
      <c r="BP59" s="78"/>
      <c r="BQ59" s="78"/>
      <c r="BR59" s="78"/>
      <c r="BS59" s="78"/>
      <c r="BT59" s="70"/>
      <c r="BU59" s="65"/>
      <c r="BV59" s="78"/>
      <c r="BW59" s="78"/>
      <c r="BX59" s="78"/>
      <c r="BY59" s="78"/>
      <c r="BZ59" s="70"/>
      <c r="CA59" s="80"/>
      <c r="CB59" s="78"/>
      <c r="CC59" s="78"/>
      <c r="CD59" s="78"/>
      <c r="CE59" s="78"/>
      <c r="CF59" s="70"/>
    </row>
    <row r="60" spans="1:84" ht="12" customHeight="1">
      <c r="A60" s="2"/>
      <c r="B60" s="64">
        <v>48</v>
      </c>
      <c r="C60" s="65">
        <v>10</v>
      </c>
      <c r="D60" s="66" t="s">
        <v>5</v>
      </c>
      <c r="E60" s="69" t="s">
        <v>141</v>
      </c>
      <c r="F60" s="70">
        <v>9</v>
      </c>
      <c r="G60" s="71">
        <v>840.41385365853648</v>
      </c>
      <c r="H60" s="72">
        <v>840.41385365853648</v>
      </c>
      <c r="I60" s="72"/>
      <c r="J60" s="72"/>
      <c r="K60" s="72"/>
      <c r="L60" s="73"/>
      <c r="M60" s="71">
        <v>1680.827707317073</v>
      </c>
      <c r="N60" s="72">
        <v>1680.827707317073</v>
      </c>
      <c r="O60" s="72"/>
      <c r="P60" s="72"/>
      <c r="Q60" s="72"/>
      <c r="R60" s="73"/>
      <c r="S60" s="71">
        <v>829</v>
      </c>
      <c r="T60" s="72">
        <v>825</v>
      </c>
      <c r="U60" s="72">
        <v>834</v>
      </c>
      <c r="V60" s="72">
        <v>830</v>
      </c>
      <c r="W60" s="72">
        <v>815</v>
      </c>
      <c r="X60" s="73">
        <v>841</v>
      </c>
      <c r="Y60" s="71"/>
      <c r="Z60" s="72"/>
      <c r="AA60" s="72"/>
      <c r="AB60" s="72"/>
      <c r="AC60" s="72"/>
      <c r="AD60" s="73"/>
      <c r="AE60" s="71"/>
      <c r="AF60" s="72"/>
      <c r="AG60" s="72"/>
      <c r="AH60" s="72"/>
      <c r="AI60" s="72"/>
      <c r="AJ60" s="73"/>
      <c r="AK60" s="71"/>
      <c r="AL60" s="72"/>
      <c r="AM60" s="72"/>
      <c r="AN60" s="72"/>
      <c r="AO60" s="72"/>
      <c r="AP60" s="73"/>
      <c r="AQ60" s="71"/>
      <c r="AR60" s="72"/>
      <c r="AS60" s="72"/>
      <c r="AT60" s="72"/>
      <c r="AU60" s="72"/>
      <c r="AV60" s="73"/>
      <c r="AW60" s="75">
        <v>-1.3581229782028248</v>
      </c>
      <c r="AX60" s="76">
        <v>-1.8340789590076456</v>
      </c>
      <c r="AY60" s="76">
        <v>-0.76317800219681819</v>
      </c>
      <c r="AZ60" s="76">
        <v>-1.2391339830016279</v>
      </c>
      <c r="BA60" s="76">
        <v>-3.0239689110196699</v>
      </c>
      <c r="BB60" s="77">
        <v>6.9744964211615468E-2</v>
      </c>
      <c r="BC60" s="65"/>
      <c r="BD60" s="78"/>
      <c r="BE60" s="78"/>
      <c r="BF60" s="78"/>
      <c r="BG60" s="78"/>
      <c r="BH60" s="70"/>
      <c r="BI60" s="65"/>
      <c r="BJ60" s="78"/>
      <c r="BK60" s="78"/>
      <c r="BL60" s="78"/>
      <c r="BM60" s="78"/>
      <c r="BN60" s="70"/>
      <c r="BO60" s="65"/>
      <c r="BP60" s="78"/>
      <c r="BQ60" s="78"/>
      <c r="BR60" s="78"/>
      <c r="BS60" s="78"/>
      <c r="BT60" s="70"/>
      <c r="BU60" s="65"/>
      <c r="BV60" s="78"/>
      <c r="BW60" s="78"/>
      <c r="BX60" s="78"/>
      <c r="BY60" s="78"/>
      <c r="BZ60" s="70"/>
      <c r="CA60" s="80"/>
      <c r="CB60" s="78"/>
      <c r="CC60" s="78"/>
      <c r="CD60" s="78"/>
      <c r="CE60" s="78"/>
      <c r="CF60" s="70"/>
    </row>
    <row r="61" spans="1:84" ht="12" customHeight="1">
      <c r="A61" s="2"/>
      <c r="B61" s="64">
        <v>49</v>
      </c>
      <c r="C61" s="65">
        <v>10</v>
      </c>
      <c r="D61" s="66" t="s">
        <v>5</v>
      </c>
      <c r="E61" s="69" t="s">
        <v>98</v>
      </c>
      <c r="F61" s="70">
        <v>9</v>
      </c>
      <c r="G61" s="71">
        <v>1344.6621658536583</v>
      </c>
      <c r="H61" s="72">
        <v>1344.6621658536583</v>
      </c>
      <c r="I61" s="72"/>
      <c r="J61" s="72"/>
      <c r="K61" s="72"/>
      <c r="L61" s="73"/>
      <c r="M61" s="71">
        <v>2689.3243317073166</v>
      </c>
      <c r="N61" s="72">
        <v>2689.3243317073166</v>
      </c>
      <c r="O61" s="72"/>
      <c r="P61" s="72"/>
      <c r="Q61" s="72"/>
      <c r="R61" s="73"/>
      <c r="S61" s="71">
        <v>1371.6</v>
      </c>
      <c r="T61" s="72">
        <v>1395</v>
      </c>
      <c r="U61" s="72">
        <v>1386</v>
      </c>
      <c r="V61" s="72">
        <v>1332</v>
      </c>
      <c r="W61" s="72">
        <v>1377</v>
      </c>
      <c r="X61" s="73">
        <v>1368</v>
      </c>
      <c r="Y61" s="71"/>
      <c r="Z61" s="72"/>
      <c r="AA61" s="72"/>
      <c r="AB61" s="72"/>
      <c r="AC61" s="72"/>
      <c r="AD61" s="73"/>
      <c r="AE61" s="71"/>
      <c r="AF61" s="72"/>
      <c r="AG61" s="72"/>
      <c r="AH61" s="72"/>
      <c r="AI61" s="72"/>
      <c r="AJ61" s="73"/>
      <c r="AK61" s="71"/>
      <c r="AL61" s="72"/>
      <c r="AM61" s="72"/>
      <c r="AN61" s="72"/>
      <c r="AO61" s="72"/>
      <c r="AP61" s="73"/>
      <c r="AQ61" s="71"/>
      <c r="AR61" s="72"/>
      <c r="AS61" s="72"/>
      <c r="AT61" s="72"/>
      <c r="AU61" s="72"/>
      <c r="AV61" s="73"/>
      <c r="AW61" s="75">
        <v>2.003316136231148</v>
      </c>
      <c r="AX61" s="76">
        <v>3.7435301910487606</v>
      </c>
      <c r="AY61" s="76">
        <v>3.0742170930419865</v>
      </c>
      <c r="AZ61" s="76">
        <v>-0.94166149499861351</v>
      </c>
      <c r="BA61" s="76">
        <v>2.4049039950352125</v>
      </c>
      <c r="BB61" s="77">
        <v>1.7355908970284606</v>
      </c>
      <c r="BC61" s="65"/>
      <c r="BD61" s="78"/>
      <c r="BE61" s="78"/>
      <c r="BF61" s="78"/>
      <c r="BG61" s="78"/>
      <c r="BH61" s="70"/>
      <c r="BI61" s="65"/>
      <c r="BJ61" s="78"/>
      <c r="BK61" s="78"/>
      <c r="BL61" s="78"/>
      <c r="BM61" s="78"/>
      <c r="BN61" s="70"/>
      <c r="BO61" s="65"/>
      <c r="BP61" s="78"/>
      <c r="BQ61" s="78"/>
      <c r="BR61" s="78"/>
      <c r="BS61" s="78"/>
      <c r="BT61" s="70"/>
      <c r="BU61" s="65"/>
      <c r="BV61" s="78"/>
      <c r="BW61" s="78"/>
      <c r="BX61" s="78"/>
      <c r="BY61" s="78"/>
      <c r="BZ61" s="70"/>
      <c r="CA61" s="80"/>
      <c r="CB61" s="78"/>
      <c r="CC61" s="78"/>
      <c r="CD61" s="78"/>
      <c r="CE61" s="78"/>
      <c r="CF61" s="70"/>
    </row>
    <row r="62" spans="1:84" ht="12" customHeight="1">
      <c r="A62" s="2"/>
      <c r="B62" s="64">
        <v>50</v>
      </c>
      <c r="C62" s="65">
        <v>10</v>
      </c>
      <c r="D62" s="66" t="s">
        <v>6</v>
      </c>
      <c r="E62" s="69" t="s">
        <v>67</v>
      </c>
      <c r="F62" s="70"/>
      <c r="G62" s="71">
        <v>1171.151219512195</v>
      </c>
      <c r="H62" s="72">
        <v>1171.151219512195</v>
      </c>
      <c r="I62" s="72"/>
      <c r="J62" s="72"/>
      <c r="K62" s="72"/>
      <c r="L62" s="73"/>
      <c r="M62" s="71">
        <v>2342.30243902439</v>
      </c>
      <c r="N62" s="72">
        <v>2342.30243902439</v>
      </c>
      <c r="O62" s="72"/>
      <c r="P62" s="72"/>
      <c r="Q62" s="72"/>
      <c r="R62" s="73"/>
      <c r="S62" s="71">
        <v>1156.2</v>
      </c>
      <c r="T62" s="72">
        <v>1110</v>
      </c>
      <c r="U62" s="72">
        <v>1094</v>
      </c>
      <c r="V62" s="72">
        <v>1208</v>
      </c>
      <c r="W62" s="72">
        <v>1218</v>
      </c>
      <c r="X62" s="73">
        <v>1151</v>
      </c>
      <c r="Y62" s="71"/>
      <c r="Z62" s="72"/>
      <c r="AA62" s="72"/>
      <c r="AB62" s="72"/>
      <c r="AC62" s="72"/>
      <c r="AD62" s="73"/>
      <c r="AE62" s="71"/>
      <c r="AF62" s="72"/>
      <c r="AG62" s="72"/>
      <c r="AH62" s="72"/>
      <c r="AI62" s="72"/>
      <c r="AJ62" s="73"/>
      <c r="AK62" s="71"/>
      <c r="AL62" s="72"/>
      <c r="AM62" s="72"/>
      <c r="AN62" s="72"/>
      <c r="AO62" s="72"/>
      <c r="AP62" s="73"/>
      <c r="AQ62" s="71"/>
      <c r="AR62" s="72"/>
      <c r="AS62" s="72"/>
      <c r="AT62" s="72"/>
      <c r="AU62" s="72"/>
      <c r="AV62" s="73"/>
      <c r="AW62" s="75">
        <v>-1.2766258757278437</v>
      </c>
      <c r="AX62" s="76">
        <v>-5.2214623093391417</v>
      </c>
      <c r="AY62" s="76">
        <v>-6.5876394292045282</v>
      </c>
      <c r="AZ62" s="76">
        <v>3.1463725498363182</v>
      </c>
      <c r="BA62" s="76">
        <v>4.0002332497521831</v>
      </c>
      <c r="BB62" s="77">
        <v>-1.720633439684105</v>
      </c>
      <c r="BC62" s="65"/>
      <c r="BD62" s="78"/>
      <c r="BE62" s="78"/>
      <c r="BF62" s="78"/>
      <c r="BG62" s="78"/>
      <c r="BH62" s="70"/>
      <c r="BI62" s="65"/>
      <c r="BJ62" s="78"/>
      <c r="BK62" s="78"/>
      <c r="BL62" s="78"/>
      <c r="BM62" s="78"/>
      <c r="BN62" s="70"/>
      <c r="BO62" s="65"/>
      <c r="BP62" s="78"/>
      <c r="BQ62" s="78"/>
      <c r="BR62" s="78"/>
      <c r="BS62" s="78"/>
      <c r="BT62" s="70"/>
      <c r="BU62" s="65"/>
      <c r="BV62" s="78"/>
      <c r="BW62" s="78"/>
      <c r="BX62" s="78"/>
      <c r="BY62" s="78"/>
      <c r="BZ62" s="70"/>
      <c r="CA62" s="80"/>
      <c r="CB62" s="78"/>
      <c r="CC62" s="78"/>
      <c r="CD62" s="78"/>
      <c r="CE62" s="78"/>
      <c r="CF62" s="70"/>
    </row>
    <row r="63" spans="1:84" ht="12" customHeight="1">
      <c r="A63" s="2"/>
      <c r="B63" s="64">
        <v>51</v>
      </c>
      <c r="C63" s="65">
        <v>10</v>
      </c>
      <c r="D63" s="66" t="s">
        <v>6</v>
      </c>
      <c r="E63" s="69" t="s">
        <v>148</v>
      </c>
      <c r="F63" s="70"/>
      <c r="G63" s="71">
        <v>1171.151219512195</v>
      </c>
      <c r="H63" s="72">
        <v>1171.151219512195</v>
      </c>
      <c r="I63" s="72"/>
      <c r="J63" s="72"/>
      <c r="K63" s="72"/>
      <c r="L63" s="73"/>
      <c r="M63" s="71">
        <v>2342.30243902439</v>
      </c>
      <c r="N63" s="72">
        <v>2342.30243902439</v>
      </c>
      <c r="O63" s="72"/>
      <c r="P63" s="72"/>
      <c r="Q63" s="72"/>
      <c r="R63" s="73"/>
      <c r="S63" s="71">
        <v>1156.2</v>
      </c>
      <c r="T63" s="72">
        <v>1110</v>
      </c>
      <c r="U63" s="72">
        <v>1094</v>
      </c>
      <c r="V63" s="72">
        <v>1208</v>
      </c>
      <c r="W63" s="72">
        <v>1218</v>
      </c>
      <c r="X63" s="73">
        <v>1151</v>
      </c>
      <c r="Y63" s="71"/>
      <c r="Z63" s="72"/>
      <c r="AA63" s="72"/>
      <c r="AB63" s="72"/>
      <c r="AC63" s="72"/>
      <c r="AD63" s="73"/>
      <c r="AE63" s="71"/>
      <c r="AF63" s="72"/>
      <c r="AG63" s="72"/>
      <c r="AH63" s="72"/>
      <c r="AI63" s="72"/>
      <c r="AJ63" s="73"/>
      <c r="AK63" s="71"/>
      <c r="AL63" s="72"/>
      <c r="AM63" s="72"/>
      <c r="AN63" s="72"/>
      <c r="AO63" s="72"/>
      <c r="AP63" s="73"/>
      <c r="AQ63" s="71"/>
      <c r="AR63" s="72"/>
      <c r="AS63" s="72"/>
      <c r="AT63" s="72"/>
      <c r="AU63" s="72"/>
      <c r="AV63" s="73"/>
      <c r="AW63" s="75">
        <v>-1.2766258757278437</v>
      </c>
      <c r="AX63" s="76">
        <v>-5.2214623093391417</v>
      </c>
      <c r="AY63" s="76">
        <v>-6.5876394292045282</v>
      </c>
      <c r="AZ63" s="76">
        <v>3.1463725498363182</v>
      </c>
      <c r="BA63" s="76">
        <v>4.0002332497521831</v>
      </c>
      <c r="BB63" s="77">
        <v>-1.720633439684105</v>
      </c>
      <c r="BC63" s="65"/>
      <c r="BD63" s="78"/>
      <c r="BE63" s="78"/>
      <c r="BF63" s="78"/>
      <c r="BG63" s="78"/>
      <c r="BH63" s="70"/>
      <c r="BI63" s="65"/>
      <c r="BJ63" s="78"/>
      <c r="BK63" s="78"/>
      <c r="BL63" s="78"/>
      <c r="BM63" s="78"/>
      <c r="BN63" s="70"/>
      <c r="BO63" s="65"/>
      <c r="BP63" s="78"/>
      <c r="BQ63" s="78"/>
      <c r="BR63" s="78"/>
      <c r="BS63" s="78"/>
      <c r="BT63" s="70"/>
      <c r="BU63" s="65"/>
      <c r="BV63" s="78"/>
      <c r="BW63" s="78"/>
      <c r="BX63" s="78"/>
      <c r="BY63" s="78"/>
      <c r="BZ63" s="70"/>
      <c r="CA63" s="80"/>
      <c r="CB63" s="78"/>
      <c r="CC63" s="78"/>
      <c r="CD63" s="78"/>
      <c r="CE63" s="78"/>
      <c r="CF63" s="70"/>
    </row>
    <row r="64" spans="1:84" ht="12" customHeight="1">
      <c r="A64" s="2" t="s">
        <v>86</v>
      </c>
      <c r="B64" s="64">
        <v>52</v>
      </c>
      <c r="C64" s="65">
        <v>10</v>
      </c>
      <c r="D64" s="66" t="s">
        <v>6</v>
      </c>
      <c r="E64" s="69" t="s">
        <v>87</v>
      </c>
      <c r="F64" s="70"/>
      <c r="G64" s="71">
        <v>1405.381463414634</v>
      </c>
      <c r="H64" s="72">
        <v>1405.381463414634</v>
      </c>
      <c r="I64" s="72"/>
      <c r="J64" s="72"/>
      <c r="K64" s="72"/>
      <c r="L64" s="73"/>
      <c r="M64" s="71">
        <v>2810.7629268292681</v>
      </c>
      <c r="N64" s="72">
        <v>2810.7629268292681</v>
      </c>
      <c r="O64" s="72"/>
      <c r="P64" s="72"/>
      <c r="Q64" s="72"/>
      <c r="R64" s="73"/>
      <c r="S64" s="71">
        <v>1384.4</v>
      </c>
      <c r="T64" s="72">
        <v>1362</v>
      </c>
      <c r="U64" s="72">
        <v>1342</v>
      </c>
      <c r="V64" s="72">
        <v>1432</v>
      </c>
      <c r="W64" s="72">
        <v>1310</v>
      </c>
      <c r="X64" s="73">
        <v>1476</v>
      </c>
      <c r="Y64" s="71"/>
      <c r="Z64" s="72"/>
      <c r="AA64" s="72"/>
      <c r="AB64" s="72"/>
      <c r="AC64" s="72"/>
      <c r="AD64" s="73"/>
      <c r="AE64" s="71"/>
      <c r="AF64" s="72"/>
      <c r="AG64" s="72"/>
      <c r="AH64" s="72"/>
      <c r="AI64" s="72"/>
      <c r="AJ64" s="73"/>
      <c r="AK64" s="71"/>
      <c r="AL64" s="72"/>
      <c r="AM64" s="72"/>
      <c r="AN64" s="72"/>
      <c r="AO64" s="72"/>
      <c r="AP64" s="73"/>
      <c r="AQ64" s="71"/>
      <c r="AR64" s="72"/>
      <c r="AS64" s="72"/>
      <c r="AT64" s="72"/>
      <c r="AU64" s="72"/>
      <c r="AV64" s="73"/>
      <c r="AW64" s="75">
        <v>-1.4929372530398721</v>
      </c>
      <c r="AX64" s="76">
        <v>-3.086810559549491</v>
      </c>
      <c r="AY64" s="76">
        <v>-4.5099117260759218</v>
      </c>
      <c r="AZ64" s="76">
        <v>1.8940435232930541</v>
      </c>
      <c r="BA64" s="76">
        <v>-6.7868735925182282</v>
      </c>
      <c r="BB64" s="77">
        <v>5.0248660896512254</v>
      </c>
      <c r="BC64" s="65"/>
      <c r="BD64" s="78"/>
      <c r="BE64" s="78"/>
      <c r="BF64" s="78"/>
      <c r="BG64" s="78"/>
      <c r="BH64" s="70"/>
      <c r="BI64" s="65"/>
      <c r="BJ64" s="78"/>
      <c r="BK64" s="78"/>
      <c r="BL64" s="78"/>
      <c r="BM64" s="78"/>
      <c r="BN64" s="70"/>
      <c r="BO64" s="65"/>
      <c r="BP64" s="78"/>
      <c r="BQ64" s="78"/>
      <c r="BR64" s="78"/>
      <c r="BS64" s="78"/>
      <c r="BT64" s="70"/>
      <c r="BU64" s="65"/>
      <c r="BV64" s="78"/>
      <c r="BW64" s="78"/>
      <c r="BX64" s="78"/>
      <c r="BY64" s="78"/>
      <c r="BZ64" s="70"/>
      <c r="CA64" s="80"/>
      <c r="CB64" s="78"/>
      <c r="CC64" s="78"/>
      <c r="CD64" s="78"/>
      <c r="CE64" s="78"/>
      <c r="CF64" s="70"/>
    </row>
    <row r="65" spans="1:84" ht="12" customHeight="1">
      <c r="A65" s="2"/>
      <c r="B65" s="64">
        <v>53</v>
      </c>
      <c r="C65" s="65">
        <v>10</v>
      </c>
      <c r="D65" s="66" t="s">
        <v>6</v>
      </c>
      <c r="E65" s="69" t="s">
        <v>89</v>
      </c>
      <c r="F65" s="70"/>
      <c r="G65" s="71">
        <v>1171.151219512195</v>
      </c>
      <c r="H65" s="72">
        <v>1171.151219512195</v>
      </c>
      <c r="I65" s="72"/>
      <c r="J65" s="72"/>
      <c r="K65" s="72"/>
      <c r="L65" s="73"/>
      <c r="M65" s="71">
        <v>2342.30243902439</v>
      </c>
      <c r="N65" s="72">
        <v>2342.30243902439</v>
      </c>
      <c r="O65" s="72"/>
      <c r="P65" s="72"/>
      <c r="Q65" s="72"/>
      <c r="R65" s="73"/>
      <c r="S65" s="71">
        <v>1156.2</v>
      </c>
      <c r="T65" s="72">
        <v>1110</v>
      </c>
      <c r="U65" s="72">
        <v>1094</v>
      </c>
      <c r="V65" s="72">
        <v>1208</v>
      </c>
      <c r="W65" s="72">
        <v>1218</v>
      </c>
      <c r="X65" s="73">
        <v>1151</v>
      </c>
      <c r="Y65" s="71"/>
      <c r="Z65" s="72"/>
      <c r="AA65" s="72"/>
      <c r="AB65" s="72"/>
      <c r="AC65" s="72"/>
      <c r="AD65" s="73"/>
      <c r="AE65" s="71"/>
      <c r="AF65" s="72"/>
      <c r="AG65" s="72"/>
      <c r="AH65" s="72"/>
      <c r="AI65" s="72"/>
      <c r="AJ65" s="73"/>
      <c r="AK65" s="71"/>
      <c r="AL65" s="72"/>
      <c r="AM65" s="72"/>
      <c r="AN65" s="72"/>
      <c r="AO65" s="72"/>
      <c r="AP65" s="73"/>
      <c r="AQ65" s="71"/>
      <c r="AR65" s="72"/>
      <c r="AS65" s="72"/>
      <c r="AT65" s="72"/>
      <c r="AU65" s="72"/>
      <c r="AV65" s="73"/>
      <c r="AW65" s="75">
        <v>-1.2766258757278437</v>
      </c>
      <c r="AX65" s="76">
        <v>-5.2214623093391417</v>
      </c>
      <c r="AY65" s="76">
        <v>-6.5876394292045282</v>
      </c>
      <c r="AZ65" s="76">
        <v>3.1463725498363182</v>
      </c>
      <c r="BA65" s="76">
        <v>4.0002332497521831</v>
      </c>
      <c r="BB65" s="77">
        <v>-1.720633439684105</v>
      </c>
      <c r="BC65" s="65"/>
      <c r="BD65" s="78"/>
      <c r="BE65" s="78"/>
      <c r="BF65" s="78"/>
      <c r="BG65" s="78"/>
      <c r="BH65" s="70"/>
      <c r="BI65" s="65"/>
      <c r="BJ65" s="78"/>
      <c r="BK65" s="78"/>
      <c r="BL65" s="78"/>
      <c r="BM65" s="78"/>
      <c r="BN65" s="70"/>
      <c r="BO65" s="65"/>
      <c r="BP65" s="78"/>
      <c r="BQ65" s="78"/>
      <c r="BR65" s="78"/>
      <c r="BS65" s="78"/>
      <c r="BT65" s="70"/>
      <c r="BU65" s="65"/>
      <c r="BV65" s="78"/>
      <c r="BW65" s="78"/>
      <c r="BX65" s="78"/>
      <c r="BY65" s="78"/>
      <c r="BZ65" s="70"/>
      <c r="CA65" s="80"/>
      <c r="CB65" s="78"/>
      <c r="CC65" s="78"/>
      <c r="CD65" s="78"/>
      <c r="CE65" s="78"/>
      <c r="CF65" s="70"/>
    </row>
    <row r="66" spans="1:84" ht="12" customHeight="1">
      <c r="A66" s="2"/>
      <c r="B66" s="64">
        <v>54</v>
      </c>
      <c r="C66" s="65">
        <v>10</v>
      </c>
      <c r="D66" s="66" t="s">
        <v>6</v>
      </c>
      <c r="E66" s="69" t="s">
        <v>91</v>
      </c>
      <c r="F66" s="70"/>
      <c r="G66" s="71">
        <v>1452.2275121951218</v>
      </c>
      <c r="H66" s="72">
        <v>1452.2275121951218</v>
      </c>
      <c r="I66" s="72"/>
      <c r="J66" s="72"/>
      <c r="K66" s="72"/>
      <c r="L66" s="73"/>
      <c r="M66" s="71">
        <v>2904.4550243902431</v>
      </c>
      <c r="N66" s="72">
        <v>2904.4550243902431</v>
      </c>
      <c r="O66" s="72"/>
      <c r="P66" s="72"/>
      <c r="Q66" s="72"/>
      <c r="R66" s="73"/>
      <c r="S66" s="71">
        <v>1447.4</v>
      </c>
      <c r="T66" s="72">
        <v>1442</v>
      </c>
      <c r="U66" s="72">
        <v>1419</v>
      </c>
      <c r="V66" s="72">
        <v>1388</v>
      </c>
      <c r="W66" s="72">
        <v>1503</v>
      </c>
      <c r="X66" s="73">
        <v>1485</v>
      </c>
      <c r="Y66" s="71"/>
      <c r="Z66" s="72"/>
      <c r="AA66" s="72"/>
      <c r="AB66" s="72"/>
      <c r="AC66" s="72"/>
      <c r="AD66" s="73"/>
      <c r="AE66" s="71"/>
      <c r="AF66" s="72"/>
      <c r="AG66" s="72"/>
      <c r="AH66" s="72"/>
      <c r="AI66" s="72"/>
      <c r="AJ66" s="73"/>
      <c r="AK66" s="71"/>
      <c r="AL66" s="72"/>
      <c r="AM66" s="72"/>
      <c r="AN66" s="72"/>
      <c r="AO66" s="72"/>
      <c r="AP66" s="73"/>
      <c r="AQ66" s="71"/>
      <c r="AR66" s="72"/>
      <c r="AS66" s="72"/>
      <c r="AT66" s="72"/>
      <c r="AU66" s="72"/>
      <c r="AV66" s="73"/>
      <c r="AW66" s="75">
        <v>-0.33242120498218064</v>
      </c>
      <c r="AX66" s="76">
        <v>-0.70426376784876732</v>
      </c>
      <c r="AY66" s="76">
        <v>-2.2880376467249719</v>
      </c>
      <c r="AZ66" s="76">
        <v>-4.422689396514623</v>
      </c>
      <c r="BA66" s="76">
        <v>3.4961799978663777</v>
      </c>
      <c r="BB66" s="77">
        <v>2.2567047883110813</v>
      </c>
      <c r="BC66" s="65"/>
      <c r="BD66" s="78"/>
      <c r="BE66" s="78"/>
      <c r="BF66" s="78"/>
      <c r="BG66" s="78"/>
      <c r="BH66" s="70"/>
      <c r="BI66" s="65"/>
      <c r="BJ66" s="78"/>
      <c r="BK66" s="78"/>
      <c r="BL66" s="78"/>
      <c r="BM66" s="78"/>
      <c r="BN66" s="70"/>
      <c r="BO66" s="65"/>
      <c r="BP66" s="78"/>
      <c r="BQ66" s="78"/>
      <c r="BR66" s="78"/>
      <c r="BS66" s="78"/>
      <c r="BT66" s="70"/>
      <c r="BU66" s="65"/>
      <c r="BV66" s="78"/>
      <c r="BW66" s="78"/>
      <c r="BX66" s="78"/>
      <c r="BY66" s="78"/>
      <c r="BZ66" s="70"/>
      <c r="CA66" s="80"/>
      <c r="CB66" s="78"/>
      <c r="CC66" s="78"/>
      <c r="CD66" s="78"/>
      <c r="CE66" s="78"/>
      <c r="CF66" s="70"/>
    </row>
    <row r="67" spans="1:84" ht="12" customHeight="1">
      <c r="A67" s="2"/>
      <c r="B67" s="64">
        <v>55</v>
      </c>
      <c r="C67" s="65">
        <v>10</v>
      </c>
      <c r="D67" s="66" t="s">
        <v>6</v>
      </c>
      <c r="E67" s="69" t="s">
        <v>144</v>
      </c>
      <c r="F67" s="70"/>
      <c r="G67" s="71">
        <v>1873.8419512195121</v>
      </c>
      <c r="H67" s="72">
        <v>1873.8419512195121</v>
      </c>
      <c r="I67" s="72"/>
      <c r="J67" s="72"/>
      <c r="K67" s="72"/>
      <c r="L67" s="73"/>
      <c r="M67" s="71">
        <v>3747.6839024390238</v>
      </c>
      <c r="N67" s="72">
        <v>3747.6839024390238</v>
      </c>
      <c r="O67" s="72"/>
      <c r="P67" s="72"/>
      <c r="Q67" s="72"/>
      <c r="R67" s="73"/>
      <c r="S67" s="71">
        <v>1855</v>
      </c>
      <c r="T67" s="72">
        <v>1859</v>
      </c>
      <c r="U67" s="72">
        <v>1870</v>
      </c>
      <c r="V67" s="72">
        <v>1812</v>
      </c>
      <c r="W67" s="72">
        <v>1842</v>
      </c>
      <c r="X67" s="73">
        <v>1892</v>
      </c>
      <c r="Y67" s="71"/>
      <c r="Z67" s="72"/>
      <c r="AA67" s="72"/>
      <c r="AB67" s="72"/>
      <c r="AC67" s="72"/>
      <c r="AD67" s="73"/>
      <c r="AE67" s="71"/>
      <c r="AF67" s="72"/>
      <c r="AG67" s="72"/>
      <c r="AH67" s="72"/>
      <c r="AI67" s="72"/>
      <c r="AJ67" s="73"/>
      <c r="AK67" s="71"/>
      <c r="AL67" s="72"/>
      <c r="AM67" s="72"/>
      <c r="AN67" s="72"/>
      <c r="AO67" s="72"/>
      <c r="AP67" s="73"/>
      <c r="AQ67" s="71"/>
      <c r="AR67" s="72"/>
      <c r="AS67" s="72"/>
      <c r="AT67" s="72"/>
      <c r="AU67" s="72"/>
      <c r="AV67" s="73"/>
      <c r="AW67" s="75">
        <v>-1.0055251035045676</v>
      </c>
      <c r="AX67" s="76">
        <v>-0.79205992852561247</v>
      </c>
      <c r="AY67" s="76">
        <v>-0.20503069733345258</v>
      </c>
      <c r="AZ67" s="76">
        <v>-3.3002757345284572</v>
      </c>
      <c r="BA67" s="76">
        <v>-1.6992869221862161</v>
      </c>
      <c r="BB67" s="77">
        <v>0.96902776505085608</v>
      </c>
      <c r="BC67" s="65"/>
      <c r="BD67" s="78"/>
      <c r="BE67" s="78"/>
      <c r="BF67" s="78"/>
      <c r="BG67" s="78"/>
      <c r="BH67" s="70"/>
      <c r="BI67" s="65"/>
      <c r="BJ67" s="78"/>
      <c r="BK67" s="78"/>
      <c r="BL67" s="78"/>
      <c r="BM67" s="78"/>
      <c r="BN67" s="70"/>
      <c r="BO67" s="65"/>
      <c r="BP67" s="78"/>
      <c r="BQ67" s="78"/>
      <c r="BR67" s="78"/>
      <c r="BS67" s="78"/>
      <c r="BT67" s="70"/>
      <c r="BU67" s="65"/>
      <c r="BV67" s="78"/>
      <c r="BW67" s="78"/>
      <c r="BX67" s="78"/>
      <c r="BY67" s="78"/>
      <c r="BZ67" s="70"/>
      <c r="CA67" s="80"/>
      <c r="CB67" s="78"/>
      <c r="CC67" s="78"/>
      <c r="CD67" s="78"/>
      <c r="CE67" s="78"/>
      <c r="CF67" s="70"/>
    </row>
    <row r="68" spans="1:84" ht="12" customHeight="1">
      <c r="A68" s="2"/>
      <c r="B68" s="64">
        <v>56</v>
      </c>
      <c r="C68" s="65">
        <v>10</v>
      </c>
      <c r="D68" s="66" t="s">
        <v>6</v>
      </c>
      <c r="E68" s="69" t="s">
        <v>92</v>
      </c>
      <c r="F68" s="70"/>
      <c r="G68" s="71">
        <v>1639.6117073170728</v>
      </c>
      <c r="H68" s="72">
        <v>1639.6117073170728</v>
      </c>
      <c r="I68" s="72"/>
      <c r="J68" s="72"/>
      <c r="K68" s="72"/>
      <c r="L68" s="73"/>
      <c r="M68" s="71">
        <v>3279.2234146341452</v>
      </c>
      <c r="N68" s="72">
        <v>3279.2234146341452</v>
      </c>
      <c r="O68" s="72"/>
      <c r="P68" s="72"/>
      <c r="Q68" s="72"/>
      <c r="R68" s="73"/>
      <c r="S68" s="71">
        <v>1661</v>
      </c>
      <c r="T68" s="72">
        <v>1674</v>
      </c>
      <c r="U68" s="72">
        <v>1692</v>
      </c>
      <c r="V68" s="72">
        <v>1586</v>
      </c>
      <c r="W68" s="72">
        <v>1648</v>
      </c>
      <c r="X68" s="73">
        <v>1705</v>
      </c>
      <c r="Y68" s="71"/>
      <c r="Z68" s="72"/>
      <c r="AA68" s="72"/>
      <c r="AB68" s="72"/>
      <c r="AC68" s="72"/>
      <c r="AD68" s="73"/>
      <c r="AE68" s="71"/>
      <c r="AF68" s="72"/>
      <c r="AG68" s="72"/>
      <c r="AH68" s="72"/>
      <c r="AI68" s="72"/>
      <c r="AJ68" s="73"/>
      <c r="AK68" s="71"/>
      <c r="AL68" s="72"/>
      <c r="AM68" s="72"/>
      <c r="AN68" s="72"/>
      <c r="AO68" s="72"/>
      <c r="AP68" s="73"/>
      <c r="AQ68" s="71"/>
      <c r="AR68" s="72"/>
      <c r="AS68" s="72"/>
      <c r="AT68" s="72"/>
      <c r="AU68" s="72"/>
      <c r="AV68" s="73"/>
      <c r="AW68" s="75">
        <v>1.3044730400178173</v>
      </c>
      <c r="AX68" s="76">
        <v>2.0973436899397013</v>
      </c>
      <c r="AY68" s="76">
        <v>3.1951645898315117</v>
      </c>
      <c r="AZ68" s="76">
        <v>-3.2697807095314446</v>
      </c>
      <c r="BA68" s="76">
        <v>0.51160239009595543</v>
      </c>
      <c r="BB68" s="77">
        <v>3.9880352397533958</v>
      </c>
      <c r="BC68" s="65"/>
      <c r="BD68" s="78"/>
      <c r="BE68" s="78"/>
      <c r="BF68" s="78"/>
      <c r="BG68" s="78"/>
      <c r="BH68" s="70"/>
      <c r="BI68" s="65"/>
      <c r="BJ68" s="78"/>
      <c r="BK68" s="78"/>
      <c r="BL68" s="78"/>
      <c r="BM68" s="78"/>
      <c r="BN68" s="70"/>
      <c r="BO68" s="65"/>
      <c r="BP68" s="78"/>
      <c r="BQ68" s="78"/>
      <c r="BR68" s="78"/>
      <c r="BS68" s="78"/>
      <c r="BT68" s="70"/>
      <c r="BU68" s="65"/>
      <c r="BV68" s="78"/>
      <c r="BW68" s="78"/>
      <c r="BX68" s="78"/>
      <c r="BY68" s="78"/>
      <c r="BZ68" s="70"/>
      <c r="CA68" s="80"/>
      <c r="CB68" s="78"/>
      <c r="CC68" s="78"/>
      <c r="CD68" s="78"/>
      <c r="CE68" s="78"/>
      <c r="CF68" s="70"/>
    </row>
    <row r="69" spans="1:84" ht="12" customHeight="1">
      <c r="A69" s="2"/>
      <c r="B69" s="64">
        <v>57</v>
      </c>
      <c r="C69" s="65">
        <v>10</v>
      </c>
      <c r="D69" s="66" t="s">
        <v>6</v>
      </c>
      <c r="E69" s="69" t="s">
        <v>140</v>
      </c>
      <c r="F69" s="70"/>
      <c r="G69" s="71">
        <v>1873.8419512195121</v>
      </c>
      <c r="H69" s="72">
        <v>1873.8419512195121</v>
      </c>
      <c r="I69" s="72"/>
      <c r="J69" s="72"/>
      <c r="K69" s="72"/>
      <c r="L69" s="73"/>
      <c r="M69" s="71">
        <v>3747.6839024390238</v>
      </c>
      <c r="N69" s="72">
        <v>3747.6839024390238</v>
      </c>
      <c r="O69" s="72"/>
      <c r="P69" s="72"/>
      <c r="Q69" s="72"/>
      <c r="R69" s="73"/>
      <c r="S69" s="71">
        <v>1855</v>
      </c>
      <c r="T69" s="72">
        <v>1859</v>
      </c>
      <c r="U69" s="72">
        <v>1870</v>
      </c>
      <c r="V69" s="72">
        <v>1812</v>
      </c>
      <c r="W69" s="72">
        <v>1842</v>
      </c>
      <c r="X69" s="73">
        <v>1892</v>
      </c>
      <c r="Y69" s="71"/>
      <c r="Z69" s="72"/>
      <c r="AA69" s="72"/>
      <c r="AB69" s="72"/>
      <c r="AC69" s="72"/>
      <c r="AD69" s="73"/>
      <c r="AE69" s="71"/>
      <c r="AF69" s="72"/>
      <c r="AG69" s="72"/>
      <c r="AH69" s="72"/>
      <c r="AI69" s="72"/>
      <c r="AJ69" s="73"/>
      <c r="AK69" s="71"/>
      <c r="AL69" s="72"/>
      <c r="AM69" s="72"/>
      <c r="AN69" s="72"/>
      <c r="AO69" s="72"/>
      <c r="AP69" s="73"/>
      <c r="AQ69" s="71"/>
      <c r="AR69" s="72"/>
      <c r="AS69" s="72"/>
      <c r="AT69" s="72"/>
      <c r="AU69" s="72"/>
      <c r="AV69" s="73"/>
      <c r="AW69" s="75">
        <v>-1.0055251035045676</v>
      </c>
      <c r="AX69" s="76">
        <v>-0.79205992852561247</v>
      </c>
      <c r="AY69" s="76">
        <v>-0.20503069733345258</v>
      </c>
      <c r="AZ69" s="76">
        <v>-3.3002757345284572</v>
      </c>
      <c r="BA69" s="76">
        <v>-1.6992869221862161</v>
      </c>
      <c r="BB69" s="77">
        <v>0.96902776505085608</v>
      </c>
      <c r="BC69" s="65"/>
      <c r="BD69" s="78"/>
      <c r="BE69" s="78"/>
      <c r="BF69" s="78"/>
      <c r="BG69" s="78"/>
      <c r="BH69" s="70"/>
      <c r="BI69" s="65"/>
      <c r="BJ69" s="78"/>
      <c r="BK69" s="78"/>
      <c r="BL69" s="78"/>
      <c r="BM69" s="78"/>
      <c r="BN69" s="70"/>
      <c r="BO69" s="65"/>
      <c r="BP69" s="78"/>
      <c r="BQ69" s="78"/>
      <c r="BR69" s="78"/>
      <c r="BS69" s="78"/>
      <c r="BT69" s="70"/>
      <c r="BU69" s="65"/>
      <c r="BV69" s="78"/>
      <c r="BW69" s="78"/>
      <c r="BX69" s="78"/>
      <c r="BY69" s="78"/>
      <c r="BZ69" s="70"/>
      <c r="CA69" s="80"/>
      <c r="CB69" s="78"/>
      <c r="CC69" s="78"/>
      <c r="CD69" s="78"/>
      <c r="CE69" s="78"/>
      <c r="CF69" s="70"/>
    </row>
    <row r="70" spans="1:84" ht="12" customHeight="1">
      <c r="A70" s="2"/>
      <c r="B70" s="64">
        <v>58</v>
      </c>
      <c r="C70" s="65">
        <v>10</v>
      </c>
      <c r="D70" s="66" t="s">
        <v>6</v>
      </c>
      <c r="E70" s="69" t="s">
        <v>95</v>
      </c>
      <c r="F70" s="70"/>
      <c r="G70" s="71">
        <v>1639.6117073170728</v>
      </c>
      <c r="H70" s="72">
        <v>1639.6117073170728</v>
      </c>
      <c r="I70" s="72"/>
      <c r="J70" s="72"/>
      <c r="K70" s="72"/>
      <c r="L70" s="73"/>
      <c r="M70" s="71">
        <v>3279.2234146341452</v>
      </c>
      <c r="N70" s="72">
        <v>3279.2234146341452</v>
      </c>
      <c r="O70" s="72"/>
      <c r="P70" s="72"/>
      <c r="Q70" s="72"/>
      <c r="R70" s="73"/>
      <c r="S70" s="71">
        <v>1661</v>
      </c>
      <c r="T70" s="72">
        <v>1674</v>
      </c>
      <c r="U70" s="72">
        <v>1692</v>
      </c>
      <c r="V70" s="72">
        <v>1586</v>
      </c>
      <c r="W70" s="72">
        <v>1648</v>
      </c>
      <c r="X70" s="73">
        <v>1705</v>
      </c>
      <c r="Y70" s="71"/>
      <c r="Z70" s="72"/>
      <c r="AA70" s="72"/>
      <c r="AB70" s="72"/>
      <c r="AC70" s="72"/>
      <c r="AD70" s="73"/>
      <c r="AE70" s="71"/>
      <c r="AF70" s="72"/>
      <c r="AG70" s="72"/>
      <c r="AH70" s="72"/>
      <c r="AI70" s="72"/>
      <c r="AJ70" s="73"/>
      <c r="AK70" s="71"/>
      <c r="AL70" s="72"/>
      <c r="AM70" s="72"/>
      <c r="AN70" s="72"/>
      <c r="AO70" s="72"/>
      <c r="AP70" s="73"/>
      <c r="AQ70" s="71"/>
      <c r="AR70" s="72"/>
      <c r="AS70" s="72"/>
      <c r="AT70" s="72"/>
      <c r="AU70" s="72"/>
      <c r="AV70" s="73"/>
      <c r="AW70" s="75">
        <v>1.3044730400178173</v>
      </c>
      <c r="AX70" s="76">
        <v>2.0973436899397013</v>
      </c>
      <c r="AY70" s="76">
        <v>3.1951645898315117</v>
      </c>
      <c r="AZ70" s="76">
        <v>-3.2697807095314446</v>
      </c>
      <c r="BA70" s="76">
        <v>0.51160239009595543</v>
      </c>
      <c r="BB70" s="77">
        <v>3.9880352397533958</v>
      </c>
      <c r="BC70" s="65"/>
      <c r="BD70" s="78"/>
      <c r="BE70" s="78"/>
      <c r="BF70" s="78"/>
      <c r="BG70" s="78"/>
      <c r="BH70" s="70"/>
      <c r="BI70" s="65"/>
      <c r="BJ70" s="78"/>
      <c r="BK70" s="78"/>
      <c r="BL70" s="78"/>
      <c r="BM70" s="78"/>
      <c r="BN70" s="70"/>
      <c r="BO70" s="65"/>
      <c r="BP70" s="78"/>
      <c r="BQ70" s="78"/>
      <c r="BR70" s="78"/>
      <c r="BS70" s="78"/>
      <c r="BT70" s="70"/>
      <c r="BU70" s="65"/>
      <c r="BV70" s="78"/>
      <c r="BW70" s="78"/>
      <c r="BX70" s="78"/>
      <c r="BY70" s="78"/>
      <c r="BZ70" s="70"/>
      <c r="CA70" s="80"/>
      <c r="CB70" s="78"/>
      <c r="CC70" s="78"/>
      <c r="CD70" s="78"/>
      <c r="CE70" s="78"/>
      <c r="CF70" s="70"/>
    </row>
    <row r="71" spans="1:84" ht="12" customHeight="1">
      <c r="A71" s="2"/>
      <c r="B71" s="64">
        <v>59</v>
      </c>
      <c r="C71" s="65">
        <v>10</v>
      </c>
      <c r="D71" s="66" t="s">
        <v>6</v>
      </c>
      <c r="E71" s="69" t="s">
        <v>141</v>
      </c>
      <c r="F71" s="70"/>
      <c r="G71" s="71">
        <v>2323.564019512195</v>
      </c>
      <c r="H71" s="72">
        <v>2323.564019512195</v>
      </c>
      <c r="I71" s="72"/>
      <c r="J71" s="72"/>
      <c r="K71" s="72"/>
      <c r="L71" s="73"/>
      <c r="M71" s="71">
        <v>4647.1280390243901</v>
      </c>
      <c r="N71" s="72">
        <v>4647.1280390243901</v>
      </c>
      <c r="O71" s="72"/>
      <c r="P71" s="72"/>
      <c r="Q71" s="72"/>
      <c r="R71" s="73"/>
      <c r="S71" s="71">
        <v>2307.4</v>
      </c>
      <c r="T71" s="72">
        <v>2354</v>
      </c>
      <c r="U71" s="72">
        <v>2315</v>
      </c>
      <c r="V71" s="72">
        <v>2288</v>
      </c>
      <c r="W71" s="72">
        <v>2290</v>
      </c>
      <c r="X71" s="73">
        <v>2290</v>
      </c>
      <c r="Y71" s="71"/>
      <c r="Z71" s="72"/>
      <c r="AA71" s="72"/>
      <c r="AB71" s="72"/>
      <c r="AC71" s="72"/>
      <c r="AD71" s="73"/>
      <c r="AE71" s="71"/>
      <c r="AF71" s="72"/>
      <c r="AG71" s="72"/>
      <c r="AH71" s="72"/>
      <c r="AI71" s="72"/>
      <c r="AJ71" s="73"/>
      <c r="AK71" s="71"/>
      <c r="AL71" s="72"/>
      <c r="AM71" s="72"/>
      <c r="AN71" s="72"/>
      <c r="AO71" s="72"/>
      <c r="AP71" s="73"/>
      <c r="AQ71" s="71"/>
      <c r="AR71" s="72"/>
      <c r="AS71" s="72"/>
      <c r="AT71" s="72"/>
      <c r="AU71" s="72"/>
      <c r="AV71" s="73"/>
      <c r="AW71" s="75">
        <v>-0.6956563011157435</v>
      </c>
      <c r="AX71" s="76">
        <v>1.3098834476785726</v>
      </c>
      <c r="AY71" s="76">
        <v>-0.36857256526088289</v>
      </c>
      <c r="AZ71" s="76">
        <v>-1.5305805742189649</v>
      </c>
      <c r="BA71" s="76">
        <v>-1.4445059068887378</v>
      </c>
      <c r="BB71" s="77">
        <v>-1.4445059068887378</v>
      </c>
      <c r="BC71" s="65"/>
      <c r="BD71" s="78"/>
      <c r="BE71" s="78"/>
      <c r="BF71" s="78"/>
      <c r="BG71" s="78"/>
      <c r="BH71" s="70"/>
      <c r="BI71" s="65"/>
      <c r="BJ71" s="78"/>
      <c r="BK71" s="78"/>
      <c r="BL71" s="78"/>
      <c r="BM71" s="78"/>
      <c r="BN71" s="70"/>
      <c r="BO71" s="65"/>
      <c r="BP71" s="78"/>
      <c r="BQ71" s="78"/>
      <c r="BR71" s="78"/>
      <c r="BS71" s="78"/>
      <c r="BT71" s="70"/>
      <c r="BU71" s="65"/>
      <c r="BV71" s="78"/>
      <c r="BW71" s="78"/>
      <c r="BX71" s="78"/>
      <c r="BY71" s="78"/>
      <c r="BZ71" s="70"/>
      <c r="CA71" s="80"/>
      <c r="CB71" s="78"/>
      <c r="CC71" s="78"/>
      <c r="CD71" s="78"/>
      <c r="CE71" s="78"/>
      <c r="CF71" s="70"/>
    </row>
    <row r="72" spans="1:84" ht="12" customHeight="1">
      <c r="A72" s="2"/>
      <c r="B72" s="64">
        <v>60</v>
      </c>
      <c r="C72" s="65">
        <v>10</v>
      </c>
      <c r="D72" s="66" t="s">
        <v>6</v>
      </c>
      <c r="E72" s="69" t="s">
        <v>98</v>
      </c>
      <c r="F72" s="70"/>
      <c r="G72" s="71">
        <v>2033.1185170731703</v>
      </c>
      <c r="H72" s="72">
        <v>2033.1185170731703</v>
      </c>
      <c r="I72" s="72"/>
      <c r="J72" s="72"/>
      <c r="K72" s="72"/>
      <c r="L72" s="73"/>
      <c r="M72" s="71">
        <v>4066.2370341463406</v>
      </c>
      <c r="N72" s="72">
        <v>4066.2370341463406</v>
      </c>
      <c r="O72" s="72"/>
      <c r="P72" s="72"/>
      <c r="Q72" s="72"/>
      <c r="R72" s="73"/>
      <c r="S72" s="71">
        <v>2016.2</v>
      </c>
      <c r="T72" s="72">
        <v>2022</v>
      </c>
      <c r="U72" s="72">
        <v>2097</v>
      </c>
      <c r="V72" s="72">
        <v>1930</v>
      </c>
      <c r="W72" s="72">
        <v>2063</v>
      </c>
      <c r="X72" s="73">
        <v>1969</v>
      </c>
      <c r="Y72" s="71"/>
      <c r="Z72" s="72"/>
      <c r="AA72" s="72"/>
      <c r="AB72" s="72"/>
      <c r="AC72" s="72"/>
      <c r="AD72" s="73"/>
      <c r="AE72" s="71"/>
      <c r="AF72" s="72"/>
      <c r="AG72" s="72"/>
      <c r="AH72" s="72"/>
      <c r="AI72" s="72"/>
      <c r="AJ72" s="73"/>
      <c r="AK72" s="71"/>
      <c r="AL72" s="72"/>
      <c r="AM72" s="72"/>
      <c r="AN72" s="72"/>
      <c r="AO72" s="72"/>
      <c r="AP72" s="73"/>
      <c r="AQ72" s="71"/>
      <c r="AR72" s="72"/>
      <c r="AS72" s="72"/>
      <c r="AT72" s="72"/>
      <c r="AU72" s="72"/>
      <c r="AV72" s="73"/>
      <c r="AW72" s="75">
        <v>-0.83214613073938626</v>
      </c>
      <c r="AX72" s="76">
        <v>-0.54687009044491752</v>
      </c>
      <c r="AY72" s="76">
        <v>3.1420442237077184</v>
      </c>
      <c r="AZ72" s="76">
        <v>-5.0719383158054798</v>
      </c>
      <c r="BA72" s="76">
        <v>1.4697364012918657</v>
      </c>
      <c r="BB72" s="77">
        <v>-3.1537028724461069</v>
      </c>
      <c r="BC72" s="65"/>
      <c r="BD72" s="78"/>
      <c r="BE72" s="78"/>
      <c r="BF72" s="78"/>
      <c r="BG72" s="78"/>
      <c r="BH72" s="70"/>
      <c r="BI72" s="65"/>
      <c r="BJ72" s="78"/>
      <c r="BK72" s="78"/>
      <c r="BL72" s="78"/>
      <c r="BM72" s="78"/>
      <c r="BN72" s="70"/>
      <c r="BO72" s="65"/>
      <c r="BP72" s="78"/>
      <c r="BQ72" s="78"/>
      <c r="BR72" s="78"/>
      <c r="BS72" s="78"/>
      <c r="BT72" s="70"/>
      <c r="BU72" s="65"/>
      <c r="BV72" s="78"/>
      <c r="BW72" s="78"/>
      <c r="BX72" s="78"/>
      <c r="BY72" s="78"/>
      <c r="BZ72" s="70"/>
      <c r="CA72" s="80"/>
      <c r="CB72" s="78"/>
      <c r="CC72" s="78"/>
      <c r="CD72" s="78"/>
      <c r="CE72" s="78"/>
      <c r="CF72" s="70"/>
    </row>
    <row r="73" spans="1:84" ht="12" customHeight="1">
      <c r="A73" s="2"/>
      <c r="B73" s="64">
        <v>61</v>
      </c>
      <c r="C73" s="65">
        <v>10</v>
      </c>
      <c r="D73" s="66" t="s">
        <v>6</v>
      </c>
      <c r="E73" s="69" t="s">
        <v>150</v>
      </c>
      <c r="F73" s="70"/>
      <c r="G73" s="71">
        <v>1873.8419512195121</v>
      </c>
      <c r="H73" s="72">
        <v>1873.8419512195121</v>
      </c>
      <c r="I73" s="72"/>
      <c r="J73" s="72"/>
      <c r="K73" s="72"/>
      <c r="L73" s="73"/>
      <c r="M73" s="71">
        <v>3747.6839024390238</v>
      </c>
      <c r="N73" s="72">
        <v>3747.6839024390238</v>
      </c>
      <c r="O73" s="72"/>
      <c r="P73" s="72"/>
      <c r="Q73" s="72"/>
      <c r="R73" s="73"/>
      <c r="S73" s="71">
        <v>1855</v>
      </c>
      <c r="T73" s="72">
        <v>1859</v>
      </c>
      <c r="U73" s="72">
        <v>1870</v>
      </c>
      <c r="V73" s="72">
        <v>1812</v>
      </c>
      <c r="W73" s="72">
        <v>1842</v>
      </c>
      <c r="X73" s="73">
        <v>1892</v>
      </c>
      <c r="Y73" s="71"/>
      <c r="Z73" s="72"/>
      <c r="AA73" s="72"/>
      <c r="AB73" s="72"/>
      <c r="AC73" s="72"/>
      <c r="AD73" s="73"/>
      <c r="AE73" s="71"/>
      <c r="AF73" s="72"/>
      <c r="AG73" s="72"/>
      <c r="AH73" s="72"/>
      <c r="AI73" s="72"/>
      <c r="AJ73" s="73"/>
      <c r="AK73" s="71"/>
      <c r="AL73" s="72"/>
      <c r="AM73" s="72"/>
      <c r="AN73" s="72"/>
      <c r="AO73" s="72"/>
      <c r="AP73" s="73"/>
      <c r="AQ73" s="71"/>
      <c r="AR73" s="72"/>
      <c r="AS73" s="72"/>
      <c r="AT73" s="72"/>
      <c r="AU73" s="72"/>
      <c r="AV73" s="73"/>
      <c r="AW73" s="75">
        <v>-1.0055251035045676</v>
      </c>
      <c r="AX73" s="76">
        <v>-0.79205992852561247</v>
      </c>
      <c r="AY73" s="76">
        <v>-0.20503069733345258</v>
      </c>
      <c r="AZ73" s="76">
        <v>-3.3002757345284572</v>
      </c>
      <c r="BA73" s="76">
        <v>-1.6992869221862161</v>
      </c>
      <c r="BB73" s="77">
        <v>0.96902776505085608</v>
      </c>
      <c r="BC73" s="65"/>
      <c r="BD73" s="78"/>
      <c r="BE73" s="78"/>
      <c r="BF73" s="78"/>
      <c r="BG73" s="78"/>
      <c r="BH73" s="70"/>
      <c r="BI73" s="65"/>
      <c r="BJ73" s="78"/>
      <c r="BK73" s="78"/>
      <c r="BL73" s="78"/>
      <c r="BM73" s="78"/>
      <c r="BN73" s="70"/>
      <c r="BO73" s="65"/>
      <c r="BP73" s="78"/>
      <c r="BQ73" s="78"/>
      <c r="BR73" s="78"/>
      <c r="BS73" s="78"/>
      <c r="BT73" s="70"/>
      <c r="BU73" s="65"/>
      <c r="BV73" s="78"/>
      <c r="BW73" s="78"/>
      <c r="BX73" s="78"/>
      <c r="BY73" s="78"/>
      <c r="BZ73" s="70"/>
      <c r="CA73" s="80"/>
      <c r="CB73" s="78"/>
      <c r="CC73" s="78"/>
      <c r="CD73" s="78"/>
      <c r="CE73" s="78"/>
      <c r="CF73" s="70"/>
    </row>
    <row r="74" spans="1:84" ht="12" customHeight="1">
      <c r="A74" s="2"/>
      <c r="B74" s="64">
        <v>62</v>
      </c>
      <c r="C74" s="65">
        <v>10</v>
      </c>
      <c r="D74" s="66" t="s">
        <v>6</v>
      </c>
      <c r="E74" s="69" t="s">
        <v>151</v>
      </c>
      <c r="F74" s="70"/>
      <c r="G74" s="71">
        <v>1639.6117073170728</v>
      </c>
      <c r="H74" s="72">
        <v>1639.6117073170728</v>
      </c>
      <c r="I74" s="72"/>
      <c r="J74" s="72"/>
      <c r="K74" s="72"/>
      <c r="L74" s="73"/>
      <c r="M74" s="71">
        <v>3279.2234146341452</v>
      </c>
      <c r="N74" s="72">
        <v>3279.2234146341452</v>
      </c>
      <c r="O74" s="72"/>
      <c r="P74" s="72"/>
      <c r="Q74" s="72"/>
      <c r="R74" s="73"/>
      <c r="S74" s="71">
        <v>1661</v>
      </c>
      <c r="T74" s="72">
        <v>1674</v>
      </c>
      <c r="U74" s="72">
        <v>1692</v>
      </c>
      <c r="V74" s="72">
        <v>1586</v>
      </c>
      <c r="W74" s="72">
        <v>1648</v>
      </c>
      <c r="X74" s="73">
        <v>1705</v>
      </c>
      <c r="Y74" s="71"/>
      <c r="Z74" s="72"/>
      <c r="AA74" s="72"/>
      <c r="AB74" s="72"/>
      <c r="AC74" s="72"/>
      <c r="AD74" s="73"/>
      <c r="AE74" s="71"/>
      <c r="AF74" s="72"/>
      <c r="AG74" s="72"/>
      <c r="AH74" s="72"/>
      <c r="AI74" s="72"/>
      <c r="AJ74" s="73"/>
      <c r="AK74" s="71"/>
      <c r="AL74" s="72"/>
      <c r="AM74" s="72"/>
      <c r="AN74" s="72"/>
      <c r="AO74" s="72"/>
      <c r="AP74" s="73"/>
      <c r="AQ74" s="71"/>
      <c r="AR74" s="72"/>
      <c r="AS74" s="72"/>
      <c r="AT74" s="72"/>
      <c r="AU74" s="72"/>
      <c r="AV74" s="73"/>
      <c r="AW74" s="75">
        <v>1.3044730400178173</v>
      </c>
      <c r="AX74" s="76">
        <v>2.0973436899397013</v>
      </c>
      <c r="AY74" s="76">
        <v>3.1951645898315117</v>
      </c>
      <c r="AZ74" s="76">
        <v>-3.2697807095314446</v>
      </c>
      <c r="BA74" s="76">
        <v>0.51160239009595543</v>
      </c>
      <c r="BB74" s="77">
        <v>3.9880352397533958</v>
      </c>
      <c r="BC74" s="65"/>
      <c r="BD74" s="78"/>
      <c r="BE74" s="78"/>
      <c r="BF74" s="78"/>
      <c r="BG74" s="78"/>
      <c r="BH74" s="70"/>
      <c r="BI74" s="65"/>
      <c r="BJ74" s="78"/>
      <c r="BK74" s="78"/>
      <c r="BL74" s="78"/>
      <c r="BM74" s="78"/>
      <c r="BN74" s="70"/>
      <c r="BO74" s="65"/>
      <c r="BP74" s="78"/>
      <c r="BQ74" s="78"/>
      <c r="BR74" s="78"/>
      <c r="BS74" s="78"/>
      <c r="BT74" s="70"/>
      <c r="BU74" s="65"/>
      <c r="BV74" s="78"/>
      <c r="BW74" s="78"/>
      <c r="BX74" s="78"/>
      <c r="BY74" s="78"/>
      <c r="BZ74" s="70"/>
      <c r="CA74" s="80"/>
      <c r="CB74" s="78"/>
      <c r="CC74" s="78"/>
      <c r="CD74" s="78"/>
      <c r="CE74" s="78"/>
      <c r="CF74" s="70"/>
    </row>
    <row r="75" spans="1:84" ht="12" customHeight="1">
      <c r="A75" s="2"/>
      <c r="B75" s="64">
        <v>63</v>
      </c>
      <c r="C75" s="65">
        <v>10</v>
      </c>
      <c r="D75" s="66" t="s">
        <v>6</v>
      </c>
      <c r="E75" s="69" t="s">
        <v>152</v>
      </c>
      <c r="F75" s="70"/>
      <c r="G75" s="71">
        <v>1171.151219512195</v>
      </c>
      <c r="H75" s="72">
        <v>1171.151219512195</v>
      </c>
      <c r="I75" s="72"/>
      <c r="J75" s="72"/>
      <c r="K75" s="72"/>
      <c r="L75" s="73"/>
      <c r="M75" s="71">
        <v>2342.30243902439</v>
      </c>
      <c r="N75" s="72">
        <v>2342.30243902439</v>
      </c>
      <c r="O75" s="72"/>
      <c r="P75" s="72"/>
      <c r="Q75" s="72"/>
      <c r="R75" s="73"/>
      <c r="S75" s="71">
        <v>1156.2</v>
      </c>
      <c r="T75" s="72">
        <v>1110</v>
      </c>
      <c r="U75" s="72">
        <v>1094</v>
      </c>
      <c r="V75" s="72">
        <v>1208</v>
      </c>
      <c r="W75" s="72">
        <v>1218</v>
      </c>
      <c r="X75" s="73">
        <v>1151</v>
      </c>
      <c r="Y75" s="71"/>
      <c r="Z75" s="72"/>
      <c r="AA75" s="72"/>
      <c r="AB75" s="72"/>
      <c r="AC75" s="72"/>
      <c r="AD75" s="73"/>
      <c r="AE75" s="71"/>
      <c r="AF75" s="72"/>
      <c r="AG75" s="72"/>
      <c r="AH75" s="72"/>
      <c r="AI75" s="72"/>
      <c r="AJ75" s="73"/>
      <c r="AK75" s="71"/>
      <c r="AL75" s="72"/>
      <c r="AM75" s="72"/>
      <c r="AN75" s="72"/>
      <c r="AO75" s="72"/>
      <c r="AP75" s="73"/>
      <c r="AQ75" s="71"/>
      <c r="AR75" s="72"/>
      <c r="AS75" s="72"/>
      <c r="AT75" s="72"/>
      <c r="AU75" s="72"/>
      <c r="AV75" s="73"/>
      <c r="AW75" s="75">
        <v>-1.2766258757278437</v>
      </c>
      <c r="AX75" s="76">
        <v>-5.2214623093391417</v>
      </c>
      <c r="AY75" s="76">
        <v>-6.5876394292045282</v>
      </c>
      <c r="AZ75" s="76">
        <v>3.1463725498363182</v>
      </c>
      <c r="BA75" s="76">
        <v>4.0002332497521831</v>
      </c>
      <c r="BB75" s="77">
        <v>-1.720633439684105</v>
      </c>
      <c r="BC75" s="65"/>
      <c r="BD75" s="78"/>
      <c r="BE75" s="78"/>
      <c r="BF75" s="78"/>
      <c r="BG75" s="78"/>
      <c r="BH75" s="70"/>
      <c r="BI75" s="65"/>
      <c r="BJ75" s="78"/>
      <c r="BK75" s="78"/>
      <c r="BL75" s="78"/>
      <c r="BM75" s="78"/>
      <c r="BN75" s="70"/>
      <c r="BO75" s="65"/>
      <c r="BP75" s="78"/>
      <c r="BQ75" s="78"/>
      <c r="BR75" s="78"/>
      <c r="BS75" s="78"/>
      <c r="BT75" s="70"/>
      <c r="BU75" s="65"/>
      <c r="BV75" s="78"/>
      <c r="BW75" s="78"/>
      <c r="BX75" s="78"/>
      <c r="BY75" s="78"/>
      <c r="BZ75" s="70"/>
      <c r="CA75" s="80"/>
      <c r="CB75" s="78"/>
      <c r="CC75" s="78"/>
      <c r="CD75" s="78"/>
      <c r="CE75" s="78"/>
      <c r="CF75" s="70"/>
    </row>
    <row r="76" spans="1:84" ht="12" customHeight="1">
      <c r="A76" s="2"/>
      <c r="B76" s="64">
        <v>64</v>
      </c>
      <c r="C76" s="65">
        <v>10</v>
      </c>
      <c r="D76" s="66" t="s">
        <v>6</v>
      </c>
      <c r="E76" s="69" t="s">
        <v>153</v>
      </c>
      <c r="F76" s="70"/>
      <c r="G76" s="71">
        <v>1873.8419512195121</v>
      </c>
      <c r="H76" s="72">
        <v>1873.8419512195121</v>
      </c>
      <c r="I76" s="72"/>
      <c r="J76" s="72"/>
      <c r="K76" s="72"/>
      <c r="L76" s="73"/>
      <c r="M76" s="71">
        <v>3747.6839024390238</v>
      </c>
      <c r="N76" s="72">
        <v>3747.6839024390238</v>
      </c>
      <c r="O76" s="72"/>
      <c r="P76" s="72"/>
      <c r="Q76" s="72"/>
      <c r="R76" s="73"/>
      <c r="S76" s="71">
        <v>1855</v>
      </c>
      <c r="T76" s="72">
        <v>1859</v>
      </c>
      <c r="U76" s="72">
        <v>1870</v>
      </c>
      <c r="V76" s="72">
        <v>1812</v>
      </c>
      <c r="W76" s="72">
        <v>1842</v>
      </c>
      <c r="X76" s="73">
        <v>1892</v>
      </c>
      <c r="Y76" s="71"/>
      <c r="Z76" s="72"/>
      <c r="AA76" s="72"/>
      <c r="AB76" s="72"/>
      <c r="AC76" s="72"/>
      <c r="AD76" s="73"/>
      <c r="AE76" s="71"/>
      <c r="AF76" s="72"/>
      <c r="AG76" s="72"/>
      <c r="AH76" s="72"/>
      <c r="AI76" s="72"/>
      <c r="AJ76" s="73"/>
      <c r="AK76" s="71"/>
      <c r="AL76" s="72"/>
      <c r="AM76" s="72"/>
      <c r="AN76" s="72"/>
      <c r="AO76" s="72"/>
      <c r="AP76" s="73"/>
      <c r="AQ76" s="71"/>
      <c r="AR76" s="72"/>
      <c r="AS76" s="72"/>
      <c r="AT76" s="72"/>
      <c r="AU76" s="72"/>
      <c r="AV76" s="73"/>
      <c r="AW76" s="75">
        <v>-1.0055251035045676</v>
      </c>
      <c r="AX76" s="76">
        <v>-0.79205992852561247</v>
      </c>
      <c r="AY76" s="76">
        <v>-0.20503069733345258</v>
      </c>
      <c r="AZ76" s="76">
        <v>-3.3002757345284572</v>
      </c>
      <c r="BA76" s="76">
        <v>-1.6992869221862161</v>
      </c>
      <c r="BB76" s="77">
        <v>0.96902776505085608</v>
      </c>
      <c r="BC76" s="65"/>
      <c r="BD76" s="78"/>
      <c r="BE76" s="78"/>
      <c r="BF76" s="78"/>
      <c r="BG76" s="78"/>
      <c r="BH76" s="70"/>
      <c r="BI76" s="65"/>
      <c r="BJ76" s="78"/>
      <c r="BK76" s="78"/>
      <c r="BL76" s="78"/>
      <c r="BM76" s="78"/>
      <c r="BN76" s="70"/>
      <c r="BO76" s="65"/>
      <c r="BP76" s="78"/>
      <c r="BQ76" s="78"/>
      <c r="BR76" s="78"/>
      <c r="BS76" s="78"/>
      <c r="BT76" s="70"/>
      <c r="BU76" s="65"/>
      <c r="BV76" s="78"/>
      <c r="BW76" s="78"/>
      <c r="BX76" s="78"/>
      <c r="BY76" s="78"/>
      <c r="BZ76" s="70"/>
      <c r="CA76" s="80"/>
      <c r="CB76" s="78"/>
      <c r="CC76" s="78"/>
      <c r="CD76" s="78"/>
      <c r="CE76" s="78"/>
      <c r="CF76" s="70"/>
    </row>
    <row r="77" spans="1:84" ht="12" customHeight="1">
      <c r="A77" s="2"/>
      <c r="B77" s="64">
        <v>65</v>
      </c>
      <c r="C77" s="65">
        <v>10</v>
      </c>
      <c r="D77" s="66" t="s">
        <v>6</v>
      </c>
      <c r="E77" s="69" t="s">
        <v>154</v>
      </c>
      <c r="F77" s="70"/>
      <c r="G77" s="71">
        <v>1639.6117073170728</v>
      </c>
      <c r="H77" s="72">
        <v>1639.6117073170728</v>
      </c>
      <c r="I77" s="72"/>
      <c r="J77" s="72"/>
      <c r="K77" s="72"/>
      <c r="L77" s="73"/>
      <c r="M77" s="71">
        <v>3279.2234146341452</v>
      </c>
      <c r="N77" s="72">
        <v>3279.2234146341452</v>
      </c>
      <c r="O77" s="72"/>
      <c r="P77" s="72"/>
      <c r="Q77" s="72"/>
      <c r="R77" s="73"/>
      <c r="S77" s="71">
        <v>1661</v>
      </c>
      <c r="T77" s="72">
        <v>1674</v>
      </c>
      <c r="U77" s="72">
        <v>1692</v>
      </c>
      <c r="V77" s="72">
        <v>1586</v>
      </c>
      <c r="W77" s="72">
        <v>1648</v>
      </c>
      <c r="X77" s="73">
        <v>1705</v>
      </c>
      <c r="Y77" s="71"/>
      <c r="Z77" s="72"/>
      <c r="AA77" s="72"/>
      <c r="AB77" s="72"/>
      <c r="AC77" s="72"/>
      <c r="AD77" s="73"/>
      <c r="AE77" s="71"/>
      <c r="AF77" s="72"/>
      <c r="AG77" s="72"/>
      <c r="AH77" s="72"/>
      <c r="AI77" s="72"/>
      <c r="AJ77" s="73"/>
      <c r="AK77" s="71"/>
      <c r="AL77" s="72"/>
      <c r="AM77" s="72"/>
      <c r="AN77" s="72"/>
      <c r="AO77" s="72"/>
      <c r="AP77" s="73"/>
      <c r="AQ77" s="71"/>
      <c r="AR77" s="72"/>
      <c r="AS77" s="72"/>
      <c r="AT77" s="72"/>
      <c r="AU77" s="72"/>
      <c r="AV77" s="73"/>
      <c r="AW77" s="75">
        <v>1.3044730400178173</v>
      </c>
      <c r="AX77" s="76">
        <v>2.0973436899397013</v>
      </c>
      <c r="AY77" s="76">
        <v>3.1951645898315117</v>
      </c>
      <c r="AZ77" s="76">
        <v>-3.2697807095314446</v>
      </c>
      <c r="BA77" s="76">
        <v>0.51160239009595543</v>
      </c>
      <c r="BB77" s="77">
        <v>3.9880352397533958</v>
      </c>
      <c r="BC77" s="65"/>
      <c r="BD77" s="78"/>
      <c r="BE77" s="78"/>
      <c r="BF77" s="78"/>
      <c r="BG77" s="78"/>
      <c r="BH77" s="70"/>
      <c r="BI77" s="65"/>
      <c r="BJ77" s="78"/>
      <c r="BK77" s="78"/>
      <c r="BL77" s="78"/>
      <c r="BM77" s="78"/>
      <c r="BN77" s="70"/>
      <c r="BO77" s="65"/>
      <c r="BP77" s="78"/>
      <c r="BQ77" s="78"/>
      <c r="BR77" s="78"/>
      <c r="BS77" s="78"/>
      <c r="BT77" s="70"/>
      <c r="BU77" s="65"/>
      <c r="BV77" s="78"/>
      <c r="BW77" s="78"/>
      <c r="BX77" s="78"/>
      <c r="BY77" s="78"/>
      <c r="BZ77" s="70"/>
      <c r="CA77" s="80"/>
      <c r="CB77" s="78"/>
      <c r="CC77" s="78"/>
      <c r="CD77" s="78"/>
      <c r="CE77" s="78"/>
      <c r="CF77" s="70"/>
    </row>
    <row r="78" spans="1:84" ht="12" customHeight="1">
      <c r="A78" s="2"/>
      <c r="B78" s="64">
        <v>66</v>
      </c>
      <c r="C78" s="65">
        <v>10</v>
      </c>
      <c r="D78" s="66" t="s">
        <v>6</v>
      </c>
      <c r="E78" s="69" t="s">
        <v>155</v>
      </c>
      <c r="F78" s="70"/>
      <c r="G78" s="71">
        <v>1452.2275121951218</v>
      </c>
      <c r="H78" s="72">
        <v>1452.2275121951218</v>
      </c>
      <c r="I78" s="72"/>
      <c r="J78" s="72"/>
      <c r="K78" s="72"/>
      <c r="L78" s="73"/>
      <c r="M78" s="71">
        <v>2904.4550243902431</v>
      </c>
      <c r="N78" s="72">
        <v>2904.4550243902431</v>
      </c>
      <c r="O78" s="72"/>
      <c r="P78" s="72"/>
      <c r="Q78" s="72"/>
      <c r="R78" s="73"/>
      <c r="S78" s="71">
        <v>1447.4</v>
      </c>
      <c r="T78" s="72">
        <v>1442</v>
      </c>
      <c r="U78" s="72">
        <v>1419</v>
      </c>
      <c r="V78" s="72">
        <v>1388</v>
      </c>
      <c r="W78" s="72">
        <v>1503</v>
      </c>
      <c r="X78" s="73">
        <v>1485</v>
      </c>
      <c r="Y78" s="71"/>
      <c r="Z78" s="72"/>
      <c r="AA78" s="72"/>
      <c r="AB78" s="72"/>
      <c r="AC78" s="72"/>
      <c r="AD78" s="73"/>
      <c r="AE78" s="71"/>
      <c r="AF78" s="72"/>
      <c r="AG78" s="72"/>
      <c r="AH78" s="72"/>
      <c r="AI78" s="72"/>
      <c r="AJ78" s="73"/>
      <c r="AK78" s="71"/>
      <c r="AL78" s="72"/>
      <c r="AM78" s="72"/>
      <c r="AN78" s="72"/>
      <c r="AO78" s="72"/>
      <c r="AP78" s="73"/>
      <c r="AQ78" s="71"/>
      <c r="AR78" s="72"/>
      <c r="AS78" s="72"/>
      <c r="AT78" s="72"/>
      <c r="AU78" s="72"/>
      <c r="AV78" s="73"/>
      <c r="AW78" s="75">
        <v>-0.33242120498218064</v>
      </c>
      <c r="AX78" s="76">
        <v>-0.70426376784876732</v>
      </c>
      <c r="AY78" s="76">
        <v>-2.2880376467249719</v>
      </c>
      <c r="AZ78" s="76">
        <v>-4.422689396514623</v>
      </c>
      <c r="BA78" s="76">
        <v>3.4961799978663777</v>
      </c>
      <c r="BB78" s="77">
        <v>2.2567047883110813</v>
      </c>
      <c r="BC78" s="65"/>
      <c r="BD78" s="78"/>
      <c r="BE78" s="78"/>
      <c r="BF78" s="78"/>
      <c r="BG78" s="78"/>
      <c r="BH78" s="70"/>
      <c r="BI78" s="65"/>
      <c r="BJ78" s="78"/>
      <c r="BK78" s="78"/>
      <c r="BL78" s="78"/>
      <c r="BM78" s="78"/>
      <c r="BN78" s="70"/>
      <c r="BO78" s="65"/>
      <c r="BP78" s="78"/>
      <c r="BQ78" s="78"/>
      <c r="BR78" s="78"/>
      <c r="BS78" s="78"/>
      <c r="BT78" s="70"/>
      <c r="BU78" s="65"/>
      <c r="BV78" s="78"/>
      <c r="BW78" s="78"/>
      <c r="BX78" s="78"/>
      <c r="BY78" s="78"/>
      <c r="BZ78" s="70"/>
      <c r="CA78" s="80"/>
      <c r="CB78" s="78"/>
      <c r="CC78" s="78"/>
      <c r="CD78" s="78"/>
      <c r="CE78" s="78"/>
      <c r="CF78" s="70"/>
    </row>
    <row r="79" spans="1:84" ht="12" customHeight="1">
      <c r="A79" s="2"/>
      <c r="B79" s="64">
        <v>67</v>
      </c>
      <c r="C79" s="65">
        <v>10</v>
      </c>
      <c r="D79" s="66" t="s">
        <v>6</v>
      </c>
      <c r="E79" s="69" t="s">
        <v>156</v>
      </c>
      <c r="F79" s="70"/>
      <c r="G79" s="71">
        <v>2323.564019512195</v>
      </c>
      <c r="H79" s="72">
        <v>2323.564019512195</v>
      </c>
      <c r="I79" s="72"/>
      <c r="J79" s="72"/>
      <c r="K79" s="72"/>
      <c r="L79" s="73"/>
      <c r="M79" s="71">
        <v>4647.1280390243901</v>
      </c>
      <c r="N79" s="72">
        <v>4647.1280390243901</v>
      </c>
      <c r="O79" s="72"/>
      <c r="P79" s="72"/>
      <c r="Q79" s="72"/>
      <c r="R79" s="73"/>
      <c r="S79" s="71">
        <v>2307.4</v>
      </c>
      <c r="T79" s="72">
        <v>2354</v>
      </c>
      <c r="U79" s="72">
        <v>2315</v>
      </c>
      <c r="V79" s="72">
        <v>2288</v>
      </c>
      <c r="W79" s="72">
        <v>2290</v>
      </c>
      <c r="X79" s="73">
        <v>2290</v>
      </c>
      <c r="Y79" s="71"/>
      <c r="Z79" s="72"/>
      <c r="AA79" s="72"/>
      <c r="AB79" s="72"/>
      <c r="AC79" s="72"/>
      <c r="AD79" s="73"/>
      <c r="AE79" s="71"/>
      <c r="AF79" s="72"/>
      <c r="AG79" s="72"/>
      <c r="AH79" s="72"/>
      <c r="AI79" s="72"/>
      <c r="AJ79" s="73"/>
      <c r="AK79" s="71"/>
      <c r="AL79" s="72"/>
      <c r="AM79" s="72"/>
      <c r="AN79" s="72"/>
      <c r="AO79" s="72"/>
      <c r="AP79" s="73"/>
      <c r="AQ79" s="71"/>
      <c r="AR79" s="72"/>
      <c r="AS79" s="72"/>
      <c r="AT79" s="72"/>
      <c r="AU79" s="72"/>
      <c r="AV79" s="73"/>
      <c r="AW79" s="75">
        <v>-0.6956563011157435</v>
      </c>
      <c r="AX79" s="76">
        <v>1.3098834476785726</v>
      </c>
      <c r="AY79" s="76">
        <v>-0.36857256526088289</v>
      </c>
      <c r="AZ79" s="76">
        <v>-1.5305805742189649</v>
      </c>
      <c r="BA79" s="76">
        <v>-1.4445059068887378</v>
      </c>
      <c r="BB79" s="77">
        <v>-1.4445059068887378</v>
      </c>
      <c r="BC79" s="65"/>
      <c r="BD79" s="78"/>
      <c r="BE79" s="78"/>
      <c r="BF79" s="78"/>
      <c r="BG79" s="78"/>
      <c r="BH79" s="70"/>
      <c r="BI79" s="65"/>
      <c r="BJ79" s="78"/>
      <c r="BK79" s="78"/>
      <c r="BL79" s="78"/>
      <c r="BM79" s="78"/>
      <c r="BN79" s="70"/>
      <c r="BO79" s="65"/>
      <c r="BP79" s="78"/>
      <c r="BQ79" s="78"/>
      <c r="BR79" s="78"/>
      <c r="BS79" s="78"/>
      <c r="BT79" s="70"/>
      <c r="BU79" s="65"/>
      <c r="BV79" s="78"/>
      <c r="BW79" s="78"/>
      <c r="BX79" s="78"/>
      <c r="BY79" s="78"/>
      <c r="BZ79" s="70"/>
      <c r="CA79" s="80"/>
      <c r="CB79" s="78"/>
      <c r="CC79" s="78"/>
      <c r="CD79" s="78"/>
      <c r="CE79" s="78"/>
      <c r="CF79" s="70"/>
    </row>
    <row r="80" spans="1:84" ht="12" customHeight="1">
      <c r="A80" s="2"/>
      <c r="B80" s="64">
        <v>68</v>
      </c>
      <c r="C80" s="65">
        <v>10</v>
      </c>
      <c r="D80" s="66" t="s">
        <v>6</v>
      </c>
      <c r="E80" s="69" t="s">
        <v>157</v>
      </c>
      <c r="F80" s="70"/>
      <c r="G80" s="71">
        <v>2033.1185170731703</v>
      </c>
      <c r="H80" s="72">
        <v>2033.1185170731703</v>
      </c>
      <c r="I80" s="72"/>
      <c r="J80" s="72"/>
      <c r="K80" s="72"/>
      <c r="L80" s="73"/>
      <c r="M80" s="71">
        <v>4066.2370341463406</v>
      </c>
      <c r="N80" s="72">
        <v>4066.2370341463406</v>
      </c>
      <c r="O80" s="72"/>
      <c r="P80" s="72"/>
      <c r="Q80" s="72"/>
      <c r="R80" s="73"/>
      <c r="S80" s="71">
        <v>2016.2</v>
      </c>
      <c r="T80" s="72">
        <v>2022</v>
      </c>
      <c r="U80" s="72">
        <v>2097</v>
      </c>
      <c r="V80" s="72">
        <v>1930</v>
      </c>
      <c r="W80" s="72">
        <v>2063</v>
      </c>
      <c r="X80" s="73">
        <v>1969</v>
      </c>
      <c r="Y80" s="71"/>
      <c r="Z80" s="72"/>
      <c r="AA80" s="72"/>
      <c r="AB80" s="72"/>
      <c r="AC80" s="72"/>
      <c r="AD80" s="73"/>
      <c r="AE80" s="71"/>
      <c r="AF80" s="72"/>
      <c r="AG80" s="72"/>
      <c r="AH80" s="72"/>
      <c r="AI80" s="72"/>
      <c r="AJ80" s="73"/>
      <c r="AK80" s="71"/>
      <c r="AL80" s="72"/>
      <c r="AM80" s="72"/>
      <c r="AN80" s="72"/>
      <c r="AO80" s="72"/>
      <c r="AP80" s="73"/>
      <c r="AQ80" s="71"/>
      <c r="AR80" s="72"/>
      <c r="AS80" s="72"/>
      <c r="AT80" s="72"/>
      <c r="AU80" s="72"/>
      <c r="AV80" s="73"/>
      <c r="AW80" s="75">
        <v>-0.83214613073938626</v>
      </c>
      <c r="AX80" s="76">
        <v>-0.54687009044491752</v>
      </c>
      <c r="AY80" s="76">
        <v>3.1420442237077184</v>
      </c>
      <c r="AZ80" s="76">
        <v>-5.0719383158054798</v>
      </c>
      <c r="BA80" s="76">
        <v>1.4697364012918657</v>
      </c>
      <c r="BB80" s="77">
        <v>-3.1537028724461069</v>
      </c>
      <c r="BC80" s="65"/>
      <c r="BD80" s="78"/>
      <c r="BE80" s="78"/>
      <c r="BF80" s="78"/>
      <c r="BG80" s="78"/>
      <c r="BH80" s="70"/>
      <c r="BI80" s="65"/>
      <c r="BJ80" s="78"/>
      <c r="BK80" s="78"/>
      <c r="BL80" s="78"/>
      <c r="BM80" s="78"/>
      <c r="BN80" s="70"/>
      <c r="BO80" s="65"/>
      <c r="BP80" s="78"/>
      <c r="BQ80" s="78"/>
      <c r="BR80" s="78"/>
      <c r="BS80" s="78"/>
      <c r="BT80" s="70"/>
      <c r="BU80" s="65"/>
      <c r="BV80" s="78"/>
      <c r="BW80" s="78"/>
      <c r="BX80" s="78"/>
      <c r="BY80" s="78"/>
      <c r="BZ80" s="70"/>
      <c r="CA80" s="80"/>
      <c r="CB80" s="78"/>
      <c r="CC80" s="78"/>
      <c r="CD80" s="78"/>
      <c r="CE80" s="78"/>
      <c r="CF80" s="70"/>
    </row>
    <row r="81" spans="1:84" ht="12" customHeight="1">
      <c r="A81" s="2" t="s">
        <v>86</v>
      </c>
      <c r="B81" s="64">
        <v>69</v>
      </c>
      <c r="C81" s="65">
        <v>10</v>
      </c>
      <c r="D81" s="66" t="s">
        <v>6</v>
      </c>
      <c r="E81" s="69" t="s">
        <v>146</v>
      </c>
      <c r="F81" s="70"/>
      <c r="G81" s="71">
        <v>2248.6103414634144</v>
      </c>
      <c r="H81" s="72">
        <v>2248.6103414634144</v>
      </c>
      <c r="I81" s="72"/>
      <c r="J81" s="72"/>
      <c r="K81" s="72"/>
      <c r="L81" s="73"/>
      <c r="M81" s="71">
        <v>4497.2206829268289</v>
      </c>
      <c r="N81" s="72">
        <v>4497.2206829268289</v>
      </c>
      <c r="O81" s="72"/>
      <c r="P81" s="72"/>
      <c r="Q81" s="72"/>
      <c r="R81" s="73"/>
      <c r="S81" s="71">
        <v>2249.6</v>
      </c>
      <c r="T81" s="72">
        <v>2263</v>
      </c>
      <c r="U81" s="72">
        <v>2275</v>
      </c>
      <c r="V81" s="72">
        <v>2215</v>
      </c>
      <c r="W81" s="72">
        <v>2230</v>
      </c>
      <c r="X81" s="73">
        <v>2265</v>
      </c>
      <c r="Y81" s="71"/>
      <c r="Z81" s="72"/>
      <c r="AA81" s="72"/>
      <c r="AB81" s="72"/>
      <c r="AC81" s="72"/>
      <c r="AD81" s="73"/>
      <c r="AE81" s="71"/>
      <c r="AF81" s="72"/>
      <c r="AG81" s="72"/>
      <c r="AH81" s="72"/>
      <c r="AI81" s="72"/>
      <c r="AJ81" s="73"/>
      <c r="AK81" s="71"/>
      <c r="AL81" s="72"/>
      <c r="AM81" s="72"/>
      <c r="AN81" s="72"/>
      <c r="AO81" s="72"/>
      <c r="AP81" s="73"/>
      <c r="AQ81" s="71"/>
      <c r="AR81" s="72"/>
      <c r="AS81" s="72"/>
      <c r="AT81" s="72"/>
      <c r="AU81" s="72"/>
      <c r="AV81" s="73"/>
      <c r="AW81" s="75">
        <v>4.4012006808680226E-2</v>
      </c>
      <c r="AX81" s="76">
        <v>0.63993562029163176</v>
      </c>
      <c r="AY81" s="76">
        <v>1.1735985577390418</v>
      </c>
      <c r="AZ81" s="76">
        <v>-1.4947161294980305</v>
      </c>
      <c r="BA81" s="76">
        <v>-0.82763745768876795</v>
      </c>
      <c r="BB81" s="77">
        <v>0.72887944319952602</v>
      </c>
      <c r="BC81" s="65"/>
      <c r="BD81" s="78"/>
      <c r="BE81" s="78"/>
      <c r="BF81" s="78"/>
      <c r="BG81" s="78"/>
      <c r="BH81" s="70"/>
      <c r="BI81" s="65"/>
      <c r="BJ81" s="78"/>
      <c r="BK81" s="78"/>
      <c r="BL81" s="78"/>
      <c r="BM81" s="78"/>
      <c r="BN81" s="70"/>
      <c r="BO81" s="65"/>
      <c r="BP81" s="78"/>
      <c r="BQ81" s="78"/>
      <c r="BR81" s="78"/>
      <c r="BS81" s="78"/>
      <c r="BT81" s="70"/>
      <c r="BU81" s="65"/>
      <c r="BV81" s="78"/>
      <c r="BW81" s="78"/>
      <c r="BX81" s="78"/>
      <c r="BY81" s="78"/>
      <c r="BZ81" s="70"/>
      <c r="CA81" s="80"/>
      <c r="CB81" s="78"/>
      <c r="CC81" s="78"/>
      <c r="CD81" s="78"/>
      <c r="CE81" s="78"/>
      <c r="CF81" s="70"/>
    </row>
    <row r="82" spans="1:84" ht="12" customHeight="1">
      <c r="A82" s="2" t="s">
        <v>86</v>
      </c>
      <c r="B82" s="64">
        <v>70</v>
      </c>
      <c r="C82" s="65">
        <v>10</v>
      </c>
      <c r="D82" s="66" t="s">
        <v>6</v>
      </c>
      <c r="E82" s="69" t="s">
        <v>111</v>
      </c>
      <c r="F82" s="70"/>
      <c r="G82" s="71">
        <v>1967.5340487804874</v>
      </c>
      <c r="H82" s="72">
        <v>1967.5340487804874</v>
      </c>
      <c r="I82" s="72"/>
      <c r="J82" s="72"/>
      <c r="K82" s="72"/>
      <c r="L82" s="73"/>
      <c r="M82" s="71">
        <v>3935.0680975609748</v>
      </c>
      <c r="N82" s="72">
        <v>3935.0680975609748</v>
      </c>
      <c r="O82" s="72"/>
      <c r="P82" s="72"/>
      <c r="Q82" s="72"/>
      <c r="R82" s="73"/>
      <c r="S82" s="71">
        <v>1967</v>
      </c>
      <c r="T82" s="72">
        <v>2043</v>
      </c>
      <c r="U82" s="72">
        <v>1912</v>
      </c>
      <c r="V82" s="72">
        <v>1994</v>
      </c>
      <c r="W82" s="72">
        <v>1909</v>
      </c>
      <c r="X82" s="73">
        <v>1977</v>
      </c>
      <c r="Y82" s="71"/>
      <c r="Z82" s="72"/>
      <c r="AA82" s="72"/>
      <c r="AB82" s="72"/>
      <c r="AC82" s="72"/>
      <c r="AD82" s="73"/>
      <c r="AE82" s="71"/>
      <c r="AF82" s="72"/>
      <c r="AG82" s="72"/>
      <c r="AH82" s="72"/>
      <c r="AI82" s="72"/>
      <c r="AJ82" s="73"/>
      <c r="AK82" s="71"/>
      <c r="AL82" s="72"/>
      <c r="AM82" s="72"/>
      <c r="AN82" s="72"/>
      <c r="AO82" s="72"/>
      <c r="AP82" s="73"/>
      <c r="AQ82" s="71"/>
      <c r="AR82" s="72"/>
      <c r="AS82" s="72"/>
      <c r="AT82" s="72"/>
      <c r="AU82" s="72"/>
      <c r="AV82" s="73"/>
      <c r="AW82" s="75">
        <v>-2.7143051517630745E-2</v>
      </c>
      <c r="AX82" s="76">
        <v>3.8355601147684215</v>
      </c>
      <c r="AY82" s="76">
        <v>-2.8225203429088519</v>
      </c>
      <c r="AZ82" s="76">
        <v>1.34513307334716</v>
      </c>
      <c r="BA82" s="76">
        <v>-2.9749954678938262</v>
      </c>
      <c r="BB82" s="77">
        <v>0.48110736509896501</v>
      </c>
      <c r="BC82" s="65"/>
      <c r="BD82" s="78"/>
      <c r="BE82" s="78"/>
      <c r="BF82" s="78"/>
      <c r="BG82" s="78"/>
      <c r="BH82" s="70"/>
      <c r="BI82" s="65"/>
      <c r="BJ82" s="78"/>
      <c r="BK82" s="78"/>
      <c r="BL82" s="78"/>
      <c r="BM82" s="78"/>
      <c r="BN82" s="70"/>
      <c r="BO82" s="65"/>
      <c r="BP82" s="78"/>
      <c r="BQ82" s="78"/>
      <c r="BR82" s="78"/>
      <c r="BS82" s="78"/>
      <c r="BT82" s="70"/>
      <c r="BU82" s="65"/>
      <c r="BV82" s="78"/>
      <c r="BW82" s="78"/>
      <c r="BX82" s="78"/>
      <c r="BY82" s="78"/>
      <c r="BZ82" s="70"/>
      <c r="CA82" s="80"/>
      <c r="CB82" s="78"/>
      <c r="CC82" s="78"/>
      <c r="CD82" s="78"/>
      <c r="CE82" s="78"/>
      <c r="CF82" s="70"/>
    </row>
    <row r="83" spans="1:84" ht="12" customHeight="1">
      <c r="A83" s="2" t="s">
        <v>86</v>
      </c>
      <c r="B83" s="64">
        <v>71</v>
      </c>
      <c r="C83" s="65">
        <v>10</v>
      </c>
      <c r="D83" s="66" t="s">
        <v>6</v>
      </c>
      <c r="E83" s="69" t="s">
        <v>117</v>
      </c>
      <c r="F83" s="70"/>
      <c r="G83" s="71">
        <v>1405.381463414634</v>
      </c>
      <c r="H83" s="72">
        <v>1405.381463414634</v>
      </c>
      <c r="I83" s="72"/>
      <c r="J83" s="72"/>
      <c r="K83" s="72"/>
      <c r="L83" s="73"/>
      <c r="M83" s="71">
        <v>2810.7629268292681</v>
      </c>
      <c r="N83" s="72">
        <v>2810.7629268292681</v>
      </c>
      <c r="O83" s="72"/>
      <c r="P83" s="72"/>
      <c r="Q83" s="72"/>
      <c r="R83" s="73"/>
      <c r="S83" s="71">
        <v>1384.4</v>
      </c>
      <c r="T83" s="72">
        <v>1362</v>
      </c>
      <c r="U83" s="72">
        <v>1342</v>
      </c>
      <c r="V83" s="72">
        <v>1432</v>
      </c>
      <c r="W83" s="72">
        <v>1310</v>
      </c>
      <c r="X83" s="73">
        <v>1476</v>
      </c>
      <c r="Y83" s="71"/>
      <c r="Z83" s="72"/>
      <c r="AA83" s="72"/>
      <c r="AB83" s="72"/>
      <c r="AC83" s="72"/>
      <c r="AD83" s="73"/>
      <c r="AE83" s="71"/>
      <c r="AF83" s="72"/>
      <c r="AG83" s="72"/>
      <c r="AH83" s="72"/>
      <c r="AI83" s="72"/>
      <c r="AJ83" s="73"/>
      <c r="AK83" s="71"/>
      <c r="AL83" s="72"/>
      <c r="AM83" s="72"/>
      <c r="AN83" s="72"/>
      <c r="AO83" s="72"/>
      <c r="AP83" s="73"/>
      <c r="AQ83" s="71"/>
      <c r="AR83" s="72"/>
      <c r="AS83" s="72"/>
      <c r="AT83" s="72"/>
      <c r="AU83" s="72"/>
      <c r="AV83" s="73"/>
      <c r="AW83" s="75">
        <v>-1.4929372530398721</v>
      </c>
      <c r="AX83" s="76">
        <v>-3.086810559549491</v>
      </c>
      <c r="AY83" s="76">
        <v>-4.5099117260759218</v>
      </c>
      <c r="AZ83" s="76">
        <v>1.8940435232930541</v>
      </c>
      <c r="BA83" s="76">
        <v>-6.7868735925182282</v>
      </c>
      <c r="BB83" s="77">
        <v>5.0248660896512254</v>
      </c>
      <c r="BC83" s="65"/>
      <c r="BD83" s="78"/>
      <c r="BE83" s="78"/>
      <c r="BF83" s="78"/>
      <c r="BG83" s="78"/>
      <c r="BH83" s="70"/>
      <c r="BI83" s="65"/>
      <c r="BJ83" s="78"/>
      <c r="BK83" s="78"/>
      <c r="BL83" s="78"/>
      <c r="BM83" s="78"/>
      <c r="BN83" s="70"/>
      <c r="BO83" s="65"/>
      <c r="BP83" s="78"/>
      <c r="BQ83" s="78"/>
      <c r="BR83" s="78"/>
      <c r="BS83" s="78"/>
      <c r="BT83" s="70"/>
      <c r="BU83" s="65"/>
      <c r="BV83" s="78"/>
      <c r="BW83" s="78"/>
      <c r="BX83" s="78"/>
      <c r="BY83" s="78"/>
      <c r="BZ83" s="70"/>
      <c r="CA83" s="80"/>
      <c r="CB83" s="78"/>
      <c r="CC83" s="78"/>
      <c r="CD83" s="78"/>
      <c r="CE83" s="78"/>
      <c r="CF83" s="70"/>
    </row>
    <row r="84" spans="1:84" ht="12" customHeight="1">
      <c r="A84" s="2" t="s">
        <v>86</v>
      </c>
      <c r="B84" s="64">
        <v>72</v>
      </c>
      <c r="C84" s="65">
        <v>10</v>
      </c>
      <c r="D84" s="66" t="s">
        <v>6</v>
      </c>
      <c r="E84" s="69" t="s">
        <v>159</v>
      </c>
      <c r="F84" s="70"/>
      <c r="G84" s="71">
        <v>2248.6103414634144</v>
      </c>
      <c r="H84" s="72">
        <v>2248.6103414634144</v>
      </c>
      <c r="I84" s="72"/>
      <c r="J84" s="72"/>
      <c r="K84" s="72"/>
      <c r="L84" s="73"/>
      <c r="M84" s="71">
        <v>4497.2206829268289</v>
      </c>
      <c r="N84" s="72">
        <v>4497.2206829268289</v>
      </c>
      <c r="O84" s="72"/>
      <c r="P84" s="72"/>
      <c r="Q84" s="72"/>
      <c r="R84" s="73"/>
      <c r="S84" s="71">
        <v>2249.6</v>
      </c>
      <c r="T84" s="72">
        <v>2263</v>
      </c>
      <c r="U84" s="72">
        <v>2275</v>
      </c>
      <c r="V84" s="72">
        <v>2215</v>
      </c>
      <c r="W84" s="72">
        <v>2230</v>
      </c>
      <c r="X84" s="73">
        <v>2265</v>
      </c>
      <c r="Y84" s="71"/>
      <c r="Z84" s="72"/>
      <c r="AA84" s="72"/>
      <c r="AB84" s="72"/>
      <c r="AC84" s="72"/>
      <c r="AD84" s="73"/>
      <c r="AE84" s="71"/>
      <c r="AF84" s="72"/>
      <c r="AG84" s="72"/>
      <c r="AH84" s="72"/>
      <c r="AI84" s="72"/>
      <c r="AJ84" s="73"/>
      <c r="AK84" s="71"/>
      <c r="AL84" s="72"/>
      <c r="AM84" s="72"/>
      <c r="AN84" s="72"/>
      <c r="AO84" s="72"/>
      <c r="AP84" s="73"/>
      <c r="AQ84" s="71"/>
      <c r="AR84" s="72"/>
      <c r="AS84" s="72"/>
      <c r="AT84" s="72"/>
      <c r="AU84" s="72"/>
      <c r="AV84" s="73"/>
      <c r="AW84" s="75">
        <v>4.4012006808680226E-2</v>
      </c>
      <c r="AX84" s="76">
        <v>0.63993562029163176</v>
      </c>
      <c r="AY84" s="76">
        <v>1.1735985577390418</v>
      </c>
      <c r="AZ84" s="76">
        <v>-1.4947161294980305</v>
      </c>
      <c r="BA84" s="76">
        <v>-0.82763745768876795</v>
      </c>
      <c r="BB84" s="77">
        <v>0.72887944319952602</v>
      </c>
      <c r="BC84" s="65"/>
      <c r="BD84" s="78"/>
      <c r="BE84" s="78"/>
      <c r="BF84" s="78"/>
      <c r="BG84" s="78"/>
      <c r="BH84" s="70"/>
      <c r="BI84" s="65"/>
      <c r="BJ84" s="78"/>
      <c r="BK84" s="78"/>
      <c r="BL84" s="78"/>
      <c r="BM84" s="78"/>
      <c r="BN84" s="70"/>
      <c r="BO84" s="65"/>
      <c r="BP84" s="78"/>
      <c r="BQ84" s="78"/>
      <c r="BR84" s="78"/>
      <c r="BS84" s="78"/>
      <c r="BT84" s="70"/>
      <c r="BU84" s="65"/>
      <c r="BV84" s="78"/>
      <c r="BW84" s="78"/>
      <c r="BX84" s="78"/>
      <c r="BY84" s="78"/>
      <c r="BZ84" s="70"/>
      <c r="CA84" s="80"/>
      <c r="CB84" s="78"/>
      <c r="CC84" s="78"/>
      <c r="CD84" s="78"/>
      <c r="CE84" s="78"/>
      <c r="CF84" s="70"/>
    </row>
    <row r="85" spans="1:84" ht="12" customHeight="1">
      <c r="A85" s="2" t="s">
        <v>86</v>
      </c>
      <c r="B85" s="64">
        <v>73</v>
      </c>
      <c r="C85" s="65">
        <v>10</v>
      </c>
      <c r="D85" s="66" t="s">
        <v>6</v>
      </c>
      <c r="E85" s="69" t="s">
        <v>132</v>
      </c>
      <c r="F85" s="70"/>
      <c r="G85" s="71">
        <v>1967.5340487804874</v>
      </c>
      <c r="H85" s="72">
        <v>1967.5340487804874</v>
      </c>
      <c r="I85" s="72"/>
      <c r="J85" s="72"/>
      <c r="K85" s="72"/>
      <c r="L85" s="73"/>
      <c r="M85" s="71">
        <v>3935.0680975609748</v>
      </c>
      <c r="N85" s="72">
        <v>3935.0680975609748</v>
      </c>
      <c r="O85" s="72"/>
      <c r="P85" s="72"/>
      <c r="Q85" s="72"/>
      <c r="R85" s="73"/>
      <c r="S85" s="71">
        <v>1967</v>
      </c>
      <c r="T85" s="72">
        <v>2043</v>
      </c>
      <c r="U85" s="72">
        <v>1912</v>
      </c>
      <c r="V85" s="72">
        <v>1994</v>
      </c>
      <c r="W85" s="72">
        <v>1909</v>
      </c>
      <c r="X85" s="73">
        <v>1977</v>
      </c>
      <c r="Y85" s="71"/>
      <c r="Z85" s="72"/>
      <c r="AA85" s="72"/>
      <c r="AB85" s="72"/>
      <c r="AC85" s="72"/>
      <c r="AD85" s="73"/>
      <c r="AE85" s="71"/>
      <c r="AF85" s="72"/>
      <c r="AG85" s="72"/>
      <c r="AH85" s="72"/>
      <c r="AI85" s="72"/>
      <c r="AJ85" s="73"/>
      <c r="AK85" s="71"/>
      <c r="AL85" s="72"/>
      <c r="AM85" s="72"/>
      <c r="AN85" s="72"/>
      <c r="AO85" s="72"/>
      <c r="AP85" s="73"/>
      <c r="AQ85" s="71"/>
      <c r="AR85" s="72"/>
      <c r="AS85" s="72"/>
      <c r="AT85" s="72"/>
      <c r="AU85" s="72"/>
      <c r="AV85" s="73"/>
      <c r="AW85" s="75">
        <v>-2.7143051517630745E-2</v>
      </c>
      <c r="AX85" s="76">
        <v>3.8355601147684215</v>
      </c>
      <c r="AY85" s="76">
        <v>-2.8225203429088519</v>
      </c>
      <c r="AZ85" s="76">
        <v>1.34513307334716</v>
      </c>
      <c r="BA85" s="76">
        <v>-2.9749954678938262</v>
      </c>
      <c r="BB85" s="77">
        <v>0.48110736509896501</v>
      </c>
      <c r="BC85" s="65"/>
      <c r="BD85" s="78"/>
      <c r="BE85" s="78"/>
      <c r="BF85" s="78"/>
      <c r="BG85" s="78"/>
      <c r="BH85" s="70"/>
      <c r="BI85" s="65"/>
      <c r="BJ85" s="78"/>
      <c r="BK85" s="78"/>
      <c r="BL85" s="78"/>
      <c r="BM85" s="78"/>
      <c r="BN85" s="70"/>
      <c r="BO85" s="65"/>
      <c r="BP85" s="78"/>
      <c r="BQ85" s="78"/>
      <c r="BR85" s="78"/>
      <c r="BS85" s="78"/>
      <c r="BT85" s="70"/>
      <c r="BU85" s="65"/>
      <c r="BV85" s="78"/>
      <c r="BW85" s="78"/>
      <c r="BX85" s="78"/>
      <c r="BY85" s="78"/>
      <c r="BZ85" s="70"/>
      <c r="CA85" s="80"/>
      <c r="CB85" s="78"/>
      <c r="CC85" s="78"/>
      <c r="CD85" s="78"/>
      <c r="CE85" s="78"/>
      <c r="CF85" s="70"/>
    </row>
    <row r="86" spans="1:84" ht="12" customHeight="1">
      <c r="A86" s="2" t="s">
        <v>86</v>
      </c>
      <c r="B86" s="64">
        <v>74</v>
      </c>
      <c r="C86" s="65">
        <v>10</v>
      </c>
      <c r="D86" s="66" t="s">
        <v>6</v>
      </c>
      <c r="E86" s="69" t="s">
        <v>134</v>
      </c>
      <c r="F86" s="70"/>
      <c r="G86" s="71">
        <v>1742.6730146341461</v>
      </c>
      <c r="H86" s="72">
        <v>1742.6730146341461</v>
      </c>
      <c r="I86" s="72"/>
      <c r="J86" s="72"/>
      <c r="K86" s="72"/>
      <c r="L86" s="73"/>
      <c r="M86" s="71">
        <v>3485.3460292682921</v>
      </c>
      <c r="N86" s="72">
        <v>3485.3460292682921</v>
      </c>
      <c r="O86" s="72"/>
      <c r="P86" s="72"/>
      <c r="Q86" s="72"/>
      <c r="R86" s="73"/>
      <c r="S86" s="71">
        <v>1697.4</v>
      </c>
      <c r="T86" s="72">
        <v>1755</v>
      </c>
      <c r="U86" s="72">
        <v>1688</v>
      </c>
      <c r="V86" s="72">
        <v>1639</v>
      </c>
      <c r="W86" s="72">
        <v>1701</v>
      </c>
      <c r="X86" s="73">
        <v>1704</v>
      </c>
      <c r="Y86" s="71"/>
      <c r="Z86" s="72"/>
      <c r="AA86" s="72"/>
      <c r="AB86" s="72"/>
      <c r="AC86" s="72"/>
      <c r="AD86" s="73"/>
      <c r="AE86" s="71"/>
      <c r="AF86" s="72"/>
      <c r="AG86" s="72"/>
      <c r="AH86" s="72"/>
      <c r="AI86" s="72"/>
      <c r="AJ86" s="73"/>
      <c r="AK86" s="71"/>
      <c r="AL86" s="72"/>
      <c r="AM86" s="72"/>
      <c r="AN86" s="72"/>
      <c r="AO86" s="72"/>
      <c r="AP86" s="73"/>
      <c r="AQ86" s="71"/>
      <c r="AR86" s="72"/>
      <c r="AS86" s="72"/>
      <c r="AT86" s="72"/>
      <c r="AU86" s="72"/>
      <c r="AV86" s="73"/>
      <c r="AW86" s="75">
        <v>-2.5979064491137738</v>
      </c>
      <c r="AX86" s="76">
        <v>0.70736077636697203</v>
      </c>
      <c r="AY86" s="76">
        <v>-3.1373076977165515</v>
      </c>
      <c r="AZ86" s="76">
        <v>-5.9490801638373281</v>
      </c>
      <c r="BA86" s="76">
        <v>-2.3913272475212355</v>
      </c>
      <c r="BB86" s="77">
        <v>-2.2191779128607814</v>
      </c>
      <c r="BC86" s="65"/>
      <c r="BD86" s="78"/>
      <c r="BE86" s="78"/>
      <c r="BF86" s="78"/>
      <c r="BG86" s="78"/>
      <c r="BH86" s="70"/>
      <c r="BI86" s="65"/>
      <c r="BJ86" s="78"/>
      <c r="BK86" s="78"/>
      <c r="BL86" s="78"/>
      <c r="BM86" s="78"/>
      <c r="BN86" s="70"/>
      <c r="BO86" s="65"/>
      <c r="BP86" s="78"/>
      <c r="BQ86" s="78"/>
      <c r="BR86" s="78"/>
      <c r="BS86" s="78"/>
      <c r="BT86" s="70"/>
      <c r="BU86" s="65"/>
      <c r="BV86" s="78"/>
      <c r="BW86" s="78"/>
      <c r="BX86" s="78"/>
      <c r="BY86" s="78"/>
      <c r="BZ86" s="70"/>
      <c r="CA86" s="80"/>
      <c r="CB86" s="78"/>
      <c r="CC86" s="78"/>
      <c r="CD86" s="78"/>
      <c r="CE86" s="78"/>
      <c r="CF86" s="70"/>
    </row>
    <row r="87" spans="1:84" ht="12" customHeight="1">
      <c r="A87" s="2" t="s">
        <v>86</v>
      </c>
      <c r="B87" s="64">
        <v>75</v>
      </c>
      <c r="C87" s="65">
        <v>10</v>
      </c>
      <c r="D87" s="66" t="s">
        <v>6</v>
      </c>
      <c r="E87" s="69" t="s">
        <v>147</v>
      </c>
      <c r="F87" s="70"/>
      <c r="G87" s="71">
        <v>2788.2768234146338</v>
      </c>
      <c r="H87" s="72">
        <v>2788.2768234146338</v>
      </c>
      <c r="I87" s="72"/>
      <c r="J87" s="72"/>
      <c r="K87" s="72"/>
      <c r="L87" s="73"/>
      <c r="M87" s="71">
        <v>5576.5536468292676</v>
      </c>
      <c r="N87" s="72">
        <v>5576.5536468292676</v>
      </c>
      <c r="O87" s="72"/>
      <c r="P87" s="72"/>
      <c r="Q87" s="72"/>
      <c r="R87" s="73"/>
      <c r="S87" s="71">
        <v>2786.8</v>
      </c>
      <c r="T87" s="72">
        <v>2813</v>
      </c>
      <c r="U87" s="72">
        <v>2740</v>
      </c>
      <c r="V87" s="72">
        <v>2880</v>
      </c>
      <c r="W87" s="72">
        <v>2680</v>
      </c>
      <c r="X87" s="73">
        <v>2821</v>
      </c>
      <c r="Y87" s="71"/>
      <c r="Z87" s="72"/>
      <c r="AA87" s="72"/>
      <c r="AB87" s="72"/>
      <c r="AC87" s="72"/>
      <c r="AD87" s="73"/>
      <c r="AE87" s="71"/>
      <c r="AF87" s="72"/>
      <c r="AG87" s="72"/>
      <c r="AH87" s="72"/>
      <c r="AI87" s="72"/>
      <c r="AJ87" s="73"/>
      <c r="AK87" s="71"/>
      <c r="AL87" s="72"/>
      <c r="AM87" s="72"/>
      <c r="AN87" s="72"/>
      <c r="AO87" s="72"/>
      <c r="AP87" s="73"/>
      <c r="AQ87" s="71"/>
      <c r="AR87" s="72"/>
      <c r="AS87" s="72"/>
      <c r="AT87" s="72"/>
      <c r="AU87" s="72"/>
      <c r="AV87" s="73"/>
      <c r="AW87" s="75">
        <v>-5.2965451716702194E-2</v>
      </c>
      <c r="AX87" s="76">
        <v>0.88668299997161082</v>
      </c>
      <c r="AY87" s="76">
        <v>-1.7314214646561576</v>
      </c>
      <c r="AZ87" s="76">
        <v>3.2896007962738283</v>
      </c>
      <c r="BA87" s="76">
        <v>-3.8832881479118564</v>
      </c>
      <c r="BB87" s="77">
        <v>1.1735985577390418</v>
      </c>
      <c r="BC87" s="65"/>
      <c r="BD87" s="78"/>
      <c r="BE87" s="78"/>
      <c r="BF87" s="78"/>
      <c r="BG87" s="78"/>
      <c r="BH87" s="70"/>
      <c r="BI87" s="65"/>
      <c r="BJ87" s="78"/>
      <c r="BK87" s="78"/>
      <c r="BL87" s="78"/>
      <c r="BM87" s="78"/>
      <c r="BN87" s="70"/>
      <c r="BO87" s="65"/>
      <c r="BP87" s="78"/>
      <c r="BQ87" s="78"/>
      <c r="BR87" s="78"/>
      <c r="BS87" s="78"/>
      <c r="BT87" s="70"/>
      <c r="BU87" s="65"/>
      <c r="BV87" s="78"/>
      <c r="BW87" s="78"/>
      <c r="BX87" s="78"/>
      <c r="BY87" s="78"/>
      <c r="BZ87" s="70"/>
      <c r="CA87" s="80"/>
      <c r="CB87" s="78"/>
      <c r="CC87" s="78"/>
      <c r="CD87" s="78"/>
      <c r="CE87" s="78"/>
      <c r="CF87" s="70"/>
    </row>
    <row r="88" spans="1:84" ht="12" customHeight="1">
      <c r="A88" s="2" t="s">
        <v>86</v>
      </c>
      <c r="B88" s="64">
        <v>76</v>
      </c>
      <c r="C88" s="65">
        <v>10</v>
      </c>
      <c r="D88" s="66" t="s">
        <v>6</v>
      </c>
      <c r="E88" s="69" t="s">
        <v>135</v>
      </c>
      <c r="F88" s="70"/>
      <c r="G88" s="71">
        <v>2439.7422204878044</v>
      </c>
      <c r="H88" s="72">
        <v>2439.7422204878044</v>
      </c>
      <c r="I88" s="72"/>
      <c r="J88" s="72"/>
      <c r="K88" s="72"/>
      <c r="L88" s="73"/>
      <c r="M88" s="71">
        <v>4879.4844409756088</v>
      </c>
      <c r="N88" s="72">
        <v>4879.4844409756088</v>
      </c>
      <c r="O88" s="72"/>
      <c r="P88" s="72"/>
      <c r="Q88" s="72"/>
      <c r="R88" s="73"/>
      <c r="S88" s="71">
        <v>2378</v>
      </c>
      <c r="T88" s="72">
        <v>2392</v>
      </c>
      <c r="U88" s="72">
        <v>2300</v>
      </c>
      <c r="V88" s="72">
        <v>2281</v>
      </c>
      <c r="W88" s="72">
        <v>2319</v>
      </c>
      <c r="X88" s="73">
        <v>2598</v>
      </c>
      <c r="Y88" s="71"/>
      <c r="Z88" s="72"/>
      <c r="AA88" s="72"/>
      <c r="AB88" s="72"/>
      <c r="AC88" s="72"/>
      <c r="AD88" s="73"/>
      <c r="AE88" s="71"/>
      <c r="AF88" s="72"/>
      <c r="AG88" s="72"/>
      <c r="AH88" s="72"/>
      <c r="AI88" s="72"/>
      <c r="AJ88" s="73"/>
      <c r="AK88" s="71"/>
      <c r="AL88" s="72"/>
      <c r="AM88" s="72"/>
      <c r="AN88" s="72"/>
      <c r="AO88" s="72"/>
      <c r="AP88" s="73"/>
      <c r="AQ88" s="71"/>
      <c r="AR88" s="72"/>
      <c r="AS88" s="72"/>
      <c r="AT88" s="72"/>
      <c r="AU88" s="72"/>
      <c r="AV88" s="73"/>
      <c r="AW88" s="75">
        <v>-2.5306862327225566</v>
      </c>
      <c r="AX88" s="76">
        <v>-1.9568551171876947</v>
      </c>
      <c r="AY88" s="76">
        <v>-5.7277453049881739</v>
      </c>
      <c r="AZ88" s="76">
        <v>-6.5065161046426123</v>
      </c>
      <c r="BA88" s="76">
        <v>-4.9489745053337248</v>
      </c>
      <c r="BB88" s="77">
        <v>6.4866598685394461</v>
      </c>
      <c r="BC88" s="65"/>
      <c r="BD88" s="78"/>
      <c r="BE88" s="78"/>
      <c r="BF88" s="78"/>
      <c r="BG88" s="78"/>
      <c r="BH88" s="70"/>
      <c r="BI88" s="65"/>
      <c r="BJ88" s="78"/>
      <c r="BK88" s="78"/>
      <c r="BL88" s="78"/>
      <c r="BM88" s="78"/>
      <c r="BN88" s="70"/>
      <c r="BO88" s="65"/>
      <c r="BP88" s="78"/>
      <c r="BQ88" s="78"/>
      <c r="BR88" s="78"/>
      <c r="BS88" s="78"/>
      <c r="BT88" s="70"/>
      <c r="BU88" s="65"/>
      <c r="BV88" s="78"/>
      <c r="BW88" s="78"/>
      <c r="BX88" s="78"/>
      <c r="BY88" s="78"/>
      <c r="BZ88" s="70"/>
      <c r="CA88" s="80"/>
      <c r="CB88" s="78"/>
      <c r="CC88" s="78"/>
      <c r="CD88" s="78"/>
      <c r="CE88" s="78"/>
      <c r="CF88" s="70"/>
    </row>
    <row r="89" spans="1:84" ht="12" customHeight="1">
      <c r="A89" s="2"/>
      <c r="B89" s="64">
        <v>77</v>
      </c>
      <c r="C89" s="65">
        <v>10</v>
      </c>
      <c r="D89" s="66" t="s">
        <v>7</v>
      </c>
      <c r="E89" s="69" t="s">
        <v>67</v>
      </c>
      <c r="F89" s="70"/>
      <c r="G89" s="71">
        <v>226.48780487804876</v>
      </c>
      <c r="H89" s="72">
        <v>226.48780487804876</v>
      </c>
      <c r="I89" s="72"/>
      <c r="J89" s="72"/>
      <c r="K89" s="72"/>
      <c r="L89" s="73"/>
      <c r="M89" s="71">
        <v>452.97560975609753</v>
      </c>
      <c r="N89" s="72">
        <v>452.97560975609753</v>
      </c>
      <c r="O89" s="72"/>
      <c r="P89" s="72"/>
      <c r="Q89" s="72"/>
      <c r="R89" s="73"/>
      <c r="S89" s="71">
        <v>226.6</v>
      </c>
      <c r="T89" s="72">
        <v>219</v>
      </c>
      <c r="U89" s="72">
        <v>240</v>
      </c>
      <c r="V89" s="72">
        <v>226</v>
      </c>
      <c r="W89" s="72">
        <v>222</v>
      </c>
      <c r="X89" s="73">
        <v>226</v>
      </c>
      <c r="Y89" s="71"/>
      <c r="Z89" s="72"/>
      <c r="AA89" s="72"/>
      <c r="AB89" s="72"/>
      <c r="AC89" s="72"/>
      <c r="AD89" s="73"/>
      <c r="AE89" s="71"/>
      <c r="AF89" s="72"/>
      <c r="AG89" s="72"/>
      <c r="AH89" s="72"/>
      <c r="AI89" s="72"/>
      <c r="AJ89" s="73"/>
      <c r="AK89" s="71"/>
      <c r="AL89" s="72"/>
      <c r="AM89" s="72"/>
      <c r="AN89" s="72"/>
      <c r="AO89" s="72"/>
      <c r="AP89" s="73"/>
      <c r="AQ89" s="71"/>
      <c r="AR89" s="72"/>
      <c r="AS89" s="72"/>
      <c r="AT89" s="72"/>
      <c r="AU89" s="72"/>
      <c r="AV89" s="73"/>
      <c r="AW89" s="75">
        <v>4.9536937325012076E-2</v>
      </c>
      <c r="AX89" s="76">
        <v>-3.3060521214731797</v>
      </c>
      <c r="AY89" s="76">
        <v>5.9659702778376067</v>
      </c>
      <c r="AZ89" s="76">
        <v>-0.21537798836958055</v>
      </c>
      <c r="BA89" s="76">
        <v>-1.9814774930002055</v>
      </c>
      <c r="BB89" s="77">
        <v>-0.21537798836958055</v>
      </c>
      <c r="BC89" s="65"/>
      <c r="BD89" s="78"/>
      <c r="BE89" s="78"/>
      <c r="BF89" s="78"/>
      <c r="BG89" s="78"/>
      <c r="BH89" s="70"/>
      <c r="BI89" s="65"/>
      <c r="BJ89" s="78"/>
      <c r="BK89" s="78"/>
      <c r="BL89" s="78"/>
      <c r="BM89" s="78"/>
      <c r="BN89" s="70"/>
      <c r="BO89" s="65"/>
      <c r="BP89" s="78"/>
      <c r="BQ89" s="78"/>
      <c r="BR89" s="78"/>
      <c r="BS89" s="78"/>
      <c r="BT89" s="70"/>
      <c r="BU89" s="65"/>
      <c r="BV89" s="78"/>
      <c r="BW89" s="78"/>
      <c r="BX89" s="78"/>
      <c r="BY89" s="78"/>
      <c r="BZ89" s="70"/>
      <c r="CA89" s="80"/>
      <c r="CB89" s="78"/>
      <c r="CC89" s="78"/>
      <c r="CD89" s="78"/>
      <c r="CE89" s="78"/>
      <c r="CF89" s="70"/>
    </row>
    <row r="90" spans="1:84" ht="12" customHeight="1">
      <c r="A90" s="2"/>
      <c r="B90" s="64">
        <v>78</v>
      </c>
      <c r="C90" s="65">
        <v>10</v>
      </c>
      <c r="D90" s="66" t="s">
        <v>7</v>
      </c>
      <c r="E90" s="69" t="s">
        <v>148</v>
      </c>
      <c r="F90" s="70"/>
      <c r="G90" s="71">
        <v>226.48780487804876</v>
      </c>
      <c r="H90" s="72">
        <v>226.48780487804876</v>
      </c>
      <c r="I90" s="72"/>
      <c r="J90" s="72"/>
      <c r="K90" s="72"/>
      <c r="L90" s="73"/>
      <c r="M90" s="71">
        <v>452.97560975609753</v>
      </c>
      <c r="N90" s="72">
        <v>452.97560975609753</v>
      </c>
      <c r="O90" s="72"/>
      <c r="P90" s="72"/>
      <c r="Q90" s="72"/>
      <c r="R90" s="73"/>
      <c r="S90" s="71">
        <v>226.6</v>
      </c>
      <c r="T90" s="72">
        <v>219</v>
      </c>
      <c r="U90" s="72">
        <v>240</v>
      </c>
      <c r="V90" s="72">
        <v>226</v>
      </c>
      <c r="W90" s="72">
        <v>222</v>
      </c>
      <c r="X90" s="73">
        <v>226</v>
      </c>
      <c r="Y90" s="71"/>
      <c r="Z90" s="72"/>
      <c r="AA90" s="72"/>
      <c r="AB90" s="72"/>
      <c r="AC90" s="72"/>
      <c r="AD90" s="73"/>
      <c r="AE90" s="71"/>
      <c r="AF90" s="72"/>
      <c r="AG90" s="72"/>
      <c r="AH90" s="72"/>
      <c r="AI90" s="72"/>
      <c r="AJ90" s="73"/>
      <c r="AK90" s="71"/>
      <c r="AL90" s="72"/>
      <c r="AM90" s="72"/>
      <c r="AN90" s="72"/>
      <c r="AO90" s="72"/>
      <c r="AP90" s="73"/>
      <c r="AQ90" s="71"/>
      <c r="AR90" s="72"/>
      <c r="AS90" s="72"/>
      <c r="AT90" s="72"/>
      <c r="AU90" s="72"/>
      <c r="AV90" s="73"/>
      <c r="AW90" s="75">
        <v>4.9536937325012076E-2</v>
      </c>
      <c r="AX90" s="76">
        <v>-3.3060521214731797</v>
      </c>
      <c r="AY90" s="76">
        <v>5.9659702778376067</v>
      </c>
      <c r="AZ90" s="76">
        <v>-0.21537798836958055</v>
      </c>
      <c r="BA90" s="76">
        <v>-1.9814774930002055</v>
      </c>
      <c r="BB90" s="77">
        <v>-0.21537798836958055</v>
      </c>
      <c r="BC90" s="65"/>
      <c r="BD90" s="78"/>
      <c r="BE90" s="78"/>
      <c r="BF90" s="78"/>
      <c r="BG90" s="78"/>
      <c r="BH90" s="70"/>
      <c r="BI90" s="65"/>
      <c r="BJ90" s="78"/>
      <c r="BK90" s="78"/>
      <c r="BL90" s="78"/>
      <c r="BM90" s="78"/>
      <c r="BN90" s="70"/>
      <c r="BO90" s="65"/>
      <c r="BP90" s="78"/>
      <c r="BQ90" s="78"/>
      <c r="BR90" s="78"/>
      <c r="BS90" s="78"/>
      <c r="BT90" s="70"/>
      <c r="BU90" s="65"/>
      <c r="BV90" s="78"/>
      <c r="BW90" s="78"/>
      <c r="BX90" s="78"/>
      <c r="BY90" s="78"/>
      <c r="BZ90" s="70"/>
      <c r="CA90" s="80"/>
      <c r="CB90" s="78"/>
      <c r="CC90" s="78"/>
      <c r="CD90" s="78"/>
      <c r="CE90" s="78"/>
      <c r="CF90" s="70"/>
    </row>
    <row r="91" spans="1:84" ht="12" customHeight="1">
      <c r="A91" s="2" t="s">
        <v>160</v>
      </c>
      <c r="B91" s="64">
        <v>79</v>
      </c>
      <c r="C91" s="65">
        <v>10</v>
      </c>
      <c r="D91" s="66" t="s">
        <v>7</v>
      </c>
      <c r="E91" s="69" t="s">
        <v>79</v>
      </c>
      <c r="F91" s="70"/>
      <c r="G91" s="71">
        <v>368.04268292682923</v>
      </c>
      <c r="H91" s="72">
        <v>226.48780487804876</v>
      </c>
      <c r="I91" s="72"/>
      <c r="J91" s="72"/>
      <c r="K91" s="72"/>
      <c r="L91" s="73">
        <v>141.55487804878047</v>
      </c>
      <c r="M91" s="71">
        <v>736.08536585365846</v>
      </c>
      <c r="N91" s="72">
        <v>452.97560975609753</v>
      </c>
      <c r="O91" s="72"/>
      <c r="P91" s="72"/>
      <c r="Q91" s="72"/>
      <c r="R91" s="73">
        <v>283.10975609756093</v>
      </c>
      <c r="S91" s="71">
        <v>223.2</v>
      </c>
      <c r="T91" s="72">
        <v>224</v>
      </c>
      <c r="U91" s="72">
        <v>226</v>
      </c>
      <c r="V91" s="72">
        <v>219</v>
      </c>
      <c r="W91" s="72">
        <v>230</v>
      </c>
      <c r="X91" s="73">
        <v>217</v>
      </c>
      <c r="Y91" s="71"/>
      <c r="Z91" s="72"/>
      <c r="AA91" s="72"/>
      <c r="AB91" s="72"/>
      <c r="AC91" s="72"/>
      <c r="AD91" s="73"/>
      <c r="AE91" s="71"/>
      <c r="AF91" s="72"/>
      <c r="AG91" s="72"/>
      <c r="AH91" s="72"/>
      <c r="AI91" s="72"/>
      <c r="AJ91" s="73"/>
      <c r="AK91" s="71"/>
      <c r="AL91" s="72"/>
      <c r="AM91" s="72"/>
      <c r="AN91" s="72"/>
      <c r="AO91" s="72"/>
      <c r="AP91" s="73"/>
      <c r="AQ91" s="71">
        <v>135</v>
      </c>
      <c r="AR91" s="72">
        <v>140</v>
      </c>
      <c r="AS91" s="72">
        <v>140</v>
      </c>
      <c r="AT91" s="72">
        <v>140</v>
      </c>
      <c r="AU91" s="72">
        <v>130</v>
      </c>
      <c r="AV91" s="73">
        <v>125</v>
      </c>
      <c r="AW91" s="75">
        <v>-2.6743319140476118</v>
      </c>
      <c r="AX91" s="76">
        <v>-1.098427740684893</v>
      </c>
      <c r="AY91" s="76">
        <v>-0.5550125084908486</v>
      </c>
      <c r="AZ91" s="76">
        <v>-2.4569658211699874</v>
      </c>
      <c r="BA91" s="76">
        <v>-2.1852582050729707</v>
      </c>
      <c r="BB91" s="77">
        <v>-7.0759952948193261</v>
      </c>
      <c r="BC91" s="65"/>
      <c r="BD91" s="78"/>
      <c r="BE91" s="78"/>
      <c r="BF91" s="78"/>
      <c r="BG91" s="78"/>
      <c r="BH91" s="70"/>
      <c r="BI91" s="65"/>
      <c r="BJ91" s="78"/>
      <c r="BK91" s="78"/>
      <c r="BL91" s="78"/>
      <c r="BM91" s="78"/>
      <c r="BN91" s="70"/>
      <c r="BO91" s="65"/>
      <c r="BP91" s="78"/>
      <c r="BQ91" s="78"/>
      <c r="BR91" s="78"/>
      <c r="BS91" s="78"/>
      <c r="BT91" s="70"/>
      <c r="BU91" s="65"/>
      <c r="BV91" s="78"/>
      <c r="BW91" s="78"/>
      <c r="BX91" s="78"/>
      <c r="BY91" s="78"/>
      <c r="BZ91" s="70"/>
      <c r="CA91" s="80"/>
      <c r="CB91" s="78"/>
      <c r="CC91" s="78"/>
      <c r="CD91" s="78"/>
      <c r="CE91" s="78"/>
      <c r="CF91" s="70"/>
    </row>
    <row r="92" spans="1:84" ht="12" customHeight="1">
      <c r="A92" s="2"/>
      <c r="B92" s="64">
        <v>80</v>
      </c>
      <c r="C92" s="65">
        <v>10</v>
      </c>
      <c r="D92" s="66" t="s">
        <v>7</v>
      </c>
      <c r="E92" s="69" t="s">
        <v>89</v>
      </c>
      <c r="F92" s="70"/>
      <c r="G92" s="71">
        <v>339.73170731707313</v>
      </c>
      <c r="H92" s="72">
        <v>339.73170731707313</v>
      </c>
      <c r="I92" s="72"/>
      <c r="J92" s="72"/>
      <c r="K92" s="72"/>
      <c r="L92" s="73"/>
      <c r="M92" s="71">
        <v>679.46341463414637</v>
      </c>
      <c r="N92" s="72">
        <v>679.46341463414637</v>
      </c>
      <c r="O92" s="72"/>
      <c r="P92" s="72"/>
      <c r="Q92" s="72"/>
      <c r="R92" s="73"/>
      <c r="S92" s="71">
        <v>332</v>
      </c>
      <c r="T92" s="72">
        <v>322</v>
      </c>
      <c r="U92" s="72">
        <v>324</v>
      </c>
      <c r="V92" s="72">
        <v>322</v>
      </c>
      <c r="W92" s="72">
        <v>346</v>
      </c>
      <c r="X92" s="73">
        <v>346</v>
      </c>
      <c r="Y92" s="71"/>
      <c r="Z92" s="72"/>
      <c r="AA92" s="72"/>
      <c r="AB92" s="72"/>
      <c r="AC92" s="72"/>
      <c r="AD92" s="73"/>
      <c r="AE92" s="71"/>
      <c r="AF92" s="72"/>
      <c r="AG92" s="72"/>
      <c r="AH92" s="72"/>
      <c r="AI92" s="72"/>
      <c r="AJ92" s="73"/>
      <c r="AK92" s="71"/>
      <c r="AL92" s="72"/>
      <c r="AM92" s="72"/>
      <c r="AN92" s="72"/>
      <c r="AO92" s="72"/>
      <c r="AP92" s="73"/>
      <c r="AQ92" s="71"/>
      <c r="AR92" s="72"/>
      <c r="AS92" s="72"/>
      <c r="AT92" s="72"/>
      <c r="AU92" s="72"/>
      <c r="AV92" s="73"/>
      <c r="AW92" s="75">
        <v>-2.2758274104386467</v>
      </c>
      <c r="AX92" s="76">
        <v>-5.2193265848230253</v>
      </c>
      <c r="AY92" s="76">
        <v>-4.6306267499461429</v>
      </c>
      <c r="AZ92" s="76">
        <v>-5.2193265848230253</v>
      </c>
      <c r="BA92" s="76">
        <v>1.8450714336994967</v>
      </c>
      <c r="BB92" s="77">
        <v>1.8450714336994967</v>
      </c>
      <c r="BC92" s="65"/>
      <c r="BD92" s="78"/>
      <c r="BE92" s="78"/>
      <c r="BF92" s="78"/>
      <c r="BG92" s="78"/>
      <c r="BH92" s="70"/>
      <c r="BI92" s="65"/>
      <c r="BJ92" s="78"/>
      <c r="BK92" s="78"/>
      <c r="BL92" s="78"/>
      <c r="BM92" s="78"/>
      <c r="BN92" s="70"/>
      <c r="BO92" s="65"/>
      <c r="BP92" s="78"/>
      <c r="BQ92" s="78"/>
      <c r="BR92" s="78"/>
      <c r="BS92" s="78"/>
      <c r="BT92" s="70"/>
      <c r="BU92" s="65"/>
      <c r="BV92" s="78"/>
      <c r="BW92" s="78"/>
      <c r="BX92" s="78"/>
      <c r="BY92" s="78"/>
      <c r="BZ92" s="70"/>
      <c r="CA92" s="80"/>
      <c r="CB92" s="78"/>
      <c r="CC92" s="78"/>
      <c r="CD92" s="78"/>
      <c r="CE92" s="78"/>
      <c r="CF92" s="70"/>
    </row>
    <row r="93" spans="1:84" ht="12" customHeight="1">
      <c r="A93" s="2"/>
      <c r="B93" s="64">
        <v>81</v>
      </c>
      <c r="C93" s="65">
        <v>10</v>
      </c>
      <c r="D93" s="66" t="s">
        <v>7</v>
      </c>
      <c r="E93" s="69" t="s">
        <v>144</v>
      </c>
      <c r="F93" s="70"/>
      <c r="G93" s="71">
        <v>452.97560975609753</v>
      </c>
      <c r="H93" s="72">
        <v>452.97560975609753</v>
      </c>
      <c r="I93" s="72"/>
      <c r="J93" s="72"/>
      <c r="K93" s="72"/>
      <c r="L93" s="73"/>
      <c r="M93" s="71">
        <v>905.95121951219505</v>
      </c>
      <c r="N93" s="72">
        <v>905.95121951219505</v>
      </c>
      <c r="O93" s="72"/>
      <c r="P93" s="72"/>
      <c r="Q93" s="72"/>
      <c r="R93" s="73"/>
      <c r="S93" s="71">
        <v>447.2</v>
      </c>
      <c r="T93" s="72">
        <v>451</v>
      </c>
      <c r="U93" s="72">
        <v>442</v>
      </c>
      <c r="V93" s="72">
        <v>451</v>
      </c>
      <c r="W93" s="72">
        <v>446</v>
      </c>
      <c r="X93" s="73">
        <v>446</v>
      </c>
      <c r="Y93" s="71"/>
      <c r="Z93" s="72"/>
      <c r="AA93" s="72"/>
      <c r="AB93" s="72"/>
      <c r="AC93" s="72"/>
      <c r="AD93" s="73"/>
      <c r="AE93" s="71"/>
      <c r="AF93" s="72"/>
      <c r="AG93" s="72"/>
      <c r="AH93" s="72"/>
      <c r="AI93" s="72"/>
      <c r="AJ93" s="73"/>
      <c r="AK93" s="71"/>
      <c r="AL93" s="72"/>
      <c r="AM93" s="72"/>
      <c r="AN93" s="72"/>
      <c r="AO93" s="72"/>
      <c r="AP93" s="73"/>
      <c r="AQ93" s="71"/>
      <c r="AR93" s="72"/>
      <c r="AS93" s="72"/>
      <c r="AT93" s="72"/>
      <c r="AU93" s="72"/>
      <c r="AV93" s="73"/>
      <c r="AW93" s="75">
        <v>-1.2750376911479622</v>
      </c>
      <c r="AX93" s="76">
        <v>-0.43614042644840589</v>
      </c>
      <c r="AY93" s="76">
        <v>-2.4230023691578673</v>
      </c>
      <c r="AZ93" s="76">
        <v>-0.43614042644840589</v>
      </c>
      <c r="BA93" s="76">
        <v>-1.5399526168425548</v>
      </c>
      <c r="BB93" s="77">
        <v>-1.5399526168425548</v>
      </c>
      <c r="BC93" s="65"/>
      <c r="BD93" s="78"/>
      <c r="BE93" s="78"/>
      <c r="BF93" s="78"/>
      <c r="BG93" s="78"/>
      <c r="BH93" s="70"/>
      <c r="BI93" s="65"/>
      <c r="BJ93" s="78"/>
      <c r="BK93" s="78"/>
      <c r="BL93" s="78"/>
      <c r="BM93" s="78"/>
      <c r="BN93" s="70"/>
      <c r="BO93" s="65"/>
      <c r="BP93" s="78"/>
      <c r="BQ93" s="78"/>
      <c r="BR93" s="78"/>
      <c r="BS93" s="78"/>
      <c r="BT93" s="70"/>
      <c r="BU93" s="65"/>
      <c r="BV93" s="78"/>
      <c r="BW93" s="78"/>
      <c r="BX93" s="78"/>
      <c r="BY93" s="78"/>
      <c r="BZ93" s="70"/>
      <c r="CA93" s="80"/>
      <c r="CB93" s="78"/>
      <c r="CC93" s="78"/>
      <c r="CD93" s="78"/>
      <c r="CE93" s="78"/>
      <c r="CF93" s="70"/>
    </row>
    <row r="94" spans="1:84" ht="12" customHeight="1">
      <c r="A94" s="2"/>
      <c r="B94" s="64">
        <v>82</v>
      </c>
      <c r="C94" s="65">
        <v>10</v>
      </c>
      <c r="D94" s="66" t="s">
        <v>7</v>
      </c>
      <c r="E94" s="69" t="s">
        <v>92</v>
      </c>
      <c r="F94" s="70"/>
      <c r="G94" s="71">
        <v>226.48780487804876</v>
      </c>
      <c r="H94" s="72">
        <v>226.48780487804876</v>
      </c>
      <c r="I94" s="72"/>
      <c r="J94" s="72"/>
      <c r="K94" s="72"/>
      <c r="L94" s="73"/>
      <c r="M94" s="71">
        <v>452.97560975609753</v>
      </c>
      <c r="N94" s="72">
        <v>452.97560975609753</v>
      </c>
      <c r="O94" s="72"/>
      <c r="P94" s="72"/>
      <c r="Q94" s="72"/>
      <c r="R94" s="73"/>
      <c r="S94" s="71">
        <v>226.6</v>
      </c>
      <c r="T94" s="72">
        <v>219</v>
      </c>
      <c r="U94" s="72">
        <v>240</v>
      </c>
      <c r="V94" s="72">
        <v>226</v>
      </c>
      <c r="W94" s="72">
        <v>222</v>
      </c>
      <c r="X94" s="73">
        <v>226</v>
      </c>
      <c r="Y94" s="71"/>
      <c r="Z94" s="72"/>
      <c r="AA94" s="72"/>
      <c r="AB94" s="72"/>
      <c r="AC94" s="72"/>
      <c r="AD94" s="73"/>
      <c r="AE94" s="71"/>
      <c r="AF94" s="72"/>
      <c r="AG94" s="72"/>
      <c r="AH94" s="72"/>
      <c r="AI94" s="72"/>
      <c r="AJ94" s="73"/>
      <c r="AK94" s="71"/>
      <c r="AL94" s="72"/>
      <c r="AM94" s="72"/>
      <c r="AN94" s="72"/>
      <c r="AO94" s="72"/>
      <c r="AP94" s="73"/>
      <c r="AQ94" s="71"/>
      <c r="AR94" s="72"/>
      <c r="AS94" s="72"/>
      <c r="AT94" s="72"/>
      <c r="AU94" s="72"/>
      <c r="AV94" s="73"/>
      <c r="AW94" s="75">
        <v>4.9536937325012076E-2</v>
      </c>
      <c r="AX94" s="76">
        <v>-3.3060521214731797</v>
      </c>
      <c r="AY94" s="76">
        <v>5.9659702778376067</v>
      </c>
      <c r="AZ94" s="76">
        <v>-0.21537798836958055</v>
      </c>
      <c r="BA94" s="76">
        <v>-1.9814774930002055</v>
      </c>
      <c r="BB94" s="77">
        <v>-0.21537798836958055</v>
      </c>
      <c r="BC94" s="65"/>
      <c r="BD94" s="78"/>
      <c r="BE94" s="78"/>
      <c r="BF94" s="78"/>
      <c r="BG94" s="78"/>
      <c r="BH94" s="70"/>
      <c r="BI94" s="65"/>
      <c r="BJ94" s="78"/>
      <c r="BK94" s="78"/>
      <c r="BL94" s="78"/>
      <c r="BM94" s="78"/>
      <c r="BN94" s="70"/>
      <c r="BO94" s="65"/>
      <c r="BP94" s="78"/>
      <c r="BQ94" s="78"/>
      <c r="BR94" s="78"/>
      <c r="BS94" s="78"/>
      <c r="BT94" s="70"/>
      <c r="BU94" s="65"/>
      <c r="BV94" s="78"/>
      <c r="BW94" s="78"/>
      <c r="BX94" s="78"/>
      <c r="BY94" s="78"/>
      <c r="BZ94" s="70"/>
      <c r="CA94" s="80"/>
      <c r="CB94" s="78"/>
      <c r="CC94" s="78"/>
      <c r="CD94" s="78"/>
      <c r="CE94" s="78"/>
      <c r="CF94" s="70"/>
    </row>
    <row r="95" spans="1:84" ht="12" customHeight="1">
      <c r="A95" s="2"/>
      <c r="B95" s="64">
        <v>83</v>
      </c>
      <c r="C95" s="65">
        <v>10</v>
      </c>
      <c r="D95" s="66" t="s">
        <v>7</v>
      </c>
      <c r="E95" s="69" t="s">
        <v>140</v>
      </c>
      <c r="F95" s="70"/>
      <c r="G95" s="71">
        <v>679.46341463414626</v>
      </c>
      <c r="H95" s="72">
        <v>679.46341463414626</v>
      </c>
      <c r="I95" s="72"/>
      <c r="J95" s="72"/>
      <c r="K95" s="72"/>
      <c r="L95" s="73"/>
      <c r="M95" s="71">
        <v>1358.9268292682927</v>
      </c>
      <c r="N95" s="72">
        <v>1358.9268292682927</v>
      </c>
      <c r="O95" s="72"/>
      <c r="P95" s="72"/>
      <c r="Q95" s="72"/>
      <c r="R95" s="73"/>
      <c r="S95" s="71">
        <v>680.4</v>
      </c>
      <c r="T95" s="72">
        <v>679</v>
      </c>
      <c r="U95" s="72">
        <v>675</v>
      </c>
      <c r="V95" s="72">
        <v>673</v>
      </c>
      <c r="W95" s="72">
        <v>685</v>
      </c>
      <c r="X95" s="73">
        <v>690</v>
      </c>
      <c r="Y95" s="71"/>
      <c r="Z95" s="72"/>
      <c r="AA95" s="72"/>
      <c r="AB95" s="72"/>
      <c r="AC95" s="72"/>
      <c r="AD95" s="73"/>
      <c r="AE95" s="71"/>
      <c r="AF95" s="72"/>
      <c r="AG95" s="72"/>
      <c r="AH95" s="72"/>
      <c r="AI95" s="72"/>
      <c r="AJ95" s="73"/>
      <c r="AK95" s="71"/>
      <c r="AL95" s="72"/>
      <c r="AM95" s="72"/>
      <c r="AN95" s="72"/>
      <c r="AO95" s="72"/>
      <c r="AP95" s="73"/>
      <c r="AQ95" s="71"/>
      <c r="AR95" s="72"/>
      <c r="AS95" s="72"/>
      <c r="AT95" s="72"/>
      <c r="AU95" s="72"/>
      <c r="AV95" s="73"/>
      <c r="AW95" s="75">
        <v>0.13784191255654665</v>
      </c>
      <c r="AX95" s="76">
        <v>-6.8203029650359959E-2</v>
      </c>
      <c r="AY95" s="76">
        <v>-0.65690286452723123</v>
      </c>
      <c r="AZ95" s="76">
        <v>-0.95125278196567242</v>
      </c>
      <c r="BA95" s="76">
        <v>0.81484672266496361</v>
      </c>
      <c r="BB95" s="77">
        <v>1.5507215162610555</v>
      </c>
      <c r="BC95" s="65"/>
      <c r="BD95" s="78"/>
      <c r="BE95" s="78"/>
      <c r="BF95" s="78"/>
      <c r="BG95" s="78"/>
      <c r="BH95" s="70"/>
      <c r="BI95" s="65"/>
      <c r="BJ95" s="78"/>
      <c r="BK95" s="78"/>
      <c r="BL95" s="78"/>
      <c r="BM95" s="78"/>
      <c r="BN95" s="70"/>
      <c r="BO95" s="65"/>
      <c r="BP95" s="78"/>
      <c r="BQ95" s="78"/>
      <c r="BR95" s="78"/>
      <c r="BS95" s="78"/>
      <c r="BT95" s="70"/>
      <c r="BU95" s="65"/>
      <c r="BV95" s="78"/>
      <c r="BW95" s="78"/>
      <c r="BX95" s="78"/>
      <c r="BY95" s="78"/>
      <c r="BZ95" s="70"/>
      <c r="CA95" s="80"/>
      <c r="CB95" s="78"/>
      <c r="CC95" s="78"/>
      <c r="CD95" s="78"/>
      <c r="CE95" s="78"/>
      <c r="CF95" s="70"/>
    </row>
    <row r="96" spans="1:84" ht="12" customHeight="1">
      <c r="A96" s="2"/>
      <c r="B96" s="64">
        <v>84</v>
      </c>
      <c r="C96" s="65">
        <v>10</v>
      </c>
      <c r="D96" s="66" t="s">
        <v>7</v>
      </c>
      <c r="E96" s="69" t="s">
        <v>95</v>
      </c>
      <c r="F96" s="70"/>
      <c r="G96" s="71">
        <v>339.73170731707313</v>
      </c>
      <c r="H96" s="72">
        <v>339.73170731707313</v>
      </c>
      <c r="I96" s="72"/>
      <c r="J96" s="72"/>
      <c r="K96" s="72"/>
      <c r="L96" s="73"/>
      <c r="M96" s="71">
        <v>679.46341463414637</v>
      </c>
      <c r="N96" s="72">
        <v>679.46341463414637</v>
      </c>
      <c r="O96" s="72"/>
      <c r="P96" s="72"/>
      <c r="Q96" s="72"/>
      <c r="R96" s="73"/>
      <c r="S96" s="71">
        <v>332</v>
      </c>
      <c r="T96" s="72">
        <v>322</v>
      </c>
      <c r="U96" s="72">
        <v>324</v>
      </c>
      <c r="V96" s="72">
        <v>322</v>
      </c>
      <c r="W96" s="72">
        <v>346</v>
      </c>
      <c r="X96" s="73">
        <v>346</v>
      </c>
      <c r="Y96" s="71"/>
      <c r="Z96" s="72"/>
      <c r="AA96" s="72"/>
      <c r="AB96" s="72"/>
      <c r="AC96" s="72"/>
      <c r="AD96" s="73"/>
      <c r="AE96" s="71"/>
      <c r="AF96" s="72"/>
      <c r="AG96" s="72"/>
      <c r="AH96" s="72"/>
      <c r="AI96" s="72"/>
      <c r="AJ96" s="73"/>
      <c r="AK96" s="71"/>
      <c r="AL96" s="72"/>
      <c r="AM96" s="72"/>
      <c r="AN96" s="72"/>
      <c r="AO96" s="72"/>
      <c r="AP96" s="73"/>
      <c r="AQ96" s="71"/>
      <c r="AR96" s="72"/>
      <c r="AS96" s="72"/>
      <c r="AT96" s="72"/>
      <c r="AU96" s="72"/>
      <c r="AV96" s="73"/>
      <c r="AW96" s="75">
        <v>-2.2758274104386467</v>
      </c>
      <c r="AX96" s="76">
        <v>-5.2193265848230253</v>
      </c>
      <c r="AY96" s="76">
        <v>-4.6306267499461429</v>
      </c>
      <c r="AZ96" s="76">
        <v>-5.2193265848230253</v>
      </c>
      <c r="BA96" s="76">
        <v>1.8450714336994967</v>
      </c>
      <c r="BB96" s="77">
        <v>1.8450714336994967</v>
      </c>
      <c r="BC96" s="65"/>
      <c r="BD96" s="78"/>
      <c r="BE96" s="78"/>
      <c r="BF96" s="78"/>
      <c r="BG96" s="78"/>
      <c r="BH96" s="70"/>
      <c r="BI96" s="65"/>
      <c r="BJ96" s="78"/>
      <c r="BK96" s="78"/>
      <c r="BL96" s="78"/>
      <c r="BM96" s="78"/>
      <c r="BN96" s="70"/>
      <c r="BO96" s="65"/>
      <c r="BP96" s="78"/>
      <c r="BQ96" s="78"/>
      <c r="BR96" s="78"/>
      <c r="BS96" s="78"/>
      <c r="BT96" s="70"/>
      <c r="BU96" s="65"/>
      <c r="BV96" s="78"/>
      <c r="BW96" s="78"/>
      <c r="BX96" s="78"/>
      <c r="BY96" s="78"/>
      <c r="BZ96" s="70"/>
      <c r="CA96" s="80"/>
      <c r="CB96" s="78"/>
      <c r="CC96" s="78"/>
      <c r="CD96" s="78"/>
      <c r="CE96" s="78"/>
      <c r="CF96" s="70"/>
    </row>
    <row r="97" spans="1:84" ht="12" customHeight="1">
      <c r="A97" s="2"/>
      <c r="B97" s="64">
        <v>85</v>
      </c>
      <c r="C97" s="65">
        <v>10</v>
      </c>
      <c r="D97" s="66" t="s">
        <v>7</v>
      </c>
      <c r="E97" s="69" t="s">
        <v>150</v>
      </c>
      <c r="F97" s="70"/>
      <c r="G97" s="71">
        <v>452.97560975609753</v>
      </c>
      <c r="H97" s="72">
        <v>452.97560975609753</v>
      </c>
      <c r="I97" s="72"/>
      <c r="J97" s="72"/>
      <c r="K97" s="72"/>
      <c r="L97" s="73"/>
      <c r="M97" s="71">
        <v>905.95121951219505</v>
      </c>
      <c r="N97" s="72">
        <v>905.95121951219505</v>
      </c>
      <c r="O97" s="72"/>
      <c r="P97" s="72"/>
      <c r="Q97" s="72"/>
      <c r="R97" s="73"/>
      <c r="S97" s="71">
        <v>447.2</v>
      </c>
      <c r="T97" s="72">
        <v>451</v>
      </c>
      <c r="U97" s="72">
        <v>442</v>
      </c>
      <c r="V97" s="72">
        <v>451</v>
      </c>
      <c r="W97" s="72">
        <v>446</v>
      </c>
      <c r="X97" s="73">
        <v>446</v>
      </c>
      <c r="Y97" s="71"/>
      <c r="Z97" s="72"/>
      <c r="AA97" s="72"/>
      <c r="AB97" s="72"/>
      <c r="AC97" s="72"/>
      <c r="AD97" s="73"/>
      <c r="AE97" s="71"/>
      <c r="AF97" s="72"/>
      <c r="AG97" s="72"/>
      <c r="AH97" s="72"/>
      <c r="AI97" s="72"/>
      <c r="AJ97" s="73"/>
      <c r="AK97" s="71"/>
      <c r="AL97" s="72"/>
      <c r="AM97" s="72"/>
      <c r="AN97" s="72"/>
      <c r="AO97" s="72"/>
      <c r="AP97" s="73"/>
      <c r="AQ97" s="71"/>
      <c r="AR97" s="72"/>
      <c r="AS97" s="72"/>
      <c r="AT97" s="72"/>
      <c r="AU97" s="72"/>
      <c r="AV97" s="73"/>
      <c r="AW97" s="75">
        <v>-1.2750376911479622</v>
      </c>
      <c r="AX97" s="76">
        <v>-0.43614042644840589</v>
      </c>
      <c r="AY97" s="76">
        <v>-2.4230023691578673</v>
      </c>
      <c r="AZ97" s="76">
        <v>-0.43614042644840589</v>
      </c>
      <c r="BA97" s="76">
        <v>-1.5399526168425548</v>
      </c>
      <c r="BB97" s="77">
        <v>-1.5399526168425548</v>
      </c>
      <c r="BC97" s="65"/>
      <c r="BD97" s="78"/>
      <c r="BE97" s="78"/>
      <c r="BF97" s="78"/>
      <c r="BG97" s="78"/>
      <c r="BH97" s="70"/>
      <c r="BI97" s="65"/>
      <c r="BJ97" s="78"/>
      <c r="BK97" s="78"/>
      <c r="BL97" s="78"/>
      <c r="BM97" s="78"/>
      <c r="BN97" s="70"/>
      <c r="BO97" s="65"/>
      <c r="BP97" s="78"/>
      <c r="BQ97" s="78"/>
      <c r="BR97" s="78"/>
      <c r="BS97" s="78"/>
      <c r="BT97" s="70"/>
      <c r="BU97" s="65"/>
      <c r="BV97" s="78"/>
      <c r="BW97" s="78"/>
      <c r="BX97" s="78"/>
      <c r="BY97" s="78"/>
      <c r="BZ97" s="70"/>
      <c r="CA97" s="80"/>
      <c r="CB97" s="78"/>
      <c r="CC97" s="78"/>
      <c r="CD97" s="78"/>
      <c r="CE97" s="78"/>
      <c r="CF97" s="70"/>
    </row>
    <row r="98" spans="1:84" ht="12" customHeight="1">
      <c r="A98" s="2"/>
      <c r="B98" s="64">
        <v>86</v>
      </c>
      <c r="C98" s="65">
        <v>10</v>
      </c>
      <c r="D98" s="66" t="s">
        <v>7</v>
      </c>
      <c r="E98" s="69" t="s">
        <v>151</v>
      </c>
      <c r="F98" s="70"/>
      <c r="G98" s="71">
        <v>226.48780487804876</v>
      </c>
      <c r="H98" s="72">
        <v>226.48780487804876</v>
      </c>
      <c r="I98" s="72"/>
      <c r="J98" s="72"/>
      <c r="K98" s="72"/>
      <c r="L98" s="73"/>
      <c r="M98" s="71">
        <v>452.97560975609753</v>
      </c>
      <c r="N98" s="72">
        <v>452.97560975609753</v>
      </c>
      <c r="O98" s="72"/>
      <c r="P98" s="72"/>
      <c r="Q98" s="72"/>
      <c r="R98" s="73"/>
      <c r="S98" s="71">
        <v>226.6</v>
      </c>
      <c r="T98" s="72">
        <v>219</v>
      </c>
      <c r="U98" s="72">
        <v>240</v>
      </c>
      <c r="V98" s="72">
        <v>226</v>
      </c>
      <c r="W98" s="72">
        <v>222</v>
      </c>
      <c r="X98" s="73">
        <v>226</v>
      </c>
      <c r="Y98" s="71"/>
      <c r="Z98" s="72"/>
      <c r="AA98" s="72"/>
      <c r="AB98" s="72"/>
      <c r="AC98" s="72"/>
      <c r="AD98" s="73"/>
      <c r="AE98" s="71"/>
      <c r="AF98" s="72"/>
      <c r="AG98" s="72"/>
      <c r="AH98" s="72"/>
      <c r="AI98" s="72"/>
      <c r="AJ98" s="73"/>
      <c r="AK98" s="71"/>
      <c r="AL98" s="72"/>
      <c r="AM98" s="72"/>
      <c r="AN98" s="72"/>
      <c r="AO98" s="72"/>
      <c r="AP98" s="73"/>
      <c r="AQ98" s="71"/>
      <c r="AR98" s="72"/>
      <c r="AS98" s="72"/>
      <c r="AT98" s="72"/>
      <c r="AU98" s="72"/>
      <c r="AV98" s="73"/>
      <c r="AW98" s="75">
        <v>4.9536937325012076E-2</v>
      </c>
      <c r="AX98" s="76">
        <v>-3.3060521214731797</v>
      </c>
      <c r="AY98" s="76">
        <v>5.9659702778376067</v>
      </c>
      <c r="AZ98" s="76">
        <v>-0.21537798836958055</v>
      </c>
      <c r="BA98" s="76">
        <v>-1.9814774930002055</v>
      </c>
      <c r="BB98" s="77">
        <v>-0.21537798836958055</v>
      </c>
      <c r="BC98" s="65"/>
      <c r="BD98" s="78"/>
      <c r="BE98" s="78"/>
      <c r="BF98" s="78"/>
      <c r="BG98" s="78"/>
      <c r="BH98" s="70"/>
      <c r="BI98" s="65"/>
      <c r="BJ98" s="78"/>
      <c r="BK98" s="78"/>
      <c r="BL98" s="78"/>
      <c r="BM98" s="78"/>
      <c r="BN98" s="70"/>
      <c r="BO98" s="65"/>
      <c r="BP98" s="78"/>
      <c r="BQ98" s="78"/>
      <c r="BR98" s="78"/>
      <c r="BS98" s="78"/>
      <c r="BT98" s="70"/>
      <c r="BU98" s="65"/>
      <c r="BV98" s="78"/>
      <c r="BW98" s="78"/>
      <c r="BX98" s="78"/>
      <c r="BY98" s="78"/>
      <c r="BZ98" s="70"/>
      <c r="CA98" s="80"/>
      <c r="CB98" s="78"/>
      <c r="CC98" s="78"/>
      <c r="CD98" s="78"/>
      <c r="CE98" s="78"/>
      <c r="CF98" s="70"/>
    </row>
    <row r="99" spans="1:84" ht="12" customHeight="1">
      <c r="A99" s="2"/>
      <c r="B99" s="64">
        <v>87</v>
      </c>
      <c r="C99" s="65">
        <v>10</v>
      </c>
      <c r="D99" s="66" t="s">
        <v>7</v>
      </c>
      <c r="E99" s="69" t="s">
        <v>152</v>
      </c>
      <c r="F99" s="70"/>
      <c r="G99" s="71">
        <v>339.73170731707313</v>
      </c>
      <c r="H99" s="72">
        <v>339.73170731707313</v>
      </c>
      <c r="I99" s="72"/>
      <c r="J99" s="72"/>
      <c r="K99" s="72"/>
      <c r="L99" s="73"/>
      <c r="M99" s="71">
        <v>679.46341463414637</v>
      </c>
      <c r="N99" s="72">
        <v>679.46341463414637</v>
      </c>
      <c r="O99" s="72"/>
      <c r="P99" s="72"/>
      <c r="Q99" s="72"/>
      <c r="R99" s="73"/>
      <c r="S99" s="71">
        <v>332</v>
      </c>
      <c r="T99" s="72">
        <v>322</v>
      </c>
      <c r="U99" s="72">
        <v>324</v>
      </c>
      <c r="V99" s="72">
        <v>322</v>
      </c>
      <c r="W99" s="72">
        <v>346</v>
      </c>
      <c r="X99" s="73">
        <v>346</v>
      </c>
      <c r="Y99" s="71"/>
      <c r="Z99" s="72"/>
      <c r="AA99" s="72"/>
      <c r="AB99" s="72"/>
      <c r="AC99" s="72"/>
      <c r="AD99" s="73"/>
      <c r="AE99" s="71"/>
      <c r="AF99" s="72"/>
      <c r="AG99" s="72"/>
      <c r="AH99" s="72"/>
      <c r="AI99" s="72"/>
      <c r="AJ99" s="73"/>
      <c r="AK99" s="71"/>
      <c r="AL99" s="72"/>
      <c r="AM99" s="72"/>
      <c r="AN99" s="72"/>
      <c r="AO99" s="72"/>
      <c r="AP99" s="73"/>
      <c r="AQ99" s="71"/>
      <c r="AR99" s="72"/>
      <c r="AS99" s="72"/>
      <c r="AT99" s="72"/>
      <c r="AU99" s="72"/>
      <c r="AV99" s="73"/>
      <c r="AW99" s="75">
        <v>-2.2758274104386467</v>
      </c>
      <c r="AX99" s="76">
        <v>-5.2193265848230253</v>
      </c>
      <c r="AY99" s="76">
        <v>-4.6306267499461429</v>
      </c>
      <c r="AZ99" s="76">
        <v>-5.2193265848230253</v>
      </c>
      <c r="BA99" s="76">
        <v>1.8450714336994967</v>
      </c>
      <c r="BB99" s="77">
        <v>1.8450714336994967</v>
      </c>
      <c r="BC99" s="65"/>
      <c r="BD99" s="78"/>
      <c r="BE99" s="78"/>
      <c r="BF99" s="78"/>
      <c r="BG99" s="78"/>
      <c r="BH99" s="70"/>
      <c r="BI99" s="65"/>
      <c r="BJ99" s="78"/>
      <c r="BK99" s="78"/>
      <c r="BL99" s="78"/>
      <c r="BM99" s="78"/>
      <c r="BN99" s="70"/>
      <c r="BO99" s="65"/>
      <c r="BP99" s="78"/>
      <c r="BQ99" s="78"/>
      <c r="BR99" s="78"/>
      <c r="BS99" s="78"/>
      <c r="BT99" s="70"/>
      <c r="BU99" s="65"/>
      <c r="BV99" s="78"/>
      <c r="BW99" s="78"/>
      <c r="BX99" s="78"/>
      <c r="BY99" s="78"/>
      <c r="BZ99" s="70"/>
      <c r="CA99" s="80"/>
      <c r="CB99" s="78"/>
      <c r="CC99" s="78"/>
      <c r="CD99" s="78"/>
      <c r="CE99" s="78"/>
      <c r="CF99" s="70"/>
    </row>
    <row r="100" spans="1:84" ht="12" customHeight="1">
      <c r="A100" s="2"/>
      <c r="B100" s="64">
        <v>88</v>
      </c>
      <c r="C100" s="65">
        <v>10</v>
      </c>
      <c r="D100" s="66" t="s">
        <v>7</v>
      </c>
      <c r="E100" s="69" t="s">
        <v>153</v>
      </c>
      <c r="F100" s="70"/>
      <c r="G100" s="71">
        <v>679.46341463414626</v>
      </c>
      <c r="H100" s="72">
        <v>679.46341463414626</v>
      </c>
      <c r="I100" s="72"/>
      <c r="J100" s="72"/>
      <c r="K100" s="72"/>
      <c r="L100" s="73"/>
      <c r="M100" s="71">
        <v>1358.9268292682927</v>
      </c>
      <c r="N100" s="72">
        <v>1358.9268292682927</v>
      </c>
      <c r="O100" s="72"/>
      <c r="P100" s="72"/>
      <c r="Q100" s="72"/>
      <c r="R100" s="73"/>
      <c r="S100" s="71">
        <v>680.4</v>
      </c>
      <c r="T100" s="72">
        <v>679</v>
      </c>
      <c r="U100" s="72">
        <v>675</v>
      </c>
      <c r="V100" s="72">
        <v>673</v>
      </c>
      <c r="W100" s="72">
        <v>685</v>
      </c>
      <c r="X100" s="73">
        <v>690</v>
      </c>
      <c r="Y100" s="71"/>
      <c r="Z100" s="72"/>
      <c r="AA100" s="72"/>
      <c r="AB100" s="72"/>
      <c r="AC100" s="72"/>
      <c r="AD100" s="73"/>
      <c r="AE100" s="71"/>
      <c r="AF100" s="72"/>
      <c r="AG100" s="72"/>
      <c r="AH100" s="72"/>
      <c r="AI100" s="72"/>
      <c r="AJ100" s="73"/>
      <c r="AK100" s="71"/>
      <c r="AL100" s="72"/>
      <c r="AM100" s="72"/>
      <c r="AN100" s="72"/>
      <c r="AO100" s="72"/>
      <c r="AP100" s="73"/>
      <c r="AQ100" s="71"/>
      <c r="AR100" s="72"/>
      <c r="AS100" s="72"/>
      <c r="AT100" s="72"/>
      <c r="AU100" s="72"/>
      <c r="AV100" s="73"/>
      <c r="AW100" s="75">
        <v>0.13784191255654665</v>
      </c>
      <c r="AX100" s="76">
        <v>-6.8203029650359959E-2</v>
      </c>
      <c r="AY100" s="76">
        <v>-0.65690286452723123</v>
      </c>
      <c r="AZ100" s="76">
        <v>-0.95125278196567242</v>
      </c>
      <c r="BA100" s="76">
        <v>0.81484672266496361</v>
      </c>
      <c r="BB100" s="77">
        <v>1.5507215162610555</v>
      </c>
      <c r="BC100" s="65"/>
      <c r="BD100" s="78"/>
      <c r="BE100" s="78"/>
      <c r="BF100" s="78"/>
      <c r="BG100" s="78"/>
      <c r="BH100" s="70"/>
      <c r="BI100" s="65"/>
      <c r="BJ100" s="78"/>
      <c r="BK100" s="78"/>
      <c r="BL100" s="78"/>
      <c r="BM100" s="78"/>
      <c r="BN100" s="70"/>
      <c r="BO100" s="65"/>
      <c r="BP100" s="78"/>
      <c r="BQ100" s="78"/>
      <c r="BR100" s="78"/>
      <c r="BS100" s="78"/>
      <c r="BT100" s="70"/>
      <c r="BU100" s="65"/>
      <c r="BV100" s="78"/>
      <c r="BW100" s="78"/>
      <c r="BX100" s="78"/>
      <c r="BY100" s="78"/>
      <c r="BZ100" s="70"/>
      <c r="CA100" s="80"/>
      <c r="CB100" s="78"/>
      <c r="CC100" s="78"/>
      <c r="CD100" s="78"/>
      <c r="CE100" s="78"/>
      <c r="CF100" s="70"/>
    </row>
    <row r="101" spans="1:84" ht="12" customHeight="1">
      <c r="A101" s="2"/>
      <c r="B101" s="64">
        <v>89</v>
      </c>
      <c r="C101" s="65">
        <v>10</v>
      </c>
      <c r="D101" s="66" t="s">
        <v>7</v>
      </c>
      <c r="E101" s="69" t="s">
        <v>154</v>
      </c>
      <c r="F101" s="70"/>
      <c r="G101" s="71">
        <v>339.73170731707313</v>
      </c>
      <c r="H101" s="72">
        <v>339.73170731707313</v>
      </c>
      <c r="I101" s="72"/>
      <c r="J101" s="72"/>
      <c r="K101" s="72"/>
      <c r="L101" s="73"/>
      <c r="M101" s="71">
        <v>679.46341463414637</v>
      </c>
      <c r="N101" s="72">
        <v>679.46341463414637</v>
      </c>
      <c r="O101" s="72"/>
      <c r="P101" s="72"/>
      <c r="Q101" s="72"/>
      <c r="R101" s="73"/>
      <c r="S101" s="71">
        <v>332</v>
      </c>
      <c r="T101" s="72">
        <v>322</v>
      </c>
      <c r="U101" s="72">
        <v>324</v>
      </c>
      <c r="V101" s="72">
        <v>322</v>
      </c>
      <c r="W101" s="72">
        <v>346</v>
      </c>
      <c r="X101" s="73">
        <v>346</v>
      </c>
      <c r="Y101" s="71"/>
      <c r="Z101" s="72"/>
      <c r="AA101" s="72"/>
      <c r="AB101" s="72"/>
      <c r="AC101" s="72"/>
      <c r="AD101" s="73"/>
      <c r="AE101" s="71"/>
      <c r="AF101" s="72"/>
      <c r="AG101" s="72"/>
      <c r="AH101" s="72"/>
      <c r="AI101" s="72"/>
      <c r="AJ101" s="73"/>
      <c r="AK101" s="71"/>
      <c r="AL101" s="72"/>
      <c r="AM101" s="72"/>
      <c r="AN101" s="72"/>
      <c r="AO101" s="72"/>
      <c r="AP101" s="73"/>
      <c r="AQ101" s="71"/>
      <c r="AR101" s="72"/>
      <c r="AS101" s="72"/>
      <c r="AT101" s="72"/>
      <c r="AU101" s="72"/>
      <c r="AV101" s="73"/>
      <c r="AW101" s="75">
        <v>-2.2758274104386467</v>
      </c>
      <c r="AX101" s="76">
        <v>-5.2193265848230253</v>
      </c>
      <c r="AY101" s="76">
        <v>-4.6306267499461429</v>
      </c>
      <c r="AZ101" s="76">
        <v>-5.2193265848230253</v>
      </c>
      <c r="BA101" s="76">
        <v>1.8450714336994967</v>
      </c>
      <c r="BB101" s="77">
        <v>1.8450714336994967</v>
      </c>
      <c r="BC101" s="65"/>
      <c r="BD101" s="78"/>
      <c r="BE101" s="78"/>
      <c r="BF101" s="78"/>
      <c r="BG101" s="78"/>
      <c r="BH101" s="70"/>
      <c r="BI101" s="65"/>
      <c r="BJ101" s="78"/>
      <c r="BK101" s="78"/>
      <c r="BL101" s="78"/>
      <c r="BM101" s="78"/>
      <c r="BN101" s="70"/>
      <c r="BO101" s="65"/>
      <c r="BP101" s="78"/>
      <c r="BQ101" s="78"/>
      <c r="BR101" s="78"/>
      <c r="BS101" s="78"/>
      <c r="BT101" s="70"/>
      <c r="BU101" s="65"/>
      <c r="BV101" s="78"/>
      <c r="BW101" s="78"/>
      <c r="BX101" s="78"/>
      <c r="BY101" s="78"/>
      <c r="BZ101" s="70"/>
      <c r="CA101" s="80"/>
      <c r="CB101" s="78"/>
      <c r="CC101" s="78"/>
      <c r="CD101" s="78"/>
      <c r="CE101" s="78"/>
      <c r="CF101" s="70"/>
    </row>
    <row r="102" spans="1:84" ht="12" customHeight="1">
      <c r="A102" s="2" t="s">
        <v>160</v>
      </c>
      <c r="B102" s="64">
        <v>90</v>
      </c>
      <c r="C102" s="65">
        <v>10</v>
      </c>
      <c r="D102" s="66" t="s">
        <v>7</v>
      </c>
      <c r="E102" s="69" t="s">
        <v>161</v>
      </c>
      <c r="F102" s="70"/>
      <c r="G102" s="71">
        <v>594.53048780487802</v>
      </c>
      <c r="H102" s="72">
        <v>452.97560975609753</v>
      </c>
      <c r="I102" s="72"/>
      <c r="J102" s="72"/>
      <c r="K102" s="72"/>
      <c r="L102" s="73">
        <v>141.55487804878047</v>
      </c>
      <c r="M102" s="71">
        <v>1189.060975609756</v>
      </c>
      <c r="N102" s="72">
        <v>905.95121951219505</v>
      </c>
      <c r="O102" s="72"/>
      <c r="P102" s="72"/>
      <c r="Q102" s="72"/>
      <c r="R102" s="73">
        <v>283.10975609756093</v>
      </c>
      <c r="S102" s="71">
        <v>458.8</v>
      </c>
      <c r="T102" s="72">
        <v>468</v>
      </c>
      <c r="U102" s="72">
        <v>457</v>
      </c>
      <c r="V102" s="72">
        <v>456</v>
      </c>
      <c r="W102" s="72">
        <v>449</v>
      </c>
      <c r="X102" s="73">
        <v>464</v>
      </c>
      <c r="Y102" s="71"/>
      <c r="Z102" s="72"/>
      <c r="AA102" s="72"/>
      <c r="AB102" s="72"/>
      <c r="AC102" s="72"/>
      <c r="AD102" s="73"/>
      <c r="AE102" s="71"/>
      <c r="AF102" s="72"/>
      <c r="AG102" s="72"/>
      <c r="AH102" s="72"/>
      <c r="AI102" s="72"/>
      <c r="AJ102" s="73"/>
      <c r="AK102" s="71"/>
      <c r="AL102" s="72"/>
      <c r="AM102" s="72"/>
      <c r="AN102" s="72"/>
      <c r="AO102" s="72"/>
      <c r="AP102" s="73"/>
      <c r="AQ102" s="71">
        <v>136</v>
      </c>
      <c r="AR102" s="72">
        <v>135</v>
      </c>
      <c r="AS102" s="72">
        <v>130</v>
      </c>
      <c r="AT102" s="72">
        <v>140</v>
      </c>
      <c r="AU102" s="72">
        <v>140</v>
      </c>
      <c r="AV102" s="73">
        <v>135</v>
      </c>
      <c r="AW102" s="75">
        <v>4.5331938504444835E-2</v>
      </c>
      <c r="AX102" s="76">
        <v>1.4245715516445712</v>
      </c>
      <c r="AY102" s="76">
        <v>-1.266627693506861</v>
      </c>
      <c r="AZ102" s="76">
        <v>0.24717188189082862</v>
      </c>
      <c r="BA102" s="76">
        <v>-0.93022778786293614</v>
      </c>
      <c r="BB102" s="77">
        <v>0.75177174035672145</v>
      </c>
      <c r="BC102" s="65"/>
      <c r="BD102" s="78"/>
      <c r="BE102" s="78"/>
      <c r="BF102" s="78"/>
      <c r="BG102" s="78"/>
      <c r="BH102" s="70"/>
      <c r="BI102" s="65"/>
      <c r="BJ102" s="78"/>
      <c r="BK102" s="78"/>
      <c r="BL102" s="78"/>
      <c r="BM102" s="78"/>
      <c r="BN102" s="70"/>
      <c r="BO102" s="65"/>
      <c r="BP102" s="78"/>
      <c r="BQ102" s="78"/>
      <c r="BR102" s="78"/>
      <c r="BS102" s="78"/>
      <c r="BT102" s="70"/>
      <c r="BU102" s="65"/>
      <c r="BV102" s="78"/>
      <c r="BW102" s="78"/>
      <c r="BX102" s="78"/>
      <c r="BY102" s="78"/>
      <c r="BZ102" s="70"/>
      <c r="CA102" s="80"/>
      <c r="CB102" s="78"/>
      <c r="CC102" s="78"/>
      <c r="CD102" s="78"/>
      <c r="CE102" s="78"/>
      <c r="CF102" s="70"/>
    </row>
    <row r="103" spans="1:84" ht="12" customHeight="1">
      <c r="A103" s="2" t="s">
        <v>160</v>
      </c>
      <c r="B103" s="64">
        <v>91</v>
      </c>
      <c r="C103" s="65">
        <v>10</v>
      </c>
      <c r="D103" s="66" t="s">
        <v>7</v>
      </c>
      <c r="E103" s="69" t="s">
        <v>99</v>
      </c>
      <c r="F103" s="70"/>
      <c r="G103" s="71">
        <v>368.04268292682923</v>
      </c>
      <c r="H103" s="72">
        <v>226.48780487804876</v>
      </c>
      <c r="I103" s="72"/>
      <c r="J103" s="72"/>
      <c r="K103" s="72"/>
      <c r="L103" s="73">
        <v>141.55487804878047</v>
      </c>
      <c r="M103" s="71">
        <v>736.08536585365846</v>
      </c>
      <c r="N103" s="72">
        <v>452.97560975609753</v>
      </c>
      <c r="O103" s="72"/>
      <c r="P103" s="72"/>
      <c r="Q103" s="72"/>
      <c r="R103" s="73">
        <v>283.10975609756093</v>
      </c>
      <c r="S103" s="71">
        <v>223.2</v>
      </c>
      <c r="T103" s="72">
        <v>224</v>
      </c>
      <c r="U103" s="72">
        <v>226</v>
      </c>
      <c r="V103" s="72">
        <v>219</v>
      </c>
      <c r="W103" s="72">
        <v>230</v>
      </c>
      <c r="X103" s="73">
        <v>217</v>
      </c>
      <c r="Y103" s="71"/>
      <c r="Z103" s="72"/>
      <c r="AA103" s="72"/>
      <c r="AB103" s="72"/>
      <c r="AC103" s="72"/>
      <c r="AD103" s="73"/>
      <c r="AE103" s="71"/>
      <c r="AF103" s="72"/>
      <c r="AG103" s="72"/>
      <c r="AH103" s="72"/>
      <c r="AI103" s="72"/>
      <c r="AJ103" s="73"/>
      <c r="AK103" s="71"/>
      <c r="AL103" s="72"/>
      <c r="AM103" s="72"/>
      <c r="AN103" s="72"/>
      <c r="AO103" s="72"/>
      <c r="AP103" s="73"/>
      <c r="AQ103" s="71">
        <v>135</v>
      </c>
      <c r="AR103" s="72">
        <v>140</v>
      </c>
      <c r="AS103" s="72">
        <v>140</v>
      </c>
      <c r="AT103" s="72">
        <v>140</v>
      </c>
      <c r="AU103" s="72">
        <v>130</v>
      </c>
      <c r="AV103" s="73">
        <v>125</v>
      </c>
      <c r="AW103" s="75">
        <v>-2.6743319140476118</v>
      </c>
      <c r="AX103" s="76">
        <v>-1.098427740684893</v>
      </c>
      <c r="AY103" s="76">
        <v>-0.5550125084908486</v>
      </c>
      <c r="AZ103" s="76">
        <v>-2.4569658211699874</v>
      </c>
      <c r="BA103" s="76">
        <v>-2.1852582050729707</v>
      </c>
      <c r="BB103" s="77">
        <v>-7.0759952948193261</v>
      </c>
      <c r="BC103" s="65"/>
      <c r="BD103" s="78"/>
      <c r="BE103" s="78"/>
      <c r="BF103" s="78"/>
      <c r="BG103" s="78"/>
      <c r="BH103" s="70"/>
      <c r="BI103" s="65"/>
      <c r="BJ103" s="78"/>
      <c r="BK103" s="78"/>
      <c r="BL103" s="78"/>
      <c r="BM103" s="78"/>
      <c r="BN103" s="70"/>
      <c r="BO103" s="65"/>
      <c r="BP103" s="78"/>
      <c r="BQ103" s="78"/>
      <c r="BR103" s="78"/>
      <c r="BS103" s="78"/>
      <c r="BT103" s="70"/>
      <c r="BU103" s="65"/>
      <c r="BV103" s="78"/>
      <c r="BW103" s="78"/>
      <c r="BX103" s="78"/>
      <c r="BY103" s="78"/>
      <c r="BZ103" s="70"/>
      <c r="CA103" s="80"/>
      <c r="CB103" s="78"/>
      <c r="CC103" s="78"/>
      <c r="CD103" s="78"/>
      <c r="CE103" s="78"/>
      <c r="CF103" s="70"/>
    </row>
    <row r="104" spans="1:84" ht="12" customHeight="1">
      <c r="A104" s="2" t="s">
        <v>160</v>
      </c>
      <c r="B104" s="64">
        <v>92</v>
      </c>
      <c r="C104" s="65">
        <v>10</v>
      </c>
      <c r="D104" s="66" t="s">
        <v>7</v>
      </c>
      <c r="E104" s="69" t="s">
        <v>101</v>
      </c>
      <c r="F104" s="70"/>
      <c r="G104" s="71">
        <v>481.28658536585363</v>
      </c>
      <c r="H104" s="72">
        <v>339.73170731707313</v>
      </c>
      <c r="I104" s="72"/>
      <c r="J104" s="72"/>
      <c r="K104" s="72"/>
      <c r="L104" s="73">
        <v>141.55487804878047</v>
      </c>
      <c r="M104" s="71">
        <v>962.57317073170725</v>
      </c>
      <c r="N104" s="72">
        <v>679.46341463414637</v>
      </c>
      <c r="O104" s="72"/>
      <c r="P104" s="72"/>
      <c r="Q104" s="72"/>
      <c r="R104" s="73">
        <v>283.10975609756093</v>
      </c>
      <c r="S104" s="71">
        <v>341.6</v>
      </c>
      <c r="T104" s="72">
        <v>342</v>
      </c>
      <c r="U104" s="72">
        <v>352</v>
      </c>
      <c r="V104" s="72">
        <v>336</v>
      </c>
      <c r="W104" s="72">
        <v>344</v>
      </c>
      <c r="X104" s="73">
        <v>334</v>
      </c>
      <c r="Y104" s="71"/>
      <c r="Z104" s="72"/>
      <c r="AA104" s="72"/>
      <c r="AB104" s="72"/>
      <c r="AC104" s="72"/>
      <c r="AD104" s="73"/>
      <c r="AE104" s="71"/>
      <c r="AF104" s="72"/>
      <c r="AG104" s="72"/>
      <c r="AH104" s="72"/>
      <c r="AI104" s="72"/>
      <c r="AJ104" s="73"/>
      <c r="AK104" s="71"/>
      <c r="AL104" s="72"/>
      <c r="AM104" s="72"/>
      <c r="AN104" s="72"/>
      <c r="AO104" s="72"/>
      <c r="AP104" s="73"/>
      <c r="AQ104" s="71">
        <v>135</v>
      </c>
      <c r="AR104" s="72">
        <v>130</v>
      </c>
      <c r="AS104" s="72">
        <v>135</v>
      </c>
      <c r="AT104" s="72">
        <v>135</v>
      </c>
      <c r="AU104" s="72">
        <v>140</v>
      </c>
      <c r="AV104" s="73">
        <v>135</v>
      </c>
      <c r="AW104" s="75">
        <v>-0.97376189329919649</v>
      </c>
      <c r="AX104" s="76">
        <v>-1.9295333899228329</v>
      </c>
      <c r="AY104" s="76">
        <v>1.187112794719436</v>
      </c>
      <c r="AZ104" s="76">
        <v>-2.1373098022323234</v>
      </c>
      <c r="BA104" s="76">
        <v>0.56378355779098666</v>
      </c>
      <c r="BB104" s="77">
        <v>-2.5528626268512933</v>
      </c>
      <c r="BC104" s="65"/>
      <c r="BD104" s="78"/>
      <c r="BE104" s="78"/>
      <c r="BF104" s="78"/>
      <c r="BG104" s="78"/>
      <c r="BH104" s="70"/>
      <c r="BI104" s="65"/>
      <c r="BJ104" s="78"/>
      <c r="BK104" s="78"/>
      <c r="BL104" s="78"/>
      <c r="BM104" s="78"/>
      <c r="BN104" s="70"/>
      <c r="BO104" s="65"/>
      <c r="BP104" s="78"/>
      <c r="BQ104" s="78"/>
      <c r="BR104" s="78"/>
      <c r="BS104" s="78"/>
      <c r="BT104" s="70"/>
      <c r="BU104" s="65"/>
      <c r="BV104" s="78"/>
      <c r="BW104" s="78"/>
      <c r="BX104" s="78"/>
      <c r="BY104" s="78"/>
      <c r="BZ104" s="70"/>
      <c r="CA104" s="80"/>
      <c r="CB104" s="78"/>
      <c r="CC104" s="78"/>
      <c r="CD104" s="78"/>
      <c r="CE104" s="78"/>
      <c r="CF104" s="70"/>
    </row>
    <row r="105" spans="1:84" ht="12" customHeight="1">
      <c r="A105" s="2" t="s">
        <v>160</v>
      </c>
      <c r="B105" s="64">
        <v>93</v>
      </c>
      <c r="C105" s="65">
        <v>10</v>
      </c>
      <c r="D105" s="66" t="s">
        <v>7</v>
      </c>
      <c r="E105" s="69" t="s">
        <v>162</v>
      </c>
      <c r="F105" s="70"/>
      <c r="G105" s="71">
        <v>821.0182926829267</v>
      </c>
      <c r="H105" s="72">
        <v>679.46341463414626</v>
      </c>
      <c r="I105" s="72"/>
      <c r="J105" s="72"/>
      <c r="K105" s="72"/>
      <c r="L105" s="73">
        <v>141.55487804878047</v>
      </c>
      <c r="M105" s="71">
        <v>1642.0365853658536</v>
      </c>
      <c r="N105" s="72">
        <v>1358.9268292682927</v>
      </c>
      <c r="O105" s="72"/>
      <c r="P105" s="72"/>
      <c r="Q105" s="72"/>
      <c r="R105" s="73">
        <v>283.10975609756093</v>
      </c>
      <c r="S105" s="71">
        <v>686.2</v>
      </c>
      <c r="T105" s="72">
        <v>678</v>
      </c>
      <c r="U105" s="72">
        <v>696</v>
      </c>
      <c r="V105" s="72">
        <v>693</v>
      </c>
      <c r="W105" s="72">
        <v>679</v>
      </c>
      <c r="X105" s="73">
        <v>685</v>
      </c>
      <c r="Y105" s="71"/>
      <c r="Z105" s="72"/>
      <c r="AA105" s="72"/>
      <c r="AB105" s="72"/>
      <c r="AC105" s="72"/>
      <c r="AD105" s="73"/>
      <c r="AE105" s="71"/>
      <c r="AF105" s="72"/>
      <c r="AG105" s="72"/>
      <c r="AH105" s="72"/>
      <c r="AI105" s="72"/>
      <c r="AJ105" s="73"/>
      <c r="AK105" s="71"/>
      <c r="AL105" s="72"/>
      <c r="AM105" s="72"/>
      <c r="AN105" s="72"/>
      <c r="AO105" s="72"/>
      <c r="AP105" s="73"/>
      <c r="AQ105" s="71">
        <v>134</v>
      </c>
      <c r="AR105" s="72">
        <v>135</v>
      </c>
      <c r="AS105" s="72">
        <v>130</v>
      </c>
      <c r="AT105" s="72">
        <v>135</v>
      </c>
      <c r="AU105" s="72">
        <v>135</v>
      </c>
      <c r="AV105" s="73">
        <v>135</v>
      </c>
      <c r="AW105" s="75">
        <v>-9.9668020824805748E-2</v>
      </c>
      <c r="AX105" s="76">
        <v>-0.97662777484829322</v>
      </c>
      <c r="AY105" s="76">
        <v>0.60677178102743756</v>
      </c>
      <c r="AZ105" s="76">
        <v>0.85037171270063716</v>
      </c>
      <c r="BA105" s="76">
        <v>-0.85482780901169342</v>
      </c>
      <c r="BB105" s="77">
        <v>-0.12402801399212793</v>
      </c>
      <c r="BC105" s="65"/>
      <c r="BD105" s="78"/>
      <c r="BE105" s="78"/>
      <c r="BF105" s="78"/>
      <c r="BG105" s="78"/>
      <c r="BH105" s="70"/>
      <c r="BI105" s="65"/>
      <c r="BJ105" s="78"/>
      <c r="BK105" s="78"/>
      <c r="BL105" s="78"/>
      <c r="BM105" s="78"/>
      <c r="BN105" s="70"/>
      <c r="BO105" s="65"/>
      <c r="BP105" s="78"/>
      <c r="BQ105" s="78"/>
      <c r="BR105" s="78"/>
      <c r="BS105" s="78"/>
      <c r="BT105" s="70"/>
      <c r="BU105" s="65"/>
      <c r="BV105" s="78"/>
      <c r="BW105" s="78"/>
      <c r="BX105" s="78"/>
      <c r="BY105" s="78"/>
      <c r="BZ105" s="70"/>
      <c r="CA105" s="80"/>
      <c r="CB105" s="78"/>
      <c r="CC105" s="78"/>
      <c r="CD105" s="78"/>
      <c r="CE105" s="78"/>
      <c r="CF105" s="70"/>
    </row>
    <row r="106" spans="1:84" ht="12" customHeight="1">
      <c r="A106" s="2" t="s">
        <v>160</v>
      </c>
      <c r="B106" s="64">
        <v>94</v>
      </c>
      <c r="C106" s="65">
        <v>10</v>
      </c>
      <c r="D106" s="66" t="s">
        <v>7</v>
      </c>
      <c r="E106" s="69" t="s">
        <v>102</v>
      </c>
      <c r="F106" s="70"/>
      <c r="G106" s="71">
        <v>481.28658536585363</v>
      </c>
      <c r="H106" s="72">
        <v>339.73170731707313</v>
      </c>
      <c r="I106" s="72"/>
      <c r="J106" s="72"/>
      <c r="K106" s="72"/>
      <c r="L106" s="73">
        <v>141.55487804878047</v>
      </c>
      <c r="M106" s="71">
        <v>962.57317073170725</v>
      </c>
      <c r="N106" s="72">
        <v>679.46341463414637</v>
      </c>
      <c r="O106" s="72"/>
      <c r="P106" s="72"/>
      <c r="Q106" s="72"/>
      <c r="R106" s="73">
        <v>283.10975609756093</v>
      </c>
      <c r="S106" s="71">
        <v>341.6</v>
      </c>
      <c r="T106" s="72">
        <v>342</v>
      </c>
      <c r="U106" s="72">
        <v>352</v>
      </c>
      <c r="V106" s="72">
        <v>336</v>
      </c>
      <c r="W106" s="72">
        <v>344</v>
      </c>
      <c r="X106" s="73">
        <v>334</v>
      </c>
      <c r="Y106" s="71"/>
      <c r="Z106" s="72"/>
      <c r="AA106" s="72"/>
      <c r="AB106" s="72"/>
      <c r="AC106" s="72"/>
      <c r="AD106" s="73"/>
      <c r="AE106" s="71"/>
      <c r="AF106" s="72"/>
      <c r="AG106" s="72"/>
      <c r="AH106" s="72"/>
      <c r="AI106" s="72"/>
      <c r="AJ106" s="73"/>
      <c r="AK106" s="71"/>
      <c r="AL106" s="72"/>
      <c r="AM106" s="72"/>
      <c r="AN106" s="72"/>
      <c r="AO106" s="72"/>
      <c r="AP106" s="73"/>
      <c r="AQ106" s="71">
        <v>135</v>
      </c>
      <c r="AR106" s="72">
        <v>130</v>
      </c>
      <c r="AS106" s="72">
        <v>135</v>
      </c>
      <c r="AT106" s="72">
        <v>135</v>
      </c>
      <c r="AU106" s="72">
        <v>140</v>
      </c>
      <c r="AV106" s="73">
        <v>135</v>
      </c>
      <c r="AW106" s="75">
        <v>-0.97376189329919649</v>
      </c>
      <c r="AX106" s="76">
        <v>-1.9295333899228329</v>
      </c>
      <c r="AY106" s="76">
        <v>1.187112794719436</v>
      </c>
      <c r="AZ106" s="76">
        <v>-2.1373098022323234</v>
      </c>
      <c r="BA106" s="76">
        <v>0.56378355779098666</v>
      </c>
      <c r="BB106" s="77">
        <v>-2.5528626268512933</v>
      </c>
      <c r="BC106" s="65"/>
      <c r="BD106" s="78"/>
      <c r="BE106" s="78"/>
      <c r="BF106" s="78"/>
      <c r="BG106" s="78"/>
      <c r="BH106" s="70"/>
      <c r="BI106" s="65"/>
      <c r="BJ106" s="78"/>
      <c r="BK106" s="78"/>
      <c r="BL106" s="78"/>
      <c r="BM106" s="78"/>
      <c r="BN106" s="70"/>
      <c r="BO106" s="65"/>
      <c r="BP106" s="78"/>
      <c r="BQ106" s="78"/>
      <c r="BR106" s="78"/>
      <c r="BS106" s="78"/>
      <c r="BT106" s="70"/>
      <c r="BU106" s="65"/>
      <c r="BV106" s="78"/>
      <c r="BW106" s="78"/>
      <c r="BX106" s="78"/>
      <c r="BY106" s="78"/>
      <c r="BZ106" s="70"/>
      <c r="CA106" s="80"/>
      <c r="CB106" s="78"/>
      <c r="CC106" s="78"/>
      <c r="CD106" s="78"/>
      <c r="CE106" s="78"/>
      <c r="CF106" s="70"/>
    </row>
    <row r="107" spans="1:84" ht="12" customHeight="1">
      <c r="A107" s="2"/>
      <c r="B107" s="64">
        <v>95</v>
      </c>
      <c r="C107" s="65">
        <v>10</v>
      </c>
      <c r="D107" s="66" t="s">
        <v>8</v>
      </c>
      <c r="E107" s="69" t="s">
        <v>67</v>
      </c>
      <c r="F107" s="70" t="s">
        <v>81</v>
      </c>
      <c r="G107" s="71">
        <v>1506.7609756097563</v>
      </c>
      <c r="H107" s="72">
        <v>662.0341463414635</v>
      </c>
      <c r="I107" s="72">
        <v>844.72682926829282</v>
      </c>
      <c r="J107" s="72">
        <v>0</v>
      </c>
      <c r="K107" s="72"/>
      <c r="L107" s="73"/>
      <c r="M107" s="71">
        <v>3013.5219512195126</v>
      </c>
      <c r="N107" s="72">
        <v>1324.068292682927</v>
      </c>
      <c r="O107" s="72">
        <v>1689.4536585365856</v>
      </c>
      <c r="P107" s="72">
        <v>0</v>
      </c>
      <c r="Q107" s="72"/>
      <c r="R107" s="73"/>
      <c r="S107" s="71">
        <v>686</v>
      </c>
      <c r="T107" s="72">
        <v>665</v>
      </c>
      <c r="U107" s="72">
        <v>674</v>
      </c>
      <c r="V107" s="72">
        <v>692</v>
      </c>
      <c r="W107" s="72">
        <v>710</v>
      </c>
      <c r="X107" s="73">
        <v>689</v>
      </c>
      <c r="Y107" s="71">
        <v>873.2</v>
      </c>
      <c r="Z107" s="72">
        <v>852</v>
      </c>
      <c r="AA107" s="72">
        <v>901</v>
      </c>
      <c r="AB107" s="72">
        <v>888</v>
      </c>
      <c r="AC107" s="72">
        <v>820</v>
      </c>
      <c r="AD107" s="73">
        <v>905</v>
      </c>
      <c r="AE107" s="71"/>
      <c r="AF107" s="72"/>
      <c r="AG107" s="72"/>
      <c r="AH107" s="72"/>
      <c r="AI107" s="72"/>
      <c r="AJ107" s="73"/>
      <c r="AK107" s="71"/>
      <c r="AL107" s="72"/>
      <c r="AM107" s="72"/>
      <c r="AN107" s="72"/>
      <c r="AO107" s="72"/>
      <c r="AP107" s="73"/>
      <c r="AQ107" s="71"/>
      <c r="AR107" s="72"/>
      <c r="AS107" s="72"/>
      <c r="AT107" s="72"/>
      <c r="AU107" s="72"/>
      <c r="AV107" s="73"/>
      <c r="AW107" s="75">
        <v>3.4802483764236447</v>
      </c>
      <c r="AX107" s="76">
        <v>0.67953872949888527</v>
      </c>
      <c r="AY107" s="76">
        <v>4.5288553058409731</v>
      </c>
      <c r="AZ107" s="76">
        <v>4.8606929417325251</v>
      </c>
      <c r="BA107" s="76">
        <v>1.5423165828169383</v>
      </c>
      <c r="BB107" s="77">
        <v>5.7898383222289018</v>
      </c>
      <c r="BC107" s="65"/>
      <c r="BD107" s="78"/>
      <c r="BE107" s="78"/>
      <c r="BF107" s="78"/>
      <c r="BG107" s="78"/>
      <c r="BH107" s="70"/>
      <c r="BI107" s="65"/>
      <c r="BJ107" s="78"/>
      <c r="BK107" s="78"/>
      <c r="BL107" s="78"/>
      <c r="BM107" s="78"/>
      <c r="BN107" s="70"/>
      <c r="BO107" s="65"/>
      <c r="BP107" s="78"/>
      <c r="BQ107" s="78"/>
      <c r="BR107" s="78"/>
      <c r="BS107" s="78"/>
      <c r="BT107" s="70"/>
      <c r="BU107" s="65"/>
      <c r="BV107" s="78"/>
      <c r="BW107" s="78"/>
      <c r="BX107" s="78"/>
      <c r="BY107" s="78"/>
      <c r="BZ107" s="70"/>
      <c r="CA107" s="110"/>
      <c r="CB107" s="76"/>
      <c r="CC107" s="76"/>
      <c r="CD107" s="76"/>
      <c r="CE107" s="76"/>
      <c r="CF107" s="77"/>
    </row>
    <row r="108" spans="1:84" ht="12" customHeight="1">
      <c r="A108" s="2"/>
      <c r="B108" s="64">
        <v>96</v>
      </c>
      <c r="C108" s="65">
        <v>10</v>
      </c>
      <c r="D108" s="66" t="s">
        <v>8</v>
      </c>
      <c r="E108" s="69" t="s">
        <v>148</v>
      </c>
      <c r="F108" s="70" t="s">
        <v>81</v>
      </c>
      <c r="G108" s="71">
        <v>1808.1131707317074</v>
      </c>
      <c r="H108" s="72">
        <v>794.44097560975615</v>
      </c>
      <c r="I108" s="72">
        <v>1013.6721951219513</v>
      </c>
      <c r="J108" s="72">
        <v>0</v>
      </c>
      <c r="K108" s="72"/>
      <c r="L108" s="73"/>
      <c r="M108" s="71">
        <v>3616.2263414634144</v>
      </c>
      <c r="N108" s="72">
        <v>1588.8819512195123</v>
      </c>
      <c r="O108" s="72">
        <v>2027.3443902439024</v>
      </c>
      <c r="P108" s="72">
        <v>0</v>
      </c>
      <c r="Q108" s="72"/>
      <c r="R108" s="73"/>
      <c r="S108" s="71">
        <v>807.6</v>
      </c>
      <c r="T108" s="72">
        <v>765</v>
      </c>
      <c r="U108" s="72">
        <v>818</v>
      </c>
      <c r="V108" s="72">
        <v>825</v>
      </c>
      <c r="W108" s="72">
        <v>828</v>
      </c>
      <c r="X108" s="73">
        <v>802</v>
      </c>
      <c r="Y108" s="71">
        <v>1011.4</v>
      </c>
      <c r="Z108" s="72">
        <v>991</v>
      </c>
      <c r="AA108" s="72">
        <v>1002</v>
      </c>
      <c r="AB108" s="72">
        <v>1012</v>
      </c>
      <c r="AC108" s="72">
        <v>1044</v>
      </c>
      <c r="AD108" s="73">
        <v>1008</v>
      </c>
      <c r="AE108" s="71"/>
      <c r="AF108" s="72"/>
      <c r="AG108" s="72"/>
      <c r="AH108" s="72"/>
      <c r="AI108" s="72"/>
      <c r="AJ108" s="73"/>
      <c r="AK108" s="71"/>
      <c r="AL108" s="72"/>
      <c r="AM108" s="72"/>
      <c r="AN108" s="72"/>
      <c r="AO108" s="72"/>
      <c r="AP108" s="73"/>
      <c r="AQ108" s="71"/>
      <c r="AR108" s="72"/>
      <c r="AS108" s="72"/>
      <c r="AT108" s="72"/>
      <c r="AU108" s="72"/>
      <c r="AV108" s="73"/>
      <c r="AW108" s="75">
        <v>0.60210994779086313</v>
      </c>
      <c r="AX108" s="76">
        <v>-2.8821852290704997</v>
      </c>
      <c r="AY108" s="76">
        <v>0.65741622043946624</v>
      </c>
      <c r="AZ108" s="76">
        <v>1.5976228554655414</v>
      </c>
      <c r="BA108" s="76">
        <v>3.533342398166317</v>
      </c>
      <c r="BB108" s="77">
        <v>0.104353493953524</v>
      </c>
      <c r="BC108" s="65"/>
      <c r="BD108" s="78"/>
      <c r="BE108" s="78"/>
      <c r="BF108" s="78"/>
      <c r="BG108" s="78"/>
      <c r="BH108" s="70"/>
      <c r="BI108" s="65"/>
      <c r="BJ108" s="78"/>
      <c r="BK108" s="78"/>
      <c r="BL108" s="78"/>
      <c r="BM108" s="78"/>
      <c r="BN108" s="70"/>
      <c r="BO108" s="65"/>
      <c r="BP108" s="78"/>
      <c r="BQ108" s="78"/>
      <c r="BR108" s="78"/>
      <c r="BS108" s="78"/>
      <c r="BT108" s="70"/>
      <c r="BU108" s="65"/>
      <c r="BV108" s="78"/>
      <c r="BW108" s="78"/>
      <c r="BX108" s="78"/>
      <c r="BY108" s="78"/>
      <c r="BZ108" s="70"/>
      <c r="CA108" s="110"/>
      <c r="CB108" s="76"/>
      <c r="CC108" s="76"/>
      <c r="CD108" s="76"/>
      <c r="CE108" s="76"/>
      <c r="CF108" s="77"/>
    </row>
    <row r="109" spans="1:84" ht="12" customHeight="1">
      <c r="A109" s="2"/>
      <c r="B109" s="64">
        <v>97</v>
      </c>
      <c r="C109" s="65">
        <v>10</v>
      </c>
      <c r="D109" s="66" t="s">
        <v>8</v>
      </c>
      <c r="E109" s="69" t="s">
        <v>136</v>
      </c>
      <c r="F109" s="70" t="s">
        <v>81</v>
      </c>
      <c r="G109" s="71">
        <v>1506.7609756097563</v>
      </c>
      <c r="H109" s="72">
        <v>662.0341463414635</v>
      </c>
      <c r="I109" s="72">
        <v>844.72682926829282</v>
      </c>
      <c r="J109" s="72">
        <v>0</v>
      </c>
      <c r="K109" s="72"/>
      <c r="L109" s="73"/>
      <c r="M109" s="71">
        <v>3013.5219512195126</v>
      </c>
      <c r="N109" s="72">
        <v>1324.068292682927</v>
      </c>
      <c r="O109" s="72">
        <v>1689.4536585365856</v>
      </c>
      <c r="P109" s="72">
        <v>0</v>
      </c>
      <c r="Q109" s="72"/>
      <c r="R109" s="73"/>
      <c r="S109" s="71">
        <v>686</v>
      </c>
      <c r="T109" s="72">
        <v>665</v>
      </c>
      <c r="U109" s="72">
        <v>674</v>
      </c>
      <c r="V109" s="72">
        <v>692</v>
      </c>
      <c r="W109" s="72">
        <v>710</v>
      </c>
      <c r="X109" s="73">
        <v>689</v>
      </c>
      <c r="Y109" s="71">
        <v>873.2</v>
      </c>
      <c r="Z109" s="72">
        <v>852</v>
      </c>
      <c r="AA109" s="72">
        <v>901</v>
      </c>
      <c r="AB109" s="72">
        <v>888</v>
      </c>
      <c r="AC109" s="72">
        <v>820</v>
      </c>
      <c r="AD109" s="73">
        <v>905</v>
      </c>
      <c r="AE109" s="71"/>
      <c r="AF109" s="72"/>
      <c r="AG109" s="72"/>
      <c r="AH109" s="72"/>
      <c r="AI109" s="72"/>
      <c r="AJ109" s="73"/>
      <c r="AK109" s="71"/>
      <c r="AL109" s="72"/>
      <c r="AM109" s="72"/>
      <c r="AN109" s="72"/>
      <c r="AO109" s="72"/>
      <c r="AP109" s="73"/>
      <c r="AQ109" s="71"/>
      <c r="AR109" s="72"/>
      <c r="AS109" s="72"/>
      <c r="AT109" s="72"/>
      <c r="AU109" s="72"/>
      <c r="AV109" s="73"/>
      <c r="AW109" s="75">
        <v>3.4802483764236447</v>
      </c>
      <c r="AX109" s="76">
        <v>0.67953872949888527</v>
      </c>
      <c r="AY109" s="76">
        <v>4.5288553058409731</v>
      </c>
      <c r="AZ109" s="76">
        <v>4.8606929417325251</v>
      </c>
      <c r="BA109" s="76">
        <v>1.5423165828169383</v>
      </c>
      <c r="BB109" s="77">
        <v>5.7898383222289018</v>
      </c>
      <c r="BC109" s="65"/>
      <c r="BD109" s="78"/>
      <c r="BE109" s="78"/>
      <c r="BF109" s="78"/>
      <c r="BG109" s="78"/>
      <c r="BH109" s="70"/>
      <c r="BI109" s="65"/>
      <c r="BJ109" s="78"/>
      <c r="BK109" s="78"/>
      <c r="BL109" s="78"/>
      <c r="BM109" s="78"/>
      <c r="BN109" s="70"/>
      <c r="BO109" s="65"/>
      <c r="BP109" s="78"/>
      <c r="BQ109" s="78"/>
      <c r="BR109" s="78"/>
      <c r="BS109" s="78"/>
      <c r="BT109" s="70"/>
      <c r="BU109" s="65"/>
      <c r="BV109" s="78"/>
      <c r="BW109" s="78"/>
      <c r="BX109" s="78"/>
      <c r="BY109" s="78"/>
      <c r="BZ109" s="70"/>
      <c r="CA109" s="110"/>
      <c r="CB109" s="76"/>
      <c r="CC109" s="76"/>
      <c r="CD109" s="76"/>
      <c r="CE109" s="76"/>
      <c r="CF109" s="77"/>
    </row>
    <row r="110" spans="1:84" ht="12" customHeight="1">
      <c r="A110" s="2"/>
      <c r="B110" s="64">
        <v>98</v>
      </c>
      <c r="C110" s="65">
        <v>10</v>
      </c>
      <c r="D110" s="66" t="s">
        <v>8</v>
      </c>
      <c r="E110" s="69" t="s">
        <v>91</v>
      </c>
      <c r="F110" s="70" t="s">
        <v>81</v>
      </c>
      <c r="G110" s="71">
        <v>1506.7609756097563</v>
      </c>
      <c r="H110" s="72">
        <v>662.0341463414635</v>
      </c>
      <c r="I110" s="72">
        <v>844.72682926829282</v>
      </c>
      <c r="J110" s="72">
        <v>0</v>
      </c>
      <c r="K110" s="72"/>
      <c r="L110" s="73"/>
      <c r="M110" s="71">
        <v>3418.9908292682931</v>
      </c>
      <c r="N110" s="72">
        <v>1324.068292682927</v>
      </c>
      <c r="O110" s="72">
        <v>2094.9225365853663</v>
      </c>
      <c r="P110" s="72">
        <v>0</v>
      </c>
      <c r="Q110" s="72"/>
      <c r="R110" s="73"/>
      <c r="S110" s="71">
        <v>669.2</v>
      </c>
      <c r="T110" s="72">
        <v>669</v>
      </c>
      <c r="U110" s="72">
        <v>700</v>
      </c>
      <c r="V110" s="72">
        <v>649</v>
      </c>
      <c r="W110" s="72">
        <v>669</v>
      </c>
      <c r="X110" s="73">
        <v>659</v>
      </c>
      <c r="Y110" s="71">
        <v>851.8</v>
      </c>
      <c r="Z110" s="72">
        <v>860</v>
      </c>
      <c r="AA110" s="72">
        <v>810</v>
      </c>
      <c r="AB110" s="72">
        <v>880</v>
      </c>
      <c r="AC110" s="72">
        <v>864</v>
      </c>
      <c r="AD110" s="73">
        <v>845</v>
      </c>
      <c r="AE110" s="71"/>
      <c r="AF110" s="72"/>
      <c r="AG110" s="72"/>
      <c r="AH110" s="72"/>
      <c r="AI110" s="72"/>
      <c r="AJ110" s="73"/>
      <c r="AK110" s="71"/>
      <c r="AL110" s="72"/>
      <c r="AM110" s="72"/>
      <c r="AN110" s="72"/>
      <c r="AO110" s="72"/>
      <c r="AP110" s="73"/>
      <c r="AQ110" s="71"/>
      <c r="AR110" s="72"/>
      <c r="AS110" s="72"/>
      <c r="AT110" s="72"/>
      <c r="AU110" s="72"/>
      <c r="AV110" s="73"/>
      <c r="AW110" s="75">
        <v>0.94500883821213577</v>
      </c>
      <c r="AX110" s="76">
        <v>1.4759490556386368</v>
      </c>
      <c r="AY110" s="76">
        <v>0.21496603925070801</v>
      </c>
      <c r="AZ110" s="76">
        <v>1.4759490556386368</v>
      </c>
      <c r="BA110" s="76">
        <v>1.7414191643518873</v>
      </c>
      <c r="BB110" s="77">
        <v>-0.18323912381915664</v>
      </c>
      <c r="BC110" s="71">
        <v>1323</v>
      </c>
      <c r="BD110" s="72">
        <v>1284</v>
      </c>
      <c r="BE110" s="72">
        <v>1284</v>
      </c>
      <c r="BF110" s="72">
        <v>1291</v>
      </c>
      <c r="BG110" s="72">
        <v>1426</v>
      </c>
      <c r="BH110" s="73">
        <v>1330</v>
      </c>
      <c r="BI110" s="71">
        <v>2137.6</v>
      </c>
      <c r="BJ110" s="72">
        <v>2173</v>
      </c>
      <c r="BK110" s="72">
        <v>2098</v>
      </c>
      <c r="BL110" s="72">
        <v>2172</v>
      </c>
      <c r="BM110" s="72">
        <v>2156</v>
      </c>
      <c r="BN110" s="73">
        <v>2089</v>
      </c>
      <c r="BO110" s="71"/>
      <c r="BP110" s="72"/>
      <c r="BQ110" s="72"/>
      <c r="BR110" s="72"/>
      <c r="BS110" s="72"/>
      <c r="BT110" s="73"/>
      <c r="BU110" s="65"/>
      <c r="BV110" s="78"/>
      <c r="BW110" s="78"/>
      <c r="BX110" s="78"/>
      <c r="BY110" s="78"/>
      <c r="BZ110" s="70"/>
      <c r="CA110" s="110">
        <v>1.2170015308468063</v>
      </c>
      <c r="CB110" s="76">
        <v>1.1117073028195756</v>
      </c>
      <c r="CC110" s="76">
        <v>-1.0819224477478184</v>
      </c>
      <c r="CD110" s="76">
        <v>1.2871976828649601</v>
      </c>
      <c r="CE110" s="76">
        <v>4.767756887098562</v>
      </c>
      <c r="CF110" s="77">
        <v>2.6822919876323681E-4</v>
      </c>
    </row>
    <row r="111" spans="1:84" ht="12" customHeight="1">
      <c r="A111" s="2"/>
      <c r="B111" s="64">
        <v>99</v>
      </c>
      <c r="C111" s="65">
        <v>10</v>
      </c>
      <c r="D111" s="66" t="s">
        <v>8</v>
      </c>
      <c r="E111" s="69" t="s">
        <v>144</v>
      </c>
      <c r="F111" s="70" t="s">
        <v>81</v>
      </c>
      <c r="G111" s="71">
        <v>2351.4878048780492</v>
      </c>
      <c r="H111" s="72">
        <v>662.0341463414635</v>
      </c>
      <c r="I111" s="72">
        <v>844.72682926829282</v>
      </c>
      <c r="J111" s="72">
        <v>844.72682926829282</v>
      </c>
      <c r="K111" s="72"/>
      <c r="L111" s="73"/>
      <c r="M111" s="71">
        <v>4702.9756097560985</v>
      </c>
      <c r="N111" s="72">
        <v>1324.068292682927</v>
      </c>
      <c r="O111" s="72">
        <v>1689.4536585365856</v>
      </c>
      <c r="P111" s="72">
        <v>1689.4536585365856</v>
      </c>
      <c r="Q111" s="72"/>
      <c r="R111" s="73"/>
      <c r="S111" s="71">
        <v>670.2</v>
      </c>
      <c r="T111" s="72">
        <v>710</v>
      </c>
      <c r="U111" s="72">
        <v>669</v>
      </c>
      <c r="V111" s="72">
        <v>626</v>
      </c>
      <c r="W111" s="72">
        <v>633</v>
      </c>
      <c r="X111" s="73">
        <v>713</v>
      </c>
      <c r="Y111" s="71">
        <v>863.2</v>
      </c>
      <c r="Z111" s="72">
        <v>887</v>
      </c>
      <c r="AA111" s="72">
        <v>862</v>
      </c>
      <c r="AB111" s="72">
        <v>894</v>
      </c>
      <c r="AC111" s="72">
        <v>806</v>
      </c>
      <c r="AD111" s="73">
        <v>867</v>
      </c>
      <c r="AE111" s="71">
        <v>817</v>
      </c>
      <c r="AF111" s="72">
        <v>804</v>
      </c>
      <c r="AG111" s="72">
        <v>858</v>
      </c>
      <c r="AH111" s="72">
        <v>803</v>
      </c>
      <c r="AI111" s="72">
        <v>805</v>
      </c>
      <c r="AJ111" s="73">
        <v>815</v>
      </c>
      <c r="AK111" s="71"/>
      <c r="AL111" s="72"/>
      <c r="AM111" s="72"/>
      <c r="AN111" s="72"/>
      <c r="AO111" s="72"/>
      <c r="AP111" s="73"/>
      <c r="AQ111" s="71"/>
      <c r="AR111" s="72"/>
      <c r="AS111" s="72"/>
      <c r="AT111" s="72"/>
      <c r="AU111" s="72"/>
      <c r="AV111" s="73"/>
      <c r="AW111" s="75">
        <v>-4.6260281503163192E-2</v>
      </c>
      <c r="AX111" s="76">
        <v>2.1055688666230754</v>
      </c>
      <c r="AY111" s="76">
        <v>1.5952536536287143</v>
      </c>
      <c r="AZ111" s="76">
        <v>-1.2114800178403051</v>
      </c>
      <c r="BA111" s="76">
        <v>-4.5710551700532287</v>
      </c>
      <c r="BB111" s="77">
        <v>1.850411260125906</v>
      </c>
      <c r="BC111" s="71"/>
      <c r="BD111" s="72"/>
      <c r="BE111" s="72"/>
      <c r="BF111" s="72"/>
      <c r="BG111" s="72"/>
      <c r="BH111" s="73"/>
      <c r="BI111" s="71"/>
      <c r="BJ111" s="72"/>
      <c r="BK111" s="72"/>
      <c r="BL111" s="72"/>
      <c r="BM111" s="72"/>
      <c r="BN111" s="73"/>
      <c r="BO111" s="71"/>
      <c r="BP111" s="72"/>
      <c r="BQ111" s="72"/>
      <c r="BR111" s="72"/>
      <c r="BS111" s="72"/>
      <c r="BT111" s="73"/>
      <c r="BU111" s="65"/>
      <c r="BV111" s="78"/>
      <c r="BW111" s="78"/>
      <c r="BX111" s="78"/>
      <c r="BY111" s="78"/>
      <c r="BZ111" s="70"/>
      <c r="CA111" s="110"/>
      <c r="CB111" s="76"/>
      <c r="CC111" s="76"/>
      <c r="CD111" s="76"/>
      <c r="CE111" s="76"/>
      <c r="CF111" s="77"/>
    </row>
    <row r="112" spans="1:84" ht="12" customHeight="1">
      <c r="A112" s="2"/>
      <c r="B112" s="64">
        <v>100</v>
      </c>
      <c r="C112" s="65">
        <v>10</v>
      </c>
      <c r="D112" s="66" t="s">
        <v>8</v>
      </c>
      <c r="E112" s="69" t="s">
        <v>92</v>
      </c>
      <c r="F112" s="70" t="s">
        <v>81</v>
      </c>
      <c r="G112" s="71">
        <v>1808.1131707317074</v>
      </c>
      <c r="H112" s="72">
        <v>794.44097560975615</v>
      </c>
      <c r="I112" s="72">
        <v>1013.6721951219513</v>
      </c>
      <c r="J112" s="72">
        <v>0</v>
      </c>
      <c r="K112" s="72"/>
      <c r="L112" s="73"/>
      <c r="M112" s="71">
        <v>4520.2829268292689</v>
      </c>
      <c r="N112" s="72">
        <v>1986.1024390243904</v>
      </c>
      <c r="O112" s="72">
        <v>2534.1804878048783</v>
      </c>
      <c r="P112" s="72">
        <v>0</v>
      </c>
      <c r="Q112" s="72"/>
      <c r="R112" s="73"/>
      <c r="S112" s="71">
        <v>794.6</v>
      </c>
      <c r="T112" s="72">
        <v>786</v>
      </c>
      <c r="U112" s="72">
        <v>802</v>
      </c>
      <c r="V112" s="72">
        <v>772</v>
      </c>
      <c r="W112" s="72">
        <v>801</v>
      </c>
      <c r="X112" s="73">
        <v>812</v>
      </c>
      <c r="Y112" s="71">
        <v>1008.6</v>
      </c>
      <c r="Z112" s="72">
        <v>1006</v>
      </c>
      <c r="AA112" s="72">
        <v>1007</v>
      </c>
      <c r="AB112" s="72">
        <v>1056</v>
      </c>
      <c r="AC112" s="72">
        <v>969</v>
      </c>
      <c r="AD112" s="73">
        <v>1005</v>
      </c>
      <c r="AE112" s="71"/>
      <c r="AF112" s="72"/>
      <c r="AG112" s="72"/>
      <c r="AH112" s="72"/>
      <c r="AI112" s="72"/>
      <c r="AJ112" s="73"/>
      <c r="AK112" s="71"/>
      <c r="AL112" s="72"/>
      <c r="AM112" s="72"/>
      <c r="AN112" s="72"/>
      <c r="AO112" s="72"/>
      <c r="AP112" s="73"/>
      <c r="AQ112" s="71"/>
      <c r="AR112" s="72"/>
      <c r="AS112" s="72"/>
      <c r="AT112" s="72"/>
      <c r="AU112" s="72"/>
      <c r="AV112" s="73"/>
      <c r="AW112" s="75">
        <v>-0.2717291600568994</v>
      </c>
      <c r="AX112" s="76">
        <v>-0.89115941372114316</v>
      </c>
      <c r="AY112" s="76">
        <v>4.9047221304943101E-2</v>
      </c>
      <c r="AZ112" s="76">
        <v>1.0998664016282023</v>
      </c>
      <c r="BA112" s="76">
        <v>-2.1078974119901894</v>
      </c>
      <c r="BB112" s="77">
        <v>0.49149740249367913</v>
      </c>
      <c r="BC112" s="71">
        <v>2022.4</v>
      </c>
      <c r="BD112" s="72">
        <v>2032</v>
      </c>
      <c r="BE112" s="72">
        <v>1894</v>
      </c>
      <c r="BF112" s="72">
        <v>2067</v>
      </c>
      <c r="BG112" s="72">
        <v>2052</v>
      </c>
      <c r="BH112" s="73">
        <v>2067</v>
      </c>
      <c r="BI112" s="71">
        <v>2546.8000000000002</v>
      </c>
      <c r="BJ112" s="72">
        <v>2524</v>
      </c>
      <c r="BK112" s="72">
        <v>2638</v>
      </c>
      <c r="BL112" s="72">
        <v>2572</v>
      </c>
      <c r="BM112" s="72">
        <v>2440</v>
      </c>
      <c r="BN112" s="73">
        <v>2560</v>
      </c>
      <c r="BO112" s="71"/>
      <c r="BP112" s="72"/>
      <c r="BQ112" s="72"/>
      <c r="BR112" s="72"/>
      <c r="BS112" s="72"/>
      <c r="BT112" s="73"/>
      <c r="BU112" s="65"/>
      <c r="BV112" s="78"/>
      <c r="BW112" s="78"/>
      <c r="BX112" s="78"/>
      <c r="BY112" s="78"/>
      <c r="BZ112" s="70"/>
      <c r="CA112" s="110">
        <v>1.082168394380667</v>
      </c>
      <c r="CB112" s="76">
        <v>0.79015127479609149</v>
      </c>
      <c r="CC112" s="76">
        <v>0.25921105736959049</v>
      </c>
      <c r="CD112" s="76">
        <v>2.6263195267293815</v>
      </c>
      <c r="CE112" s="76">
        <v>-0.62568930500790376</v>
      </c>
      <c r="CF112" s="77">
        <v>2.360849418016131</v>
      </c>
    </row>
    <row r="113" spans="1:84" ht="12" customHeight="1">
      <c r="A113" s="2"/>
      <c r="B113" s="64">
        <v>101</v>
      </c>
      <c r="C113" s="65">
        <v>10</v>
      </c>
      <c r="D113" s="66" t="s">
        <v>8</v>
      </c>
      <c r="E113" s="69" t="s">
        <v>138</v>
      </c>
      <c r="F113" s="70" t="s">
        <v>81</v>
      </c>
      <c r="G113" s="71">
        <v>2351.4878048780492</v>
      </c>
      <c r="H113" s="72">
        <v>662.0341463414635</v>
      </c>
      <c r="I113" s="72">
        <v>844.72682926829282</v>
      </c>
      <c r="J113" s="72">
        <v>844.72682926829282</v>
      </c>
      <c r="K113" s="72"/>
      <c r="L113" s="73"/>
      <c r="M113" s="71">
        <v>4702.9756097560985</v>
      </c>
      <c r="N113" s="72">
        <v>1324.068292682927</v>
      </c>
      <c r="O113" s="72">
        <v>1689.4536585365856</v>
      </c>
      <c r="P113" s="72">
        <v>1689.4536585365856</v>
      </c>
      <c r="Q113" s="72"/>
      <c r="R113" s="73"/>
      <c r="S113" s="71">
        <v>670.2</v>
      </c>
      <c r="T113" s="72">
        <v>710</v>
      </c>
      <c r="U113" s="72">
        <v>669</v>
      </c>
      <c r="V113" s="72">
        <v>626</v>
      </c>
      <c r="W113" s="72">
        <v>633</v>
      </c>
      <c r="X113" s="73">
        <v>713</v>
      </c>
      <c r="Y113" s="71">
        <v>863.2</v>
      </c>
      <c r="Z113" s="72">
        <v>887</v>
      </c>
      <c r="AA113" s="72">
        <v>862</v>
      </c>
      <c r="AB113" s="72">
        <v>894</v>
      </c>
      <c r="AC113" s="72">
        <v>806</v>
      </c>
      <c r="AD113" s="73">
        <v>867</v>
      </c>
      <c r="AE113" s="71">
        <v>817</v>
      </c>
      <c r="AF113" s="72">
        <v>804</v>
      </c>
      <c r="AG113" s="72">
        <v>858</v>
      </c>
      <c r="AH113" s="72">
        <v>803</v>
      </c>
      <c r="AI113" s="72">
        <v>805</v>
      </c>
      <c r="AJ113" s="73">
        <v>815</v>
      </c>
      <c r="AK113" s="71"/>
      <c r="AL113" s="72"/>
      <c r="AM113" s="72"/>
      <c r="AN113" s="72"/>
      <c r="AO113" s="72"/>
      <c r="AP113" s="73"/>
      <c r="AQ113" s="71"/>
      <c r="AR113" s="72"/>
      <c r="AS113" s="72"/>
      <c r="AT113" s="72"/>
      <c r="AU113" s="72"/>
      <c r="AV113" s="73"/>
      <c r="AW113" s="75">
        <v>-4.6260281503163192E-2</v>
      </c>
      <c r="AX113" s="76">
        <v>2.1055688666230754</v>
      </c>
      <c r="AY113" s="76">
        <v>1.5952536536287143</v>
      </c>
      <c r="AZ113" s="76">
        <v>-1.2114800178403051</v>
      </c>
      <c r="BA113" s="76">
        <v>-4.5710551700532287</v>
      </c>
      <c r="BB113" s="77">
        <v>1.850411260125906</v>
      </c>
      <c r="BC113" s="71"/>
      <c r="BD113" s="72"/>
      <c r="BE113" s="72"/>
      <c r="BF113" s="72"/>
      <c r="BG113" s="72"/>
      <c r="BH113" s="73"/>
      <c r="BI113" s="71"/>
      <c r="BJ113" s="72"/>
      <c r="BK113" s="72"/>
      <c r="BL113" s="72"/>
      <c r="BM113" s="72"/>
      <c r="BN113" s="73"/>
      <c r="BO113" s="71"/>
      <c r="BP113" s="72"/>
      <c r="BQ113" s="72"/>
      <c r="BR113" s="72"/>
      <c r="BS113" s="72"/>
      <c r="BT113" s="73"/>
      <c r="BU113" s="65"/>
      <c r="BV113" s="78"/>
      <c r="BW113" s="78"/>
      <c r="BX113" s="78"/>
      <c r="BY113" s="78"/>
      <c r="BZ113" s="70"/>
      <c r="CA113" s="110"/>
      <c r="CB113" s="76"/>
      <c r="CC113" s="76"/>
      <c r="CD113" s="76"/>
      <c r="CE113" s="76"/>
      <c r="CF113" s="77"/>
    </row>
    <row r="114" spans="1:84" ht="12" customHeight="1">
      <c r="A114" s="2"/>
      <c r="B114" s="64">
        <v>102</v>
      </c>
      <c r="C114" s="65">
        <v>10</v>
      </c>
      <c r="D114" s="66" t="s">
        <v>8</v>
      </c>
      <c r="E114" s="69" t="s">
        <v>139</v>
      </c>
      <c r="F114" s="70" t="s">
        <v>81</v>
      </c>
      <c r="G114" s="71">
        <v>1808.1131707317074</v>
      </c>
      <c r="H114" s="72">
        <v>794.44097560975615</v>
      </c>
      <c r="I114" s="72">
        <v>1013.6721951219513</v>
      </c>
      <c r="J114" s="72">
        <v>0</v>
      </c>
      <c r="K114" s="72"/>
      <c r="L114" s="73"/>
      <c r="M114" s="71">
        <v>4520.2829268292689</v>
      </c>
      <c r="N114" s="72">
        <v>1986.1024390243904</v>
      </c>
      <c r="O114" s="72">
        <v>2534.1804878048783</v>
      </c>
      <c r="P114" s="72">
        <v>0</v>
      </c>
      <c r="Q114" s="72"/>
      <c r="R114" s="73"/>
      <c r="S114" s="71">
        <v>794.6</v>
      </c>
      <c r="T114" s="72">
        <v>786</v>
      </c>
      <c r="U114" s="72">
        <v>802</v>
      </c>
      <c r="V114" s="72">
        <v>772</v>
      </c>
      <c r="W114" s="72">
        <v>801</v>
      </c>
      <c r="X114" s="73">
        <v>812</v>
      </c>
      <c r="Y114" s="71">
        <v>1008.6</v>
      </c>
      <c r="Z114" s="72">
        <v>1006</v>
      </c>
      <c r="AA114" s="72">
        <v>1007</v>
      </c>
      <c r="AB114" s="72">
        <v>1056</v>
      </c>
      <c r="AC114" s="72">
        <v>969</v>
      </c>
      <c r="AD114" s="73">
        <v>1005</v>
      </c>
      <c r="AE114" s="71"/>
      <c r="AF114" s="72"/>
      <c r="AG114" s="72"/>
      <c r="AH114" s="72"/>
      <c r="AI114" s="72"/>
      <c r="AJ114" s="73"/>
      <c r="AK114" s="71"/>
      <c r="AL114" s="72"/>
      <c r="AM114" s="72"/>
      <c r="AN114" s="72"/>
      <c r="AO114" s="72"/>
      <c r="AP114" s="73"/>
      <c r="AQ114" s="71"/>
      <c r="AR114" s="72"/>
      <c r="AS114" s="72"/>
      <c r="AT114" s="72"/>
      <c r="AU114" s="72"/>
      <c r="AV114" s="73"/>
      <c r="AW114" s="75">
        <v>-0.2717291600568994</v>
      </c>
      <c r="AX114" s="76">
        <v>-0.89115941372114316</v>
      </c>
      <c r="AY114" s="76">
        <v>4.9047221304943101E-2</v>
      </c>
      <c r="AZ114" s="76">
        <v>1.0998664016282023</v>
      </c>
      <c r="BA114" s="76">
        <v>-2.1078974119901894</v>
      </c>
      <c r="BB114" s="77">
        <v>0.49149740249367913</v>
      </c>
      <c r="BC114" s="71">
        <v>2022.4</v>
      </c>
      <c r="BD114" s="72">
        <v>2032</v>
      </c>
      <c r="BE114" s="72">
        <v>1894</v>
      </c>
      <c r="BF114" s="72">
        <v>2067</v>
      </c>
      <c r="BG114" s="72">
        <v>2052</v>
      </c>
      <c r="BH114" s="73">
        <v>2067</v>
      </c>
      <c r="BI114" s="71">
        <v>2546.8000000000002</v>
      </c>
      <c r="BJ114" s="72">
        <v>2524</v>
      </c>
      <c r="BK114" s="72">
        <v>2638</v>
      </c>
      <c r="BL114" s="72">
        <v>2572</v>
      </c>
      <c r="BM114" s="72">
        <v>2440</v>
      </c>
      <c r="BN114" s="73">
        <v>2560</v>
      </c>
      <c r="BO114" s="71"/>
      <c r="BP114" s="72"/>
      <c r="BQ114" s="72"/>
      <c r="BR114" s="72"/>
      <c r="BS114" s="72"/>
      <c r="BT114" s="73"/>
      <c r="BU114" s="65"/>
      <c r="BV114" s="78"/>
      <c r="BW114" s="78"/>
      <c r="BX114" s="78"/>
      <c r="BY114" s="78"/>
      <c r="BZ114" s="70"/>
      <c r="CA114" s="110">
        <v>1.082168394380667</v>
      </c>
      <c r="CB114" s="76">
        <v>0.79015127479609149</v>
      </c>
      <c r="CC114" s="76">
        <v>0.25921105736959049</v>
      </c>
      <c r="CD114" s="76">
        <v>2.6263195267293815</v>
      </c>
      <c r="CE114" s="76">
        <v>-0.62568930500790376</v>
      </c>
      <c r="CF114" s="77">
        <v>2.360849418016131</v>
      </c>
    </row>
    <row r="115" spans="1:84" ht="12" customHeight="1">
      <c r="A115" s="2"/>
      <c r="B115" s="64">
        <v>103</v>
      </c>
      <c r="C115" s="65">
        <v>10</v>
      </c>
      <c r="D115" s="66" t="s">
        <v>8</v>
      </c>
      <c r="E115" s="69" t="s">
        <v>141</v>
      </c>
      <c r="F115" s="70" t="s">
        <v>81</v>
      </c>
      <c r="G115" s="71">
        <v>2351.4878048780492</v>
      </c>
      <c r="H115" s="72">
        <v>662.0341463414635</v>
      </c>
      <c r="I115" s="72">
        <v>844.72682926829282</v>
      </c>
      <c r="J115" s="72">
        <v>844.72682926829282</v>
      </c>
      <c r="K115" s="72"/>
      <c r="L115" s="73"/>
      <c r="M115" s="71">
        <v>5513.9133658536593</v>
      </c>
      <c r="N115" s="72">
        <v>1324.068292682927</v>
      </c>
      <c r="O115" s="72">
        <v>2094.9225365853663</v>
      </c>
      <c r="P115" s="72">
        <v>2094.9225365853663</v>
      </c>
      <c r="Q115" s="72"/>
      <c r="R115" s="73"/>
      <c r="S115" s="71">
        <v>679.4</v>
      </c>
      <c r="T115" s="72">
        <v>706</v>
      </c>
      <c r="U115" s="72">
        <v>670</v>
      </c>
      <c r="V115" s="72">
        <v>662</v>
      </c>
      <c r="W115" s="72">
        <v>664</v>
      </c>
      <c r="X115" s="73">
        <v>695</v>
      </c>
      <c r="Y115" s="71">
        <v>833.8</v>
      </c>
      <c r="Z115" s="72">
        <v>832</v>
      </c>
      <c r="AA115" s="72">
        <v>851</v>
      </c>
      <c r="AB115" s="72">
        <v>838</v>
      </c>
      <c r="AC115" s="72">
        <v>844</v>
      </c>
      <c r="AD115" s="73">
        <v>804</v>
      </c>
      <c r="AE115" s="71">
        <v>844.6</v>
      </c>
      <c r="AF115" s="72">
        <v>867</v>
      </c>
      <c r="AG115" s="72">
        <v>884</v>
      </c>
      <c r="AH115" s="72">
        <v>826</v>
      </c>
      <c r="AI115" s="72">
        <v>831</v>
      </c>
      <c r="AJ115" s="73">
        <v>815</v>
      </c>
      <c r="AK115" s="71"/>
      <c r="AL115" s="72"/>
      <c r="AM115" s="72"/>
      <c r="AN115" s="72"/>
      <c r="AO115" s="72"/>
      <c r="AP115" s="73"/>
      <c r="AQ115" s="71"/>
      <c r="AR115" s="72"/>
      <c r="AS115" s="72"/>
      <c r="AT115" s="72"/>
      <c r="AU115" s="72"/>
      <c r="AV115" s="73"/>
      <c r="AW115" s="75">
        <v>0.26843409984333988</v>
      </c>
      <c r="AX115" s="76">
        <v>2.2756739376212032</v>
      </c>
      <c r="AY115" s="76">
        <v>2.2756739376212032</v>
      </c>
      <c r="AZ115" s="76">
        <v>-1.0839012145917204</v>
      </c>
      <c r="BA115" s="76">
        <v>-0.53105973384781624</v>
      </c>
      <c r="BB115" s="77">
        <v>-1.5942164275860815</v>
      </c>
      <c r="BC115" s="71">
        <v>1347.8</v>
      </c>
      <c r="BD115" s="72">
        <v>1312</v>
      </c>
      <c r="BE115" s="72">
        <v>1317</v>
      </c>
      <c r="BF115" s="72">
        <v>1333</v>
      </c>
      <c r="BG115" s="72">
        <v>1396</v>
      </c>
      <c r="BH115" s="73">
        <v>1381</v>
      </c>
      <c r="BI115" s="71">
        <v>2123</v>
      </c>
      <c r="BJ115" s="72">
        <v>2129</v>
      </c>
      <c r="BK115" s="72">
        <v>2152</v>
      </c>
      <c r="BL115" s="72">
        <v>2123</v>
      </c>
      <c r="BM115" s="72">
        <v>2090</v>
      </c>
      <c r="BN115" s="73">
        <v>2121</v>
      </c>
      <c r="BO115" s="71">
        <v>2192.4</v>
      </c>
      <c r="BP115" s="72">
        <v>2298</v>
      </c>
      <c r="BQ115" s="72">
        <v>2169</v>
      </c>
      <c r="BR115" s="72">
        <v>2184</v>
      </c>
      <c r="BS115" s="72">
        <v>2216</v>
      </c>
      <c r="BT115" s="73">
        <v>2095</v>
      </c>
      <c r="BU115" s="65"/>
      <c r="BV115" s="78"/>
      <c r="BW115" s="78"/>
      <c r="BX115" s="78"/>
      <c r="BY115" s="78"/>
      <c r="BZ115" s="70"/>
      <c r="CA115" s="110">
        <v>2.7074533863886474</v>
      </c>
      <c r="CB115" s="76">
        <v>4.0821576113300617</v>
      </c>
      <c r="CC115" s="76">
        <v>2.2504277073843726</v>
      </c>
      <c r="CD115" s="76">
        <v>2.2866995866704265</v>
      </c>
      <c r="CE115" s="76">
        <v>3.4111278445380755</v>
      </c>
      <c r="CF115" s="77">
        <v>1.5068541820202785</v>
      </c>
    </row>
    <row r="116" spans="1:84" ht="12" customHeight="1">
      <c r="A116" s="2"/>
      <c r="B116" s="64">
        <v>104</v>
      </c>
      <c r="C116" s="65">
        <v>10</v>
      </c>
      <c r="D116" s="66" t="s">
        <v>8</v>
      </c>
      <c r="E116" s="69" t="s">
        <v>98</v>
      </c>
      <c r="F116" s="70" t="s">
        <v>81</v>
      </c>
      <c r="G116" s="71">
        <v>1808.1131707317074</v>
      </c>
      <c r="H116" s="72">
        <v>794.44097560975615</v>
      </c>
      <c r="I116" s="72">
        <v>1013.6721951219513</v>
      </c>
      <c r="J116" s="72">
        <v>0</v>
      </c>
      <c r="K116" s="72"/>
      <c r="L116" s="73"/>
      <c r="M116" s="71">
        <v>5128.4862439024391</v>
      </c>
      <c r="N116" s="72">
        <v>1986.1024390243904</v>
      </c>
      <c r="O116" s="72">
        <v>3142.383804878049</v>
      </c>
      <c r="P116" s="72">
        <v>0</v>
      </c>
      <c r="Q116" s="72"/>
      <c r="R116" s="73"/>
      <c r="S116" s="71">
        <v>795.8</v>
      </c>
      <c r="T116" s="72">
        <v>777</v>
      </c>
      <c r="U116" s="72">
        <v>763</v>
      </c>
      <c r="V116" s="72">
        <v>842</v>
      </c>
      <c r="W116" s="72">
        <v>813</v>
      </c>
      <c r="X116" s="73">
        <v>784</v>
      </c>
      <c r="Y116" s="71">
        <v>984.2</v>
      </c>
      <c r="Z116" s="72">
        <v>1009</v>
      </c>
      <c r="AA116" s="72">
        <v>982</v>
      </c>
      <c r="AB116" s="72">
        <v>957</v>
      </c>
      <c r="AC116" s="72">
        <v>961</v>
      </c>
      <c r="AD116" s="73">
        <v>1012</v>
      </c>
      <c r="AE116" s="71"/>
      <c r="AF116" s="72"/>
      <c r="AG116" s="72"/>
      <c r="AH116" s="72"/>
      <c r="AI116" s="72"/>
      <c r="AJ116" s="73"/>
      <c r="AK116" s="71"/>
      <c r="AL116" s="72"/>
      <c r="AM116" s="72"/>
      <c r="AN116" s="72"/>
      <c r="AO116" s="72"/>
      <c r="AP116" s="73"/>
      <c r="AQ116" s="71"/>
      <c r="AR116" s="72"/>
      <c r="AS116" s="72"/>
      <c r="AT116" s="72"/>
      <c r="AU116" s="72"/>
      <c r="AV116" s="73"/>
      <c r="AW116" s="75">
        <v>-1.5548346855042583</v>
      </c>
      <c r="AX116" s="76">
        <v>-1.2229970496127063</v>
      </c>
      <c r="AY116" s="76">
        <v>-3.4905542282050228</v>
      </c>
      <c r="AZ116" s="76">
        <v>-0.50401550518098803</v>
      </c>
      <c r="BA116" s="76">
        <v>-1.8866723213958214</v>
      </c>
      <c r="BB116" s="77">
        <v>-0.66993432312677514</v>
      </c>
      <c r="BC116" s="71">
        <v>2011</v>
      </c>
      <c r="BD116" s="72">
        <v>2007</v>
      </c>
      <c r="BE116" s="72">
        <v>1916</v>
      </c>
      <c r="BF116" s="72">
        <v>2080</v>
      </c>
      <c r="BG116" s="72">
        <v>2094</v>
      </c>
      <c r="BH116" s="73">
        <v>1958</v>
      </c>
      <c r="BI116" s="71">
        <v>3207.6</v>
      </c>
      <c r="BJ116" s="72">
        <v>3159</v>
      </c>
      <c r="BK116" s="72">
        <v>3154</v>
      </c>
      <c r="BL116" s="72">
        <v>3300</v>
      </c>
      <c r="BM116" s="72">
        <v>3163</v>
      </c>
      <c r="BN116" s="73">
        <v>3262</v>
      </c>
      <c r="BO116" s="71"/>
      <c r="BP116" s="72"/>
      <c r="BQ116" s="72"/>
      <c r="BR116" s="72"/>
      <c r="BS116" s="72"/>
      <c r="BT116" s="73"/>
      <c r="BU116" s="65"/>
      <c r="BV116" s="78"/>
      <c r="BW116" s="78"/>
      <c r="BX116" s="78"/>
      <c r="BY116" s="78"/>
      <c r="BZ116" s="70"/>
      <c r="CA116" s="110">
        <v>1.7571219227642931</v>
      </c>
      <c r="CB116" s="76">
        <v>0.73147814605456496</v>
      </c>
      <c r="CC116" s="76">
        <v>-1.1404192410962799</v>
      </c>
      <c r="CD116" s="76">
        <v>4.9042494049116536</v>
      </c>
      <c r="CE116" s="76">
        <v>2.5058808776246222</v>
      </c>
      <c r="CF116" s="77">
        <v>1.7844204263269159</v>
      </c>
    </row>
    <row r="117" spans="1:84" ht="12" customHeight="1">
      <c r="A117" s="2"/>
      <c r="B117" s="64">
        <v>105</v>
      </c>
      <c r="C117" s="65">
        <v>10</v>
      </c>
      <c r="D117" s="66" t="s">
        <v>8</v>
      </c>
      <c r="E117" s="69" t="s">
        <v>150</v>
      </c>
      <c r="F117" s="70" t="s">
        <v>81</v>
      </c>
      <c r="G117" s="71">
        <v>2821.7853658536587</v>
      </c>
      <c r="H117" s="72">
        <v>794.44097560975615</v>
      </c>
      <c r="I117" s="72">
        <v>1013.6721951219513</v>
      </c>
      <c r="J117" s="72">
        <v>1013.6721951219513</v>
      </c>
      <c r="K117" s="72"/>
      <c r="L117" s="73"/>
      <c r="M117" s="71">
        <v>5643.5707317073166</v>
      </c>
      <c r="N117" s="72">
        <v>1588.8819512195123</v>
      </c>
      <c r="O117" s="72">
        <v>2027.3443902439024</v>
      </c>
      <c r="P117" s="72">
        <v>2027.3443902439024</v>
      </c>
      <c r="Q117" s="72"/>
      <c r="R117" s="73"/>
      <c r="S117" s="71">
        <v>799.2</v>
      </c>
      <c r="T117" s="72">
        <v>784</v>
      </c>
      <c r="U117" s="72">
        <v>816</v>
      </c>
      <c r="V117" s="72">
        <v>807</v>
      </c>
      <c r="W117" s="72">
        <v>812</v>
      </c>
      <c r="X117" s="73">
        <v>777</v>
      </c>
      <c r="Y117" s="71">
        <v>1009.2</v>
      </c>
      <c r="Z117" s="72">
        <v>1010</v>
      </c>
      <c r="AA117" s="72">
        <v>1039</v>
      </c>
      <c r="AB117" s="72">
        <v>999</v>
      </c>
      <c r="AC117" s="72">
        <v>990</v>
      </c>
      <c r="AD117" s="73">
        <v>1008</v>
      </c>
      <c r="AE117" s="71">
        <v>1006.4</v>
      </c>
      <c r="AF117" s="72">
        <v>1016</v>
      </c>
      <c r="AG117" s="72">
        <v>974</v>
      </c>
      <c r="AH117" s="72">
        <v>968</v>
      </c>
      <c r="AI117" s="72">
        <v>1012</v>
      </c>
      <c r="AJ117" s="73">
        <v>1062</v>
      </c>
      <c r="AK117" s="71"/>
      <c r="AL117" s="72"/>
      <c r="AM117" s="72"/>
      <c r="AN117" s="72"/>
      <c r="AO117" s="72"/>
      <c r="AP117" s="73"/>
      <c r="AQ117" s="71"/>
      <c r="AR117" s="72"/>
      <c r="AS117" s="72"/>
      <c r="AT117" s="72"/>
      <c r="AU117" s="72"/>
      <c r="AV117" s="73"/>
      <c r="AW117" s="75">
        <v>-0.24755128218425515</v>
      </c>
      <c r="AX117" s="76">
        <v>-0.41765635318239402</v>
      </c>
      <c r="AY117" s="76">
        <v>0.25567621951851915</v>
      </c>
      <c r="AZ117" s="76">
        <v>-1.6934443856683079</v>
      </c>
      <c r="BA117" s="76">
        <v>-0.27590212735062458</v>
      </c>
      <c r="BB117" s="77">
        <v>0.89357023576146499</v>
      </c>
      <c r="BC117" s="71"/>
      <c r="BD117" s="72"/>
      <c r="BE117" s="72"/>
      <c r="BF117" s="72"/>
      <c r="BG117" s="72"/>
      <c r="BH117" s="73"/>
      <c r="BI117" s="71"/>
      <c r="BJ117" s="72"/>
      <c r="BK117" s="72"/>
      <c r="BL117" s="72"/>
      <c r="BM117" s="72"/>
      <c r="BN117" s="73"/>
      <c r="BO117" s="71"/>
      <c r="BP117" s="72"/>
      <c r="BQ117" s="72"/>
      <c r="BR117" s="72"/>
      <c r="BS117" s="72"/>
      <c r="BT117" s="73"/>
      <c r="BU117" s="65"/>
      <c r="BV117" s="78"/>
      <c r="BW117" s="78"/>
      <c r="BX117" s="78"/>
      <c r="BY117" s="78"/>
      <c r="BZ117" s="70"/>
      <c r="CA117" s="110"/>
      <c r="CB117" s="76"/>
      <c r="CC117" s="76"/>
      <c r="CD117" s="76"/>
      <c r="CE117" s="76"/>
      <c r="CF117" s="77"/>
    </row>
    <row r="118" spans="1:84" ht="12" customHeight="1">
      <c r="A118" s="2"/>
      <c r="B118" s="64">
        <v>106</v>
      </c>
      <c r="C118" s="65">
        <v>10</v>
      </c>
      <c r="D118" s="66" t="s">
        <v>8</v>
      </c>
      <c r="E118" s="69" t="s">
        <v>151</v>
      </c>
      <c r="F118" s="70" t="s">
        <v>81</v>
      </c>
      <c r="G118" s="71">
        <v>2169.7358048780488</v>
      </c>
      <c r="H118" s="72">
        <v>953.32917073170734</v>
      </c>
      <c r="I118" s="72">
        <v>1216.4066341463415</v>
      </c>
      <c r="J118" s="72">
        <v>0</v>
      </c>
      <c r="K118" s="72"/>
      <c r="L118" s="73"/>
      <c r="M118" s="71">
        <v>5424.3395121951226</v>
      </c>
      <c r="N118" s="72">
        <v>2383.3229268292685</v>
      </c>
      <c r="O118" s="72">
        <v>3041.0165853658541</v>
      </c>
      <c r="P118" s="72">
        <v>0</v>
      </c>
      <c r="Q118" s="72"/>
      <c r="R118" s="73"/>
      <c r="S118" s="71">
        <v>966.8</v>
      </c>
      <c r="T118" s="72">
        <v>976</v>
      </c>
      <c r="U118" s="72">
        <v>910</v>
      </c>
      <c r="V118" s="72">
        <v>950</v>
      </c>
      <c r="W118" s="72">
        <v>1010</v>
      </c>
      <c r="X118" s="73">
        <v>988</v>
      </c>
      <c r="Y118" s="71">
        <v>1222.5999999999999</v>
      </c>
      <c r="Z118" s="72">
        <v>1216</v>
      </c>
      <c r="AA118" s="72">
        <v>1184</v>
      </c>
      <c r="AB118" s="72">
        <v>1230</v>
      </c>
      <c r="AC118" s="72">
        <v>1228</v>
      </c>
      <c r="AD118" s="73">
        <v>1255</v>
      </c>
      <c r="AE118" s="71"/>
      <c r="AF118" s="72"/>
      <c r="AG118" s="72"/>
      <c r="AH118" s="72"/>
      <c r="AI118" s="72"/>
      <c r="AJ118" s="73"/>
      <c r="AK118" s="71"/>
      <c r="AL118" s="72"/>
      <c r="AM118" s="72"/>
      <c r="AN118" s="72"/>
      <c r="AO118" s="72"/>
      <c r="AP118" s="73"/>
      <c r="AQ118" s="71"/>
      <c r="AR118" s="72"/>
      <c r="AS118" s="72"/>
      <c r="AT118" s="72"/>
      <c r="AU118" s="72"/>
      <c r="AV118" s="73"/>
      <c r="AW118" s="75">
        <v>0.9062944473581247</v>
      </c>
      <c r="AX118" s="76">
        <v>1.0261247047634203</v>
      </c>
      <c r="AY118" s="76">
        <v>-3.4905542282050117</v>
      </c>
      <c r="AZ118" s="76">
        <v>0.47306197827750029</v>
      </c>
      <c r="BA118" s="76">
        <v>3.1461984896261619</v>
      </c>
      <c r="BB118" s="77">
        <v>3.3766412923286415</v>
      </c>
      <c r="BC118" s="71">
        <v>2377</v>
      </c>
      <c r="BD118" s="72">
        <v>2282</v>
      </c>
      <c r="BE118" s="72">
        <v>2400</v>
      </c>
      <c r="BF118" s="72">
        <v>2323</v>
      </c>
      <c r="BG118" s="72">
        <v>2474</v>
      </c>
      <c r="BH118" s="73">
        <v>2406</v>
      </c>
      <c r="BI118" s="71">
        <v>3123.6</v>
      </c>
      <c r="BJ118" s="72">
        <v>3126</v>
      </c>
      <c r="BK118" s="72">
        <v>3090</v>
      </c>
      <c r="BL118" s="72">
        <v>3141</v>
      </c>
      <c r="BM118" s="72">
        <v>3176</v>
      </c>
      <c r="BN118" s="73">
        <v>3085</v>
      </c>
      <c r="BO118" s="71"/>
      <c r="BP118" s="72"/>
      <c r="BQ118" s="72"/>
      <c r="BR118" s="72"/>
      <c r="BS118" s="72"/>
      <c r="BT118" s="73"/>
      <c r="BU118" s="65"/>
      <c r="BV118" s="78"/>
      <c r="BW118" s="78"/>
      <c r="BX118" s="78"/>
      <c r="BY118" s="78"/>
      <c r="BZ118" s="70"/>
      <c r="CA118" s="110">
        <v>1.405894443617095</v>
      </c>
      <c r="CB118" s="76">
        <v>-0.30122583880282106</v>
      </c>
      <c r="CC118" s="76">
        <v>1.2104789469253863</v>
      </c>
      <c r="CD118" s="76">
        <v>0.73115791730424817</v>
      </c>
      <c r="CE118" s="76">
        <v>4.160146821517019</v>
      </c>
      <c r="CF118" s="77">
        <v>1.2289143711415873</v>
      </c>
    </row>
    <row r="119" spans="1:84" ht="12" customHeight="1">
      <c r="A119" s="2"/>
      <c r="B119" s="64">
        <v>107</v>
      </c>
      <c r="C119" s="65">
        <v>10</v>
      </c>
      <c r="D119" s="66" t="s">
        <v>8</v>
      </c>
      <c r="E119" s="69" t="s">
        <v>163</v>
      </c>
      <c r="F119" s="70" t="s">
        <v>81</v>
      </c>
      <c r="G119" s="71">
        <v>1808.1131707317074</v>
      </c>
      <c r="H119" s="72">
        <v>794.44097560975615</v>
      </c>
      <c r="I119" s="72">
        <v>1013.6721951219513</v>
      </c>
      <c r="J119" s="72">
        <v>0</v>
      </c>
      <c r="K119" s="72"/>
      <c r="L119" s="73"/>
      <c r="M119" s="71">
        <v>3616.2263414634144</v>
      </c>
      <c r="N119" s="72">
        <v>1588.8819512195123</v>
      </c>
      <c r="O119" s="72">
        <v>2027.3443902439024</v>
      </c>
      <c r="P119" s="72">
        <v>0</v>
      </c>
      <c r="Q119" s="72"/>
      <c r="R119" s="73"/>
      <c r="S119" s="71">
        <v>807.6</v>
      </c>
      <c r="T119" s="72">
        <v>765</v>
      </c>
      <c r="U119" s="72">
        <v>818</v>
      </c>
      <c r="V119" s="72">
        <v>825</v>
      </c>
      <c r="W119" s="72">
        <v>828</v>
      </c>
      <c r="X119" s="73">
        <v>802</v>
      </c>
      <c r="Y119" s="71">
        <v>1011.4</v>
      </c>
      <c r="Z119" s="72">
        <v>991</v>
      </c>
      <c r="AA119" s="72">
        <v>1002</v>
      </c>
      <c r="AB119" s="72">
        <v>1012</v>
      </c>
      <c r="AC119" s="72">
        <v>1044</v>
      </c>
      <c r="AD119" s="73">
        <v>1008</v>
      </c>
      <c r="AE119" s="71"/>
      <c r="AF119" s="72"/>
      <c r="AG119" s="72"/>
      <c r="AH119" s="72"/>
      <c r="AI119" s="72"/>
      <c r="AJ119" s="73"/>
      <c r="AK119" s="71"/>
      <c r="AL119" s="72"/>
      <c r="AM119" s="72"/>
      <c r="AN119" s="72"/>
      <c r="AO119" s="72"/>
      <c r="AP119" s="73"/>
      <c r="AQ119" s="71"/>
      <c r="AR119" s="72"/>
      <c r="AS119" s="72"/>
      <c r="AT119" s="72"/>
      <c r="AU119" s="72"/>
      <c r="AV119" s="73"/>
      <c r="AW119" s="75">
        <v>0.60210994779086313</v>
      </c>
      <c r="AX119" s="76">
        <v>-2.8821852290704997</v>
      </c>
      <c r="AY119" s="76">
        <v>0.65741622043946624</v>
      </c>
      <c r="AZ119" s="76">
        <v>1.5976228554655414</v>
      </c>
      <c r="BA119" s="76">
        <v>3.533342398166317</v>
      </c>
      <c r="BB119" s="77">
        <v>0.104353493953524</v>
      </c>
      <c r="BC119" s="71"/>
      <c r="BD119" s="72"/>
      <c r="BE119" s="72"/>
      <c r="BF119" s="72"/>
      <c r="BG119" s="72"/>
      <c r="BH119" s="73"/>
      <c r="BI119" s="71"/>
      <c r="BJ119" s="72"/>
      <c r="BK119" s="72"/>
      <c r="BL119" s="72"/>
      <c r="BM119" s="72"/>
      <c r="BN119" s="73"/>
      <c r="BO119" s="71"/>
      <c r="BP119" s="72"/>
      <c r="BQ119" s="72"/>
      <c r="BR119" s="72"/>
      <c r="BS119" s="72"/>
      <c r="BT119" s="73"/>
      <c r="BU119" s="65"/>
      <c r="BV119" s="78"/>
      <c r="BW119" s="78"/>
      <c r="BX119" s="78"/>
      <c r="BY119" s="78"/>
      <c r="BZ119" s="70"/>
      <c r="CA119" s="110"/>
      <c r="CB119" s="76"/>
      <c r="CC119" s="76"/>
      <c r="CD119" s="76"/>
      <c r="CE119" s="76"/>
      <c r="CF119" s="77"/>
    </row>
    <row r="120" spans="1:84" ht="12" customHeight="1">
      <c r="A120" s="2"/>
      <c r="B120" s="64">
        <v>108</v>
      </c>
      <c r="C120" s="65">
        <v>10</v>
      </c>
      <c r="D120" s="66" t="s">
        <v>8</v>
      </c>
      <c r="E120" s="69" t="s">
        <v>164</v>
      </c>
      <c r="F120" s="70" t="s">
        <v>81</v>
      </c>
      <c r="G120" s="71">
        <v>2821.7853658536587</v>
      </c>
      <c r="H120" s="72">
        <v>794.44097560975615</v>
      </c>
      <c r="I120" s="72">
        <v>1013.6721951219513</v>
      </c>
      <c r="J120" s="72">
        <v>1013.6721951219513</v>
      </c>
      <c r="K120" s="72"/>
      <c r="L120" s="73"/>
      <c r="M120" s="71">
        <v>5643.5707317073166</v>
      </c>
      <c r="N120" s="72">
        <v>1588.8819512195123</v>
      </c>
      <c r="O120" s="72">
        <v>2027.3443902439024</v>
      </c>
      <c r="P120" s="72">
        <v>2027.3443902439024</v>
      </c>
      <c r="Q120" s="72"/>
      <c r="R120" s="73"/>
      <c r="S120" s="71">
        <v>799.2</v>
      </c>
      <c r="T120" s="72">
        <v>784</v>
      </c>
      <c r="U120" s="72">
        <v>816</v>
      </c>
      <c r="V120" s="72">
        <v>807</v>
      </c>
      <c r="W120" s="72">
        <v>812</v>
      </c>
      <c r="X120" s="73">
        <v>777</v>
      </c>
      <c r="Y120" s="71">
        <v>1009.2</v>
      </c>
      <c r="Z120" s="72">
        <v>1010</v>
      </c>
      <c r="AA120" s="72">
        <v>1039</v>
      </c>
      <c r="AB120" s="72">
        <v>999</v>
      </c>
      <c r="AC120" s="72">
        <v>990</v>
      </c>
      <c r="AD120" s="73">
        <v>1008</v>
      </c>
      <c r="AE120" s="71">
        <v>1006.4</v>
      </c>
      <c r="AF120" s="72">
        <v>1016</v>
      </c>
      <c r="AG120" s="72">
        <v>974</v>
      </c>
      <c r="AH120" s="72">
        <v>968</v>
      </c>
      <c r="AI120" s="72">
        <v>1012</v>
      </c>
      <c r="AJ120" s="73">
        <v>1062</v>
      </c>
      <c r="AK120" s="71"/>
      <c r="AL120" s="72"/>
      <c r="AM120" s="72"/>
      <c r="AN120" s="72"/>
      <c r="AO120" s="72"/>
      <c r="AP120" s="73"/>
      <c r="AQ120" s="71"/>
      <c r="AR120" s="72"/>
      <c r="AS120" s="72"/>
      <c r="AT120" s="72"/>
      <c r="AU120" s="72"/>
      <c r="AV120" s="73"/>
      <c r="AW120" s="75">
        <v>-0.24755128218425515</v>
      </c>
      <c r="AX120" s="76">
        <v>-0.41765635318239402</v>
      </c>
      <c r="AY120" s="76">
        <v>0.25567621951851915</v>
      </c>
      <c r="AZ120" s="76">
        <v>-1.6934443856683079</v>
      </c>
      <c r="BA120" s="76">
        <v>-0.27590212735062458</v>
      </c>
      <c r="BB120" s="77">
        <v>0.89357023576146499</v>
      </c>
      <c r="BC120" s="71"/>
      <c r="BD120" s="72"/>
      <c r="BE120" s="72"/>
      <c r="BF120" s="72"/>
      <c r="BG120" s="72"/>
      <c r="BH120" s="73"/>
      <c r="BI120" s="71"/>
      <c r="BJ120" s="72"/>
      <c r="BK120" s="72"/>
      <c r="BL120" s="72"/>
      <c r="BM120" s="72"/>
      <c r="BN120" s="73"/>
      <c r="BO120" s="71"/>
      <c r="BP120" s="72"/>
      <c r="BQ120" s="72"/>
      <c r="BR120" s="72"/>
      <c r="BS120" s="72"/>
      <c r="BT120" s="73"/>
      <c r="BU120" s="65"/>
      <c r="BV120" s="78"/>
      <c r="BW120" s="78"/>
      <c r="BX120" s="78"/>
      <c r="BY120" s="78"/>
      <c r="BZ120" s="70"/>
      <c r="CA120" s="110"/>
      <c r="CB120" s="76"/>
      <c r="CC120" s="76"/>
      <c r="CD120" s="76"/>
      <c r="CE120" s="76"/>
      <c r="CF120" s="77"/>
    </row>
    <row r="121" spans="1:84" ht="12" customHeight="1">
      <c r="A121" s="2"/>
      <c r="B121" s="64">
        <v>109</v>
      </c>
      <c r="C121" s="65">
        <v>10</v>
      </c>
      <c r="D121" s="66" t="s">
        <v>8</v>
      </c>
      <c r="E121" s="69" t="s">
        <v>165</v>
      </c>
      <c r="F121" s="70" t="s">
        <v>81</v>
      </c>
      <c r="G121" s="71">
        <v>2169.7358048780488</v>
      </c>
      <c r="H121" s="72">
        <v>953.32917073170734</v>
      </c>
      <c r="I121" s="72">
        <v>1216.4066341463415</v>
      </c>
      <c r="J121" s="72">
        <v>0</v>
      </c>
      <c r="K121" s="72"/>
      <c r="L121" s="73"/>
      <c r="M121" s="71">
        <v>5424.3395121951226</v>
      </c>
      <c r="N121" s="72">
        <v>2383.3229268292685</v>
      </c>
      <c r="O121" s="72">
        <v>3041.0165853658541</v>
      </c>
      <c r="P121" s="72">
        <v>0</v>
      </c>
      <c r="Q121" s="72"/>
      <c r="R121" s="73"/>
      <c r="S121" s="71">
        <v>966.8</v>
      </c>
      <c r="T121" s="72">
        <v>976</v>
      </c>
      <c r="U121" s="72">
        <v>910</v>
      </c>
      <c r="V121" s="72">
        <v>950</v>
      </c>
      <c r="W121" s="72">
        <v>1010</v>
      </c>
      <c r="X121" s="73">
        <v>988</v>
      </c>
      <c r="Y121" s="71">
        <v>1222.5999999999999</v>
      </c>
      <c r="Z121" s="72">
        <v>1216</v>
      </c>
      <c r="AA121" s="72">
        <v>1184</v>
      </c>
      <c r="AB121" s="72">
        <v>1230</v>
      </c>
      <c r="AC121" s="72">
        <v>1228</v>
      </c>
      <c r="AD121" s="73">
        <v>1255</v>
      </c>
      <c r="AE121" s="71"/>
      <c r="AF121" s="72"/>
      <c r="AG121" s="72"/>
      <c r="AH121" s="72"/>
      <c r="AI121" s="72"/>
      <c r="AJ121" s="73"/>
      <c r="AK121" s="71"/>
      <c r="AL121" s="72"/>
      <c r="AM121" s="72"/>
      <c r="AN121" s="72"/>
      <c r="AO121" s="72"/>
      <c r="AP121" s="73"/>
      <c r="AQ121" s="71"/>
      <c r="AR121" s="72"/>
      <c r="AS121" s="72"/>
      <c r="AT121" s="72"/>
      <c r="AU121" s="72"/>
      <c r="AV121" s="73"/>
      <c r="AW121" s="75">
        <v>0.9062944473581247</v>
      </c>
      <c r="AX121" s="76">
        <v>1.0261247047634203</v>
      </c>
      <c r="AY121" s="76">
        <v>-3.4905542282050117</v>
      </c>
      <c r="AZ121" s="76">
        <v>0.47306197827750029</v>
      </c>
      <c r="BA121" s="76">
        <v>3.1461984896261619</v>
      </c>
      <c r="BB121" s="77">
        <v>3.3766412923286415</v>
      </c>
      <c r="BC121" s="71">
        <v>2377</v>
      </c>
      <c r="BD121" s="72">
        <v>2282</v>
      </c>
      <c r="BE121" s="72">
        <v>2400</v>
      </c>
      <c r="BF121" s="72">
        <v>2323</v>
      </c>
      <c r="BG121" s="72">
        <v>2474</v>
      </c>
      <c r="BH121" s="73">
        <v>2406</v>
      </c>
      <c r="BI121" s="71">
        <v>3123.6</v>
      </c>
      <c r="BJ121" s="72">
        <v>3126</v>
      </c>
      <c r="BK121" s="72">
        <v>3090</v>
      </c>
      <c r="BL121" s="72">
        <v>3141</v>
      </c>
      <c r="BM121" s="72">
        <v>3176</v>
      </c>
      <c r="BN121" s="73">
        <v>3085</v>
      </c>
      <c r="BO121" s="71"/>
      <c r="BP121" s="72"/>
      <c r="BQ121" s="72"/>
      <c r="BR121" s="72"/>
      <c r="BS121" s="72"/>
      <c r="BT121" s="73"/>
      <c r="BU121" s="65"/>
      <c r="BV121" s="78"/>
      <c r="BW121" s="78"/>
      <c r="BX121" s="78"/>
      <c r="BY121" s="78"/>
      <c r="BZ121" s="70"/>
      <c r="CA121" s="110">
        <v>1.405894443617095</v>
      </c>
      <c r="CB121" s="76">
        <v>-0.30122583880282106</v>
      </c>
      <c r="CC121" s="76">
        <v>1.2104789469253863</v>
      </c>
      <c r="CD121" s="76">
        <v>0.73115791730424817</v>
      </c>
      <c r="CE121" s="76">
        <v>4.160146821517019</v>
      </c>
      <c r="CF121" s="77">
        <v>1.2289143711415873</v>
      </c>
    </row>
    <row r="122" spans="1:84" ht="12" customHeight="1">
      <c r="A122" s="2"/>
      <c r="B122" s="64">
        <v>110</v>
      </c>
      <c r="C122" s="65">
        <v>10</v>
      </c>
      <c r="D122" s="66" t="s">
        <v>8</v>
      </c>
      <c r="E122" s="69" t="s">
        <v>155</v>
      </c>
      <c r="F122" s="70" t="s">
        <v>81</v>
      </c>
      <c r="G122" s="71">
        <v>1808.1131707317074</v>
      </c>
      <c r="H122" s="72">
        <v>794.44097560975615</v>
      </c>
      <c r="I122" s="72">
        <v>1013.6721951219513</v>
      </c>
      <c r="J122" s="72">
        <v>0</v>
      </c>
      <c r="K122" s="72"/>
      <c r="L122" s="73"/>
      <c r="M122" s="71">
        <v>4102.7889951219513</v>
      </c>
      <c r="N122" s="72">
        <v>1588.8819512195123</v>
      </c>
      <c r="O122" s="72">
        <v>2513.907043902439</v>
      </c>
      <c r="P122" s="72">
        <v>0</v>
      </c>
      <c r="Q122" s="72"/>
      <c r="R122" s="73"/>
      <c r="S122" s="71">
        <v>823.6</v>
      </c>
      <c r="T122" s="72">
        <v>804</v>
      </c>
      <c r="U122" s="72">
        <v>849</v>
      </c>
      <c r="V122" s="72">
        <v>806</v>
      </c>
      <c r="W122" s="72">
        <v>834</v>
      </c>
      <c r="X122" s="73">
        <v>825</v>
      </c>
      <c r="Y122" s="71">
        <v>1048.8</v>
      </c>
      <c r="Z122" s="72">
        <v>1087</v>
      </c>
      <c r="AA122" s="72">
        <v>1054</v>
      </c>
      <c r="AB122" s="72">
        <v>1075</v>
      </c>
      <c r="AC122" s="72">
        <v>962</v>
      </c>
      <c r="AD122" s="73">
        <v>1066</v>
      </c>
      <c r="AE122" s="71"/>
      <c r="AF122" s="72"/>
      <c r="AG122" s="72"/>
      <c r="AH122" s="72"/>
      <c r="AI122" s="72"/>
      <c r="AJ122" s="73"/>
      <c r="AK122" s="71"/>
      <c r="AL122" s="72"/>
      <c r="AM122" s="72"/>
      <c r="AN122" s="72"/>
      <c r="AO122" s="72"/>
      <c r="AP122" s="73"/>
      <c r="AQ122" s="71"/>
      <c r="AR122" s="72"/>
      <c r="AS122" s="72"/>
      <c r="AT122" s="72"/>
      <c r="AU122" s="72"/>
      <c r="AV122" s="73"/>
      <c r="AW122" s="75">
        <v>3.5554649072257583</v>
      </c>
      <c r="AX122" s="76">
        <v>4.5841615784895762</v>
      </c>
      <c r="AY122" s="76">
        <v>5.2478368502727024</v>
      </c>
      <c r="AZ122" s="76">
        <v>4.0310988520036339</v>
      </c>
      <c r="BA122" s="76">
        <v>-0.66993432312677514</v>
      </c>
      <c r="BB122" s="77">
        <v>4.5841615784895762</v>
      </c>
      <c r="BC122" s="71">
        <v>1624</v>
      </c>
      <c r="BD122" s="72">
        <v>1671</v>
      </c>
      <c r="BE122" s="72">
        <v>1545</v>
      </c>
      <c r="BF122" s="72">
        <v>1629</v>
      </c>
      <c r="BG122" s="72">
        <v>1641</v>
      </c>
      <c r="BH122" s="73">
        <v>1634</v>
      </c>
      <c r="BI122" s="71">
        <v>2543.6</v>
      </c>
      <c r="BJ122" s="72">
        <v>2481</v>
      </c>
      <c r="BK122" s="72">
        <v>2475</v>
      </c>
      <c r="BL122" s="72">
        <v>2474</v>
      </c>
      <c r="BM122" s="72">
        <v>2596</v>
      </c>
      <c r="BN122" s="73">
        <v>2692</v>
      </c>
      <c r="BO122" s="71"/>
      <c r="BP122" s="72"/>
      <c r="BQ122" s="72"/>
      <c r="BR122" s="72"/>
      <c r="BS122" s="72"/>
      <c r="BT122" s="73"/>
      <c r="BU122" s="65"/>
      <c r="BV122" s="78"/>
      <c r="BW122" s="78"/>
      <c r="BX122" s="78"/>
      <c r="BY122" s="78"/>
      <c r="BZ122" s="70"/>
      <c r="CA122" s="110">
        <v>1.5796816496072896</v>
      </c>
      <c r="CB122" s="76">
        <v>1.199452492842279</v>
      </c>
      <c r="CC122" s="76">
        <v>-2.0178711413232353</v>
      </c>
      <c r="CD122" s="76">
        <v>5.1429619777998425E-3</v>
      </c>
      <c r="CE122" s="76">
        <v>3.2712139239337024</v>
      </c>
      <c r="CF122" s="77">
        <v>5.4404700106059023</v>
      </c>
    </row>
    <row r="123" spans="1:84" ht="12" customHeight="1">
      <c r="A123" s="2"/>
      <c r="B123" s="64">
        <v>111</v>
      </c>
      <c r="C123" s="65">
        <v>10</v>
      </c>
      <c r="D123" s="66" t="s">
        <v>8</v>
      </c>
      <c r="E123" s="69" t="s">
        <v>156</v>
      </c>
      <c r="F123" s="70" t="s">
        <v>81</v>
      </c>
      <c r="G123" s="71">
        <v>2821.7853658536587</v>
      </c>
      <c r="H123" s="72">
        <v>794.44097560975615</v>
      </c>
      <c r="I123" s="72">
        <v>1013.6721951219513</v>
      </c>
      <c r="J123" s="72">
        <v>1013.6721951219513</v>
      </c>
      <c r="K123" s="72"/>
      <c r="L123" s="73"/>
      <c r="M123" s="71">
        <v>6616.6960390243903</v>
      </c>
      <c r="N123" s="72">
        <v>1588.8819512195123</v>
      </c>
      <c r="O123" s="72">
        <v>2513.907043902439</v>
      </c>
      <c r="P123" s="72">
        <v>2513.907043902439</v>
      </c>
      <c r="Q123" s="72"/>
      <c r="R123" s="73"/>
      <c r="S123" s="71">
        <v>809.2</v>
      </c>
      <c r="T123" s="72">
        <v>775</v>
      </c>
      <c r="U123" s="72">
        <v>800</v>
      </c>
      <c r="V123" s="72">
        <v>844</v>
      </c>
      <c r="W123" s="72">
        <v>840</v>
      </c>
      <c r="X123" s="73">
        <v>787</v>
      </c>
      <c r="Y123" s="71">
        <v>1027.8</v>
      </c>
      <c r="Z123" s="72">
        <v>1003</v>
      </c>
      <c r="AA123" s="72">
        <v>991</v>
      </c>
      <c r="AB123" s="72">
        <v>1004</v>
      </c>
      <c r="AC123" s="72">
        <v>1077</v>
      </c>
      <c r="AD123" s="73">
        <v>1064</v>
      </c>
      <c r="AE123" s="71">
        <v>1004.8</v>
      </c>
      <c r="AF123" s="72">
        <v>970</v>
      </c>
      <c r="AG123" s="72">
        <v>996</v>
      </c>
      <c r="AH123" s="72">
        <v>1008</v>
      </c>
      <c r="AI123" s="72">
        <v>1044</v>
      </c>
      <c r="AJ123" s="73">
        <v>1006</v>
      </c>
      <c r="AK123" s="71"/>
      <c r="AL123" s="72"/>
      <c r="AM123" s="72"/>
      <c r="AN123" s="72"/>
      <c r="AO123" s="72"/>
      <c r="AP123" s="73"/>
      <c r="AQ123" s="71"/>
      <c r="AR123" s="72"/>
      <c r="AS123" s="72"/>
      <c r="AT123" s="72"/>
      <c r="AU123" s="72"/>
      <c r="AV123" s="73"/>
      <c r="AW123" s="75">
        <v>0.70928974218018581</v>
      </c>
      <c r="AX123" s="76">
        <v>-2.6148468535748037</v>
      </c>
      <c r="AY123" s="76">
        <v>-1.2327431517150655</v>
      </c>
      <c r="AZ123" s="76">
        <v>1.2125172438829601</v>
      </c>
      <c r="BA123" s="76">
        <v>4.9335656719668775</v>
      </c>
      <c r="BB123" s="77">
        <v>1.2479558003408942</v>
      </c>
      <c r="BC123" s="71">
        <v>1624.6</v>
      </c>
      <c r="BD123" s="72">
        <v>1603</v>
      </c>
      <c r="BE123" s="72">
        <v>1605</v>
      </c>
      <c r="BF123" s="72">
        <v>1648</v>
      </c>
      <c r="BG123" s="72">
        <v>1626</v>
      </c>
      <c r="BH123" s="73">
        <v>1641</v>
      </c>
      <c r="BI123" s="71">
        <v>2543.1999999999998</v>
      </c>
      <c r="BJ123" s="72">
        <v>2594</v>
      </c>
      <c r="BK123" s="72">
        <v>2614</v>
      </c>
      <c r="BL123" s="72">
        <v>2466</v>
      </c>
      <c r="BM123" s="72">
        <v>2584</v>
      </c>
      <c r="BN123" s="73">
        <v>2458</v>
      </c>
      <c r="BO123" s="71">
        <v>2529.1999999999998</v>
      </c>
      <c r="BP123" s="72">
        <v>2468</v>
      </c>
      <c r="BQ123" s="72">
        <v>2586</v>
      </c>
      <c r="BR123" s="72">
        <v>2487</v>
      </c>
      <c r="BS123" s="72">
        <v>2475</v>
      </c>
      <c r="BT123" s="73">
        <v>2630</v>
      </c>
      <c r="BU123" s="65"/>
      <c r="BV123" s="78"/>
      <c r="BW123" s="78"/>
      <c r="BX123" s="78"/>
      <c r="BY123" s="78"/>
      <c r="BZ123" s="70"/>
      <c r="CA123" s="110">
        <v>1.2136564911246817</v>
      </c>
      <c r="CB123" s="76">
        <v>0.7300314339773184</v>
      </c>
      <c r="CC123" s="76">
        <v>2.8458910589970854</v>
      </c>
      <c r="CD123" s="76">
        <v>-0.23721868031744142</v>
      </c>
      <c r="CE123" s="76">
        <v>1.0322970946944121</v>
      </c>
      <c r="CF123" s="77">
        <v>1.6972815482720671</v>
      </c>
    </row>
    <row r="124" spans="1:84" ht="12" customHeight="1">
      <c r="A124" s="2"/>
      <c r="B124" s="64">
        <v>112</v>
      </c>
      <c r="C124" s="65">
        <v>10</v>
      </c>
      <c r="D124" s="66" t="s">
        <v>8</v>
      </c>
      <c r="E124" s="69" t="s">
        <v>157</v>
      </c>
      <c r="F124" s="70" t="s">
        <v>81</v>
      </c>
      <c r="G124" s="71">
        <v>2169.7358048780488</v>
      </c>
      <c r="H124" s="72">
        <v>953.32917073170734</v>
      </c>
      <c r="I124" s="72">
        <v>1216.4066341463415</v>
      </c>
      <c r="J124" s="72">
        <v>0</v>
      </c>
      <c r="K124" s="72"/>
      <c r="L124" s="73"/>
      <c r="M124" s="71">
        <v>6154.183492682927</v>
      </c>
      <c r="N124" s="72">
        <v>2383.3229268292685</v>
      </c>
      <c r="O124" s="72">
        <v>3770.8605658536585</v>
      </c>
      <c r="P124" s="72">
        <v>0</v>
      </c>
      <c r="Q124" s="72"/>
      <c r="R124" s="73"/>
      <c r="S124" s="71">
        <v>945.2</v>
      </c>
      <c r="T124" s="72">
        <v>1018</v>
      </c>
      <c r="U124" s="72">
        <v>940</v>
      </c>
      <c r="V124" s="72">
        <v>912</v>
      </c>
      <c r="W124" s="72">
        <v>930</v>
      </c>
      <c r="X124" s="73">
        <v>926</v>
      </c>
      <c r="Y124" s="71">
        <v>1207.2</v>
      </c>
      <c r="Z124" s="72">
        <v>1218</v>
      </c>
      <c r="AA124" s="72">
        <v>1240</v>
      </c>
      <c r="AB124" s="72">
        <v>1210</v>
      </c>
      <c r="AC124" s="72">
        <v>1202</v>
      </c>
      <c r="AD124" s="73">
        <v>1166</v>
      </c>
      <c r="AE124" s="71"/>
      <c r="AF124" s="72"/>
      <c r="AG124" s="72"/>
      <c r="AH124" s="72"/>
      <c r="AI124" s="72"/>
      <c r="AJ124" s="73"/>
      <c r="AK124" s="71"/>
      <c r="AL124" s="72"/>
      <c r="AM124" s="72"/>
      <c r="AN124" s="72"/>
      <c r="AO124" s="72"/>
      <c r="AP124" s="73"/>
      <c r="AQ124" s="71"/>
      <c r="AR124" s="72"/>
      <c r="AS124" s="72"/>
      <c r="AT124" s="72"/>
      <c r="AU124" s="72"/>
      <c r="AV124" s="73"/>
      <c r="AW124" s="75">
        <v>-0.79898229264014908</v>
      </c>
      <c r="AX124" s="76">
        <v>3.0540213685451789</v>
      </c>
      <c r="AY124" s="76">
        <v>0.47306197827750029</v>
      </c>
      <c r="AZ124" s="76">
        <v>-2.2000745330711724</v>
      </c>
      <c r="BA124" s="76">
        <v>-1.7391889276662353</v>
      </c>
      <c r="BB124" s="77">
        <v>-3.5827313492860058</v>
      </c>
      <c r="BC124" s="71">
        <v>2472.1999999999998</v>
      </c>
      <c r="BD124" s="72">
        <v>2541</v>
      </c>
      <c r="BE124" s="72">
        <v>2330</v>
      </c>
      <c r="BF124" s="72">
        <v>2550</v>
      </c>
      <c r="BG124" s="72">
        <v>2400</v>
      </c>
      <c r="BH124" s="73">
        <v>2540</v>
      </c>
      <c r="BI124" s="71">
        <v>3751.2</v>
      </c>
      <c r="BJ124" s="72">
        <v>3776</v>
      </c>
      <c r="BK124" s="72">
        <v>3740</v>
      </c>
      <c r="BL124" s="72">
        <v>3726</v>
      </c>
      <c r="BM124" s="72">
        <v>3654</v>
      </c>
      <c r="BN124" s="73">
        <v>3860</v>
      </c>
      <c r="BO124" s="71"/>
      <c r="BP124" s="72"/>
      <c r="BQ124" s="72"/>
      <c r="BR124" s="72"/>
      <c r="BS124" s="72"/>
      <c r="BT124" s="73"/>
      <c r="BU124" s="65"/>
      <c r="BV124" s="78"/>
      <c r="BW124" s="78"/>
      <c r="BX124" s="78"/>
      <c r="BY124" s="78"/>
      <c r="BZ124" s="70"/>
      <c r="CA124" s="110">
        <v>1.1247065902303399</v>
      </c>
      <c r="CB124" s="76">
        <v>2.6456232172904048</v>
      </c>
      <c r="CC124" s="76">
        <v>-1.3679067707847437</v>
      </c>
      <c r="CD124" s="76">
        <v>1.9794097374884467</v>
      </c>
      <c r="CE124" s="76">
        <v>-1.6278925190001403</v>
      </c>
      <c r="CF124" s="77">
        <v>3.9942992861577542</v>
      </c>
    </row>
    <row r="125" spans="1:84" ht="12" customHeight="1">
      <c r="A125" s="2"/>
      <c r="B125" s="64">
        <v>113</v>
      </c>
      <c r="C125" s="65">
        <v>10</v>
      </c>
      <c r="D125" s="66" t="s">
        <v>8</v>
      </c>
      <c r="E125" s="69" t="s">
        <v>67</v>
      </c>
      <c r="F125" s="70" t="s">
        <v>80</v>
      </c>
      <c r="G125" s="71">
        <v>1004.5073170731708</v>
      </c>
      <c r="H125" s="72">
        <v>441.35609756097563</v>
      </c>
      <c r="I125" s="72">
        <v>563.15121951219521</v>
      </c>
      <c r="J125" s="72">
        <v>0</v>
      </c>
      <c r="K125" s="72"/>
      <c r="L125" s="73"/>
      <c r="M125" s="71">
        <v>2009.0146341463417</v>
      </c>
      <c r="N125" s="72">
        <v>882.71219512195125</v>
      </c>
      <c r="O125" s="72">
        <v>1126.3024390243904</v>
      </c>
      <c r="P125" s="72">
        <v>0</v>
      </c>
      <c r="Q125" s="72"/>
      <c r="R125" s="73"/>
      <c r="S125" s="71">
        <v>442.6</v>
      </c>
      <c r="T125" s="72">
        <v>446</v>
      </c>
      <c r="U125" s="72">
        <v>460</v>
      </c>
      <c r="V125" s="72">
        <v>452</v>
      </c>
      <c r="W125" s="72">
        <v>426</v>
      </c>
      <c r="X125" s="73">
        <v>429</v>
      </c>
      <c r="Y125" s="71">
        <v>573</v>
      </c>
      <c r="Z125" s="72">
        <v>586</v>
      </c>
      <c r="AA125" s="72">
        <v>587</v>
      </c>
      <c r="AB125" s="72">
        <v>566</v>
      </c>
      <c r="AC125" s="72">
        <v>558</v>
      </c>
      <c r="AD125" s="73">
        <v>568</v>
      </c>
      <c r="AE125" s="71"/>
      <c r="AF125" s="72"/>
      <c r="AG125" s="72"/>
      <c r="AH125" s="72"/>
      <c r="AI125" s="72"/>
      <c r="AJ125" s="73"/>
      <c r="AK125" s="71"/>
      <c r="AL125" s="72"/>
      <c r="AM125" s="72"/>
      <c r="AN125" s="72"/>
      <c r="AO125" s="72"/>
      <c r="AP125" s="73"/>
      <c r="AQ125" s="71"/>
      <c r="AR125" s="72"/>
      <c r="AS125" s="72"/>
      <c r="AT125" s="72"/>
      <c r="AU125" s="72"/>
      <c r="AV125" s="73"/>
      <c r="AW125" s="75">
        <v>1.1042909034400861</v>
      </c>
      <c r="AX125" s="76">
        <v>2.7369320720265655</v>
      </c>
      <c r="AY125" s="76">
        <v>4.2302014335385829</v>
      </c>
      <c r="AZ125" s="76">
        <v>1.3432140012820115</v>
      </c>
      <c r="BA125" s="76">
        <v>-2.0415298848118879</v>
      </c>
      <c r="BB125" s="77">
        <v>-0.74736310483480839</v>
      </c>
      <c r="BC125" s="71"/>
      <c r="BD125" s="72"/>
      <c r="BE125" s="72"/>
      <c r="BF125" s="72"/>
      <c r="BG125" s="72"/>
      <c r="BH125" s="73"/>
      <c r="BI125" s="71"/>
      <c r="BJ125" s="72"/>
      <c r="BK125" s="72"/>
      <c r="BL125" s="72"/>
      <c r="BM125" s="72"/>
      <c r="BN125" s="73"/>
      <c r="BO125" s="71"/>
      <c r="BP125" s="72"/>
      <c r="BQ125" s="72"/>
      <c r="BR125" s="72"/>
      <c r="BS125" s="72"/>
      <c r="BT125" s="73"/>
      <c r="BU125" s="65"/>
      <c r="BV125" s="78"/>
      <c r="BW125" s="78"/>
      <c r="BX125" s="78"/>
      <c r="BY125" s="78"/>
      <c r="BZ125" s="70"/>
      <c r="CA125" s="110"/>
      <c r="CB125" s="76"/>
      <c r="CC125" s="76"/>
      <c r="CD125" s="76"/>
      <c r="CE125" s="76"/>
      <c r="CF125" s="77"/>
    </row>
    <row r="126" spans="1:84" ht="12" customHeight="1">
      <c r="A126" s="2"/>
      <c r="B126" s="64">
        <v>114</v>
      </c>
      <c r="C126" s="65">
        <v>10</v>
      </c>
      <c r="D126" s="66" t="s">
        <v>8</v>
      </c>
      <c r="E126" s="69" t="s">
        <v>148</v>
      </c>
      <c r="F126" s="70" t="s">
        <v>80</v>
      </c>
      <c r="G126" s="71">
        <v>1004.5073170731708</v>
      </c>
      <c r="H126" s="72">
        <v>441.35609756097563</v>
      </c>
      <c r="I126" s="72">
        <v>563.15121951219521</v>
      </c>
      <c r="J126" s="72">
        <v>0</v>
      </c>
      <c r="K126" s="72"/>
      <c r="L126" s="73"/>
      <c r="M126" s="71">
        <v>2009.0146341463417</v>
      </c>
      <c r="N126" s="72">
        <v>882.71219512195125</v>
      </c>
      <c r="O126" s="72">
        <v>1126.3024390243904</v>
      </c>
      <c r="P126" s="72">
        <v>0</v>
      </c>
      <c r="Q126" s="72"/>
      <c r="R126" s="73"/>
      <c r="S126" s="71">
        <v>437</v>
      </c>
      <c r="T126" s="72">
        <v>421</v>
      </c>
      <c r="U126" s="72">
        <v>435</v>
      </c>
      <c r="V126" s="72">
        <v>440</v>
      </c>
      <c r="W126" s="72">
        <v>436</v>
      </c>
      <c r="X126" s="73">
        <v>453</v>
      </c>
      <c r="Y126" s="71">
        <v>564.79999999999995</v>
      </c>
      <c r="Z126" s="72">
        <v>540</v>
      </c>
      <c r="AA126" s="72">
        <v>568</v>
      </c>
      <c r="AB126" s="72">
        <v>562</v>
      </c>
      <c r="AC126" s="72">
        <v>574</v>
      </c>
      <c r="AD126" s="73">
        <v>580</v>
      </c>
      <c r="AE126" s="71"/>
      <c r="AF126" s="72"/>
      <c r="AG126" s="72"/>
      <c r="AH126" s="72"/>
      <c r="AI126" s="72"/>
      <c r="AJ126" s="73"/>
      <c r="AK126" s="71"/>
      <c r="AL126" s="72"/>
      <c r="AM126" s="72"/>
      <c r="AN126" s="72"/>
      <c r="AO126" s="72"/>
      <c r="AP126" s="73"/>
      <c r="AQ126" s="71"/>
      <c r="AR126" s="72"/>
      <c r="AS126" s="72"/>
      <c r="AT126" s="72"/>
      <c r="AU126" s="72"/>
      <c r="AV126" s="73"/>
      <c r="AW126" s="75">
        <v>-0.2695169091509686</v>
      </c>
      <c r="AX126" s="76">
        <v>-4.331209572463635</v>
      </c>
      <c r="AY126" s="76">
        <v>-0.15005536022999477</v>
      </c>
      <c r="AZ126" s="76">
        <v>-0.24960665099746926</v>
      </c>
      <c r="BA126" s="76">
        <v>0.54680367514228223</v>
      </c>
      <c r="BB126" s="77">
        <v>2.8364833627940289</v>
      </c>
      <c r="BC126" s="71"/>
      <c r="BD126" s="72"/>
      <c r="BE126" s="72"/>
      <c r="BF126" s="72"/>
      <c r="BG126" s="72"/>
      <c r="BH126" s="73"/>
      <c r="BI126" s="71"/>
      <c r="BJ126" s="72"/>
      <c r="BK126" s="72"/>
      <c r="BL126" s="72"/>
      <c r="BM126" s="72"/>
      <c r="BN126" s="73"/>
      <c r="BO126" s="71"/>
      <c r="BP126" s="72"/>
      <c r="BQ126" s="72"/>
      <c r="BR126" s="72"/>
      <c r="BS126" s="72"/>
      <c r="BT126" s="73"/>
      <c r="BU126" s="65"/>
      <c r="BV126" s="78"/>
      <c r="BW126" s="78"/>
      <c r="BX126" s="78"/>
      <c r="BY126" s="78"/>
      <c r="BZ126" s="70"/>
      <c r="CA126" s="110"/>
      <c r="CB126" s="76"/>
      <c r="CC126" s="76"/>
      <c r="CD126" s="76"/>
      <c r="CE126" s="76"/>
      <c r="CF126" s="77"/>
    </row>
    <row r="127" spans="1:84" ht="12" customHeight="1">
      <c r="A127" s="2"/>
      <c r="B127" s="64">
        <v>115</v>
      </c>
      <c r="C127" s="65">
        <v>10</v>
      </c>
      <c r="D127" s="66" t="s">
        <v>8</v>
      </c>
      <c r="E127" s="69" t="s">
        <v>136</v>
      </c>
      <c r="F127" s="70" t="s">
        <v>80</v>
      </c>
      <c r="G127" s="71">
        <v>1004.5073170731708</v>
      </c>
      <c r="H127" s="72">
        <v>441.35609756097563</v>
      </c>
      <c r="I127" s="72">
        <v>563.15121951219521</v>
      </c>
      <c r="J127" s="72">
        <v>0</v>
      </c>
      <c r="K127" s="72"/>
      <c r="L127" s="73"/>
      <c r="M127" s="71">
        <v>2009.0146341463417</v>
      </c>
      <c r="N127" s="72">
        <v>882.71219512195125</v>
      </c>
      <c r="O127" s="72">
        <v>1126.3024390243904</v>
      </c>
      <c r="P127" s="72">
        <v>0</v>
      </c>
      <c r="Q127" s="72"/>
      <c r="R127" s="73"/>
      <c r="S127" s="71">
        <v>442.6</v>
      </c>
      <c r="T127" s="72">
        <v>446</v>
      </c>
      <c r="U127" s="72">
        <v>460</v>
      </c>
      <c r="V127" s="72">
        <v>452</v>
      </c>
      <c r="W127" s="72">
        <v>426</v>
      </c>
      <c r="X127" s="73">
        <v>429</v>
      </c>
      <c r="Y127" s="71">
        <v>573</v>
      </c>
      <c r="Z127" s="72">
        <v>586</v>
      </c>
      <c r="AA127" s="72">
        <v>587</v>
      </c>
      <c r="AB127" s="72">
        <v>566</v>
      </c>
      <c r="AC127" s="72">
        <v>558</v>
      </c>
      <c r="AD127" s="73">
        <v>568</v>
      </c>
      <c r="AE127" s="71"/>
      <c r="AF127" s="72"/>
      <c r="AG127" s="72"/>
      <c r="AH127" s="72"/>
      <c r="AI127" s="72"/>
      <c r="AJ127" s="73"/>
      <c r="AK127" s="71"/>
      <c r="AL127" s="72"/>
      <c r="AM127" s="72"/>
      <c r="AN127" s="72"/>
      <c r="AO127" s="72"/>
      <c r="AP127" s="73"/>
      <c r="AQ127" s="71"/>
      <c r="AR127" s="72"/>
      <c r="AS127" s="72"/>
      <c r="AT127" s="72"/>
      <c r="AU127" s="72"/>
      <c r="AV127" s="73"/>
      <c r="AW127" s="75">
        <v>1.1042909034400861</v>
      </c>
      <c r="AX127" s="76">
        <v>2.7369320720265655</v>
      </c>
      <c r="AY127" s="76">
        <v>4.2302014335385829</v>
      </c>
      <c r="AZ127" s="76">
        <v>1.3432140012820115</v>
      </c>
      <c r="BA127" s="76">
        <v>-2.0415298848118879</v>
      </c>
      <c r="BB127" s="77">
        <v>-0.74736310483480839</v>
      </c>
      <c r="BC127" s="71"/>
      <c r="BD127" s="72"/>
      <c r="BE127" s="72"/>
      <c r="BF127" s="72"/>
      <c r="BG127" s="72"/>
      <c r="BH127" s="73"/>
      <c r="BI127" s="71"/>
      <c r="BJ127" s="72"/>
      <c r="BK127" s="72"/>
      <c r="BL127" s="72"/>
      <c r="BM127" s="72"/>
      <c r="BN127" s="73"/>
      <c r="BO127" s="71"/>
      <c r="BP127" s="72"/>
      <c r="BQ127" s="72"/>
      <c r="BR127" s="72"/>
      <c r="BS127" s="72"/>
      <c r="BT127" s="73"/>
      <c r="BU127" s="65"/>
      <c r="BV127" s="78"/>
      <c r="BW127" s="78"/>
      <c r="BX127" s="78"/>
      <c r="BY127" s="78"/>
      <c r="BZ127" s="70"/>
      <c r="CA127" s="110"/>
      <c r="CB127" s="76"/>
      <c r="CC127" s="76"/>
      <c r="CD127" s="76"/>
      <c r="CE127" s="76"/>
      <c r="CF127" s="77"/>
    </row>
    <row r="128" spans="1:84" ht="12" customHeight="1">
      <c r="A128" s="2"/>
      <c r="B128" s="64">
        <v>116</v>
      </c>
      <c r="C128" s="65">
        <v>10</v>
      </c>
      <c r="D128" s="66" t="s">
        <v>8</v>
      </c>
      <c r="E128" s="69" t="s">
        <v>91</v>
      </c>
      <c r="F128" s="70" t="s">
        <v>80</v>
      </c>
      <c r="G128" s="71">
        <v>1004.5073170731708</v>
      </c>
      <c r="H128" s="72">
        <v>441.35609756097563</v>
      </c>
      <c r="I128" s="72">
        <v>563.15121951219521</v>
      </c>
      <c r="J128" s="72">
        <v>0</v>
      </c>
      <c r="K128" s="72"/>
      <c r="L128" s="73"/>
      <c r="M128" s="71">
        <v>2279.3272195121954</v>
      </c>
      <c r="N128" s="72">
        <v>882.71219512195125</v>
      </c>
      <c r="O128" s="72">
        <v>1396.6150243902441</v>
      </c>
      <c r="P128" s="72">
        <v>0</v>
      </c>
      <c r="Q128" s="72"/>
      <c r="R128" s="73"/>
      <c r="S128" s="71">
        <v>442.2</v>
      </c>
      <c r="T128" s="72">
        <v>438</v>
      </c>
      <c r="U128" s="72">
        <v>426</v>
      </c>
      <c r="V128" s="72">
        <v>442</v>
      </c>
      <c r="W128" s="72">
        <v>449</v>
      </c>
      <c r="X128" s="73">
        <v>456</v>
      </c>
      <c r="Y128" s="71">
        <v>560.4</v>
      </c>
      <c r="Z128" s="72">
        <v>565</v>
      </c>
      <c r="AA128" s="72">
        <v>570</v>
      </c>
      <c r="AB128" s="72">
        <v>559</v>
      </c>
      <c r="AC128" s="72">
        <v>560</v>
      </c>
      <c r="AD128" s="73">
        <v>548</v>
      </c>
      <c r="AE128" s="71"/>
      <c r="AF128" s="72"/>
      <c r="AG128" s="72"/>
      <c r="AH128" s="72"/>
      <c r="AI128" s="72"/>
      <c r="AJ128" s="73"/>
      <c r="AK128" s="71"/>
      <c r="AL128" s="72"/>
      <c r="AM128" s="72"/>
      <c r="AN128" s="72"/>
      <c r="AO128" s="72"/>
      <c r="AP128" s="73"/>
      <c r="AQ128" s="71"/>
      <c r="AR128" s="72"/>
      <c r="AS128" s="72"/>
      <c r="AT128" s="72"/>
      <c r="AU128" s="72"/>
      <c r="AV128" s="73"/>
      <c r="AW128" s="75">
        <v>-0.18987587653699345</v>
      </c>
      <c r="AX128" s="76">
        <v>-0.15005536022999477</v>
      </c>
      <c r="AY128" s="76">
        <v>-0.84691439560227177</v>
      </c>
      <c r="AZ128" s="76">
        <v>-0.34915794176493264</v>
      </c>
      <c r="BA128" s="76">
        <v>0.44725238437479664</v>
      </c>
      <c r="BB128" s="77">
        <v>-5.0504069462531387E-2</v>
      </c>
      <c r="BC128" s="71">
        <v>879</v>
      </c>
      <c r="BD128" s="72">
        <v>836</v>
      </c>
      <c r="BE128" s="72">
        <v>912</v>
      </c>
      <c r="BF128" s="72">
        <v>914</v>
      </c>
      <c r="BG128" s="72">
        <v>841</v>
      </c>
      <c r="BH128" s="73">
        <v>892</v>
      </c>
      <c r="BI128" s="71">
        <v>1383.4</v>
      </c>
      <c r="BJ128" s="72">
        <v>1375</v>
      </c>
      <c r="BK128" s="72">
        <v>1349</v>
      </c>
      <c r="BL128" s="72">
        <v>1351</v>
      </c>
      <c r="BM128" s="72">
        <v>1478</v>
      </c>
      <c r="BN128" s="73">
        <v>1364</v>
      </c>
      <c r="BO128" s="71"/>
      <c r="BP128" s="72"/>
      <c r="BQ128" s="72"/>
      <c r="BR128" s="72"/>
      <c r="BS128" s="72"/>
      <c r="BT128" s="73"/>
      <c r="BU128" s="65"/>
      <c r="BV128" s="78"/>
      <c r="BW128" s="78"/>
      <c r="BX128" s="78"/>
      <c r="BY128" s="78"/>
      <c r="BZ128" s="70"/>
      <c r="CA128" s="110">
        <v>-0.74264104632673078</v>
      </c>
      <c r="CB128" s="76">
        <v>-2.9976924299100038</v>
      </c>
      <c r="CC128" s="76">
        <v>-0.80406267934262088</v>
      </c>
      <c r="CD128" s="76">
        <v>-0.62857229929722536</v>
      </c>
      <c r="CE128" s="76">
        <v>1.7405478313155642</v>
      </c>
      <c r="CF128" s="77">
        <v>-1.023425654399357</v>
      </c>
    </row>
    <row r="129" spans="1:84" ht="12" customHeight="1">
      <c r="A129" s="2"/>
      <c r="B129" s="64">
        <v>117</v>
      </c>
      <c r="C129" s="65">
        <v>10</v>
      </c>
      <c r="D129" s="66" t="s">
        <v>8</v>
      </c>
      <c r="E129" s="69" t="s">
        <v>144</v>
      </c>
      <c r="F129" s="70" t="s">
        <v>80</v>
      </c>
      <c r="G129" s="71">
        <v>1567.6585365853662</v>
      </c>
      <c r="H129" s="72">
        <v>441.35609756097563</v>
      </c>
      <c r="I129" s="72">
        <v>563.15121951219521</v>
      </c>
      <c r="J129" s="72">
        <v>563.15121951219521</v>
      </c>
      <c r="K129" s="72"/>
      <c r="L129" s="73"/>
      <c r="M129" s="71">
        <v>3135.3170731707323</v>
      </c>
      <c r="N129" s="72">
        <v>882.71219512195125</v>
      </c>
      <c r="O129" s="72">
        <v>1126.3024390243904</v>
      </c>
      <c r="P129" s="72">
        <v>1126.3024390243904</v>
      </c>
      <c r="Q129" s="72"/>
      <c r="R129" s="73"/>
      <c r="S129" s="71">
        <v>434.8</v>
      </c>
      <c r="T129" s="72">
        <v>449</v>
      </c>
      <c r="U129" s="72">
        <v>425</v>
      </c>
      <c r="V129" s="72">
        <v>430</v>
      </c>
      <c r="W129" s="72">
        <v>437</v>
      </c>
      <c r="X129" s="73">
        <v>433</v>
      </c>
      <c r="Y129" s="71">
        <v>566.20000000000005</v>
      </c>
      <c r="Z129" s="72">
        <v>568</v>
      </c>
      <c r="AA129" s="72">
        <v>578</v>
      </c>
      <c r="AB129" s="72">
        <v>580</v>
      </c>
      <c r="AC129" s="72">
        <v>545</v>
      </c>
      <c r="AD129" s="73">
        <v>560</v>
      </c>
      <c r="AE129" s="71">
        <v>554.79999999999995</v>
      </c>
      <c r="AF129" s="72">
        <v>543</v>
      </c>
      <c r="AG129" s="72">
        <v>568</v>
      </c>
      <c r="AH129" s="72">
        <v>568</v>
      </c>
      <c r="AI129" s="72">
        <v>553</v>
      </c>
      <c r="AJ129" s="73">
        <v>542</v>
      </c>
      <c r="AK129" s="71"/>
      <c r="AL129" s="72"/>
      <c r="AM129" s="72"/>
      <c r="AN129" s="72"/>
      <c r="AO129" s="72"/>
      <c r="AP129" s="73"/>
      <c r="AQ129" s="71"/>
      <c r="AR129" s="72"/>
      <c r="AS129" s="72"/>
      <c r="AT129" s="72"/>
      <c r="AU129" s="72"/>
      <c r="AV129" s="73"/>
      <c r="AW129" s="75">
        <v>-0.75644895292032999</v>
      </c>
      <c r="AX129" s="76">
        <v>-0.4885334660982843</v>
      </c>
      <c r="AY129" s="76">
        <v>0.21314995176897611</v>
      </c>
      <c r="AZ129" s="76">
        <v>0.65967576313903376</v>
      </c>
      <c r="BA129" s="76">
        <v>-2.0832685067056822</v>
      </c>
      <c r="BB129" s="77">
        <v>-2.0832685067056822</v>
      </c>
      <c r="BC129" s="71"/>
      <c r="BD129" s="72"/>
      <c r="BE129" s="72"/>
      <c r="BF129" s="72"/>
      <c r="BG129" s="72"/>
      <c r="BH129" s="73"/>
      <c r="BI129" s="71"/>
      <c r="BJ129" s="72"/>
      <c r="BK129" s="72"/>
      <c r="BL129" s="72"/>
      <c r="BM129" s="72"/>
      <c r="BN129" s="73"/>
      <c r="BO129" s="71"/>
      <c r="BP129" s="72"/>
      <c r="BQ129" s="72"/>
      <c r="BR129" s="72"/>
      <c r="BS129" s="72"/>
      <c r="BT129" s="73"/>
      <c r="BU129" s="65"/>
      <c r="BV129" s="78"/>
      <c r="BW129" s="78"/>
      <c r="BX129" s="78"/>
      <c r="BY129" s="78"/>
      <c r="BZ129" s="70"/>
      <c r="CA129" s="110"/>
      <c r="CB129" s="76"/>
      <c r="CC129" s="76"/>
      <c r="CD129" s="76"/>
      <c r="CE129" s="76"/>
      <c r="CF129" s="77"/>
    </row>
    <row r="130" spans="1:84" ht="12" customHeight="1">
      <c r="A130" s="2"/>
      <c r="B130" s="64">
        <v>118</v>
      </c>
      <c r="C130" s="65">
        <v>10</v>
      </c>
      <c r="D130" s="66" t="s">
        <v>8</v>
      </c>
      <c r="E130" s="69" t="s">
        <v>92</v>
      </c>
      <c r="F130" s="70" t="s">
        <v>80</v>
      </c>
      <c r="G130" s="71">
        <v>1205.408780487805</v>
      </c>
      <c r="H130" s="72">
        <v>529.62731707317073</v>
      </c>
      <c r="I130" s="72">
        <v>675.78146341463423</v>
      </c>
      <c r="J130" s="72">
        <v>0</v>
      </c>
      <c r="K130" s="72"/>
      <c r="L130" s="73"/>
      <c r="M130" s="71">
        <v>3013.5219512195126</v>
      </c>
      <c r="N130" s="72">
        <v>1324.0682926829268</v>
      </c>
      <c r="O130" s="72">
        <v>1689.4536585365856</v>
      </c>
      <c r="P130" s="72">
        <v>0</v>
      </c>
      <c r="Q130" s="72"/>
      <c r="R130" s="73"/>
      <c r="S130" s="71">
        <v>536</v>
      </c>
      <c r="T130" s="72">
        <v>547</v>
      </c>
      <c r="U130" s="72">
        <v>514</v>
      </c>
      <c r="V130" s="72">
        <v>553</v>
      </c>
      <c r="W130" s="72">
        <v>537</v>
      </c>
      <c r="X130" s="73">
        <v>529</v>
      </c>
      <c r="Y130" s="71">
        <v>672.2</v>
      </c>
      <c r="Z130" s="72">
        <v>676</v>
      </c>
      <c r="AA130" s="72">
        <v>698</v>
      </c>
      <c r="AB130" s="72">
        <v>657</v>
      </c>
      <c r="AC130" s="72">
        <v>664</v>
      </c>
      <c r="AD130" s="73">
        <v>666</v>
      </c>
      <c r="AE130" s="71"/>
      <c r="AF130" s="72"/>
      <c r="AG130" s="72"/>
      <c r="AH130" s="72"/>
      <c r="AI130" s="72"/>
      <c r="AJ130" s="73"/>
      <c r="AK130" s="71"/>
      <c r="AL130" s="72"/>
      <c r="AM130" s="72"/>
      <c r="AN130" s="72"/>
      <c r="AO130" s="72"/>
      <c r="AP130" s="73"/>
      <c r="AQ130" s="71"/>
      <c r="AR130" s="72"/>
      <c r="AS130" s="72"/>
      <c r="AT130" s="72"/>
      <c r="AU130" s="72"/>
      <c r="AV130" s="73"/>
      <c r="AW130" s="75">
        <v>0.23155792104530004</v>
      </c>
      <c r="AX130" s="76">
        <v>1.4593571738440669</v>
      </c>
      <c r="AY130" s="76">
        <v>0.54680367514228223</v>
      </c>
      <c r="AZ130" s="76">
        <v>0.38088485719649512</v>
      </c>
      <c r="BA130" s="76">
        <v>-0.36574982355950247</v>
      </c>
      <c r="BB130" s="77">
        <v>-0.8635062773968416</v>
      </c>
      <c r="BC130" s="71">
        <v>1308.2</v>
      </c>
      <c r="BD130" s="72">
        <v>1303</v>
      </c>
      <c r="BE130" s="72">
        <v>1382</v>
      </c>
      <c r="BF130" s="72">
        <v>1368</v>
      </c>
      <c r="BG130" s="72">
        <v>1252</v>
      </c>
      <c r="BH130" s="73">
        <v>1236</v>
      </c>
      <c r="BI130" s="71">
        <v>1699</v>
      </c>
      <c r="BJ130" s="72">
        <v>1737</v>
      </c>
      <c r="BK130" s="72">
        <v>1707</v>
      </c>
      <c r="BL130" s="72">
        <v>1651</v>
      </c>
      <c r="BM130" s="72">
        <v>1674</v>
      </c>
      <c r="BN130" s="73">
        <v>1726</v>
      </c>
      <c r="BO130" s="71"/>
      <c r="BP130" s="72"/>
      <c r="BQ130" s="72"/>
      <c r="BR130" s="72"/>
      <c r="BS130" s="72"/>
      <c r="BT130" s="73"/>
      <c r="BU130" s="65"/>
      <c r="BV130" s="78"/>
      <c r="BW130" s="78"/>
      <c r="BX130" s="78"/>
      <c r="BY130" s="78"/>
      <c r="BZ130" s="70"/>
      <c r="CA130" s="110">
        <v>-0.20978613469049279</v>
      </c>
      <c r="CB130" s="76">
        <v>0.87864131103383425</v>
      </c>
      <c r="CC130" s="76">
        <v>2.5046457269024769</v>
      </c>
      <c r="CD130" s="76">
        <v>0.18178227566154614</v>
      </c>
      <c r="CE130" s="76">
        <v>-2.9043077381299409</v>
      </c>
      <c r="CF130" s="77">
        <v>-1.7096922489203248</v>
      </c>
    </row>
    <row r="131" spans="1:84" ht="12" customHeight="1">
      <c r="A131" s="2"/>
      <c r="B131" s="64">
        <v>119</v>
      </c>
      <c r="C131" s="65">
        <v>10</v>
      </c>
      <c r="D131" s="66" t="s">
        <v>8</v>
      </c>
      <c r="E131" s="69" t="s">
        <v>138</v>
      </c>
      <c r="F131" s="70" t="s">
        <v>80</v>
      </c>
      <c r="G131" s="71">
        <v>1567.6585365853662</v>
      </c>
      <c r="H131" s="72">
        <v>441.35609756097563</v>
      </c>
      <c r="I131" s="72">
        <v>563.15121951219521</v>
      </c>
      <c r="J131" s="72">
        <v>563.15121951219521</v>
      </c>
      <c r="K131" s="72"/>
      <c r="L131" s="73"/>
      <c r="M131" s="71">
        <v>3135.3170731707323</v>
      </c>
      <c r="N131" s="72">
        <v>882.71219512195125</v>
      </c>
      <c r="O131" s="72">
        <v>1126.3024390243904</v>
      </c>
      <c r="P131" s="72">
        <v>1126.3024390243904</v>
      </c>
      <c r="Q131" s="72"/>
      <c r="R131" s="73"/>
      <c r="S131" s="71">
        <v>434.8</v>
      </c>
      <c r="T131" s="72">
        <v>449</v>
      </c>
      <c r="U131" s="72">
        <v>425</v>
      </c>
      <c r="V131" s="72">
        <v>430</v>
      </c>
      <c r="W131" s="72">
        <v>437</v>
      </c>
      <c r="X131" s="73">
        <v>433</v>
      </c>
      <c r="Y131" s="71">
        <v>566.20000000000005</v>
      </c>
      <c r="Z131" s="72">
        <v>568</v>
      </c>
      <c r="AA131" s="72">
        <v>578</v>
      </c>
      <c r="AB131" s="72">
        <v>580</v>
      </c>
      <c r="AC131" s="72">
        <v>545</v>
      </c>
      <c r="AD131" s="73">
        <v>560</v>
      </c>
      <c r="AE131" s="71">
        <v>554.79999999999995</v>
      </c>
      <c r="AF131" s="72">
        <v>543</v>
      </c>
      <c r="AG131" s="72">
        <v>568</v>
      </c>
      <c r="AH131" s="72">
        <v>568</v>
      </c>
      <c r="AI131" s="72">
        <v>553</v>
      </c>
      <c r="AJ131" s="73">
        <v>542</v>
      </c>
      <c r="AK131" s="71"/>
      <c r="AL131" s="72"/>
      <c r="AM131" s="72"/>
      <c r="AN131" s="72"/>
      <c r="AO131" s="72"/>
      <c r="AP131" s="73"/>
      <c r="AQ131" s="71"/>
      <c r="AR131" s="72"/>
      <c r="AS131" s="72"/>
      <c r="AT131" s="72"/>
      <c r="AU131" s="72"/>
      <c r="AV131" s="73"/>
      <c r="AW131" s="75">
        <v>-0.75644895292032999</v>
      </c>
      <c r="AX131" s="76">
        <v>-0.4885334660982843</v>
      </c>
      <c r="AY131" s="76">
        <v>0.21314995176897611</v>
      </c>
      <c r="AZ131" s="76">
        <v>0.65967576313903376</v>
      </c>
      <c r="BA131" s="76">
        <v>-2.0832685067056822</v>
      </c>
      <c r="BB131" s="77">
        <v>-2.0832685067056822</v>
      </c>
      <c r="BC131" s="71"/>
      <c r="BD131" s="72"/>
      <c r="BE131" s="72"/>
      <c r="BF131" s="72"/>
      <c r="BG131" s="72"/>
      <c r="BH131" s="73"/>
      <c r="BI131" s="71"/>
      <c r="BJ131" s="72"/>
      <c r="BK131" s="72"/>
      <c r="BL131" s="72"/>
      <c r="BM131" s="72"/>
      <c r="BN131" s="73"/>
      <c r="BO131" s="71"/>
      <c r="BP131" s="72"/>
      <c r="BQ131" s="72"/>
      <c r="BR131" s="72"/>
      <c r="BS131" s="72"/>
      <c r="BT131" s="73"/>
      <c r="BU131" s="65"/>
      <c r="BV131" s="78"/>
      <c r="BW131" s="78"/>
      <c r="BX131" s="78"/>
      <c r="BY131" s="78"/>
      <c r="BZ131" s="70"/>
      <c r="CA131" s="110"/>
      <c r="CB131" s="76"/>
      <c r="CC131" s="76"/>
      <c r="CD131" s="76"/>
      <c r="CE131" s="76"/>
      <c r="CF131" s="77"/>
    </row>
    <row r="132" spans="1:84" ht="12" customHeight="1">
      <c r="A132" s="2"/>
      <c r="B132" s="64">
        <v>120</v>
      </c>
      <c r="C132" s="65">
        <v>10</v>
      </c>
      <c r="D132" s="66" t="s">
        <v>8</v>
      </c>
      <c r="E132" s="69" t="s">
        <v>139</v>
      </c>
      <c r="F132" s="70" t="s">
        <v>80</v>
      </c>
      <c r="G132" s="71">
        <v>1205.408780487805</v>
      </c>
      <c r="H132" s="72">
        <v>529.62731707317073</v>
      </c>
      <c r="I132" s="72">
        <v>675.78146341463423</v>
      </c>
      <c r="J132" s="72">
        <v>0</v>
      </c>
      <c r="K132" s="72"/>
      <c r="L132" s="73"/>
      <c r="M132" s="71">
        <v>3013.5219512195126</v>
      </c>
      <c r="N132" s="72">
        <v>1324.0682926829268</v>
      </c>
      <c r="O132" s="72">
        <v>1689.4536585365856</v>
      </c>
      <c r="P132" s="72">
        <v>0</v>
      </c>
      <c r="Q132" s="72"/>
      <c r="R132" s="73"/>
      <c r="S132" s="71">
        <v>536</v>
      </c>
      <c r="T132" s="72">
        <v>547</v>
      </c>
      <c r="U132" s="72">
        <v>514</v>
      </c>
      <c r="V132" s="72">
        <v>553</v>
      </c>
      <c r="W132" s="72">
        <v>537</v>
      </c>
      <c r="X132" s="73">
        <v>529</v>
      </c>
      <c r="Y132" s="71">
        <v>672.2</v>
      </c>
      <c r="Z132" s="72">
        <v>676</v>
      </c>
      <c r="AA132" s="72">
        <v>698</v>
      </c>
      <c r="AB132" s="72">
        <v>657</v>
      </c>
      <c r="AC132" s="72">
        <v>664</v>
      </c>
      <c r="AD132" s="73">
        <v>666</v>
      </c>
      <c r="AE132" s="71"/>
      <c r="AF132" s="72"/>
      <c r="AG132" s="72"/>
      <c r="AH132" s="72"/>
      <c r="AI132" s="72"/>
      <c r="AJ132" s="73"/>
      <c r="AK132" s="71"/>
      <c r="AL132" s="72"/>
      <c r="AM132" s="72"/>
      <c r="AN132" s="72"/>
      <c r="AO132" s="72"/>
      <c r="AP132" s="73"/>
      <c r="AQ132" s="71"/>
      <c r="AR132" s="72"/>
      <c r="AS132" s="72"/>
      <c r="AT132" s="72"/>
      <c r="AU132" s="72"/>
      <c r="AV132" s="73"/>
      <c r="AW132" s="75">
        <v>0.23155792104530004</v>
      </c>
      <c r="AX132" s="76">
        <v>1.4593571738440669</v>
      </c>
      <c r="AY132" s="76">
        <v>0.54680367514228223</v>
      </c>
      <c r="AZ132" s="76">
        <v>0.38088485719649512</v>
      </c>
      <c r="BA132" s="76">
        <v>-0.36574982355950247</v>
      </c>
      <c r="BB132" s="77">
        <v>-0.8635062773968416</v>
      </c>
      <c r="BC132" s="71">
        <v>1308.2</v>
      </c>
      <c r="BD132" s="72">
        <v>1303</v>
      </c>
      <c r="BE132" s="72">
        <v>1382</v>
      </c>
      <c r="BF132" s="72">
        <v>1368</v>
      </c>
      <c r="BG132" s="72">
        <v>1252</v>
      </c>
      <c r="BH132" s="73">
        <v>1236</v>
      </c>
      <c r="BI132" s="71">
        <v>1699</v>
      </c>
      <c r="BJ132" s="72">
        <v>1737</v>
      </c>
      <c r="BK132" s="72">
        <v>1707</v>
      </c>
      <c r="BL132" s="72">
        <v>1651</v>
      </c>
      <c r="BM132" s="72">
        <v>1674</v>
      </c>
      <c r="BN132" s="73">
        <v>1726</v>
      </c>
      <c r="BO132" s="71"/>
      <c r="BP132" s="72"/>
      <c r="BQ132" s="72"/>
      <c r="BR132" s="72"/>
      <c r="BS132" s="72"/>
      <c r="BT132" s="73"/>
      <c r="BU132" s="65"/>
      <c r="BV132" s="78"/>
      <c r="BW132" s="78"/>
      <c r="BX132" s="78"/>
      <c r="BY132" s="78"/>
      <c r="BZ132" s="70"/>
      <c r="CA132" s="110">
        <v>-0.20978613469049279</v>
      </c>
      <c r="CB132" s="76">
        <v>0.87864131103383425</v>
      </c>
      <c r="CC132" s="76">
        <v>2.5046457269024769</v>
      </c>
      <c r="CD132" s="76">
        <v>0.18178227566154614</v>
      </c>
      <c r="CE132" s="76">
        <v>-2.9043077381299409</v>
      </c>
      <c r="CF132" s="77">
        <v>-1.7096922489203248</v>
      </c>
    </row>
    <row r="133" spans="1:84" ht="12" customHeight="1">
      <c r="A133" s="2"/>
      <c r="B133" s="64">
        <v>121</v>
      </c>
      <c r="C133" s="65">
        <v>10</v>
      </c>
      <c r="D133" s="66" t="s">
        <v>8</v>
      </c>
      <c r="E133" s="69" t="s">
        <v>141</v>
      </c>
      <c r="F133" s="70" t="s">
        <v>80</v>
      </c>
      <c r="G133" s="71">
        <v>1567.6585365853662</v>
      </c>
      <c r="H133" s="72">
        <v>441.35609756097563</v>
      </c>
      <c r="I133" s="72">
        <v>563.15121951219521</v>
      </c>
      <c r="J133" s="72">
        <v>563.15121951219521</v>
      </c>
      <c r="K133" s="72"/>
      <c r="L133" s="73"/>
      <c r="M133" s="71">
        <v>3675.9422439024393</v>
      </c>
      <c r="N133" s="72">
        <v>882.71219512195125</v>
      </c>
      <c r="O133" s="72">
        <v>1396.6150243902441</v>
      </c>
      <c r="P133" s="72">
        <v>1396.6150243902441</v>
      </c>
      <c r="Q133" s="72"/>
      <c r="R133" s="73"/>
      <c r="S133" s="71">
        <v>449.6</v>
      </c>
      <c r="T133" s="72">
        <v>466</v>
      </c>
      <c r="U133" s="72">
        <v>449</v>
      </c>
      <c r="V133" s="72">
        <v>449</v>
      </c>
      <c r="W133" s="72">
        <v>424</v>
      </c>
      <c r="X133" s="73">
        <v>460</v>
      </c>
      <c r="Y133" s="71">
        <v>549.6</v>
      </c>
      <c r="Z133" s="72">
        <v>517</v>
      </c>
      <c r="AA133" s="72">
        <v>554</v>
      </c>
      <c r="AB133" s="72">
        <v>537</v>
      </c>
      <c r="AC133" s="72">
        <v>568</v>
      </c>
      <c r="AD133" s="73">
        <v>572</v>
      </c>
      <c r="AE133" s="71">
        <v>541</v>
      </c>
      <c r="AF133" s="72">
        <v>524</v>
      </c>
      <c r="AG133" s="72">
        <v>537</v>
      </c>
      <c r="AH133" s="72">
        <v>524</v>
      </c>
      <c r="AI133" s="72">
        <v>540</v>
      </c>
      <c r="AJ133" s="73">
        <v>580</v>
      </c>
      <c r="AK133" s="71"/>
      <c r="AL133" s="72"/>
      <c r="AM133" s="72"/>
      <c r="AN133" s="72"/>
      <c r="AO133" s="72"/>
      <c r="AP133" s="73"/>
      <c r="AQ133" s="71"/>
      <c r="AR133" s="72"/>
      <c r="AS133" s="72"/>
      <c r="AT133" s="72"/>
      <c r="AU133" s="72"/>
      <c r="AV133" s="73"/>
      <c r="AW133" s="75">
        <v>-1.7515636182593441</v>
      </c>
      <c r="AX133" s="76">
        <v>-3.8693717521859683</v>
      </c>
      <c r="AY133" s="76">
        <v>-1.7643214985842093</v>
      </c>
      <c r="AZ133" s="76">
        <v>-3.6780035473130801</v>
      </c>
      <c r="BA133" s="76">
        <v>-2.2746367115785704</v>
      </c>
      <c r="BB133" s="77">
        <v>2.8285154183651073</v>
      </c>
      <c r="BC133" s="71">
        <v>883.6</v>
      </c>
      <c r="BD133" s="72">
        <v>860</v>
      </c>
      <c r="BE133" s="72">
        <v>909</v>
      </c>
      <c r="BF133" s="72">
        <v>909</v>
      </c>
      <c r="BG133" s="72">
        <v>832</v>
      </c>
      <c r="BH133" s="73">
        <v>908</v>
      </c>
      <c r="BI133" s="71">
        <v>1419.2</v>
      </c>
      <c r="BJ133" s="72">
        <v>1396</v>
      </c>
      <c r="BK133" s="72">
        <v>1456</v>
      </c>
      <c r="BL133" s="72">
        <v>1415</v>
      </c>
      <c r="BM133" s="72">
        <v>1420</v>
      </c>
      <c r="BN133" s="73">
        <v>1409</v>
      </c>
      <c r="BO133" s="71">
        <v>1374.2</v>
      </c>
      <c r="BP133" s="72">
        <v>1318</v>
      </c>
      <c r="BQ133" s="72">
        <v>1451</v>
      </c>
      <c r="BR133" s="72">
        <v>1358</v>
      </c>
      <c r="BS133" s="72">
        <v>1332</v>
      </c>
      <c r="BT133" s="73">
        <v>1412</v>
      </c>
      <c r="BU133" s="65"/>
      <c r="BV133" s="78"/>
      <c r="BW133" s="78"/>
      <c r="BX133" s="78"/>
      <c r="BY133" s="78"/>
      <c r="BZ133" s="70"/>
      <c r="CA133" s="110">
        <v>2.877510111360948E-2</v>
      </c>
      <c r="CB133" s="76">
        <v>-2.7732275737340162</v>
      </c>
      <c r="CC133" s="76">
        <v>3.8101185166846685</v>
      </c>
      <c r="CD133" s="76">
        <v>0.16479464843630609</v>
      </c>
      <c r="CE133" s="76">
        <v>-2.5011884790886119</v>
      </c>
      <c r="CF133" s="77">
        <v>1.4433783932696898</v>
      </c>
    </row>
    <row r="134" spans="1:84" ht="12" customHeight="1">
      <c r="A134" s="2"/>
      <c r="B134" s="64">
        <v>122</v>
      </c>
      <c r="C134" s="65">
        <v>10</v>
      </c>
      <c r="D134" s="66" t="s">
        <v>8</v>
      </c>
      <c r="E134" s="69" t="s">
        <v>98</v>
      </c>
      <c r="F134" s="70" t="s">
        <v>80</v>
      </c>
      <c r="G134" s="71">
        <v>1205.408780487805</v>
      </c>
      <c r="H134" s="72">
        <v>529.62731707317073</v>
      </c>
      <c r="I134" s="72">
        <v>675.78146341463423</v>
      </c>
      <c r="J134" s="72">
        <v>0</v>
      </c>
      <c r="K134" s="72"/>
      <c r="L134" s="73"/>
      <c r="M134" s="71">
        <v>3418.9908292682931</v>
      </c>
      <c r="N134" s="72">
        <v>1324.0682926829268</v>
      </c>
      <c r="O134" s="72">
        <v>2094.9225365853663</v>
      </c>
      <c r="P134" s="72">
        <v>0</v>
      </c>
      <c r="Q134" s="72"/>
      <c r="R134" s="73"/>
      <c r="S134" s="71">
        <v>527</v>
      </c>
      <c r="T134" s="72">
        <v>534</v>
      </c>
      <c r="U134" s="72">
        <v>534</v>
      </c>
      <c r="V134" s="72">
        <v>518</v>
      </c>
      <c r="W134" s="72">
        <v>536</v>
      </c>
      <c r="X134" s="73">
        <v>513</v>
      </c>
      <c r="Y134" s="71">
        <v>684.2</v>
      </c>
      <c r="Z134" s="72">
        <v>687</v>
      </c>
      <c r="AA134" s="72">
        <v>662</v>
      </c>
      <c r="AB134" s="72">
        <v>690</v>
      </c>
      <c r="AC134" s="72">
        <v>679</v>
      </c>
      <c r="AD134" s="73">
        <v>703</v>
      </c>
      <c r="AE134" s="71"/>
      <c r="AF134" s="72"/>
      <c r="AG134" s="72"/>
      <c r="AH134" s="72"/>
      <c r="AI134" s="72"/>
      <c r="AJ134" s="73"/>
      <c r="AK134" s="71"/>
      <c r="AL134" s="72"/>
      <c r="AM134" s="72"/>
      <c r="AN134" s="72"/>
      <c r="AO134" s="72"/>
      <c r="AP134" s="73"/>
      <c r="AQ134" s="71"/>
      <c r="AR134" s="72"/>
      <c r="AS134" s="72"/>
      <c r="AT134" s="72"/>
      <c r="AU134" s="72"/>
      <c r="AV134" s="73"/>
      <c r="AW134" s="75">
        <v>0.48043614796398071</v>
      </c>
      <c r="AX134" s="76">
        <v>1.2934383558982798</v>
      </c>
      <c r="AY134" s="76">
        <v>-0.78054686842395915</v>
      </c>
      <c r="AZ134" s="76">
        <v>0.21496603925073021</v>
      </c>
      <c r="BA134" s="76">
        <v>0.79568190206094069</v>
      </c>
      <c r="BB134" s="77">
        <v>0.87864131103383425</v>
      </c>
      <c r="BC134" s="71">
        <v>1348.8</v>
      </c>
      <c r="BD134" s="72">
        <v>1319</v>
      </c>
      <c r="BE134" s="72">
        <v>1362</v>
      </c>
      <c r="BF134" s="72">
        <v>1393</v>
      </c>
      <c r="BG134" s="72">
        <v>1376</v>
      </c>
      <c r="BH134" s="73">
        <v>1294</v>
      </c>
      <c r="BI134" s="71">
        <v>2074.4</v>
      </c>
      <c r="BJ134" s="72">
        <v>2011</v>
      </c>
      <c r="BK134" s="72">
        <v>2100</v>
      </c>
      <c r="BL134" s="72">
        <v>2092</v>
      </c>
      <c r="BM134" s="72">
        <v>2176</v>
      </c>
      <c r="BN134" s="73">
        <v>1993</v>
      </c>
      <c r="BO134" s="71"/>
      <c r="BP134" s="72"/>
      <c r="BQ134" s="72"/>
      <c r="BR134" s="72"/>
      <c r="BS134" s="72"/>
      <c r="BT134" s="73"/>
      <c r="BU134" s="65"/>
      <c r="BV134" s="78"/>
      <c r="BW134" s="78"/>
      <c r="BX134" s="78"/>
      <c r="BY134" s="78"/>
      <c r="BZ134" s="70"/>
      <c r="CA134" s="110">
        <v>0.12311149523052123</v>
      </c>
      <c r="CB134" s="76">
        <v>-2.6028390748078833</v>
      </c>
      <c r="CC134" s="76">
        <v>1.2579492861907182</v>
      </c>
      <c r="CD134" s="76">
        <v>1.9306624096980585</v>
      </c>
      <c r="CE134" s="76">
        <v>3.8903049868715955</v>
      </c>
      <c r="CF134" s="77">
        <v>-3.8605201317998494</v>
      </c>
    </row>
    <row r="135" spans="1:84" ht="12" customHeight="1">
      <c r="A135" s="2"/>
      <c r="B135" s="64">
        <v>123</v>
      </c>
      <c r="C135" s="65">
        <v>10</v>
      </c>
      <c r="D135" s="66" t="s">
        <v>8</v>
      </c>
      <c r="E135" s="69" t="s">
        <v>150</v>
      </c>
      <c r="F135" s="70" t="s">
        <v>80</v>
      </c>
      <c r="G135" s="71">
        <v>1567.6585365853662</v>
      </c>
      <c r="H135" s="72">
        <v>441.35609756097563</v>
      </c>
      <c r="I135" s="72">
        <v>563.15121951219521</v>
      </c>
      <c r="J135" s="72">
        <v>563.15121951219521</v>
      </c>
      <c r="K135" s="72"/>
      <c r="L135" s="73"/>
      <c r="M135" s="71">
        <v>3135.3170731707323</v>
      </c>
      <c r="N135" s="72">
        <v>882.71219512195125</v>
      </c>
      <c r="O135" s="72">
        <v>1126.3024390243904</v>
      </c>
      <c r="P135" s="72">
        <v>1126.3024390243904</v>
      </c>
      <c r="Q135" s="72"/>
      <c r="R135" s="73"/>
      <c r="S135" s="71">
        <v>440.4</v>
      </c>
      <c r="T135" s="72">
        <v>435</v>
      </c>
      <c r="U135" s="72">
        <v>443</v>
      </c>
      <c r="V135" s="72">
        <v>428</v>
      </c>
      <c r="W135" s="72">
        <v>438</v>
      </c>
      <c r="X135" s="73">
        <v>458</v>
      </c>
      <c r="Y135" s="71">
        <v>552.20000000000005</v>
      </c>
      <c r="Z135" s="72">
        <v>552</v>
      </c>
      <c r="AA135" s="72">
        <v>541</v>
      </c>
      <c r="AB135" s="72">
        <v>566</v>
      </c>
      <c r="AC135" s="72">
        <v>547</v>
      </c>
      <c r="AD135" s="73">
        <v>555</v>
      </c>
      <c r="AE135" s="71">
        <v>575.79999999999995</v>
      </c>
      <c r="AF135" s="72">
        <v>564</v>
      </c>
      <c r="AG135" s="72">
        <v>556</v>
      </c>
      <c r="AH135" s="72">
        <v>581</v>
      </c>
      <c r="AI135" s="72">
        <v>598</v>
      </c>
      <c r="AJ135" s="73">
        <v>580</v>
      </c>
      <c r="AK135" s="71"/>
      <c r="AL135" s="72"/>
      <c r="AM135" s="72"/>
      <c r="AN135" s="72"/>
      <c r="AO135" s="72"/>
      <c r="AP135" s="73"/>
      <c r="AQ135" s="71"/>
      <c r="AR135" s="72"/>
      <c r="AS135" s="72"/>
      <c r="AT135" s="72"/>
      <c r="AU135" s="72"/>
      <c r="AV135" s="73"/>
      <c r="AW135" s="75">
        <v>4.729750754579598E-2</v>
      </c>
      <c r="AX135" s="76">
        <v>-1.0626380807169489</v>
      </c>
      <c r="AY135" s="76">
        <v>-1.7643214985842093</v>
      </c>
      <c r="AZ135" s="76">
        <v>0.46830755826614556</v>
      </c>
      <c r="BA135" s="76">
        <v>0.97862277126052888</v>
      </c>
      <c r="BB135" s="77">
        <v>1.6165167875034747</v>
      </c>
      <c r="BC135" s="71"/>
      <c r="BD135" s="72"/>
      <c r="BE135" s="72"/>
      <c r="BF135" s="72"/>
      <c r="BG135" s="72"/>
      <c r="BH135" s="73"/>
      <c r="BI135" s="71"/>
      <c r="BJ135" s="72"/>
      <c r="BK135" s="72"/>
      <c r="BL135" s="72"/>
      <c r="BM135" s="72"/>
      <c r="BN135" s="73"/>
      <c r="BO135" s="71"/>
      <c r="BP135" s="72"/>
      <c r="BQ135" s="72"/>
      <c r="BR135" s="72"/>
      <c r="BS135" s="72"/>
      <c r="BT135" s="73"/>
      <c r="BU135" s="65"/>
      <c r="BV135" s="78"/>
      <c r="BW135" s="78"/>
      <c r="BX135" s="78"/>
      <c r="BY135" s="78"/>
      <c r="BZ135" s="70"/>
      <c r="CA135" s="110"/>
      <c r="CB135" s="76"/>
      <c r="CC135" s="76"/>
      <c r="CD135" s="76"/>
      <c r="CE135" s="76"/>
      <c r="CF135" s="77"/>
    </row>
    <row r="136" spans="1:84" ht="12" customHeight="1">
      <c r="A136" s="2"/>
      <c r="B136" s="64">
        <v>124</v>
      </c>
      <c r="C136" s="65">
        <v>10</v>
      </c>
      <c r="D136" s="66" t="s">
        <v>8</v>
      </c>
      <c r="E136" s="69" t="s">
        <v>151</v>
      </c>
      <c r="F136" s="70" t="s">
        <v>80</v>
      </c>
      <c r="G136" s="71">
        <v>1205.408780487805</v>
      </c>
      <c r="H136" s="72">
        <v>529.62731707317073</v>
      </c>
      <c r="I136" s="72">
        <v>675.78146341463423</v>
      </c>
      <c r="J136" s="72">
        <v>0</v>
      </c>
      <c r="K136" s="72"/>
      <c r="L136" s="73"/>
      <c r="M136" s="71">
        <v>3013.5219512195126</v>
      </c>
      <c r="N136" s="72">
        <v>1324.0682926829268</v>
      </c>
      <c r="O136" s="72">
        <v>1689.4536585365856</v>
      </c>
      <c r="P136" s="72">
        <v>0</v>
      </c>
      <c r="Q136" s="72"/>
      <c r="R136" s="73"/>
      <c r="S136" s="71">
        <v>528</v>
      </c>
      <c r="T136" s="72">
        <v>522</v>
      </c>
      <c r="U136" s="72">
        <v>529</v>
      </c>
      <c r="V136" s="72">
        <v>519</v>
      </c>
      <c r="W136" s="72">
        <v>552</v>
      </c>
      <c r="X136" s="73">
        <v>518</v>
      </c>
      <c r="Y136" s="71">
        <v>680.2</v>
      </c>
      <c r="Z136" s="72">
        <v>700</v>
      </c>
      <c r="AA136" s="72">
        <v>668</v>
      </c>
      <c r="AB136" s="72">
        <v>660</v>
      </c>
      <c r="AC136" s="72">
        <v>699</v>
      </c>
      <c r="AD136" s="73">
        <v>674</v>
      </c>
      <c r="AE136" s="71"/>
      <c r="AF136" s="72"/>
      <c r="AG136" s="72"/>
      <c r="AH136" s="72"/>
      <c r="AI136" s="72"/>
      <c r="AJ136" s="73"/>
      <c r="AK136" s="71"/>
      <c r="AL136" s="72"/>
      <c r="AM136" s="72"/>
      <c r="AN136" s="72"/>
      <c r="AO136" s="72"/>
      <c r="AP136" s="73"/>
      <c r="AQ136" s="71"/>
      <c r="AR136" s="72"/>
      <c r="AS136" s="72"/>
      <c r="AT136" s="72"/>
      <c r="AU136" s="72"/>
      <c r="AV136" s="73"/>
      <c r="AW136" s="75">
        <v>0.23155792104530004</v>
      </c>
      <c r="AX136" s="76">
        <v>1.3763977648711734</v>
      </c>
      <c r="AY136" s="76">
        <v>-0.69758745945106559</v>
      </c>
      <c r="AZ136" s="76">
        <v>-2.190856820963083</v>
      </c>
      <c r="BA136" s="76">
        <v>3.7822206250849755</v>
      </c>
      <c r="BB136" s="77">
        <v>-1.1123845043155112</v>
      </c>
      <c r="BC136" s="71">
        <v>1342.6</v>
      </c>
      <c r="BD136" s="72">
        <v>1350</v>
      </c>
      <c r="BE136" s="72">
        <v>1344</v>
      </c>
      <c r="BF136" s="72">
        <v>1304</v>
      </c>
      <c r="BG136" s="72">
        <v>1339</v>
      </c>
      <c r="BH136" s="73">
        <v>1376</v>
      </c>
      <c r="BI136" s="71">
        <v>1663.2</v>
      </c>
      <c r="BJ136" s="72">
        <v>1692</v>
      </c>
      <c r="BK136" s="72">
        <v>1750</v>
      </c>
      <c r="BL136" s="72">
        <v>1644</v>
      </c>
      <c r="BM136" s="72">
        <v>1648</v>
      </c>
      <c r="BN136" s="73">
        <v>1582</v>
      </c>
      <c r="BO136" s="71"/>
      <c r="BP136" s="72"/>
      <c r="BQ136" s="72"/>
      <c r="BR136" s="72"/>
      <c r="BS136" s="72"/>
      <c r="BT136" s="73"/>
      <c r="BU136" s="65"/>
      <c r="BV136" s="78"/>
      <c r="BW136" s="78"/>
      <c r="BX136" s="78"/>
      <c r="BY136" s="78"/>
      <c r="BZ136" s="70"/>
      <c r="CA136" s="110">
        <v>-0.25624340371529497</v>
      </c>
      <c r="CB136" s="76">
        <v>0.94500883821213577</v>
      </c>
      <c r="CC136" s="76">
        <v>2.6705645448482418</v>
      </c>
      <c r="CD136" s="76">
        <v>-2.1742649391685132</v>
      </c>
      <c r="CE136" s="76">
        <v>-0.88009815919143364</v>
      </c>
      <c r="CF136" s="77">
        <v>-1.84242730327695</v>
      </c>
    </row>
    <row r="137" spans="1:84" ht="12" customHeight="1">
      <c r="A137" s="2"/>
      <c r="B137" s="64">
        <v>125</v>
      </c>
      <c r="C137" s="65">
        <v>10</v>
      </c>
      <c r="D137" s="66" t="s">
        <v>8</v>
      </c>
      <c r="E137" s="69" t="s">
        <v>163</v>
      </c>
      <c r="F137" s="70" t="s">
        <v>80</v>
      </c>
      <c r="G137" s="71">
        <v>1004.5073170731708</v>
      </c>
      <c r="H137" s="72">
        <v>441.35609756097563</v>
      </c>
      <c r="I137" s="72">
        <v>563.15121951219521</v>
      </c>
      <c r="J137" s="72">
        <v>0</v>
      </c>
      <c r="K137" s="72"/>
      <c r="L137" s="73"/>
      <c r="M137" s="71">
        <v>2009.0146341463417</v>
      </c>
      <c r="N137" s="72">
        <v>882.71219512195125</v>
      </c>
      <c r="O137" s="72">
        <v>1126.3024390243904</v>
      </c>
      <c r="P137" s="72">
        <v>0</v>
      </c>
      <c r="Q137" s="72"/>
      <c r="R137" s="73"/>
      <c r="S137" s="71">
        <v>437</v>
      </c>
      <c r="T137" s="72">
        <v>421</v>
      </c>
      <c r="U137" s="72">
        <v>435</v>
      </c>
      <c r="V137" s="72">
        <v>440</v>
      </c>
      <c r="W137" s="72">
        <v>436</v>
      </c>
      <c r="X137" s="73">
        <v>453</v>
      </c>
      <c r="Y137" s="71">
        <v>564.79999999999995</v>
      </c>
      <c r="Z137" s="72">
        <v>540</v>
      </c>
      <c r="AA137" s="72">
        <v>568</v>
      </c>
      <c r="AB137" s="72">
        <v>562</v>
      </c>
      <c r="AC137" s="72">
        <v>574</v>
      </c>
      <c r="AD137" s="73">
        <v>580</v>
      </c>
      <c r="AE137" s="71"/>
      <c r="AF137" s="72"/>
      <c r="AG137" s="72"/>
      <c r="AH137" s="72"/>
      <c r="AI137" s="72"/>
      <c r="AJ137" s="73"/>
      <c r="AK137" s="71"/>
      <c r="AL137" s="72"/>
      <c r="AM137" s="72"/>
      <c r="AN137" s="72"/>
      <c r="AO137" s="72"/>
      <c r="AP137" s="73"/>
      <c r="AQ137" s="71"/>
      <c r="AR137" s="72"/>
      <c r="AS137" s="72"/>
      <c r="AT137" s="72"/>
      <c r="AU137" s="72"/>
      <c r="AV137" s="73"/>
      <c r="AW137" s="75">
        <v>-0.2695169091509686</v>
      </c>
      <c r="AX137" s="76">
        <v>-4.331209572463635</v>
      </c>
      <c r="AY137" s="76">
        <v>-0.15005536022999477</v>
      </c>
      <c r="AZ137" s="76">
        <v>-0.24960665099746926</v>
      </c>
      <c r="BA137" s="76">
        <v>0.54680367514228223</v>
      </c>
      <c r="BB137" s="77">
        <v>2.8364833627940289</v>
      </c>
      <c r="BC137" s="71"/>
      <c r="BD137" s="72"/>
      <c r="BE137" s="72"/>
      <c r="BF137" s="72"/>
      <c r="BG137" s="72"/>
      <c r="BH137" s="73"/>
      <c r="BI137" s="71"/>
      <c r="BJ137" s="72"/>
      <c r="BK137" s="72"/>
      <c r="BL137" s="72"/>
      <c r="BM137" s="72"/>
      <c r="BN137" s="73"/>
      <c r="BO137" s="71"/>
      <c r="BP137" s="72"/>
      <c r="BQ137" s="72"/>
      <c r="BR137" s="72"/>
      <c r="BS137" s="72"/>
      <c r="BT137" s="73"/>
      <c r="BU137" s="65"/>
      <c r="BV137" s="78"/>
      <c r="BW137" s="78"/>
      <c r="BX137" s="78"/>
      <c r="BY137" s="78"/>
      <c r="BZ137" s="70"/>
      <c r="CA137" s="110"/>
      <c r="CB137" s="76"/>
      <c r="CC137" s="76"/>
      <c r="CD137" s="76"/>
      <c r="CE137" s="76"/>
      <c r="CF137" s="77"/>
    </row>
    <row r="138" spans="1:84" ht="12" customHeight="1">
      <c r="A138" s="2"/>
      <c r="B138" s="64">
        <v>126</v>
      </c>
      <c r="C138" s="65">
        <v>10</v>
      </c>
      <c r="D138" s="66" t="s">
        <v>8</v>
      </c>
      <c r="E138" s="69" t="s">
        <v>164</v>
      </c>
      <c r="F138" s="70" t="s">
        <v>80</v>
      </c>
      <c r="G138" s="71">
        <v>1567.6585365853662</v>
      </c>
      <c r="H138" s="72">
        <v>441.35609756097563</v>
      </c>
      <c r="I138" s="72">
        <v>563.15121951219521</v>
      </c>
      <c r="J138" s="72">
        <v>563.15121951219521</v>
      </c>
      <c r="K138" s="72"/>
      <c r="L138" s="73"/>
      <c r="M138" s="71">
        <v>3135.3170731707323</v>
      </c>
      <c r="N138" s="72">
        <v>882.71219512195125</v>
      </c>
      <c r="O138" s="72">
        <v>1126.3024390243904</v>
      </c>
      <c r="P138" s="72">
        <v>1126.3024390243904</v>
      </c>
      <c r="Q138" s="72"/>
      <c r="R138" s="73"/>
      <c r="S138" s="71">
        <v>440.4</v>
      </c>
      <c r="T138" s="72">
        <v>435</v>
      </c>
      <c r="U138" s="72">
        <v>443</v>
      </c>
      <c r="V138" s="72">
        <v>428</v>
      </c>
      <c r="W138" s="72">
        <v>438</v>
      </c>
      <c r="X138" s="73">
        <v>458</v>
      </c>
      <c r="Y138" s="71">
        <v>552.20000000000005</v>
      </c>
      <c r="Z138" s="72">
        <v>552</v>
      </c>
      <c r="AA138" s="72">
        <v>541</v>
      </c>
      <c r="AB138" s="72">
        <v>566</v>
      </c>
      <c r="AC138" s="72">
        <v>547</v>
      </c>
      <c r="AD138" s="73">
        <v>555</v>
      </c>
      <c r="AE138" s="71">
        <v>575.79999999999995</v>
      </c>
      <c r="AF138" s="72">
        <v>564</v>
      </c>
      <c r="AG138" s="72">
        <v>556</v>
      </c>
      <c r="AH138" s="72">
        <v>581</v>
      </c>
      <c r="AI138" s="72">
        <v>598</v>
      </c>
      <c r="AJ138" s="73">
        <v>580</v>
      </c>
      <c r="AK138" s="71"/>
      <c r="AL138" s="72"/>
      <c r="AM138" s="72"/>
      <c r="AN138" s="72"/>
      <c r="AO138" s="72"/>
      <c r="AP138" s="73"/>
      <c r="AQ138" s="71"/>
      <c r="AR138" s="72"/>
      <c r="AS138" s="72"/>
      <c r="AT138" s="72"/>
      <c r="AU138" s="72"/>
      <c r="AV138" s="73"/>
      <c r="AW138" s="75">
        <v>4.729750754579598E-2</v>
      </c>
      <c r="AX138" s="76">
        <v>-1.0626380807169489</v>
      </c>
      <c r="AY138" s="76">
        <v>-1.7643214985842093</v>
      </c>
      <c r="AZ138" s="76">
        <v>0.46830755826614556</v>
      </c>
      <c r="BA138" s="76">
        <v>0.97862277126052888</v>
      </c>
      <c r="BB138" s="77">
        <v>1.6165167875034747</v>
      </c>
      <c r="BC138" s="71"/>
      <c r="BD138" s="72"/>
      <c r="BE138" s="72"/>
      <c r="BF138" s="72"/>
      <c r="BG138" s="72"/>
      <c r="BH138" s="73"/>
      <c r="BI138" s="71"/>
      <c r="BJ138" s="72"/>
      <c r="BK138" s="72"/>
      <c r="BL138" s="72"/>
      <c r="BM138" s="72"/>
      <c r="BN138" s="73"/>
      <c r="BO138" s="71"/>
      <c r="BP138" s="72"/>
      <c r="BQ138" s="72"/>
      <c r="BR138" s="72"/>
      <c r="BS138" s="72"/>
      <c r="BT138" s="73"/>
      <c r="BU138" s="65"/>
      <c r="BV138" s="78"/>
      <c r="BW138" s="78"/>
      <c r="BX138" s="78"/>
      <c r="BY138" s="78"/>
      <c r="BZ138" s="70"/>
      <c r="CA138" s="110"/>
      <c r="CB138" s="76"/>
      <c r="CC138" s="76"/>
      <c r="CD138" s="76"/>
      <c r="CE138" s="76"/>
      <c r="CF138" s="77"/>
    </row>
    <row r="139" spans="1:84" ht="12" customHeight="1">
      <c r="A139" s="2"/>
      <c r="B139" s="64">
        <v>127</v>
      </c>
      <c r="C139" s="65">
        <v>10</v>
      </c>
      <c r="D139" s="66" t="s">
        <v>8</v>
      </c>
      <c r="E139" s="69" t="s">
        <v>165</v>
      </c>
      <c r="F139" s="70" t="s">
        <v>80</v>
      </c>
      <c r="G139" s="71">
        <v>1205.408780487805</v>
      </c>
      <c r="H139" s="72">
        <v>529.62731707317073</v>
      </c>
      <c r="I139" s="72">
        <v>675.78146341463423</v>
      </c>
      <c r="J139" s="72">
        <v>0</v>
      </c>
      <c r="K139" s="72"/>
      <c r="L139" s="73"/>
      <c r="M139" s="71">
        <v>3013.5219512195126</v>
      </c>
      <c r="N139" s="72">
        <v>1324.0682926829268</v>
      </c>
      <c r="O139" s="72">
        <v>1689.4536585365856</v>
      </c>
      <c r="P139" s="72">
        <v>0</v>
      </c>
      <c r="Q139" s="72"/>
      <c r="R139" s="73"/>
      <c r="S139" s="71">
        <v>528</v>
      </c>
      <c r="T139" s="72">
        <v>522</v>
      </c>
      <c r="U139" s="72">
        <v>529</v>
      </c>
      <c r="V139" s="72">
        <v>519</v>
      </c>
      <c r="W139" s="72">
        <v>552</v>
      </c>
      <c r="X139" s="73">
        <v>518</v>
      </c>
      <c r="Y139" s="71">
        <v>680.2</v>
      </c>
      <c r="Z139" s="72">
        <v>700</v>
      </c>
      <c r="AA139" s="72">
        <v>668</v>
      </c>
      <c r="AB139" s="72">
        <v>660</v>
      </c>
      <c r="AC139" s="72">
        <v>699</v>
      </c>
      <c r="AD139" s="73">
        <v>674</v>
      </c>
      <c r="AE139" s="71"/>
      <c r="AF139" s="72"/>
      <c r="AG139" s="72"/>
      <c r="AH139" s="72"/>
      <c r="AI139" s="72"/>
      <c r="AJ139" s="73"/>
      <c r="AK139" s="71"/>
      <c r="AL139" s="72"/>
      <c r="AM139" s="72"/>
      <c r="AN139" s="72"/>
      <c r="AO139" s="72"/>
      <c r="AP139" s="73"/>
      <c r="AQ139" s="71"/>
      <c r="AR139" s="72"/>
      <c r="AS139" s="72"/>
      <c r="AT139" s="72"/>
      <c r="AU139" s="72"/>
      <c r="AV139" s="73"/>
      <c r="AW139" s="75">
        <v>0.23155792104530004</v>
      </c>
      <c r="AX139" s="76">
        <v>1.3763977648711734</v>
      </c>
      <c r="AY139" s="76">
        <v>-0.69758745945106559</v>
      </c>
      <c r="AZ139" s="76">
        <v>-2.190856820963083</v>
      </c>
      <c r="BA139" s="76">
        <v>3.7822206250849755</v>
      </c>
      <c r="BB139" s="77">
        <v>-1.1123845043155112</v>
      </c>
      <c r="BC139" s="71">
        <v>1342.6</v>
      </c>
      <c r="BD139" s="72">
        <v>1350</v>
      </c>
      <c r="BE139" s="72">
        <v>1344</v>
      </c>
      <c r="BF139" s="72">
        <v>1304</v>
      </c>
      <c r="BG139" s="72">
        <v>1339</v>
      </c>
      <c r="BH139" s="73">
        <v>1376</v>
      </c>
      <c r="BI139" s="71">
        <v>1663.2</v>
      </c>
      <c r="BJ139" s="72">
        <v>1692</v>
      </c>
      <c r="BK139" s="72">
        <v>1750</v>
      </c>
      <c r="BL139" s="72">
        <v>1644</v>
      </c>
      <c r="BM139" s="72">
        <v>1648</v>
      </c>
      <c r="BN139" s="73">
        <v>1582</v>
      </c>
      <c r="BO139" s="71"/>
      <c r="BP139" s="72"/>
      <c r="BQ139" s="72"/>
      <c r="BR139" s="72"/>
      <c r="BS139" s="72"/>
      <c r="BT139" s="73"/>
      <c r="BU139" s="65"/>
      <c r="BV139" s="78"/>
      <c r="BW139" s="78"/>
      <c r="BX139" s="78"/>
      <c r="BY139" s="78"/>
      <c r="BZ139" s="70"/>
      <c r="CA139" s="110">
        <v>-0.25624340371529497</v>
      </c>
      <c r="CB139" s="76">
        <v>0.94500883821213577</v>
      </c>
      <c r="CC139" s="76">
        <v>2.6705645448482418</v>
      </c>
      <c r="CD139" s="76">
        <v>-2.1742649391685132</v>
      </c>
      <c r="CE139" s="76">
        <v>-0.88009815919143364</v>
      </c>
      <c r="CF139" s="77">
        <v>-1.84242730327695</v>
      </c>
    </row>
    <row r="140" spans="1:84" ht="12" customHeight="1">
      <c r="A140" s="2"/>
      <c r="B140" s="64">
        <v>128</v>
      </c>
      <c r="C140" s="65">
        <v>10</v>
      </c>
      <c r="D140" s="66" t="s">
        <v>8</v>
      </c>
      <c r="E140" s="69" t="s">
        <v>155</v>
      </c>
      <c r="F140" s="70" t="s">
        <v>80</v>
      </c>
      <c r="G140" s="71">
        <v>1004.5073170731708</v>
      </c>
      <c r="H140" s="72">
        <v>441.35609756097563</v>
      </c>
      <c r="I140" s="72">
        <v>563.15121951219521</v>
      </c>
      <c r="J140" s="72">
        <v>0</v>
      </c>
      <c r="K140" s="72"/>
      <c r="L140" s="73"/>
      <c r="M140" s="71">
        <v>2279.3272195121954</v>
      </c>
      <c r="N140" s="72">
        <v>882.71219512195125</v>
      </c>
      <c r="O140" s="72">
        <v>1396.6150243902441</v>
      </c>
      <c r="P140" s="72">
        <v>0</v>
      </c>
      <c r="Q140" s="72"/>
      <c r="R140" s="73"/>
      <c r="S140" s="71">
        <v>450.6</v>
      </c>
      <c r="T140" s="72">
        <v>429</v>
      </c>
      <c r="U140" s="72">
        <v>473</v>
      </c>
      <c r="V140" s="72">
        <v>445</v>
      </c>
      <c r="W140" s="72">
        <v>446</v>
      </c>
      <c r="X140" s="73">
        <v>460</v>
      </c>
      <c r="Y140" s="71">
        <v>555.20000000000005</v>
      </c>
      <c r="Z140" s="72">
        <v>567</v>
      </c>
      <c r="AA140" s="72">
        <v>549</v>
      </c>
      <c r="AB140" s="72">
        <v>567</v>
      </c>
      <c r="AC140" s="72">
        <v>548</v>
      </c>
      <c r="AD140" s="73">
        <v>545</v>
      </c>
      <c r="AE140" s="71"/>
      <c r="AF140" s="72"/>
      <c r="AG140" s="72"/>
      <c r="AH140" s="72"/>
      <c r="AI140" s="72"/>
      <c r="AJ140" s="73"/>
      <c r="AK140" s="71"/>
      <c r="AL140" s="72"/>
      <c r="AM140" s="72"/>
      <c r="AN140" s="72"/>
      <c r="AO140" s="72"/>
      <c r="AP140" s="73"/>
      <c r="AQ140" s="71"/>
      <c r="AR140" s="72"/>
      <c r="AS140" s="72"/>
      <c r="AT140" s="72"/>
      <c r="AU140" s="72"/>
      <c r="AV140" s="73"/>
      <c r="AW140" s="75">
        <v>0.12868825391891825</v>
      </c>
      <c r="AX140" s="76">
        <v>-0.84691439560227177</v>
      </c>
      <c r="AY140" s="76">
        <v>1.7414191643518873</v>
      </c>
      <c r="AZ140" s="76">
        <v>0.745906256677209</v>
      </c>
      <c r="BA140" s="76">
        <v>-1.0460169771372096</v>
      </c>
      <c r="BB140" s="77">
        <v>4.9047221304943101E-2</v>
      </c>
      <c r="BC140" s="71">
        <v>886.4</v>
      </c>
      <c r="BD140" s="72">
        <v>864</v>
      </c>
      <c r="BE140" s="72">
        <v>895</v>
      </c>
      <c r="BF140" s="72">
        <v>868</v>
      </c>
      <c r="BG140" s="72">
        <v>864</v>
      </c>
      <c r="BH140" s="73">
        <v>941</v>
      </c>
      <c r="BI140" s="71">
        <v>1409</v>
      </c>
      <c r="BJ140" s="72">
        <v>1379</v>
      </c>
      <c r="BK140" s="72">
        <v>1424</v>
      </c>
      <c r="BL140" s="72">
        <v>1395</v>
      </c>
      <c r="BM140" s="72">
        <v>1452</v>
      </c>
      <c r="BN140" s="73">
        <v>1395</v>
      </c>
      <c r="BO140" s="71"/>
      <c r="BP140" s="72"/>
      <c r="BQ140" s="72"/>
      <c r="BR140" s="72"/>
      <c r="BS140" s="72"/>
      <c r="BT140" s="73"/>
      <c r="BU140" s="65"/>
      <c r="BV140" s="78"/>
      <c r="BW140" s="78"/>
      <c r="BX140" s="78"/>
      <c r="BY140" s="78"/>
      <c r="BZ140" s="70"/>
      <c r="CA140" s="110">
        <v>0.70515458904774064</v>
      </c>
      <c r="CB140" s="76">
        <v>-1.5937693895468841</v>
      </c>
      <c r="CC140" s="76">
        <v>1.7405478313155642</v>
      </c>
      <c r="CD140" s="76">
        <v>-0.71631748931991757</v>
      </c>
      <c r="CE140" s="76">
        <v>1.6089300462815093</v>
      </c>
      <c r="CF140" s="77">
        <v>2.4863819465084758</v>
      </c>
    </row>
    <row r="141" spans="1:84" ht="12" customHeight="1">
      <c r="A141" s="2"/>
      <c r="B141" s="64">
        <v>129</v>
      </c>
      <c r="C141" s="65">
        <v>10</v>
      </c>
      <c r="D141" s="66" t="s">
        <v>8</v>
      </c>
      <c r="E141" s="69" t="s">
        <v>156</v>
      </c>
      <c r="F141" s="70" t="s">
        <v>80</v>
      </c>
      <c r="G141" s="71">
        <v>1567.6585365853662</v>
      </c>
      <c r="H141" s="72">
        <v>441.35609756097563</v>
      </c>
      <c r="I141" s="72">
        <v>563.15121951219521</v>
      </c>
      <c r="J141" s="72">
        <v>563.15121951219521</v>
      </c>
      <c r="K141" s="72"/>
      <c r="L141" s="73"/>
      <c r="M141" s="71">
        <v>3675.9422439024393</v>
      </c>
      <c r="N141" s="72">
        <v>882.71219512195125</v>
      </c>
      <c r="O141" s="72">
        <v>1396.6150243902441</v>
      </c>
      <c r="P141" s="72">
        <v>1396.6150243902441</v>
      </c>
      <c r="Q141" s="72"/>
      <c r="R141" s="73"/>
      <c r="S141" s="71">
        <v>431</v>
      </c>
      <c r="T141" s="72">
        <v>420</v>
      </c>
      <c r="U141" s="72">
        <v>452</v>
      </c>
      <c r="V141" s="72">
        <v>437</v>
      </c>
      <c r="W141" s="72">
        <v>425</v>
      </c>
      <c r="X141" s="73">
        <v>421</v>
      </c>
      <c r="Y141" s="71">
        <v>556.4</v>
      </c>
      <c r="Z141" s="72">
        <v>568</v>
      </c>
      <c r="AA141" s="72">
        <v>561</v>
      </c>
      <c r="AB141" s="72">
        <v>538</v>
      </c>
      <c r="AC141" s="72">
        <v>568</v>
      </c>
      <c r="AD141" s="73">
        <v>547</v>
      </c>
      <c r="AE141" s="71">
        <v>554</v>
      </c>
      <c r="AF141" s="72">
        <v>573</v>
      </c>
      <c r="AG141" s="72">
        <v>576</v>
      </c>
      <c r="AH141" s="72">
        <v>524</v>
      </c>
      <c r="AI141" s="72">
        <v>535</v>
      </c>
      <c r="AJ141" s="73">
        <v>562</v>
      </c>
      <c r="AK141" s="71"/>
      <c r="AL141" s="72"/>
      <c r="AM141" s="72"/>
      <c r="AN141" s="72"/>
      <c r="AO141" s="72"/>
      <c r="AP141" s="73"/>
      <c r="AQ141" s="71"/>
      <c r="AR141" s="72"/>
      <c r="AS141" s="72"/>
      <c r="AT141" s="72"/>
      <c r="AU141" s="72"/>
      <c r="AV141" s="73"/>
      <c r="AW141" s="75">
        <v>-1.6750163363101866</v>
      </c>
      <c r="AX141" s="76">
        <v>-0.42474406447399193</v>
      </c>
      <c r="AY141" s="76">
        <v>1.3613591810063053</v>
      </c>
      <c r="AZ141" s="76">
        <v>-4.3796869651803405</v>
      </c>
      <c r="BA141" s="76">
        <v>-2.529794318075762</v>
      </c>
      <c r="BB141" s="77">
        <v>-2.4022155148271662</v>
      </c>
      <c r="BC141" s="71">
        <v>873.2</v>
      </c>
      <c r="BD141" s="72">
        <v>880</v>
      </c>
      <c r="BE141" s="72">
        <v>892</v>
      </c>
      <c r="BF141" s="72">
        <v>902</v>
      </c>
      <c r="BG141" s="72">
        <v>861</v>
      </c>
      <c r="BH141" s="73">
        <v>831</v>
      </c>
      <c r="BI141" s="71">
        <v>1417.6</v>
      </c>
      <c r="BJ141" s="72">
        <v>1366</v>
      </c>
      <c r="BK141" s="72">
        <v>1365</v>
      </c>
      <c r="BL141" s="72">
        <v>1449</v>
      </c>
      <c r="BM141" s="72">
        <v>1478</v>
      </c>
      <c r="BN141" s="73">
        <v>1430</v>
      </c>
      <c r="BO141" s="71">
        <v>1373.6</v>
      </c>
      <c r="BP141" s="72">
        <v>1302</v>
      </c>
      <c r="BQ141" s="72">
        <v>1407</v>
      </c>
      <c r="BR141" s="72">
        <v>1460</v>
      </c>
      <c r="BS141" s="72">
        <v>1379</v>
      </c>
      <c r="BT141" s="73">
        <v>1320</v>
      </c>
      <c r="BU141" s="65"/>
      <c r="BV141" s="78"/>
      <c r="BW141" s="78"/>
      <c r="BX141" s="78"/>
      <c r="BY141" s="78"/>
      <c r="BZ141" s="70"/>
      <c r="CA141" s="110">
        <v>-0.31399415813959664</v>
      </c>
      <c r="CB141" s="76">
        <v>-3.4805292198120563</v>
      </c>
      <c r="CC141" s="76">
        <v>-0.32487572192541059</v>
      </c>
      <c r="CD141" s="76">
        <v>3.6740989693619719</v>
      </c>
      <c r="CE141" s="76">
        <v>1.1441353891597394</v>
      </c>
      <c r="CF141" s="77">
        <v>-2.5828002074822387</v>
      </c>
    </row>
    <row r="142" spans="1:84" ht="12" customHeight="1">
      <c r="A142" s="2"/>
      <c r="B142" s="64">
        <v>130</v>
      </c>
      <c r="C142" s="65">
        <v>10</v>
      </c>
      <c r="D142" s="66" t="s">
        <v>8</v>
      </c>
      <c r="E142" s="69" t="s">
        <v>157</v>
      </c>
      <c r="F142" s="70" t="s">
        <v>80</v>
      </c>
      <c r="G142" s="71">
        <v>1205.408780487805</v>
      </c>
      <c r="H142" s="72">
        <v>529.62731707317073</v>
      </c>
      <c r="I142" s="72">
        <v>675.78146341463423</v>
      </c>
      <c r="J142" s="72">
        <v>0</v>
      </c>
      <c r="K142" s="72"/>
      <c r="L142" s="73"/>
      <c r="M142" s="71">
        <v>3418.9908292682931</v>
      </c>
      <c r="N142" s="72">
        <v>1324.0682926829268</v>
      </c>
      <c r="O142" s="72">
        <v>2094.9225365853663</v>
      </c>
      <c r="P142" s="72">
        <v>0</v>
      </c>
      <c r="Q142" s="72"/>
      <c r="R142" s="73"/>
      <c r="S142" s="71">
        <v>528.6</v>
      </c>
      <c r="T142" s="72">
        <v>518</v>
      </c>
      <c r="U142" s="72">
        <v>547</v>
      </c>
      <c r="V142" s="72">
        <v>544</v>
      </c>
      <c r="W142" s="72">
        <v>541</v>
      </c>
      <c r="X142" s="73">
        <v>493</v>
      </c>
      <c r="Y142" s="71">
        <v>670</v>
      </c>
      <c r="Z142" s="72">
        <v>696</v>
      </c>
      <c r="AA142" s="72">
        <v>652</v>
      </c>
      <c r="AB142" s="72">
        <v>696</v>
      </c>
      <c r="AC142" s="72">
        <v>632</v>
      </c>
      <c r="AD142" s="73">
        <v>674</v>
      </c>
      <c r="AE142" s="71"/>
      <c r="AF142" s="72"/>
      <c r="AG142" s="72"/>
      <c r="AH142" s="72"/>
      <c r="AI142" s="72"/>
      <c r="AJ142" s="73"/>
      <c r="AK142" s="71"/>
      <c r="AL142" s="72"/>
      <c r="AM142" s="72"/>
      <c r="AN142" s="72"/>
      <c r="AO142" s="72"/>
      <c r="AP142" s="73"/>
      <c r="AQ142" s="71"/>
      <c r="AR142" s="72"/>
      <c r="AS142" s="72"/>
      <c r="AT142" s="72"/>
      <c r="AU142" s="72"/>
      <c r="AV142" s="73"/>
      <c r="AW142" s="75">
        <v>-0.56485240509445145</v>
      </c>
      <c r="AX142" s="76">
        <v>0.71272249308804714</v>
      </c>
      <c r="AY142" s="76">
        <v>-0.53166864150528959</v>
      </c>
      <c r="AZ142" s="76">
        <v>2.8696671263831908</v>
      </c>
      <c r="BA142" s="76">
        <v>-2.6886132748004221</v>
      </c>
      <c r="BB142" s="77">
        <v>-3.1863697286377612</v>
      </c>
      <c r="BC142" s="71">
        <v>1283.4000000000001</v>
      </c>
      <c r="BD142" s="72">
        <v>1219</v>
      </c>
      <c r="BE142" s="72">
        <v>1287</v>
      </c>
      <c r="BF142" s="72">
        <v>1245</v>
      </c>
      <c r="BG142" s="72">
        <v>1351</v>
      </c>
      <c r="BH142" s="73">
        <v>1315</v>
      </c>
      <c r="BI142" s="71">
        <v>2089.1999999999998</v>
      </c>
      <c r="BJ142" s="72">
        <v>2101</v>
      </c>
      <c r="BK142" s="72">
        <v>2089</v>
      </c>
      <c r="BL142" s="72">
        <v>2138</v>
      </c>
      <c r="BM142" s="72">
        <v>2040</v>
      </c>
      <c r="BN142" s="73">
        <v>2078</v>
      </c>
      <c r="BO142" s="71"/>
      <c r="BP142" s="72"/>
      <c r="BQ142" s="72"/>
      <c r="BR142" s="72"/>
      <c r="BS142" s="72"/>
      <c r="BT142" s="73"/>
      <c r="BU142" s="65"/>
      <c r="BV142" s="78"/>
      <c r="BW142" s="78"/>
      <c r="BX142" s="78"/>
      <c r="BY142" s="78"/>
      <c r="BZ142" s="70"/>
      <c r="CA142" s="110">
        <v>-1.3568573764855985</v>
      </c>
      <c r="CB142" s="76">
        <v>-2.8953230415502018</v>
      </c>
      <c r="CC142" s="76">
        <v>-1.2574128277932139</v>
      </c>
      <c r="CD142" s="76">
        <v>-1.0526740510735877</v>
      </c>
      <c r="CE142" s="76">
        <v>-0.8186868776797307</v>
      </c>
      <c r="CF142" s="77">
        <v>-0.76019008433126922</v>
      </c>
    </row>
    <row r="143" spans="1:84" ht="12" customHeight="1">
      <c r="A143" s="2"/>
      <c r="B143" s="64">
        <v>131</v>
      </c>
      <c r="C143" s="65">
        <v>10</v>
      </c>
      <c r="D143" s="66" t="s">
        <v>9</v>
      </c>
      <c r="E143" s="69" t="s">
        <v>67</v>
      </c>
      <c r="F143" s="70"/>
      <c r="G143" s="71">
        <v>1774.0195121951219</v>
      </c>
      <c r="H143" s="72">
        <v>1421.7756097560975</v>
      </c>
      <c r="I143" s="72">
        <v>352.2439024390244</v>
      </c>
      <c r="J143" s="72"/>
      <c r="K143" s="72"/>
      <c r="L143" s="73">
        <v>0</v>
      </c>
      <c r="M143" s="71">
        <v>3548.0390243902439</v>
      </c>
      <c r="N143" s="72">
        <v>2843.5512195121951</v>
      </c>
      <c r="O143" s="72">
        <v>704.48780487804879</v>
      </c>
      <c r="P143" s="72"/>
      <c r="Q143" s="72"/>
      <c r="R143" s="73">
        <v>0</v>
      </c>
      <c r="S143" s="71">
        <v>1439.8</v>
      </c>
      <c r="T143" s="72">
        <v>1459</v>
      </c>
      <c r="U143" s="72">
        <v>1357</v>
      </c>
      <c r="V143" s="72">
        <v>1451</v>
      </c>
      <c r="W143" s="72">
        <v>1461</v>
      </c>
      <c r="X143" s="73">
        <v>1471</v>
      </c>
      <c r="Y143" s="71">
        <v>350</v>
      </c>
      <c r="Z143" s="72">
        <v>357</v>
      </c>
      <c r="AA143" s="72">
        <v>354</v>
      </c>
      <c r="AB143" s="72">
        <v>345</v>
      </c>
      <c r="AC143" s="72">
        <v>344</v>
      </c>
      <c r="AD143" s="73">
        <v>350</v>
      </c>
      <c r="AE143" s="71"/>
      <c r="AF143" s="72"/>
      <c r="AG143" s="72"/>
      <c r="AH143" s="72"/>
      <c r="AI143" s="72"/>
      <c r="AJ143" s="73"/>
      <c r="AK143" s="71"/>
      <c r="AL143" s="72"/>
      <c r="AM143" s="72"/>
      <c r="AN143" s="72"/>
      <c r="AO143" s="72"/>
      <c r="AP143" s="73"/>
      <c r="AQ143" s="71"/>
      <c r="AR143" s="72"/>
      <c r="AS143" s="72"/>
      <c r="AT143" s="72"/>
      <c r="AU143" s="72"/>
      <c r="AV143" s="73"/>
      <c r="AW143" s="75">
        <v>0.88953293334139705</v>
      </c>
      <c r="AX143" s="76">
        <v>2.3664050770745293</v>
      </c>
      <c r="AY143" s="76">
        <v>-3.5523573310162426</v>
      </c>
      <c r="AZ143" s="76">
        <v>1.239021761247705</v>
      </c>
      <c r="BA143" s="76">
        <v>1.7463442533697693</v>
      </c>
      <c r="BB143" s="77">
        <v>2.6482509060312243</v>
      </c>
      <c r="BC143" s="65"/>
      <c r="BD143" s="78"/>
      <c r="BE143" s="78"/>
      <c r="BF143" s="78"/>
      <c r="BG143" s="78"/>
      <c r="BH143" s="70"/>
      <c r="BI143" s="65"/>
      <c r="BJ143" s="78"/>
      <c r="BK143" s="78"/>
      <c r="BL143" s="78"/>
      <c r="BM143" s="78"/>
      <c r="BN143" s="70"/>
      <c r="BO143" s="65"/>
      <c r="BP143" s="78"/>
      <c r="BQ143" s="78"/>
      <c r="BR143" s="78"/>
      <c r="BS143" s="78"/>
      <c r="BT143" s="70"/>
      <c r="BU143" s="65"/>
      <c r="BV143" s="78"/>
      <c r="BW143" s="78"/>
      <c r="BX143" s="78"/>
      <c r="BY143" s="78"/>
      <c r="BZ143" s="70"/>
      <c r="CA143" s="80"/>
      <c r="CB143" s="78"/>
      <c r="CC143" s="78"/>
      <c r="CD143" s="78"/>
      <c r="CE143" s="78"/>
      <c r="CF143" s="70"/>
    </row>
    <row r="144" spans="1:84" ht="12" customHeight="1">
      <c r="A144" s="2"/>
      <c r="B144" s="64">
        <v>132</v>
      </c>
      <c r="C144" s="65">
        <v>10</v>
      </c>
      <c r="D144" s="66" t="s">
        <v>9</v>
      </c>
      <c r="E144" s="69" t="s">
        <v>79</v>
      </c>
      <c r="F144" s="70"/>
      <c r="G144" s="71">
        <v>2126.2634146341461</v>
      </c>
      <c r="H144" s="72">
        <v>1421.7756097560975</v>
      </c>
      <c r="I144" s="72">
        <v>352.2439024390244</v>
      </c>
      <c r="J144" s="72"/>
      <c r="K144" s="72"/>
      <c r="L144" s="73">
        <v>352.2439024390244</v>
      </c>
      <c r="M144" s="71">
        <v>4252.5268292682922</v>
      </c>
      <c r="N144" s="72">
        <v>2843.5512195121951</v>
      </c>
      <c r="O144" s="72">
        <v>704.48780487804879</v>
      </c>
      <c r="P144" s="72"/>
      <c r="Q144" s="72"/>
      <c r="R144" s="73">
        <v>704.48780487804879</v>
      </c>
      <c r="S144" s="71">
        <v>1429.8</v>
      </c>
      <c r="T144" s="72">
        <v>1457</v>
      </c>
      <c r="U144" s="72">
        <v>1450</v>
      </c>
      <c r="V144" s="72">
        <v>1370</v>
      </c>
      <c r="W144" s="72">
        <v>1410</v>
      </c>
      <c r="X144" s="73">
        <v>1462</v>
      </c>
      <c r="Y144" s="71">
        <v>343</v>
      </c>
      <c r="Z144" s="72">
        <v>341</v>
      </c>
      <c r="AA144" s="72">
        <v>348</v>
      </c>
      <c r="AB144" s="72">
        <v>336</v>
      </c>
      <c r="AC144" s="72">
        <v>336</v>
      </c>
      <c r="AD144" s="73">
        <v>354</v>
      </c>
      <c r="AE144" s="71"/>
      <c r="AF144" s="72"/>
      <c r="AG144" s="72"/>
      <c r="AH144" s="72"/>
      <c r="AI144" s="72"/>
      <c r="AJ144" s="73"/>
      <c r="AK144" s="71"/>
      <c r="AL144" s="72"/>
      <c r="AM144" s="72"/>
      <c r="AN144" s="72"/>
      <c r="AO144" s="72"/>
      <c r="AP144" s="73"/>
      <c r="AQ144" s="71">
        <v>366</v>
      </c>
      <c r="AR144" s="72">
        <v>376</v>
      </c>
      <c r="AS144" s="72">
        <v>363</v>
      </c>
      <c r="AT144" s="72">
        <v>378</v>
      </c>
      <c r="AU144" s="72">
        <v>346</v>
      </c>
      <c r="AV144" s="73">
        <v>367</v>
      </c>
      <c r="AW144" s="75">
        <v>0.58960640904461847</v>
      </c>
      <c r="AX144" s="76">
        <v>2.245092731093612</v>
      </c>
      <c r="AY144" s="76">
        <v>1.6336915326096157</v>
      </c>
      <c r="AZ144" s="76">
        <v>-1.9876847968725464</v>
      </c>
      <c r="BA144" s="76">
        <v>-1.6114379054977812</v>
      </c>
      <c r="BB144" s="77">
        <v>2.6683704838902145</v>
      </c>
      <c r="BC144" s="65"/>
      <c r="BD144" s="78"/>
      <c r="BE144" s="78"/>
      <c r="BF144" s="78"/>
      <c r="BG144" s="78"/>
      <c r="BH144" s="70"/>
      <c r="BI144" s="65"/>
      <c r="BJ144" s="78"/>
      <c r="BK144" s="78"/>
      <c r="BL144" s="78"/>
      <c r="BM144" s="78"/>
      <c r="BN144" s="70"/>
      <c r="BO144" s="65"/>
      <c r="BP144" s="78"/>
      <c r="BQ144" s="78"/>
      <c r="BR144" s="78"/>
      <c r="BS144" s="78"/>
      <c r="BT144" s="70"/>
      <c r="BU144" s="65"/>
      <c r="BV144" s="78"/>
      <c r="BW144" s="78"/>
      <c r="BX144" s="78"/>
      <c r="BY144" s="78"/>
      <c r="BZ144" s="70"/>
      <c r="CA144" s="80"/>
      <c r="CB144" s="78"/>
      <c r="CC144" s="78"/>
      <c r="CD144" s="78"/>
      <c r="CE144" s="78"/>
      <c r="CF144" s="70"/>
    </row>
    <row r="145" spans="1:84" ht="12" customHeight="1">
      <c r="A145" s="2"/>
      <c r="B145" s="64">
        <v>133</v>
      </c>
      <c r="C145" s="65">
        <v>10</v>
      </c>
      <c r="D145" s="66" t="s">
        <v>9</v>
      </c>
      <c r="E145" s="69" t="s">
        <v>136</v>
      </c>
      <c r="F145" s="70"/>
      <c r="G145" s="71">
        <v>2484.9073170731708</v>
      </c>
      <c r="H145" s="72">
        <v>2132.6634146341462</v>
      </c>
      <c r="I145" s="72">
        <v>352.2439024390244</v>
      </c>
      <c r="J145" s="72"/>
      <c r="K145" s="72"/>
      <c r="L145" s="73">
        <v>0</v>
      </c>
      <c r="M145" s="71">
        <v>4969.8146341463416</v>
      </c>
      <c r="N145" s="72">
        <v>4265.3268292682924</v>
      </c>
      <c r="O145" s="72">
        <v>704.48780487804879</v>
      </c>
      <c r="P145" s="72"/>
      <c r="Q145" s="72"/>
      <c r="R145" s="73">
        <v>0</v>
      </c>
      <c r="S145" s="71">
        <v>2160.8000000000002</v>
      </c>
      <c r="T145" s="72">
        <v>2105</v>
      </c>
      <c r="U145" s="72">
        <v>2190</v>
      </c>
      <c r="V145" s="72">
        <v>2187</v>
      </c>
      <c r="W145" s="72">
        <v>2160</v>
      </c>
      <c r="X145" s="73">
        <v>2162</v>
      </c>
      <c r="Y145" s="71">
        <v>354</v>
      </c>
      <c r="Z145" s="72">
        <v>354</v>
      </c>
      <c r="AA145" s="72">
        <v>360</v>
      </c>
      <c r="AB145" s="72">
        <v>354</v>
      </c>
      <c r="AC145" s="72">
        <v>357</v>
      </c>
      <c r="AD145" s="73">
        <v>345</v>
      </c>
      <c r="AE145" s="71"/>
      <c r="AF145" s="72"/>
      <c r="AG145" s="72"/>
      <c r="AH145" s="72"/>
      <c r="AI145" s="72"/>
      <c r="AJ145" s="73"/>
      <c r="AK145" s="71"/>
      <c r="AL145" s="72"/>
      <c r="AM145" s="72"/>
      <c r="AN145" s="72"/>
      <c r="AO145" s="72"/>
      <c r="AP145" s="73"/>
      <c r="AQ145" s="71"/>
      <c r="AR145" s="72"/>
      <c r="AS145" s="72"/>
      <c r="AT145" s="72"/>
      <c r="AU145" s="72"/>
      <c r="AV145" s="73"/>
      <c r="AW145" s="75">
        <v>1.2029697333757472</v>
      </c>
      <c r="AX145" s="76">
        <v>-1.0425868560637319</v>
      </c>
      <c r="AY145" s="76">
        <v>2.6195215604056354</v>
      </c>
      <c r="AZ145" s="76">
        <v>2.2573350137218506</v>
      </c>
      <c r="BA145" s="76">
        <v>1.2915042225650986</v>
      </c>
      <c r="BB145" s="77">
        <v>0.88907472624979444</v>
      </c>
      <c r="BC145" s="65"/>
      <c r="BD145" s="78"/>
      <c r="BE145" s="78"/>
      <c r="BF145" s="78"/>
      <c r="BG145" s="78"/>
      <c r="BH145" s="70"/>
      <c r="BI145" s="65"/>
      <c r="BJ145" s="78"/>
      <c r="BK145" s="78"/>
      <c r="BL145" s="78"/>
      <c r="BM145" s="78"/>
      <c r="BN145" s="70"/>
      <c r="BO145" s="65"/>
      <c r="BP145" s="78"/>
      <c r="BQ145" s="78"/>
      <c r="BR145" s="78"/>
      <c r="BS145" s="78"/>
      <c r="BT145" s="70"/>
      <c r="BU145" s="65"/>
      <c r="BV145" s="78"/>
      <c r="BW145" s="78"/>
      <c r="BX145" s="78"/>
      <c r="BY145" s="78"/>
      <c r="BZ145" s="70"/>
      <c r="CA145" s="80"/>
      <c r="CB145" s="78"/>
      <c r="CC145" s="78"/>
      <c r="CD145" s="78"/>
      <c r="CE145" s="78"/>
      <c r="CF145" s="70"/>
    </row>
    <row r="146" spans="1:84" ht="12" customHeight="1">
      <c r="A146" s="2" t="s">
        <v>166</v>
      </c>
      <c r="B146" s="64">
        <v>134</v>
      </c>
      <c r="C146" s="65">
        <v>10</v>
      </c>
      <c r="D146" s="66" t="s">
        <v>9</v>
      </c>
      <c r="E146" s="69" t="s">
        <v>91</v>
      </c>
      <c r="F146" s="70"/>
      <c r="G146" s="71">
        <v>1774.0195121951219</v>
      </c>
      <c r="H146" s="72">
        <v>1421.7756097560975</v>
      </c>
      <c r="I146" s="72">
        <v>352.2439024390244</v>
      </c>
      <c r="J146" s="72"/>
      <c r="K146" s="72"/>
      <c r="L146" s="73">
        <v>0</v>
      </c>
      <c r="M146" s="71">
        <v>3548.0390243902439</v>
      </c>
      <c r="N146" s="72">
        <v>2843.5512195121951</v>
      </c>
      <c r="O146" s="72">
        <v>704.48780487804879</v>
      </c>
      <c r="P146" s="72"/>
      <c r="Q146" s="72"/>
      <c r="R146" s="73">
        <v>0</v>
      </c>
      <c r="S146" s="71">
        <v>1439.8</v>
      </c>
      <c r="T146" s="72">
        <v>1459</v>
      </c>
      <c r="U146" s="72">
        <v>1357</v>
      </c>
      <c r="V146" s="72">
        <v>1451</v>
      </c>
      <c r="W146" s="72">
        <v>1461</v>
      </c>
      <c r="X146" s="73">
        <v>1471</v>
      </c>
      <c r="Y146" s="71">
        <v>350</v>
      </c>
      <c r="Z146" s="72">
        <v>357</v>
      </c>
      <c r="AA146" s="72">
        <v>354</v>
      </c>
      <c r="AB146" s="72">
        <v>345</v>
      </c>
      <c r="AC146" s="72">
        <v>344</v>
      </c>
      <c r="AD146" s="73">
        <v>350</v>
      </c>
      <c r="AE146" s="71"/>
      <c r="AF146" s="72"/>
      <c r="AG146" s="72"/>
      <c r="AH146" s="72"/>
      <c r="AI146" s="72"/>
      <c r="AJ146" s="73"/>
      <c r="AK146" s="71"/>
      <c r="AL146" s="72"/>
      <c r="AM146" s="72"/>
      <c r="AN146" s="72"/>
      <c r="AO146" s="72"/>
      <c r="AP146" s="73"/>
      <c r="AQ146" s="71"/>
      <c r="AR146" s="72"/>
      <c r="AS146" s="72"/>
      <c r="AT146" s="72"/>
      <c r="AU146" s="72"/>
      <c r="AV146" s="73"/>
      <c r="AW146" s="75">
        <v>0.88953293334139705</v>
      </c>
      <c r="AX146" s="76">
        <v>2.3664050770745293</v>
      </c>
      <c r="AY146" s="76">
        <v>-3.5523573310162426</v>
      </c>
      <c r="AZ146" s="76">
        <v>1.239021761247705</v>
      </c>
      <c r="BA146" s="76">
        <v>1.7463442533697693</v>
      </c>
      <c r="BB146" s="77">
        <v>2.6482509060312243</v>
      </c>
      <c r="BC146" s="65"/>
      <c r="BD146" s="78"/>
      <c r="BE146" s="78"/>
      <c r="BF146" s="78"/>
      <c r="BG146" s="78"/>
      <c r="BH146" s="70"/>
      <c r="BI146" s="65"/>
      <c r="BJ146" s="78"/>
      <c r="BK146" s="78"/>
      <c r="BL146" s="78"/>
      <c r="BM146" s="78"/>
      <c r="BN146" s="70"/>
      <c r="BO146" s="65"/>
      <c r="BP146" s="78"/>
      <c r="BQ146" s="78"/>
      <c r="BR146" s="78"/>
      <c r="BS146" s="78"/>
      <c r="BT146" s="70"/>
      <c r="BU146" s="65"/>
      <c r="BV146" s="78"/>
      <c r="BW146" s="78"/>
      <c r="BX146" s="78"/>
      <c r="BY146" s="78"/>
      <c r="BZ146" s="70"/>
      <c r="CA146" s="80"/>
      <c r="CB146" s="78"/>
      <c r="CC146" s="78"/>
      <c r="CD146" s="78"/>
      <c r="CE146" s="78"/>
      <c r="CF146" s="70"/>
    </row>
    <row r="147" spans="1:84" ht="12" customHeight="1">
      <c r="A147" s="2"/>
      <c r="B147" s="64">
        <v>135</v>
      </c>
      <c r="C147" s="65">
        <v>10</v>
      </c>
      <c r="D147" s="66" t="s">
        <v>9</v>
      </c>
      <c r="E147" s="69" t="s">
        <v>144</v>
      </c>
      <c r="F147" s="70"/>
      <c r="G147" s="71">
        <v>2478.5073170731707</v>
      </c>
      <c r="H147" s="72">
        <v>1421.7756097560975</v>
      </c>
      <c r="I147" s="72">
        <v>1056.7317073170732</v>
      </c>
      <c r="J147" s="72"/>
      <c r="K147" s="72"/>
      <c r="L147" s="73">
        <v>0</v>
      </c>
      <c r="M147" s="71">
        <v>4957.0146341463415</v>
      </c>
      <c r="N147" s="72">
        <v>2843.5512195121951</v>
      </c>
      <c r="O147" s="72">
        <v>2113.4634146341464</v>
      </c>
      <c r="P147" s="72"/>
      <c r="Q147" s="72"/>
      <c r="R147" s="73">
        <v>0</v>
      </c>
      <c r="S147" s="71">
        <v>1386.2</v>
      </c>
      <c r="T147" s="72">
        <v>1408</v>
      </c>
      <c r="U147" s="72">
        <v>1459</v>
      </c>
      <c r="V147" s="72">
        <v>1335</v>
      </c>
      <c r="W147" s="72">
        <v>1390</v>
      </c>
      <c r="X147" s="73">
        <v>1339</v>
      </c>
      <c r="Y147" s="71">
        <v>1050</v>
      </c>
      <c r="Z147" s="72">
        <v>1026</v>
      </c>
      <c r="AA147" s="72">
        <v>1017</v>
      </c>
      <c r="AB147" s="72">
        <v>1107</v>
      </c>
      <c r="AC147" s="72">
        <v>1020</v>
      </c>
      <c r="AD147" s="73">
        <v>1080</v>
      </c>
      <c r="AE147" s="71"/>
      <c r="AF147" s="72"/>
      <c r="AG147" s="72"/>
      <c r="AH147" s="72"/>
      <c r="AI147" s="72"/>
      <c r="AJ147" s="73"/>
      <c r="AK147" s="71"/>
      <c r="AL147" s="72"/>
      <c r="AM147" s="72"/>
      <c r="AN147" s="72"/>
      <c r="AO147" s="72"/>
      <c r="AP147" s="73"/>
      <c r="AQ147" s="71"/>
      <c r="AR147" s="72"/>
      <c r="AS147" s="72"/>
      <c r="AT147" s="72"/>
      <c r="AU147" s="72"/>
      <c r="AV147" s="73"/>
      <c r="AW147" s="75">
        <v>-1.706967608355936</v>
      </c>
      <c r="AX147" s="76">
        <v>-1.7957307112463461</v>
      </c>
      <c r="AY147" s="76">
        <v>-0.10116238333851557</v>
      </c>
      <c r="AZ147" s="76">
        <v>-1.4729557916448477</v>
      </c>
      <c r="BA147" s="76">
        <v>-2.7640554700508191</v>
      </c>
      <c r="BB147" s="77">
        <v>-2.4009336854991403</v>
      </c>
      <c r="BC147" s="65"/>
      <c r="BD147" s="78"/>
      <c r="BE147" s="78"/>
      <c r="BF147" s="78"/>
      <c r="BG147" s="78"/>
      <c r="BH147" s="70"/>
      <c r="BI147" s="65"/>
      <c r="BJ147" s="78"/>
      <c r="BK147" s="78"/>
      <c r="BL147" s="78"/>
      <c r="BM147" s="78"/>
      <c r="BN147" s="70"/>
      <c r="BO147" s="65"/>
      <c r="BP147" s="78"/>
      <c r="BQ147" s="78"/>
      <c r="BR147" s="78"/>
      <c r="BS147" s="78"/>
      <c r="BT147" s="70"/>
      <c r="BU147" s="65"/>
      <c r="BV147" s="78"/>
      <c r="BW147" s="78"/>
      <c r="BX147" s="78"/>
      <c r="BY147" s="78"/>
      <c r="BZ147" s="70"/>
      <c r="CA147" s="80"/>
      <c r="CB147" s="78"/>
      <c r="CC147" s="78"/>
      <c r="CD147" s="78"/>
      <c r="CE147" s="78"/>
      <c r="CF147" s="70"/>
    </row>
    <row r="148" spans="1:84" ht="12" customHeight="1">
      <c r="A148" s="2"/>
      <c r="B148" s="64">
        <v>136</v>
      </c>
      <c r="C148" s="65">
        <v>10</v>
      </c>
      <c r="D148" s="66" t="s">
        <v>9</v>
      </c>
      <c r="E148" s="69" t="s">
        <v>92</v>
      </c>
      <c r="F148" s="70"/>
      <c r="G148" s="71">
        <v>2200.5521951219512</v>
      </c>
      <c r="H148" s="72">
        <v>1848.3082926829268</v>
      </c>
      <c r="I148" s="72">
        <v>352.2439024390244</v>
      </c>
      <c r="J148" s="72"/>
      <c r="K148" s="72"/>
      <c r="L148" s="73">
        <v>0</v>
      </c>
      <c r="M148" s="71">
        <v>4401.1043902439023</v>
      </c>
      <c r="N148" s="72">
        <v>3696.6165853658536</v>
      </c>
      <c r="O148" s="72">
        <v>704.48780487804879</v>
      </c>
      <c r="P148" s="72"/>
      <c r="Q148" s="72"/>
      <c r="R148" s="73">
        <v>0</v>
      </c>
      <c r="S148" s="71">
        <v>1846.4</v>
      </c>
      <c r="T148" s="72">
        <v>1799</v>
      </c>
      <c r="U148" s="72">
        <v>1864</v>
      </c>
      <c r="V148" s="72">
        <v>1933</v>
      </c>
      <c r="W148" s="72">
        <v>1905</v>
      </c>
      <c r="X148" s="73">
        <v>1731</v>
      </c>
      <c r="Y148" s="71">
        <v>361.6</v>
      </c>
      <c r="Z148" s="72">
        <v>363</v>
      </c>
      <c r="AA148" s="72">
        <v>360</v>
      </c>
      <c r="AB148" s="72">
        <v>345</v>
      </c>
      <c r="AC148" s="72">
        <v>368</v>
      </c>
      <c r="AD148" s="73">
        <v>372</v>
      </c>
      <c r="AE148" s="71"/>
      <c r="AF148" s="72"/>
      <c r="AG148" s="72"/>
      <c r="AH148" s="72"/>
      <c r="AI148" s="72"/>
      <c r="AJ148" s="73"/>
      <c r="AK148" s="71"/>
      <c r="AL148" s="72"/>
      <c r="AM148" s="72"/>
      <c r="AN148" s="72"/>
      <c r="AO148" s="72"/>
      <c r="AP148" s="73"/>
      <c r="AQ148" s="71"/>
      <c r="AR148" s="72"/>
      <c r="AS148" s="72"/>
      <c r="AT148" s="72"/>
      <c r="AU148" s="72"/>
      <c r="AV148" s="73"/>
      <c r="AW148" s="75">
        <v>0.33845163475598739</v>
      </c>
      <c r="AX148" s="76">
        <v>-1.7519327743014346</v>
      </c>
      <c r="AY148" s="76">
        <v>1.0655418639933467</v>
      </c>
      <c r="AZ148" s="76">
        <v>3.5194713876694372</v>
      </c>
      <c r="BA148" s="76">
        <v>3.2922556910327527</v>
      </c>
      <c r="BB148" s="77">
        <v>-4.4330779946142096</v>
      </c>
      <c r="BC148" s="65"/>
      <c r="BD148" s="78"/>
      <c r="BE148" s="78"/>
      <c r="BF148" s="78"/>
      <c r="BG148" s="78"/>
      <c r="BH148" s="70"/>
      <c r="BI148" s="65"/>
      <c r="BJ148" s="78"/>
      <c r="BK148" s="78"/>
      <c r="BL148" s="78"/>
      <c r="BM148" s="78"/>
      <c r="BN148" s="70"/>
      <c r="BO148" s="65"/>
      <c r="BP148" s="78"/>
      <c r="BQ148" s="78"/>
      <c r="BR148" s="78"/>
      <c r="BS148" s="78"/>
      <c r="BT148" s="70"/>
      <c r="BU148" s="65"/>
      <c r="BV148" s="78"/>
      <c r="BW148" s="78"/>
      <c r="BX148" s="78"/>
      <c r="BY148" s="78"/>
      <c r="BZ148" s="70"/>
      <c r="CA148" s="80"/>
      <c r="CB148" s="78"/>
      <c r="CC148" s="78"/>
      <c r="CD148" s="78"/>
      <c r="CE148" s="78"/>
      <c r="CF148" s="70"/>
    </row>
    <row r="149" spans="1:84" ht="12" customHeight="1">
      <c r="A149" s="2"/>
      <c r="B149" s="64">
        <v>137</v>
      </c>
      <c r="C149" s="65">
        <v>10</v>
      </c>
      <c r="D149" s="66" t="s">
        <v>9</v>
      </c>
      <c r="E149" s="69" t="s">
        <v>138</v>
      </c>
      <c r="F149" s="70"/>
      <c r="G149" s="71">
        <v>3189.3951219512192</v>
      </c>
      <c r="H149" s="72">
        <v>2132.6634146341462</v>
      </c>
      <c r="I149" s="72">
        <v>1056.7317073170732</v>
      </c>
      <c r="J149" s="72"/>
      <c r="K149" s="72"/>
      <c r="L149" s="73">
        <v>0</v>
      </c>
      <c r="M149" s="71">
        <v>6378.7902439024383</v>
      </c>
      <c r="N149" s="72">
        <v>4265.3268292682924</v>
      </c>
      <c r="O149" s="72">
        <v>2113.4634146341464</v>
      </c>
      <c r="P149" s="72"/>
      <c r="Q149" s="72"/>
      <c r="R149" s="73">
        <v>0</v>
      </c>
      <c r="S149" s="71">
        <v>2086.6</v>
      </c>
      <c r="T149" s="72">
        <v>2076</v>
      </c>
      <c r="U149" s="72">
        <v>1980</v>
      </c>
      <c r="V149" s="72">
        <v>2027</v>
      </c>
      <c r="W149" s="72">
        <v>2212</v>
      </c>
      <c r="X149" s="73">
        <v>2138</v>
      </c>
      <c r="Y149" s="71">
        <v>1029.5999999999999</v>
      </c>
      <c r="Z149" s="72">
        <v>1008</v>
      </c>
      <c r="AA149" s="72">
        <v>1044</v>
      </c>
      <c r="AB149" s="72">
        <v>1026</v>
      </c>
      <c r="AC149" s="72">
        <v>1026</v>
      </c>
      <c r="AD149" s="73">
        <v>1044</v>
      </c>
      <c r="AE149" s="71"/>
      <c r="AF149" s="72"/>
      <c r="AG149" s="72"/>
      <c r="AH149" s="72"/>
      <c r="AI149" s="72"/>
      <c r="AJ149" s="73"/>
      <c r="AK149" s="71"/>
      <c r="AL149" s="72"/>
      <c r="AM149" s="72"/>
      <c r="AN149" s="72"/>
      <c r="AO149" s="72"/>
      <c r="AP149" s="73"/>
      <c r="AQ149" s="71"/>
      <c r="AR149" s="72"/>
      <c r="AS149" s="72"/>
      <c r="AT149" s="72"/>
      <c r="AU149" s="72"/>
      <c r="AV149" s="73"/>
      <c r="AW149" s="75">
        <v>-2.2949530914952887</v>
      </c>
      <c r="AX149" s="76">
        <v>-3.3045489166842468</v>
      </c>
      <c r="AY149" s="76">
        <v>-5.1857833735580954</v>
      </c>
      <c r="AZ149" s="76">
        <v>-4.2765200527357328</v>
      </c>
      <c r="BA149" s="76">
        <v>1.5239528559586324</v>
      </c>
      <c r="BB149" s="77">
        <v>-0.231865970456957</v>
      </c>
      <c r="BC149" s="65"/>
      <c r="BD149" s="78"/>
      <c r="BE149" s="78"/>
      <c r="BF149" s="78"/>
      <c r="BG149" s="78"/>
      <c r="BH149" s="70"/>
      <c r="BI149" s="65"/>
      <c r="BJ149" s="78"/>
      <c r="BK149" s="78"/>
      <c r="BL149" s="78"/>
      <c r="BM149" s="78"/>
      <c r="BN149" s="70"/>
      <c r="BO149" s="65"/>
      <c r="BP149" s="78"/>
      <c r="BQ149" s="78"/>
      <c r="BR149" s="78"/>
      <c r="BS149" s="78"/>
      <c r="BT149" s="70"/>
      <c r="BU149" s="65"/>
      <c r="BV149" s="78"/>
      <c r="BW149" s="78"/>
      <c r="BX149" s="78"/>
      <c r="BY149" s="78"/>
      <c r="BZ149" s="70"/>
      <c r="CA149" s="80"/>
      <c r="CB149" s="78"/>
      <c r="CC149" s="78"/>
      <c r="CD149" s="78"/>
      <c r="CE149" s="78"/>
      <c r="CF149" s="70"/>
    </row>
    <row r="150" spans="1:84" ht="12" customHeight="1">
      <c r="A150" s="2"/>
      <c r="B150" s="64">
        <v>138</v>
      </c>
      <c r="C150" s="65">
        <v>10</v>
      </c>
      <c r="D150" s="66" t="s">
        <v>9</v>
      </c>
      <c r="E150" s="69" t="s">
        <v>139</v>
      </c>
      <c r="F150" s="70"/>
      <c r="G150" s="71">
        <v>3124.7063414634149</v>
      </c>
      <c r="H150" s="72">
        <v>2772.4624390243903</v>
      </c>
      <c r="I150" s="72">
        <v>352.2439024390244</v>
      </c>
      <c r="J150" s="72"/>
      <c r="K150" s="72"/>
      <c r="L150" s="73">
        <v>0</v>
      </c>
      <c r="M150" s="71">
        <v>6249.4126829268298</v>
      </c>
      <c r="N150" s="72">
        <v>5544.9248780487806</v>
      </c>
      <c r="O150" s="72">
        <v>704.48780487804879</v>
      </c>
      <c r="P150" s="72"/>
      <c r="Q150" s="72"/>
      <c r="R150" s="73">
        <v>0</v>
      </c>
      <c r="S150" s="71">
        <v>2741.6</v>
      </c>
      <c r="T150" s="72">
        <v>2758</v>
      </c>
      <c r="U150" s="72">
        <v>2641</v>
      </c>
      <c r="V150" s="72">
        <v>2877</v>
      </c>
      <c r="W150" s="72">
        <v>2706</v>
      </c>
      <c r="X150" s="73">
        <v>2726</v>
      </c>
      <c r="Y150" s="71">
        <v>342</v>
      </c>
      <c r="Z150" s="72">
        <v>335</v>
      </c>
      <c r="AA150" s="72">
        <v>335</v>
      </c>
      <c r="AB150" s="72">
        <v>335</v>
      </c>
      <c r="AC150" s="72">
        <v>360</v>
      </c>
      <c r="AD150" s="73">
        <v>345</v>
      </c>
      <c r="AE150" s="71"/>
      <c r="AF150" s="72"/>
      <c r="AG150" s="72"/>
      <c r="AH150" s="72"/>
      <c r="AI150" s="72"/>
      <c r="AJ150" s="73"/>
      <c r="AK150" s="71"/>
      <c r="AL150" s="72"/>
      <c r="AM150" s="72"/>
      <c r="AN150" s="72"/>
      <c r="AO150" s="72"/>
      <c r="AP150" s="73"/>
      <c r="AQ150" s="71"/>
      <c r="AR150" s="72"/>
      <c r="AS150" s="72"/>
      <c r="AT150" s="72"/>
      <c r="AU150" s="72"/>
      <c r="AV150" s="73"/>
      <c r="AW150" s="75">
        <v>-1.315526547821555</v>
      </c>
      <c r="AX150" s="76">
        <v>-1.0146982787689995</v>
      </c>
      <c r="AY150" s="76">
        <v>-4.7590501382529959</v>
      </c>
      <c r="AZ150" s="76">
        <v>2.7936595954070498</v>
      </c>
      <c r="BA150" s="76">
        <v>-1.8787794771114585</v>
      </c>
      <c r="BB150" s="77">
        <v>-1.7187644403813707</v>
      </c>
      <c r="BC150" s="65"/>
      <c r="BD150" s="78"/>
      <c r="BE150" s="78"/>
      <c r="BF150" s="78"/>
      <c r="BG150" s="78"/>
      <c r="BH150" s="70"/>
      <c r="BI150" s="65"/>
      <c r="BJ150" s="78"/>
      <c r="BK150" s="78"/>
      <c r="BL150" s="78"/>
      <c r="BM150" s="78"/>
      <c r="BN150" s="70"/>
      <c r="BO150" s="65"/>
      <c r="BP150" s="78"/>
      <c r="BQ150" s="78"/>
      <c r="BR150" s="78"/>
      <c r="BS150" s="78"/>
      <c r="BT150" s="70"/>
      <c r="BU150" s="65"/>
      <c r="BV150" s="78"/>
      <c r="BW150" s="78"/>
      <c r="BX150" s="78"/>
      <c r="BY150" s="78"/>
      <c r="BZ150" s="70"/>
      <c r="CA150" s="80"/>
      <c r="CB150" s="78"/>
      <c r="CC150" s="78"/>
      <c r="CD150" s="78"/>
      <c r="CE150" s="78"/>
      <c r="CF150" s="70"/>
    </row>
    <row r="151" spans="1:84" ht="12" customHeight="1">
      <c r="A151" s="2" t="s">
        <v>166</v>
      </c>
      <c r="B151" s="64">
        <v>139</v>
      </c>
      <c r="C151" s="65">
        <v>10</v>
      </c>
      <c r="D151" s="66" t="s">
        <v>9</v>
      </c>
      <c r="E151" s="69" t="s">
        <v>141</v>
      </c>
      <c r="F151" s="70"/>
      <c r="G151" s="71">
        <v>2478.5073170731707</v>
      </c>
      <c r="H151" s="72">
        <v>1421.7756097560975</v>
      </c>
      <c r="I151" s="72">
        <v>1056.7317073170732</v>
      </c>
      <c r="J151" s="72"/>
      <c r="K151" s="72"/>
      <c r="L151" s="73">
        <v>0</v>
      </c>
      <c r="M151" s="71">
        <v>4957.0146341463415</v>
      </c>
      <c r="N151" s="72">
        <v>2843.5512195121951</v>
      </c>
      <c r="O151" s="72">
        <v>2113.4634146341464</v>
      </c>
      <c r="P151" s="72"/>
      <c r="Q151" s="72"/>
      <c r="R151" s="73">
        <v>0</v>
      </c>
      <c r="S151" s="71">
        <v>1386.2</v>
      </c>
      <c r="T151" s="72">
        <v>1408</v>
      </c>
      <c r="U151" s="72">
        <v>1459</v>
      </c>
      <c r="V151" s="72">
        <v>1335</v>
      </c>
      <c r="W151" s="72">
        <v>1390</v>
      </c>
      <c r="X151" s="73">
        <v>1339</v>
      </c>
      <c r="Y151" s="71">
        <v>1050</v>
      </c>
      <c r="Z151" s="72">
        <v>1026</v>
      </c>
      <c r="AA151" s="72">
        <v>1017</v>
      </c>
      <c r="AB151" s="72">
        <v>1107</v>
      </c>
      <c r="AC151" s="72">
        <v>1020</v>
      </c>
      <c r="AD151" s="73">
        <v>1080</v>
      </c>
      <c r="AE151" s="71"/>
      <c r="AF151" s="72"/>
      <c r="AG151" s="72"/>
      <c r="AH151" s="72"/>
      <c r="AI151" s="72"/>
      <c r="AJ151" s="73"/>
      <c r="AK151" s="71"/>
      <c r="AL151" s="72"/>
      <c r="AM151" s="72"/>
      <c r="AN151" s="72"/>
      <c r="AO151" s="72"/>
      <c r="AP151" s="73"/>
      <c r="AQ151" s="71"/>
      <c r="AR151" s="72"/>
      <c r="AS151" s="72"/>
      <c r="AT151" s="72"/>
      <c r="AU151" s="72"/>
      <c r="AV151" s="73"/>
      <c r="AW151" s="75">
        <v>-1.706967608355936</v>
      </c>
      <c r="AX151" s="76">
        <v>-1.7957307112463461</v>
      </c>
      <c r="AY151" s="76">
        <v>-0.10116238333851557</v>
      </c>
      <c r="AZ151" s="76">
        <v>-1.4729557916448477</v>
      </c>
      <c r="BA151" s="76">
        <v>-2.7640554700508191</v>
      </c>
      <c r="BB151" s="77">
        <v>-2.4009336854991403</v>
      </c>
      <c r="BC151" s="65"/>
      <c r="BD151" s="78"/>
      <c r="BE151" s="78"/>
      <c r="BF151" s="78"/>
      <c r="BG151" s="78"/>
      <c r="BH151" s="70"/>
      <c r="BI151" s="65"/>
      <c r="BJ151" s="78"/>
      <c r="BK151" s="78"/>
      <c r="BL151" s="78"/>
      <c r="BM151" s="78"/>
      <c r="BN151" s="70"/>
      <c r="BO151" s="65"/>
      <c r="BP151" s="78"/>
      <c r="BQ151" s="78"/>
      <c r="BR151" s="78"/>
      <c r="BS151" s="78"/>
      <c r="BT151" s="70"/>
      <c r="BU151" s="65"/>
      <c r="BV151" s="78"/>
      <c r="BW151" s="78"/>
      <c r="BX151" s="78"/>
      <c r="BY151" s="78"/>
      <c r="BZ151" s="70"/>
      <c r="CA151" s="80"/>
      <c r="CB151" s="78"/>
      <c r="CC151" s="78"/>
      <c r="CD151" s="78"/>
      <c r="CE151" s="78"/>
      <c r="CF151" s="70"/>
    </row>
    <row r="152" spans="1:84" ht="12" customHeight="1">
      <c r="A152" s="2" t="s">
        <v>166</v>
      </c>
      <c r="B152" s="64">
        <v>140</v>
      </c>
      <c r="C152" s="65">
        <v>10</v>
      </c>
      <c r="D152" s="66" t="s">
        <v>9</v>
      </c>
      <c r="E152" s="69" t="s">
        <v>98</v>
      </c>
      <c r="F152" s="70"/>
      <c r="G152" s="71">
        <v>2200.5521951219512</v>
      </c>
      <c r="H152" s="72">
        <v>1848.3082926829268</v>
      </c>
      <c r="I152" s="72">
        <v>352.2439024390244</v>
      </c>
      <c r="J152" s="72"/>
      <c r="K152" s="72"/>
      <c r="L152" s="73">
        <v>0</v>
      </c>
      <c r="M152" s="71">
        <v>4401.1043902439023</v>
      </c>
      <c r="N152" s="72">
        <v>3696.6165853658536</v>
      </c>
      <c r="O152" s="72">
        <v>704.48780487804879</v>
      </c>
      <c r="P152" s="72"/>
      <c r="Q152" s="72"/>
      <c r="R152" s="73">
        <v>0</v>
      </c>
      <c r="S152" s="71">
        <v>1846.4</v>
      </c>
      <c r="T152" s="72">
        <v>1799</v>
      </c>
      <c r="U152" s="72">
        <v>1864</v>
      </c>
      <c r="V152" s="72">
        <v>1933</v>
      </c>
      <c r="W152" s="72">
        <v>1905</v>
      </c>
      <c r="X152" s="73">
        <v>1731</v>
      </c>
      <c r="Y152" s="71">
        <v>361.6</v>
      </c>
      <c r="Z152" s="72">
        <v>363</v>
      </c>
      <c r="AA152" s="72">
        <v>360</v>
      </c>
      <c r="AB152" s="72">
        <v>345</v>
      </c>
      <c r="AC152" s="72">
        <v>368</v>
      </c>
      <c r="AD152" s="73">
        <v>372</v>
      </c>
      <c r="AE152" s="71"/>
      <c r="AF152" s="72"/>
      <c r="AG152" s="72"/>
      <c r="AH152" s="72"/>
      <c r="AI152" s="72"/>
      <c r="AJ152" s="73"/>
      <c r="AK152" s="71"/>
      <c r="AL152" s="72"/>
      <c r="AM152" s="72"/>
      <c r="AN152" s="72"/>
      <c r="AO152" s="72"/>
      <c r="AP152" s="73"/>
      <c r="AQ152" s="71"/>
      <c r="AR152" s="72"/>
      <c r="AS152" s="72"/>
      <c r="AT152" s="72"/>
      <c r="AU152" s="72"/>
      <c r="AV152" s="73"/>
      <c r="AW152" s="75">
        <v>0.33845163475598739</v>
      </c>
      <c r="AX152" s="76">
        <v>-1.7519327743014346</v>
      </c>
      <c r="AY152" s="76">
        <v>1.0655418639933467</v>
      </c>
      <c r="AZ152" s="76">
        <v>3.5194713876694372</v>
      </c>
      <c r="BA152" s="76">
        <v>3.2922556910327527</v>
      </c>
      <c r="BB152" s="77">
        <v>-4.4330779946142096</v>
      </c>
      <c r="BC152" s="65"/>
      <c r="BD152" s="78"/>
      <c r="BE152" s="78"/>
      <c r="BF152" s="78"/>
      <c r="BG152" s="78"/>
      <c r="BH152" s="70"/>
      <c r="BI152" s="65"/>
      <c r="BJ152" s="78"/>
      <c r="BK152" s="78"/>
      <c r="BL152" s="78"/>
      <c r="BM152" s="78"/>
      <c r="BN152" s="70"/>
      <c r="BO152" s="65"/>
      <c r="BP152" s="78"/>
      <c r="BQ152" s="78"/>
      <c r="BR152" s="78"/>
      <c r="BS152" s="78"/>
      <c r="BT152" s="70"/>
      <c r="BU152" s="65"/>
      <c r="BV152" s="78"/>
      <c r="BW152" s="78"/>
      <c r="BX152" s="78"/>
      <c r="BY152" s="78"/>
      <c r="BZ152" s="70"/>
      <c r="CA152" s="80"/>
      <c r="CB152" s="78"/>
      <c r="CC152" s="78"/>
      <c r="CD152" s="78"/>
      <c r="CE152" s="78"/>
      <c r="CF152" s="70"/>
    </row>
    <row r="153" spans="1:84" ht="12" customHeight="1">
      <c r="A153" s="2"/>
      <c r="B153" s="64">
        <v>141</v>
      </c>
      <c r="C153" s="65">
        <v>10</v>
      </c>
      <c r="D153" s="66" t="s">
        <v>9</v>
      </c>
      <c r="E153" s="69" t="s">
        <v>161</v>
      </c>
      <c r="F153" s="70"/>
      <c r="G153" s="71">
        <v>2830.7512195121953</v>
      </c>
      <c r="H153" s="72">
        <v>1421.7756097560975</v>
      </c>
      <c r="I153" s="72">
        <v>1056.7317073170732</v>
      </c>
      <c r="J153" s="72"/>
      <c r="K153" s="72"/>
      <c r="L153" s="73">
        <v>352.2439024390244</v>
      </c>
      <c r="M153" s="71">
        <v>5661.5024390243907</v>
      </c>
      <c r="N153" s="72">
        <v>2843.5512195121951</v>
      </c>
      <c r="O153" s="72">
        <v>2113.4634146341464</v>
      </c>
      <c r="P153" s="72"/>
      <c r="Q153" s="72"/>
      <c r="R153" s="73">
        <v>704.48780487804879</v>
      </c>
      <c r="S153" s="71">
        <v>1403</v>
      </c>
      <c r="T153" s="72">
        <v>1452</v>
      </c>
      <c r="U153" s="72">
        <v>1396</v>
      </c>
      <c r="V153" s="72">
        <v>1375</v>
      </c>
      <c r="W153" s="72">
        <v>1393</v>
      </c>
      <c r="X153" s="73">
        <v>1399</v>
      </c>
      <c r="Y153" s="71">
        <v>1078.8</v>
      </c>
      <c r="Z153" s="72">
        <v>1089</v>
      </c>
      <c r="AA153" s="72">
        <v>1098</v>
      </c>
      <c r="AB153" s="72">
        <v>1065</v>
      </c>
      <c r="AC153" s="72">
        <v>1062</v>
      </c>
      <c r="AD153" s="73">
        <v>1080</v>
      </c>
      <c r="AE153" s="71"/>
      <c r="AF153" s="72"/>
      <c r="AG153" s="72"/>
      <c r="AH153" s="72"/>
      <c r="AI153" s="72"/>
      <c r="AJ153" s="73"/>
      <c r="AK153" s="71"/>
      <c r="AL153" s="72"/>
      <c r="AM153" s="72"/>
      <c r="AN153" s="72"/>
      <c r="AO153" s="72"/>
      <c r="AP153" s="73"/>
      <c r="AQ153" s="71">
        <v>359</v>
      </c>
      <c r="AR153" s="72">
        <v>363</v>
      </c>
      <c r="AS153" s="72">
        <v>366</v>
      </c>
      <c r="AT153" s="72">
        <v>354</v>
      </c>
      <c r="AU153" s="72">
        <v>355</v>
      </c>
      <c r="AV153" s="73">
        <v>357</v>
      </c>
      <c r="AW153" s="75">
        <v>0.35498635198103479</v>
      </c>
      <c r="AX153" s="76">
        <v>2.5876092530811245</v>
      </c>
      <c r="AY153" s="76">
        <v>1.0332515371253681</v>
      </c>
      <c r="AZ153" s="76">
        <v>-1.2982850368082999</v>
      </c>
      <c r="BA153" s="76">
        <v>-0.73306404918801471</v>
      </c>
      <c r="BB153" s="77">
        <v>0.18542005569492925</v>
      </c>
      <c r="BC153" s="65"/>
      <c r="BD153" s="78"/>
      <c r="BE153" s="78"/>
      <c r="BF153" s="78"/>
      <c r="BG153" s="78"/>
      <c r="BH153" s="70"/>
      <c r="BI153" s="65"/>
      <c r="BJ153" s="78"/>
      <c r="BK153" s="78"/>
      <c r="BL153" s="78"/>
      <c r="BM153" s="78"/>
      <c r="BN153" s="70"/>
      <c r="BO153" s="65"/>
      <c r="BP153" s="78"/>
      <c r="BQ153" s="78"/>
      <c r="BR153" s="78"/>
      <c r="BS153" s="78"/>
      <c r="BT153" s="70"/>
      <c r="BU153" s="65"/>
      <c r="BV153" s="78"/>
      <c r="BW153" s="78"/>
      <c r="BX153" s="78"/>
      <c r="BY153" s="78"/>
      <c r="BZ153" s="70"/>
      <c r="CA153" s="80"/>
      <c r="CB153" s="78"/>
      <c r="CC153" s="78"/>
      <c r="CD153" s="78"/>
      <c r="CE153" s="78"/>
      <c r="CF153" s="70"/>
    </row>
    <row r="154" spans="1:84" ht="12" customHeight="1">
      <c r="A154" s="2"/>
      <c r="B154" s="64">
        <v>142</v>
      </c>
      <c r="C154" s="65">
        <v>10</v>
      </c>
      <c r="D154" s="66" t="s">
        <v>9</v>
      </c>
      <c r="E154" s="69" t="s">
        <v>99</v>
      </c>
      <c r="F154" s="70"/>
      <c r="G154" s="71">
        <v>2552.7960975609758</v>
      </c>
      <c r="H154" s="72">
        <v>1848.3082926829268</v>
      </c>
      <c r="I154" s="72">
        <v>352.2439024390244</v>
      </c>
      <c r="J154" s="72"/>
      <c r="K154" s="72"/>
      <c r="L154" s="73">
        <v>352.2439024390244</v>
      </c>
      <c r="M154" s="71">
        <v>5105.5921951219516</v>
      </c>
      <c r="N154" s="72">
        <v>3696.6165853658536</v>
      </c>
      <c r="O154" s="72">
        <v>704.48780487804879</v>
      </c>
      <c r="P154" s="72"/>
      <c r="Q154" s="72"/>
      <c r="R154" s="73">
        <v>704.48780487804879</v>
      </c>
      <c r="S154" s="71">
        <v>1838.6</v>
      </c>
      <c r="T154" s="72">
        <v>1765</v>
      </c>
      <c r="U154" s="72">
        <v>1901</v>
      </c>
      <c r="V154" s="72">
        <v>1827</v>
      </c>
      <c r="W154" s="72">
        <v>1916</v>
      </c>
      <c r="X154" s="73">
        <v>1784</v>
      </c>
      <c r="Y154" s="71">
        <v>346</v>
      </c>
      <c r="Z154" s="72">
        <v>348</v>
      </c>
      <c r="AA154" s="72">
        <v>368</v>
      </c>
      <c r="AB154" s="72">
        <v>333</v>
      </c>
      <c r="AC154" s="72">
        <v>334</v>
      </c>
      <c r="AD154" s="73">
        <v>347</v>
      </c>
      <c r="AE154" s="71"/>
      <c r="AF154" s="72"/>
      <c r="AG154" s="72"/>
      <c r="AH154" s="72"/>
      <c r="AI154" s="72"/>
      <c r="AJ154" s="73"/>
      <c r="AK154" s="71"/>
      <c r="AL154" s="72"/>
      <c r="AM154" s="72"/>
      <c r="AN154" s="72"/>
      <c r="AO154" s="72"/>
      <c r="AP154" s="73"/>
      <c r="AQ154" s="71">
        <v>356.8</v>
      </c>
      <c r="AR154" s="72">
        <v>370</v>
      </c>
      <c r="AS154" s="72">
        <v>365</v>
      </c>
      <c r="AT154" s="72">
        <v>352</v>
      </c>
      <c r="AU154" s="72">
        <v>349</v>
      </c>
      <c r="AV154" s="73">
        <v>348</v>
      </c>
      <c r="AW154" s="75">
        <v>-0.44641628729626959</v>
      </c>
      <c r="AX154" s="76">
        <v>-2.7341038960244868</v>
      </c>
      <c r="AY154" s="76">
        <v>3.1809787909268916</v>
      </c>
      <c r="AZ154" s="76">
        <v>-1.5980946382656125</v>
      </c>
      <c r="BA154" s="76">
        <v>1.8099331350110104</v>
      </c>
      <c r="BB154" s="77">
        <v>-2.8907948281291618</v>
      </c>
      <c r="BC154" s="65"/>
      <c r="BD154" s="78"/>
      <c r="BE154" s="78"/>
      <c r="BF154" s="78"/>
      <c r="BG154" s="78"/>
      <c r="BH154" s="70"/>
      <c r="BI154" s="65"/>
      <c r="BJ154" s="78"/>
      <c r="BK154" s="78"/>
      <c r="BL154" s="78"/>
      <c r="BM154" s="78"/>
      <c r="BN154" s="70"/>
      <c r="BO154" s="65"/>
      <c r="BP154" s="78"/>
      <c r="BQ154" s="78"/>
      <c r="BR154" s="78"/>
      <c r="BS154" s="78"/>
      <c r="BT154" s="70"/>
      <c r="BU154" s="65"/>
      <c r="BV154" s="78"/>
      <c r="BW154" s="78"/>
      <c r="BX154" s="78"/>
      <c r="BY154" s="78"/>
      <c r="BZ154" s="70"/>
      <c r="CA154" s="80"/>
      <c r="CB154" s="78"/>
      <c r="CC154" s="78"/>
      <c r="CD154" s="78"/>
      <c r="CE154" s="78"/>
      <c r="CF154" s="70"/>
    </row>
    <row r="155" spans="1:84" ht="12" customHeight="1">
      <c r="A155" s="2"/>
      <c r="B155" s="64">
        <v>143</v>
      </c>
      <c r="C155" s="65">
        <v>10</v>
      </c>
      <c r="D155" s="66" t="s">
        <v>9</v>
      </c>
      <c r="E155" s="69" t="s">
        <v>168</v>
      </c>
      <c r="F155" s="70"/>
      <c r="G155" s="71">
        <v>2837.151219512195</v>
      </c>
      <c r="H155" s="72">
        <v>2132.6634146341462</v>
      </c>
      <c r="I155" s="72">
        <v>352.2439024390244</v>
      </c>
      <c r="J155" s="72"/>
      <c r="K155" s="72"/>
      <c r="L155" s="73">
        <v>352.2439024390244</v>
      </c>
      <c r="M155" s="71">
        <v>5674.30243902439</v>
      </c>
      <c r="N155" s="72">
        <v>4265.3268292682924</v>
      </c>
      <c r="O155" s="72">
        <v>704.48780487804879</v>
      </c>
      <c r="P155" s="72"/>
      <c r="Q155" s="72"/>
      <c r="R155" s="73">
        <v>704.48780487804879</v>
      </c>
      <c r="S155" s="71">
        <v>2125</v>
      </c>
      <c r="T155" s="72">
        <v>2086</v>
      </c>
      <c r="U155" s="72">
        <v>2160</v>
      </c>
      <c r="V155" s="72">
        <v>2164</v>
      </c>
      <c r="W155" s="72">
        <v>2133</v>
      </c>
      <c r="X155" s="73">
        <v>2082</v>
      </c>
      <c r="Y155" s="71">
        <v>351</v>
      </c>
      <c r="Z155" s="72">
        <v>354</v>
      </c>
      <c r="AA155" s="72">
        <v>351</v>
      </c>
      <c r="AB155" s="72">
        <v>345</v>
      </c>
      <c r="AC155" s="72">
        <v>360</v>
      </c>
      <c r="AD155" s="73">
        <v>345</v>
      </c>
      <c r="AE155" s="71"/>
      <c r="AF155" s="72"/>
      <c r="AG155" s="72"/>
      <c r="AH155" s="72"/>
      <c r="AI155" s="72"/>
      <c r="AJ155" s="73"/>
      <c r="AK155" s="71"/>
      <c r="AL155" s="72"/>
      <c r="AM155" s="72"/>
      <c r="AN155" s="72"/>
      <c r="AO155" s="72"/>
      <c r="AP155" s="73"/>
      <c r="AQ155" s="71">
        <v>354.8</v>
      </c>
      <c r="AR155" s="72">
        <v>346</v>
      </c>
      <c r="AS155" s="72">
        <v>336</v>
      </c>
      <c r="AT155" s="72">
        <v>358</v>
      </c>
      <c r="AU155" s="72">
        <v>373</v>
      </c>
      <c r="AV155" s="73">
        <v>361</v>
      </c>
      <c r="AW155" s="75">
        <v>-0.22385904101673848</v>
      </c>
      <c r="AX155" s="76">
        <v>-1.8029077604467481</v>
      </c>
      <c r="AY155" s="76">
        <v>0.34713625484856792</v>
      </c>
      <c r="AZ155" s="76">
        <v>1.0520687188798172</v>
      </c>
      <c r="BA155" s="76">
        <v>1.0168220956782603</v>
      </c>
      <c r="BB155" s="77">
        <v>-1.7324145140436231</v>
      </c>
      <c r="BC155" s="65"/>
      <c r="BD155" s="78"/>
      <c r="BE155" s="78"/>
      <c r="BF155" s="78"/>
      <c r="BG155" s="78"/>
      <c r="BH155" s="70"/>
      <c r="BI155" s="65"/>
      <c r="BJ155" s="78"/>
      <c r="BK155" s="78"/>
      <c r="BL155" s="78"/>
      <c r="BM155" s="78"/>
      <c r="BN155" s="70"/>
      <c r="BO155" s="65"/>
      <c r="BP155" s="78"/>
      <c r="BQ155" s="78"/>
      <c r="BR155" s="78"/>
      <c r="BS155" s="78"/>
      <c r="BT155" s="70"/>
      <c r="BU155" s="65"/>
      <c r="BV155" s="78"/>
      <c r="BW155" s="78"/>
      <c r="BX155" s="78"/>
      <c r="BY155" s="78"/>
      <c r="BZ155" s="70"/>
      <c r="CA155" s="80"/>
      <c r="CB155" s="78"/>
      <c r="CC155" s="78"/>
      <c r="CD155" s="78"/>
      <c r="CE155" s="78"/>
      <c r="CF155" s="70"/>
    </row>
    <row r="156" spans="1:84" ht="12" customHeight="1">
      <c r="A156" s="2"/>
      <c r="B156" s="64">
        <v>144</v>
      </c>
      <c r="C156" s="65">
        <v>10</v>
      </c>
      <c r="D156" s="66" t="s">
        <v>9</v>
      </c>
      <c r="E156" s="69" t="s">
        <v>169</v>
      </c>
      <c r="F156" s="70"/>
      <c r="G156" s="71">
        <v>3541.6390243902433</v>
      </c>
      <c r="H156" s="72">
        <v>2132.6634146341462</v>
      </c>
      <c r="I156" s="72">
        <v>1056.7317073170732</v>
      </c>
      <c r="J156" s="72"/>
      <c r="K156" s="72"/>
      <c r="L156" s="73">
        <v>352.2439024390244</v>
      </c>
      <c r="M156" s="71">
        <v>7083.2780487804866</v>
      </c>
      <c r="N156" s="72">
        <v>4265.3268292682924</v>
      </c>
      <c r="O156" s="72">
        <v>2113.4634146341464</v>
      </c>
      <c r="P156" s="72"/>
      <c r="Q156" s="72"/>
      <c r="R156" s="73">
        <v>704.48780487804879</v>
      </c>
      <c r="S156" s="71">
        <v>2121.1999999999998</v>
      </c>
      <c r="T156" s="72">
        <v>2065</v>
      </c>
      <c r="U156" s="72">
        <v>2155</v>
      </c>
      <c r="V156" s="72">
        <v>2223</v>
      </c>
      <c r="W156" s="72">
        <v>2011</v>
      </c>
      <c r="X156" s="73">
        <v>2152</v>
      </c>
      <c r="Y156" s="71">
        <v>1030.2</v>
      </c>
      <c r="Z156" s="72">
        <v>1029</v>
      </c>
      <c r="AA156" s="72">
        <v>1065</v>
      </c>
      <c r="AB156" s="72">
        <v>1029</v>
      </c>
      <c r="AC156" s="72">
        <v>999</v>
      </c>
      <c r="AD156" s="73">
        <v>1029</v>
      </c>
      <c r="AE156" s="71"/>
      <c r="AF156" s="72"/>
      <c r="AG156" s="72"/>
      <c r="AH156" s="72"/>
      <c r="AI156" s="72"/>
      <c r="AJ156" s="73"/>
      <c r="AK156" s="71"/>
      <c r="AL156" s="72"/>
      <c r="AM156" s="72"/>
      <c r="AN156" s="72"/>
      <c r="AO156" s="72"/>
      <c r="AP156" s="73"/>
      <c r="AQ156" s="71">
        <v>339</v>
      </c>
      <c r="AR156" s="72">
        <v>346</v>
      </c>
      <c r="AS156" s="72">
        <v>343</v>
      </c>
      <c r="AT156" s="72">
        <v>333</v>
      </c>
      <c r="AU156" s="72">
        <v>340</v>
      </c>
      <c r="AV156" s="73">
        <v>333</v>
      </c>
      <c r="AW156" s="75">
        <v>-1.4467602157468673</v>
      </c>
      <c r="AX156" s="76">
        <v>-2.8698301461635323</v>
      </c>
      <c r="AY156" s="76">
        <v>0.60313813640096026</v>
      </c>
      <c r="AZ156" s="76">
        <v>1.2243194552336467</v>
      </c>
      <c r="BA156" s="76">
        <v>-5.411026450479028</v>
      </c>
      <c r="BB156" s="77">
        <v>-0.78040207372636061</v>
      </c>
      <c r="BC156" s="65"/>
      <c r="BD156" s="78"/>
      <c r="BE156" s="78"/>
      <c r="BF156" s="78"/>
      <c r="BG156" s="78"/>
      <c r="BH156" s="70"/>
      <c r="BI156" s="65"/>
      <c r="BJ156" s="78"/>
      <c r="BK156" s="78"/>
      <c r="BL156" s="78"/>
      <c r="BM156" s="78"/>
      <c r="BN156" s="70"/>
      <c r="BO156" s="65"/>
      <c r="BP156" s="78"/>
      <c r="BQ156" s="78"/>
      <c r="BR156" s="78"/>
      <c r="BS156" s="78"/>
      <c r="BT156" s="70"/>
      <c r="BU156" s="65"/>
      <c r="BV156" s="78"/>
      <c r="BW156" s="78"/>
      <c r="BX156" s="78"/>
      <c r="BY156" s="78"/>
      <c r="BZ156" s="70"/>
      <c r="CA156" s="80"/>
      <c r="CB156" s="78"/>
      <c r="CC156" s="78"/>
      <c r="CD156" s="78"/>
      <c r="CE156" s="78"/>
      <c r="CF156" s="70"/>
    </row>
    <row r="157" spans="1:84" ht="12" customHeight="1">
      <c r="A157" s="2"/>
      <c r="B157" s="64">
        <v>145</v>
      </c>
      <c r="C157" s="65">
        <v>10</v>
      </c>
      <c r="D157" s="66" t="s">
        <v>9</v>
      </c>
      <c r="E157" s="69" t="s">
        <v>170</v>
      </c>
      <c r="F157" s="70"/>
      <c r="G157" s="71">
        <v>3476.9502439024391</v>
      </c>
      <c r="H157" s="72">
        <v>2772.4624390243903</v>
      </c>
      <c r="I157" s="72">
        <v>352.2439024390244</v>
      </c>
      <c r="J157" s="72"/>
      <c r="K157" s="72"/>
      <c r="L157" s="73">
        <v>352.2439024390244</v>
      </c>
      <c r="M157" s="71">
        <v>6953.9004878048781</v>
      </c>
      <c r="N157" s="72">
        <v>5544.9248780487806</v>
      </c>
      <c r="O157" s="72">
        <v>704.48780487804879</v>
      </c>
      <c r="P157" s="72"/>
      <c r="Q157" s="72"/>
      <c r="R157" s="73">
        <v>704.48780487804879</v>
      </c>
      <c r="S157" s="71">
        <v>2751.6</v>
      </c>
      <c r="T157" s="72">
        <v>2698</v>
      </c>
      <c r="U157" s="72">
        <v>2779</v>
      </c>
      <c r="V157" s="72">
        <v>2782</v>
      </c>
      <c r="W157" s="72">
        <v>2808</v>
      </c>
      <c r="X157" s="73">
        <v>2691</v>
      </c>
      <c r="Y157" s="71">
        <v>358.6</v>
      </c>
      <c r="Z157" s="72">
        <v>353</v>
      </c>
      <c r="AA157" s="72">
        <v>347</v>
      </c>
      <c r="AB157" s="72">
        <v>358</v>
      </c>
      <c r="AC157" s="72">
        <v>375</v>
      </c>
      <c r="AD157" s="73">
        <v>360</v>
      </c>
      <c r="AE157" s="71"/>
      <c r="AF157" s="72"/>
      <c r="AG157" s="72"/>
      <c r="AH157" s="72"/>
      <c r="AI157" s="72"/>
      <c r="AJ157" s="73"/>
      <c r="AK157" s="71"/>
      <c r="AL157" s="72"/>
      <c r="AM157" s="72"/>
      <c r="AN157" s="72"/>
      <c r="AO157" s="72"/>
      <c r="AP157" s="73"/>
      <c r="AQ157" s="71">
        <v>343.4</v>
      </c>
      <c r="AR157" s="72">
        <v>352</v>
      </c>
      <c r="AS157" s="72">
        <v>342</v>
      </c>
      <c r="AT157" s="72">
        <v>333</v>
      </c>
      <c r="AU157" s="72">
        <v>340</v>
      </c>
      <c r="AV157" s="73">
        <v>350</v>
      </c>
      <c r="AW157" s="75">
        <v>-0.67157256401321197</v>
      </c>
      <c r="AX157" s="76">
        <v>-2.1268709275355957</v>
      </c>
      <c r="AY157" s="76">
        <v>-0.25741650799102622</v>
      </c>
      <c r="AZ157" s="76">
        <v>-0.11361232187221404</v>
      </c>
      <c r="BA157" s="76">
        <v>1.32442953931593</v>
      </c>
      <c r="BB157" s="77">
        <v>-2.1843926019831206</v>
      </c>
      <c r="BC157" s="65"/>
      <c r="BD157" s="78"/>
      <c r="BE157" s="78"/>
      <c r="BF157" s="78"/>
      <c r="BG157" s="78"/>
      <c r="BH157" s="70"/>
      <c r="BI157" s="65"/>
      <c r="BJ157" s="78"/>
      <c r="BK157" s="78"/>
      <c r="BL157" s="78"/>
      <c r="BM157" s="78"/>
      <c r="BN157" s="70"/>
      <c r="BO157" s="65"/>
      <c r="BP157" s="78"/>
      <c r="BQ157" s="78"/>
      <c r="BR157" s="78"/>
      <c r="BS157" s="78"/>
      <c r="BT157" s="70"/>
      <c r="BU157" s="65"/>
      <c r="BV157" s="78"/>
      <c r="BW157" s="78"/>
      <c r="BX157" s="78"/>
      <c r="BY157" s="78"/>
      <c r="BZ157" s="70"/>
      <c r="CA157" s="80"/>
      <c r="CB157" s="78"/>
      <c r="CC157" s="78"/>
      <c r="CD157" s="78"/>
      <c r="CE157" s="78"/>
      <c r="CF157" s="70"/>
    </row>
    <row r="158" spans="1:84" ht="12" customHeight="1">
      <c r="A158" s="2" t="s">
        <v>166</v>
      </c>
      <c r="B158" s="64">
        <v>146</v>
      </c>
      <c r="C158" s="65">
        <v>10</v>
      </c>
      <c r="D158" s="66" t="s">
        <v>9</v>
      </c>
      <c r="E158" s="69" t="s">
        <v>103</v>
      </c>
      <c r="F158" s="70"/>
      <c r="G158" s="71">
        <v>2126.2634146341461</v>
      </c>
      <c r="H158" s="72">
        <v>1421.7756097560975</v>
      </c>
      <c r="I158" s="72">
        <v>352.2439024390244</v>
      </c>
      <c r="J158" s="72"/>
      <c r="K158" s="72"/>
      <c r="L158" s="73">
        <v>352.2439024390244</v>
      </c>
      <c r="M158" s="71">
        <v>4252.5268292682922</v>
      </c>
      <c r="N158" s="72">
        <v>2843.5512195121951</v>
      </c>
      <c r="O158" s="72">
        <v>704.48780487804879</v>
      </c>
      <c r="P158" s="72"/>
      <c r="Q158" s="72"/>
      <c r="R158" s="73">
        <v>704.48780487804879</v>
      </c>
      <c r="S158" s="71">
        <v>1429.8</v>
      </c>
      <c r="T158" s="72">
        <v>1457</v>
      </c>
      <c r="U158" s="72">
        <v>1450</v>
      </c>
      <c r="V158" s="72">
        <v>1370</v>
      </c>
      <c r="W158" s="72">
        <v>1410</v>
      </c>
      <c r="X158" s="73">
        <v>1462</v>
      </c>
      <c r="Y158" s="71">
        <v>343</v>
      </c>
      <c r="Z158" s="72">
        <v>341</v>
      </c>
      <c r="AA158" s="72">
        <v>348</v>
      </c>
      <c r="AB158" s="72">
        <v>336</v>
      </c>
      <c r="AC158" s="72">
        <v>336</v>
      </c>
      <c r="AD158" s="73">
        <v>354</v>
      </c>
      <c r="AE158" s="71"/>
      <c r="AF158" s="72"/>
      <c r="AG158" s="72"/>
      <c r="AH158" s="72"/>
      <c r="AI158" s="72"/>
      <c r="AJ158" s="73"/>
      <c r="AK158" s="71"/>
      <c r="AL158" s="72"/>
      <c r="AM158" s="72"/>
      <c r="AN158" s="72"/>
      <c r="AO158" s="72"/>
      <c r="AP158" s="73"/>
      <c r="AQ158" s="71">
        <v>366</v>
      </c>
      <c r="AR158" s="72">
        <v>376</v>
      </c>
      <c r="AS158" s="72">
        <v>363</v>
      </c>
      <c r="AT158" s="72">
        <v>378</v>
      </c>
      <c r="AU158" s="72">
        <v>346</v>
      </c>
      <c r="AV158" s="73">
        <v>367</v>
      </c>
      <c r="AW158" s="75">
        <v>0.58960640904461847</v>
      </c>
      <c r="AX158" s="76">
        <v>2.245092731093612</v>
      </c>
      <c r="AY158" s="76">
        <v>1.6336915326096157</v>
      </c>
      <c r="AZ158" s="76">
        <v>-1.9876847968725464</v>
      </c>
      <c r="BA158" s="76">
        <v>-1.6114379054977812</v>
      </c>
      <c r="BB158" s="77">
        <v>2.6683704838902145</v>
      </c>
      <c r="BC158" s="65"/>
      <c r="BD158" s="78"/>
      <c r="BE158" s="78"/>
      <c r="BF158" s="78"/>
      <c r="BG158" s="78"/>
      <c r="BH158" s="70"/>
      <c r="BI158" s="65"/>
      <c r="BJ158" s="78"/>
      <c r="BK158" s="78"/>
      <c r="BL158" s="78"/>
      <c r="BM158" s="78"/>
      <c r="BN158" s="70"/>
      <c r="BO158" s="65"/>
      <c r="BP158" s="78"/>
      <c r="BQ158" s="78"/>
      <c r="BR158" s="78"/>
      <c r="BS158" s="78"/>
      <c r="BT158" s="70"/>
      <c r="BU158" s="65"/>
      <c r="BV158" s="78"/>
      <c r="BW158" s="78"/>
      <c r="BX158" s="78"/>
      <c r="BY158" s="78"/>
      <c r="BZ158" s="70"/>
      <c r="CA158" s="80"/>
      <c r="CB158" s="78"/>
      <c r="CC158" s="78"/>
      <c r="CD158" s="78"/>
      <c r="CE158" s="78"/>
      <c r="CF158" s="70"/>
    </row>
    <row r="159" spans="1:84" ht="12" customHeight="1">
      <c r="A159" s="2" t="s">
        <v>166</v>
      </c>
      <c r="B159" s="64">
        <v>147</v>
      </c>
      <c r="C159" s="65">
        <v>10</v>
      </c>
      <c r="D159" s="66" t="s">
        <v>9</v>
      </c>
      <c r="E159" s="69" t="s">
        <v>171</v>
      </c>
      <c r="F159" s="70"/>
      <c r="G159" s="71">
        <v>2830.7512195121953</v>
      </c>
      <c r="H159" s="72">
        <v>1421.7756097560975</v>
      </c>
      <c r="I159" s="72">
        <v>1056.7317073170732</v>
      </c>
      <c r="J159" s="72"/>
      <c r="K159" s="72"/>
      <c r="L159" s="73">
        <v>352.2439024390244</v>
      </c>
      <c r="M159" s="71">
        <v>5661.5024390243907</v>
      </c>
      <c r="N159" s="72">
        <v>2843.5512195121951</v>
      </c>
      <c r="O159" s="72">
        <v>2113.4634146341464</v>
      </c>
      <c r="P159" s="72"/>
      <c r="Q159" s="72"/>
      <c r="R159" s="73">
        <v>704.48780487804879</v>
      </c>
      <c r="S159" s="71">
        <v>1403</v>
      </c>
      <c r="T159" s="72">
        <v>1452</v>
      </c>
      <c r="U159" s="72">
        <v>1396</v>
      </c>
      <c r="V159" s="72">
        <v>1375</v>
      </c>
      <c r="W159" s="72">
        <v>1393</v>
      </c>
      <c r="X159" s="73">
        <v>1399</v>
      </c>
      <c r="Y159" s="71">
        <v>1078.8</v>
      </c>
      <c r="Z159" s="72">
        <v>1089</v>
      </c>
      <c r="AA159" s="72">
        <v>1098</v>
      </c>
      <c r="AB159" s="72">
        <v>1065</v>
      </c>
      <c r="AC159" s="72">
        <v>1062</v>
      </c>
      <c r="AD159" s="73">
        <v>1080</v>
      </c>
      <c r="AE159" s="71"/>
      <c r="AF159" s="72"/>
      <c r="AG159" s="72"/>
      <c r="AH159" s="72"/>
      <c r="AI159" s="72"/>
      <c r="AJ159" s="73"/>
      <c r="AK159" s="71"/>
      <c r="AL159" s="72"/>
      <c r="AM159" s="72"/>
      <c r="AN159" s="72"/>
      <c r="AO159" s="72"/>
      <c r="AP159" s="73"/>
      <c r="AQ159" s="71">
        <v>359</v>
      </c>
      <c r="AR159" s="72">
        <v>363</v>
      </c>
      <c r="AS159" s="72">
        <v>366</v>
      </c>
      <c r="AT159" s="72">
        <v>354</v>
      </c>
      <c r="AU159" s="72">
        <v>355</v>
      </c>
      <c r="AV159" s="73">
        <v>357</v>
      </c>
      <c r="AW159" s="75">
        <v>0.35498635198103479</v>
      </c>
      <c r="AX159" s="76">
        <v>2.5876092530811245</v>
      </c>
      <c r="AY159" s="76">
        <v>1.0332515371253681</v>
      </c>
      <c r="AZ159" s="76">
        <v>-1.2982850368082999</v>
      </c>
      <c r="BA159" s="76">
        <v>-0.73306404918801471</v>
      </c>
      <c r="BB159" s="77">
        <v>0.18542005569492925</v>
      </c>
      <c r="BC159" s="65"/>
      <c r="BD159" s="78"/>
      <c r="BE159" s="78"/>
      <c r="BF159" s="78"/>
      <c r="BG159" s="78"/>
      <c r="BH159" s="70"/>
      <c r="BI159" s="65"/>
      <c r="BJ159" s="78"/>
      <c r="BK159" s="78"/>
      <c r="BL159" s="78"/>
      <c r="BM159" s="78"/>
      <c r="BN159" s="70"/>
      <c r="BO159" s="65"/>
      <c r="BP159" s="78"/>
      <c r="BQ159" s="78"/>
      <c r="BR159" s="78"/>
      <c r="BS159" s="78"/>
      <c r="BT159" s="70"/>
      <c r="BU159" s="65"/>
      <c r="BV159" s="78"/>
      <c r="BW159" s="78"/>
      <c r="BX159" s="78"/>
      <c r="BY159" s="78"/>
      <c r="BZ159" s="70"/>
      <c r="CA159" s="80"/>
      <c r="CB159" s="78"/>
      <c r="CC159" s="78"/>
      <c r="CD159" s="78"/>
      <c r="CE159" s="78"/>
      <c r="CF159" s="70"/>
    </row>
    <row r="160" spans="1:84" ht="12" customHeight="1">
      <c r="A160" s="2" t="s">
        <v>166</v>
      </c>
      <c r="B160" s="64">
        <v>148</v>
      </c>
      <c r="C160" s="65">
        <v>10</v>
      </c>
      <c r="D160" s="66" t="s">
        <v>9</v>
      </c>
      <c r="E160" s="69" t="s">
        <v>108</v>
      </c>
      <c r="F160" s="70"/>
      <c r="G160" s="71">
        <v>2552.7960975609758</v>
      </c>
      <c r="H160" s="72">
        <v>1848.3082926829268</v>
      </c>
      <c r="I160" s="72">
        <v>352.2439024390244</v>
      </c>
      <c r="J160" s="72"/>
      <c r="K160" s="72"/>
      <c r="L160" s="73">
        <v>352.2439024390244</v>
      </c>
      <c r="M160" s="71">
        <v>5105.5921951219516</v>
      </c>
      <c r="N160" s="72">
        <v>3696.6165853658536</v>
      </c>
      <c r="O160" s="72">
        <v>704.48780487804879</v>
      </c>
      <c r="P160" s="72"/>
      <c r="Q160" s="72"/>
      <c r="R160" s="73">
        <v>704.48780487804879</v>
      </c>
      <c r="S160" s="71">
        <v>1838.6</v>
      </c>
      <c r="T160" s="72">
        <v>1765</v>
      </c>
      <c r="U160" s="72">
        <v>1901</v>
      </c>
      <c r="V160" s="72">
        <v>1827</v>
      </c>
      <c r="W160" s="72">
        <v>1916</v>
      </c>
      <c r="X160" s="73">
        <v>1784</v>
      </c>
      <c r="Y160" s="71">
        <v>346</v>
      </c>
      <c r="Z160" s="72">
        <v>348</v>
      </c>
      <c r="AA160" s="72">
        <v>368</v>
      </c>
      <c r="AB160" s="72">
        <v>333</v>
      </c>
      <c r="AC160" s="72">
        <v>334</v>
      </c>
      <c r="AD160" s="73">
        <v>347</v>
      </c>
      <c r="AE160" s="71"/>
      <c r="AF160" s="72"/>
      <c r="AG160" s="72"/>
      <c r="AH160" s="72"/>
      <c r="AI160" s="72"/>
      <c r="AJ160" s="73"/>
      <c r="AK160" s="71"/>
      <c r="AL160" s="72"/>
      <c r="AM160" s="72"/>
      <c r="AN160" s="72"/>
      <c r="AO160" s="72"/>
      <c r="AP160" s="73"/>
      <c r="AQ160" s="71">
        <v>356.8</v>
      </c>
      <c r="AR160" s="72">
        <v>370</v>
      </c>
      <c r="AS160" s="72">
        <v>365</v>
      </c>
      <c r="AT160" s="72">
        <v>352</v>
      </c>
      <c r="AU160" s="72">
        <v>349</v>
      </c>
      <c r="AV160" s="73">
        <v>348</v>
      </c>
      <c r="AW160" s="75">
        <v>-0.44641628729626959</v>
      </c>
      <c r="AX160" s="76">
        <v>-2.7341038960244868</v>
      </c>
      <c r="AY160" s="76">
        <v>3.1809787909268916</v>
      </c>
      <c r="AZ160" s="76">
        <v>-1.5980946382656125</v>
      </c>
      <c r="BA160" s="76">
        <v>1.8099331350110104</v>
      </c>
      <c r="BB160" s="77">
        <v>-2.8907948281291618</v>
      </c>
      <c r="BC160" s="65"/>
      <c r="BD160" s="78"/>
      <c r="BE160" s="78"/>
      <c r="BF160" s="78"/>
      <c r="BG160" s="78"/>
      <c r="BH160" s="70"/>
      <c r="BI160" s="65"/>
      <c r="BJ160" s="78"/>
      <c r="BK160" s="78"/>
      <c r="BL160" s="78"/>
      <c r="BM160" s="78"/>
      <c r="BN160" s="70"/>
      <c r="BO160" s="65"/>
      <c r="BP160" s="78"/>
      <c r="BQ160" s="78"/>
      <c r="BR160" s="78"/>
      <c r="BS160" s="78"/>
      <c r="BT160" s="70"/>
      <c r="BU160" s="65"/>
      <c r="BV160" s="78"/>
      <c r="BW160" s="78"/>
      <c r="BX160" s="78"/>
      <c r="BY160" s="78"/>
      <c r="BZ160" s="70"/>
      <c r="CA160" s="80"/>
      <c r="CB160" s="78"/>
      <c r="CC160" s="78"/>
      <c r="CD160" s="78"/>
      <c r="CE160" s="78"/>
      <c r="CF160" s="70"/>
    </row>
    <row r="161" spans="1:84" ht="12" customHeight="1">
      <c r="A161" s="2"/>
      <c r="B161" s="64">
        <v>149</v>
      </c>
      <c r="C161" s="65">
        <v>10</v>
      </c>
      <c r="D161" s="66" t="s">
        <v>10</v>
      </c>
      <c r="E161" s="69" t="s">
        <v>67</v>
      </c>
      <c r="F161" s="70"/>
      <c r="G161" s="71">
        <v>1669.2780487804878</v>
      </c>
      <c r="H161" s="72">
        <v>1669.2780487804878</v>
      </c>
      <c r="I161" s="72"/>
      <c r="J161" s="72"/>
      <c r="K161" s="72"/>
      <c r="L161" s="73"/>
      <c r="M161" s="71">
        <v>3338.5560975609756</v>
      </c>
      <c r="N161" s="72">
        <v>3338.5560975609756</v>
      </c>
      <c r="O161" s="72"/>
      <c r="P161" s="72"/>
      <c r="Q161" s="72"/>
      <c r="R161" s="73"/>
      <c r="S161" s="71">
        <v>1667.9611650485435</v>
      </c>
      <c r="T161" s="72">
        <v>1701.9417475728155</v>
      </c>
      <c r="U161" s="72">
        <v>1639.8058252427184</v>
      </c>
      <c r="V161" s="72">
        <v>1668.9320388349515</v>
      </c>
      <c r="W161" s="72">
        <v>1648.5436893203882</v>
      </c>
      <c r="X161" s="73">
        <v>1680.5825242718447</v>
      </c>
      <c r="Y161" s="71"/>
      <c r="Z161" s="72"/>
      <c r="AA161" s="72"/>
      <c r="AB161" s="72"/>
      <c r="AC161" s="72"/>
      <c r="AD161" s="73"/>
      <c r="AE161" s="71"/>
      <c r="AF161" s="72"/>
      <c r="AG161" s="72"/>
      <c r="AH161" s="72"/>
      <c r="AI161" s="72"/>
      <c r="AJ161" s="73"/>
      <c r="AK161" s="71"/>
      <c r="AL161" s="72"/>
      <c r="AM161" s="72"/>
      <c r="AN161" s="72"/>
      <c r="AO161" s="72"/>
      <c r="AP161" s="73"/>
      <c r="AQ161" s="71"/>
      <c r="AR161" s="72"/>
      <c r="AS161" s="72"/>
      <c r="AT161" s="72"/>
      <c r="AU161" s="72"/>
      <c r="AV161" s="73"/>
      <c r="AW161" s="75">
        <v>-7.8889417668093209E-2</v>
      </c>
      <c r="AX161" s="76">
        <v>1.9567560249289073</v>
      </c>
      <c r="AY161" s="76">
        <v>-1.7655670701055892</v>
      </c>
      <c r="AZ161" s="76">
        <v>-2.0728119308166537E-2</v>
      </c>
      <c r="BA161" s="76">
        <v>-1.2421153848663713</v>
      </c>
      <c r="BB161" s="77">
        <v>0.67720746101078699</v>
      </c>
      <c r="BC161" s="65"/>
      <c r="BD161" s="78"/>
      <c r="BE161" s="78"/>
      <c r="BF161" s="78"/>
      <c r="BG161" s="78"/>
      <c r="BH161" s="70"/>
      <c r="BI161" s="65"/>
      <c r="BJ161" s="78"/>
      <c r="BK161" s="78"/>
      <c r="BL161" s="78"/>
      <c r="BM161" s="78"/>
      <c r="BN161" s="70"/>
      <c r="BO161" s="65"/>
      <c r="BP161" s="78"/>
      <c r="BQ161" s="78"/>
      <c r="BR161" s="78"/>
      <c r="BS161" s="78"/>
      <c r="BT161" s="70"/>
      <c r="BU161" s="65"/>
      <c r="BV161" s="78"/>
      <c r="BW161" s="78"/>
      <c r="BX161" s="78"/>
      <c r="BY161" s="78"/>
      <c r="BZ161" s="70"/>
      <c r="CA161" s="80"/>
      <c r="CB161" s="78"/>
      <c r="CC161" s="78"/>
      <c r="CD161" s="78"/>
      <c r="CE161" s="78"/>
      <c r="CF161" s="70"/>
    </row>
    <row r="162" spans="1:84" ht="12" customHeight="1">
      <c r="A162" s="2" t="s">
        <v>160</v>
      </c>
      <c r="B162" s="64">
        <v>150</v>
      </c>
      <c r="C162" s="65">
        <v>10</v>
      </c>
      <c r="D162" s="66" t="s">
        <v>10</v>
      </c>
      <c r="E162" s="69" t="s">
        <v>79</v>
      </c>
      <c r="F162" s="70"/>
      <c r="G162" s="71">
        <v>1969.7480975609756</v>
      </c>
      <c r="H162" s="72">
        <v>1969.7480975609756</v>
      </c>
      <c r="I162" s="72"/>
      <c r="J162" s="72"/>
      <c r="K162" s="72"/>
      <c r="L162" s="73"/>
      <c r="M162" s="71">
        <v>3939.4961951219511</v>
      </c>
      <c r="N162" s="72">
        <v>3939.4961951219511</v>
      </c>
      <c r="O162" s="72"/>
      <c r="P162" s="72"/>
      <c r="Q162" s="72"/>
      <c r="R162" s="73"/>
      <c r="S162" s="71">
        <v>1918.4466019417475</v>
      </c>
      <c r="T162" s="72">
        <v>1889.3203883495146</v>
      </c>
      <c r="U162" s="72">
        <v>1955.3398058252428</v>
      </c>
      <c r="V162" s="72">
        <v>1953.3980582524273</v>
      </c>
      <c r="W162" s="72">
        <v>1881.5533980582525</v>
      </c>
      <c r="X162" s="73">
        <v>1912.6213592233009</v>
      </c>
      <c r="Y162" s="71"/>
      <c r="Z162" s="72"/>
      <c r="AA162" s="72"/>
      <c r="AB162" s="72"/>
      <c r="AC162" s="72"/>
      <c r="AD162" s="73"/>
      <c r="AE162" s="71"/>
      <c r="AF162" s="72"/>
      <c r="AG162" s="72"/>
      <c r="AH162" s="72"/>
      <c r="AI162" s="72"/>
      <c r="AJ162" s="73"/>
      <c r="AK162" s="71"/>
      <c r="AL162" s="72"/>
      <c r="AM162" s="72"/>
      <c r="AN162" s="72"/>
      <c r="AO162" s="72"/>
      <c r="AP162" s="73"/>
      <c r="AQ162" s="71"/>
      <c r="AR162" s="72"/>
      <c r="AS162" s="72"/>
      <c r="AT162" s="72"/>
      <c r="AU162" s="72"/>
      <c r="AV162" s="73"/>
      <c r="AW162" s="75">
        <v>-2.604469865093495</v>
      </c>
      <c r="AX162" s="76">
        <v>-4.0831469420404503</v>
      </c>
      <c r="AY162" s="76">
        <v>-0.73147890096066925</v>
      </c>
      <c r="AZ162" s="76">
        <v>-0.83005737275713143</v>
      </c>
      <c r="BA162" s="76">
        <v>-4.4774608292263096</v>
      </c>
      <c r="BB162" s="77">
        <v>-2.9002052804828926</v>
      </c>
      <c r="BC162" s="65"/>
      <c r="BD162" s="78"/>
      <c r="BE162" s="78"/>
      <c r="BF162" s="78"/>
      <c r="BG162" s="78"/>
      <c r="BH162" s="70"/>
      <c r="BI162" s="65"/>
      <c r="BJ162" s="78"/>
      <c r="BK162" s="78"/>
      <c r="BL162" s="78"/>
      <c r="BM162" s="78"/>
      <c r="BN162" s="70"/>
      <c r="BO162" s="65"/>
      <c r="BP162" s="78"/>
      <c r="BQ162" s="78"/>
      <c r="BR162" s="78"/>
      <c r="BS162" s="78"/>
      <c r="BT162" s="70"/>
      <c r="BU162" s="65"/>
      <c r="BV162" s="78"/>
      <c r="BW162" s="78"/>
      <c r="BX162" s="78"/>
      <c r="BY162" s="78"/>
      <c r="BZ162" s="70"/>
      <c r="CA162" s="80"/>
      <c r="CB162" s="78"/>
      <c r="CC162" s="78"/>
      <c r="CD162" s="78"/>
      <c r="CE162" s="78"/>
      <c r="CF162" s="70"/>
    </row>
    <row r="163" spans="1:84" ht="12" customHeight="1">
      <c r="A163" s="2"/>
      <c r="B163" s="64">
        <v>151</v>
      </c>
      <c r="C163" s="65">
        <v>10</v>
      </c>
      <c r="D163" s="66" t="s">
        <v>10</v>
      </c>
      <c r="E163" s="69" t="s">
        <v>136</v>
      </c>
      <c r="F163" s="70"/>
      <c r="G163" s="71">
        <v>2086.5975609756097</v>
      </c>
      <c r="H163" s="72">
        <v>2086.5975609756097</v>
      </c>
      <c r="I163" s="72"/>
      <c r="J163" s="72"/>
      <c r="K163" s="72"/>
      <c r="L163" s="73"/>
      <c r="M163" s="71">
        <v>4173.1951219512193</v>
      </c>
      <c r="N163" s="72">
        <v>4173.1951219512193</v>
      </c>
      <c r="O163" s="72"/>
      <c r="P163" s="72"/>
      <c r="Q163" s="72"/>
      <c r="R163" s="73"/>
      <c r="S163" s="71">
        <v>2073.980582524272</v>
      </c>
      <c r="T163" s="72">
        <v>2082.5242718446602</v>
      </c>
      <c r="U163" s="72">
        <v>2075.7281553398057</v>
      </c>
      <c r="V163" s="72">
        <v>2076.6990291262136</v>
      </c>
      <c r="W163" s="72">
        <v>2047.5728155339805</v>
      </c>
      <c r="X163" s="73">
        <v>2087.3786407766988</v>
      </c>
      <c r="Y163" s="71"/>
      <c r="Z163" s="72"/>
      <c r="AA163" s="72"/>
      <c r="AB163" s="72"/>
      <c r="AC163" s="72"/>
      <c r="AD163" s="73"/>
      <c r="AE163" s="71"/>
      <c r="AF163" s="72"/>
      <c r="AG163" s="72"/>
      <c r="AH163" s="72"/>
      <c r="AI163" s="72"/>
      <c r="AJ163" s="73"/>
      <c r="AK163" s="71"/>
      <c r="AL163" s="72"/>
      <c r="AM163" s="72"/>
      <c r="AN163" s="72"/>
      <c r="AO163" s="72"/>
      <c r="AP163" s="73"/>
      <c r="AQ163" s="71"/>
      <c r="AR163" s="72"/>
      <c r="AS163" s="72"/>
      <c r="AT163" s="72"/>
      <c r="AU163" s="72"/>
      <c r="AV163" s="73"/>
      <c r="AW163" s="75">
        <v>-0.60466755484169799</v>
      </c>
      <c r="AX163" s="76">
        <v>-0.19521201438790214</v>
      </c>
      <c r="AY163" s="76">
        <v>-0.52091528520343822</v>
      </c>
      <c r="AZ163" s="76">
        <v>-0.47438624651549022</v>
      </c>
      <c r="BA163" s="76">
        <v>-1.8702574071534306</v>
      </c>
      <c r="BB163" s="77">
        <v>3.743317905173793E-2</v>
      </c>
      <c r="BC163" s="65"/>
      <c r="BD163" s="78"/>
      <c r="BE163" s="78"/>
      <c r="BF163" s="78"/>
      <c r="BG163" s="78"/>
      <c r="BH163" s="70"/>
      <c r="BI163" s="65"/>
      <c r="BJ163" s="78"/>
      <c r="BK163" s="78"/>
      <c r="BL163" s="78"/>
      <c r="BM163" s="78"/>
      <c r="BN163" s="70"/>
      <c r="BO163" s="65"/>
      <c r="BP163" s="78"/>
      <c r="BQ163" s="78"/>
      <c r="BR163" s="78"/>
      <c r="BS163" s="78"/>
      <c r="BT163" s="70"/>
      <c r="BU163" s="65"/>
      <c r="BV163" s="78"/>
      <c r="BW163" s="78"/>
      <c r="BX163" s="78"/>
      <c r="BY163" s="78"/>
      <c r="BZ163" s="70"/>
      <c r="CA163" s="80"/>
      <c r="CB163" s="78"/>
      <c r="CC163" s="78"/>
      <c r="CD163" s="78"/>
      <c r="CE163" s="78"/>
      <c r="CF163" s="70"/>
    </row>
    <row r="164" spans="1:84" ht="12" customHeight="1">
      <c r="A164" s="2"/>
      <c r="B164" s="64">
        <v>152</v>
      </c>
      <c r="C164" s="65">
        <v>10</v>
      </c>
      <c r="D164" s="66" t="s">
        <v>10</v>
      </c>
      <c r="E164" s="69" t="s">
        <v>89</v>
      </c>
      <c r="F164" s="70"/>
      <c r="G164" s="71">
        <v>1669.2780487804878</v>
      </c>
      <c r="H164" s="72">
        <v>1669.2780487804878</v>
      </c>
      <c r="I164" s="72"/>
      <c r="J164" s="72"/>
      <c r="K164" s="72"/>
      <c r="L164" s="73"/>
      <c r="M164" s="71">
        <v>3338.5560975609756</v>
      </c>
      <c r="N164" s="72">
        <v>3338.5560975609756</v>
      </c>
      <c r="O164" s="72"/>
      <c r="P164" s="72"/>
      <c r="Q164" s="72"/>
      <c r="R164" s="73"/>
      <c r="S164" s="71">
        <v>1667.9611650485435</v>
      </c>
      <c r="T164" s="72">
        <v>1701.9417475728155</v>
      </c>
      <c r="U164" s="72">
        <v>1639.8058252427184</v>
      </c>
      <c r="V164" s="72">
        <v>1668.9320388349515</v>
      </c>
      <c r="W164" s="72">
        <v>1648.5436893203882</v>
      </c>
      <c r="X164" s="73">
        <v>1680.5825242718447</v>
      </c>
      <c r="Y164" s="71"/>
      <c r="Z164" s="72"/>
      <c r="AA164" s="72"/>
      <c r="AB164" s="72"/>
      <c r="AC164" s="72"/>
      <c r="AD164" s="73"/>
      <c r="AE164" s="71"/>
      <c r="AF164" s="72"/>
      <c r="AG164" s="72"/>
      <c r="AH164" s="72"/>
      <c r="AI164" s="72"/>
      <c r="AJ164" s="73"/>
      <c r="AK164" s="71"/>
      <c r="AL164" s="72"/>
      <c r="AM164" s="72"/>
      <c r="AN164" s="72"/>
      <c r="AO164" s="72"/>
      <c r="AP164" s="73"/>
      <c r="AQ164" s="71"/>
      <c r="AR164" s="72"/>
      <c r="AS164" s="72"/>
      <c r="AT164" s="72"/>
      <c r="AU164" s="72"/>
      <c r="AV164" s="73"/>
      <c r="AW164" s="75">
        <v>-7.8889417668093209E-2</v>
      </c>
      <c r="AX164" s="76">
        <v>1.9567560249289073</v>
      </c>
      <c r="AY164" s="76">
        <v>-1.7655670701055892</v>
      </c>
      <c r="AZ164" s="76">
        <v>-2.0728119308166537E-2</v>
      </c>
      <c r="BA164" s="76">
        <v>-1.2421153848663713</v>
      </c>
      <c r="BB164" s="77">
        <v>0.67720746101078699</v>
      </c>
      <c r="BC164" s="65"/>
      <c r="BD164" s="78"/>
      <c r="BE164" s="78"/>
      <c r="BF164" s="78"/>
      <c r="BG164" s="78"/>
      <c r="BH164" s="70"/>
      <c r="BI164" s="65"/>
      <c r="BJ164" s="78"/>
      <c r="BK164" s="78"/>
      <c r="BL164" s="78"/>
      <c r="BM164" s="78"/>
      <c r="BN164" s="70"/>
      <c r="BO164" s="65"/>
      <c r="BP164" s="78"/>
      <c r="BQ164" s="78"/>
      <c r="BR164" s="78"/>
      <c r="BS164" s="78"/>
      <c r="BT164" s="70"/>
      <c r="BU164" s="65"/>
      <c r="BV164" s="78"/>
      <c r="BW164" s="78"/>
      <c r="BX164" s="78"/>
      <c r="BY164" s="78"/>
      <c r="BZ164" s="70"/>
      <c r="CA164" s="80"/>
      <c r="CB164" s="78"/>
      <c r="CC164" s="78"/>
      <c r="CD164" s="78"/>
      <c r="CE164" s="78"/>
      <c r="CF164" s="70"/>
    </row>
    <row r="165" spans="1:84" ht="12" customHeight="1">
      <c r="A165" s="2" t="s">
        <v>173</v>
      </c>
      <c r="B165" s="64">
        <v>153</v>
      </c>
      <c r="C165" s="65">
        <v>10</v>
      </c>
      <c r="D165" s="66" t="s">
        <v>10</v>
      </c>
      <c r="E165" s="69" t="s">
        <v>144</v>
      </c>
      <c r="F165" s="70"/>
      <c r="G165" s="71">
        <v>1669.2780487804878</v>
      </c>
      <c r="H165" s="72">
        <v>1669.2780487804878</v>
      </c>
      <c r="I165" s="72"/>
      <c r="J165" s="72"/>
      <c r="K165" s="72"/>
      <c r="L165" s="73"/>
      <c r="M165" s="71">
        <v>3338.5560975609756</v>
      </c>
      <c r="N165" s="72">
        <v>3338.5560975609756</v>
      </c>
      <c r="O165" s="72"/>
      <c r="P165" s="72"/>
      <c r="Q165" s="72"/>
      <c r="R165" s="73"/>
      <c r="S165" s="71">
        <v>1656.5048543689322</v>
      </c>
      <c r="T165" s="72">
        <v>1636.8932038834951</v>
      </c>
      <c r="U165" s="72">
        <v>1666.990291262136</v>
      </c>
      <c r="V165" s="72">
        <v>1669.9029126213593</v>
      </c>
      <c r="W165" s="72">
        <v>1620.3883495145631</v>
      </c>
      <c r="X165" s="73">
        <v>1688.3495145631068</v>
      </c>
      <c r="Y165" s="71"/>
      <c r="Z165" s="72"/>
      <c r="AA165" s="72"/>
      <c r="AB165" s="72"/>
      <c r="AC165" s="72"/>
      <c r="AD165" s="73"/>
      <c r="AE165" s="71"/>
      <c r="AF165" s="72"/>
      <c r="AG165" s="72"/>
      <c r="AH165" s="72"/>
      <c r="AI165" s="72"/>
      <c r="AJ165" s="73"/>
      <c r="AK165" s="71"/>
      <c r="AL165" s="72"/>
      <c r="AM165" s="72"/>
      <c r="AN165" s="72"/>
      <c r="AO165" s="72"/>
      <c r="AP165" s="73"/>
      <c r="AQ165" s="71"/>
      <c r="AR165" s="72"/>
      <c r="AS165" s="72"/>
      <c r="AT165" s="72"/>
      <c r="AU165" s="72"/>
      <c r="AV165" s="73"/>
      <c r="AW165" s="75">
        <v>-0.76519273831505696</v>
      </c>
      <c r="AX165" s="76">
        <v>-1.9400509651853359</v>
      </c>
      <c r="AY165" s="76">
        <v>-0.13705071602799768</v>
      </c>
      <c r="AZ165" s="76">
        <v>3.743317905173793E-2</v>
      </c>
      <c r="BA165" s="76">
        <v>-2.9287930373038673</v>
      </c>
      <c r="BB165" s="77">
        <v>1.1424978478901116</v>
      </c>
      <c r="BC165" s="65"/>
      <c r="BD165" s="78"/>
      <c r="BE165" s="78"/>
      <c r="BF165" s="78"/>
      <c r="BG165" s="78"/>
      <c r="BH165" s="70"/>
      <c r="BI165" s="65"/>
      <c r="BJ165" s="78"/>
      <c r="BK165" s="78"/>
      <c r="BL165" s="78"/>
      <c r="BM165" s="78"/>
      <c r="BN165" s="70"/>
      <c r="BO165" s="65"/>
      <c r="BP165" s="78"/>
      <c r="BQ165" s="78"/>
      <c r="BR165" s="78"/>
      <c r="BS165" s="78"/>
      <c r="BT165" s="70"/>
      <c r="BU165" s="65"/>
      <c r="BV165" s="78"/>
      <c r="BW165" s="78"/>
      <c r="BX165" s="78"/>
      <c r="BY165" s="78"/>
      <c r="BZ165" s="70"/>
      <c r="CA165" s="80"/>
      <c r="CB165" s="78"/>
      <c r="CC165" s="78"/>
      <c r="CD165" s="78"/>
      <c r="CE165" s="78"/>
      <c r="CF165" s="70"/>
    </row>
    <row r="166" spans="1:84" ht="12" customHeight="1">
      <c r="A166" s="2"/>
      <c r="B166" s="64">
        <v>154</v>
      </c>
      <c r="C166" s="65">
        <v>10</v>
      </c>
      <c r="D166" s="66" t="s">
        <v>10</v>
      </c>
      <c r="E166" s="69" t="s">
        <v>92</v>
      </c>
      <c r="F166" s="70"/>
      <c r="G166" s="71">
        <v>834.63902439024389</v>
      </c>
      <c r="H166" s="72">
        <v>834.63902439024389</v>
      </c>
      <c r="I166" s="72"/>
      <c r="J166" s="72"/>
      <c r="K166" s="72"/>
      <c r="L166" s="73"/>
      <c r="M166" s="71">
        <v>2503.9170731707318</v>
      </c>
      <c r="N166" s="72">
        <v>2503.9170731707318</v>
      </c>
      <c r="O166" s="72"/>
      <c r="P166" s="72"/>
      <c r="Q166" s="72"/>
      <c r="R166" s="73"/>
      <c r="S166" s="71">
        <v>840.77669902912623</v>
      </c>
      <c r="T166" s="72">
        <v>866.99029126213588</v>
      </c>
      <c r="U166" s="72">
        <v>817.47572815533977</v>
      </c>
      <c r="V166" s="72">
        <v>827.18446601941753</v>
      </c>
      <c r="W166" s="72">
        <v>853.39805825242718</v>
      </c>
      <c r="X166" s="73">
        <v>838.8349514563107</v>
      </c>
      <c r="Y166" s="71"/>
      <c r="Z166" s="72"/>
      <c r="AA166" s="72"/>
      <c r="AB166" s="72"/>
      <c r="AC166" s="72"/>
      <c r="AD166" s="73"/>
      <c r="AE166" s="71"/>
      <c r="AF166" s="72"/>
      <c r="AG166" s="72"/>
      <c r="AH166" s="72"/>
      <c r="AI166" s="72"/>
      <c r="AJ166" s="73"/>
      <c r="AK166" s="71"/>
      <c r="AL166" s="72"/>
      <c r="AM166" s="72"/>
      <c r="AN166" s="72"/>
      <c r="AO166" s="72"/>
      <c r="AP166" s="73"/>
      <c r="AQ166" s="71"/>
      <c r="AR166" s="72"/>
      <c r="AS166" s="72"/>
      <c r="AT166" s="72"/>
      <c r="AU166" s="72"/>
      <c r="AV166" s="73"/>
      <c r="AW166" s="75">
        <v>0.73536875937070256</v>
      </c>
      <c r="AX166" s="76">
        <v>3.8760788708060545</v>
      </c>
      <c r="AY166" s="76">
        <v>-2.056373561905156</v>
      </c>
      <c r="AZ166" s="76">
        <v>-0.89314759470686678</v>
      </c>
      <c r="BA166" s="76">
        <v>2.247562516728463</v>
      </c>
      <c r="BB166" s="77">
        <v>0.50272356593106249</v>
      </c>
      <c r="BC166" s="65"/>
      <c r="BD166" s="78"/>
      <c r="BE166" s="78"/>
      <c r="BF166" s="78"/>
      <c r="BG166" s="78"/>
      <c r="BH166" s="70"/>
      <c r="BI166" s="65"/>
      <c r="BJ166" s="78"/>
      <c r="BK166" s="78"/>
      <c r="BL166" s="78"/>
      <c r="BM166" s="78"/>
      <c r="BN166" s="70"/>
      <c r="BO166" s="65"/>
      <c r="BP166" s="78"/>
      <c r="BQ166" s="78"/>
      <c r="BR166" s="78"/>
      <c r="BS166" s="78"/>
      <c r="BT166" s="70"/>
      <c r="BU166" s="65"/>
      <c r="BV166" s="78"/>
      <c r="BW166" s="78"/>
      <c r="BX166" s="78"/>
      <c r="BY166" s="78"/>
      <c r="BZ166" s="70"/>
      <c r="CA166" s="80"/>
      <c r="CB166" s="78"/>
      <c r="CC166" s="78"/>
      <c r="CD166" s="78"/>
      <c r="CE166" s="78"/>
      <c r="CF166" s="70"/>
    </row>
    <row r="167" spans="1:84" ht="12" customHeight="1">
      <c r="A167" s="2" t="s">
        <v>173</v>
      </c>
      <c r="B167" s="64">
        <v>155</v>
      </c>
      <c r="C167" s="65">
        <v>10</v>
      </c>
      <c r="D167" s="66" t="s">
        <v>10</v>
      </c>
      <c r="E167" s="69" t="s">
        <v>138</v>
      </c>
      <c r="F167" s="70"/>
      <c r="G167" s="71">
        <v>2086.5975609756097</v>
      </c>
      <c r="H167" s="72">
        <v>2086.5975609756097</v>
      </c>
      <c r="I167" s="72"/>
      <c r="J167" s="72"/>
      <c r="K167" s="72"/>
      <c r="L167" s="73"/>
      <c r="M167" s="71">
        <v>4173.1951219512193</v>
      </c>
      <c r="N167" s="72">
        <v>4173.1951219512193</v>
      </c>
      <c r="O167" s="72"/>
      <c r="P167" s="72"/>
      <c r="Q167" s="72"/>
      <c r="R167" s="73"/>
      <c r="S167" s="71">
        <v>2076.1165048543689</v>
      </c>
      <c r="T167" s="72">
        <v>2045.6310679611649</v>
      </c>
      <c r="U167" s="72">
        <v>2066.990291262136</v>
      </c>
      <c r="V167" s="72">
        <v>2089.3203883495144</v>
      </c>
      <c r="W167" s="72">
        <v>2111.6504854368932</v>
      </c>
      <c r="X167" s="73">
        <v>2066.990291262136</v>
      </c>
      <c r="Y167" s="71"/>
      <c r="Z167" s="72"/>
      <c r="AA167" s="72"/>
      <c r="AB167" s="72"/>
      <c r="AC167" s="72"/>
      <c r="AD167" s="73"/>
      <c r="AE167" s="71"/>
      <c r="AF167" s="72"/>
      <c r="AG167" s="72"/>
      <c r="AH167" s="72"/>
      <c r="AI167" s="72"/>
      <c r="AJ167" s="73"/>
      <c r="AK167" s="71"/>
      <c r="AL167" s="72"/>
      <c r="AM167" s="72"/>
      <c r="AN167" s="72"/>
      <c r="AO167" s="72"/>
      <c r="AP167" s="73"/>
      <c r="AQ167" s="71"/>
      <c r="AR167" s="72"/>
      <c r="AS167" s="72"/>
      <c r="AT167" s="72"/>
      <c r="AU167" s="72"/>
      <c r="AV167" s="73"/>
      <c r="AW167" s="75">
        <v>-0.50230366972825458</v>
      </c>
      <c r="AX167" s="76">
        <v>-1.9633154845292933</v>
      </c>
      <c r="AY167" s="76">
        <v>-0.93967663339480367</v>
      </c>
      <c r="AZ167" s="76">
        <v>0.13049125642758952</v>
      </c>
      <c r="BA167" s="76">
        <v>1.2006591462500271</v>
      </c>
      <c r="BB167" s="77">
        <v>-0.93967663339480367</v>
      </c>
      <c r="BC167" s="65"/>
      <c r="BD167" s="78"/>
      <c r="BE167" s="78"/>
      <c r="BF167" s="78"/>
      <c r="BG167" s="78"/>
      <c r="BH167" s="70"/>
      <c r="BI167" s="65"/>
      <c r="BJ167" s="78"/>
      <c r="BK167" s="78"/>
      <c r="BL167" s="78"/>
      <c r="BM167" s="78"/>
      <c r="BN167" s="70"/>
      <c r="BO167" s="65"/>
      <c r="BP167" s="78"/>
      <c r="BQ167" s="78"/>
      <c r="BR167" s="78"/>
      <c r="BS167" s="78"/>
      <c r="BT167" s="70"/>
      <c r="BU167" s="65"/>
      <c r="BV167" s="78"/>
      <c r="BW167" s="78"/>
      <c r="BX167" s="78"/>
      <c r="BY167" s="78"/>
      <c r="BZ167" s="70"/>
      <c r="CA167" s="80"/>
      <c r="CB167" s="78"/>
      <c r="CC167" s="78"/>
      <c r="CD167" s="78"/>
      <c r="CE167" s="78"/>
      <c r="CF167" s="70"/>
    </row>
    <row r="168" spans="1:84" ht="12" customHeight="1">
      <c r="A168" s="2"/>
      <c r="B168" s="64">
        <v>156</v>
      </c>
      <c r="C168" s="65">
        <v>10</v>
      </c>
      <c r="D168" s="66" t="s">
        <v>10</v>
      </c>
      <c r="E168" s="69" t="s">
        <v>139</v>
      </c>
      <c r="F168" s="70"/>
      <c r="G168" s="71">
        <v>1043.2987804878048</v>
      </c>
      <c r="H168" s="72">
        <v>1043.2987804878048</v>
      </c>
      <c r="I168" s="72"/>
      <c r="J168" s="72"/>
      <c r="K168" s="72"/>
      <c r="L168" s="73"/>
      <c r="M168" s="71">
        <v>3129.8963414634145</v>
      </c>
      <c r="N168" s="72">
        <v>3129.8963414634145</v>
      </c>
      <c r="O168" s="72"/>
      <c r="P168" s="72"/>
      <c r="Q168" s="72"/>
      <c r="R168" s="73"/>
      <c r="S168" s="71">
        <v>1043.495145631068</v>
      </c>
      <c r="T168" s="72">
        <v>1041.7475728155339</v>
      </c>
      <c r="U168" s="72">
        <v>1023.3009708737864</v>
      </c>
      <c r="V168" s="72">
        <v>1038.8349514563106</v>
      </c>
      <c r="W168" s="72">
        <v>1056.3106796116506</v>
      </c>
      <c r="X168" s="73">
        <v>1057.2815533980583</v>
      </c>
      <c r="Y168" s="71"/>
      <c r="Z168" s="72"/>
      <c r="AA168" s="72"/>
      <c r="AB168" s="72"/>
      <c r="AC168" s="72"/>
      <c r="AD168" s="73"/>
      <c r="AE168" s="71"/>
      <c r="AF168" s="72"/>
      <c r="AG168" s="72"/>
      <c r="AH168" s="72"/>
      <c r="AI168" s="72"/>
      <c r="AJ168" s="73"/>
      <c r="AK168" s="71"/>
      <c r="AL168" s="72"/>
      <c r="AM168" s="72"/>
      <c r="AN168" s="72"/>
      <c r="AO168" s="72"/>
      <c r="AP168" s="73"/>
      <c r="AQ168" s="71"/>
      <c r="AR168" s="72"/>
      <c r="AS168" s="72"/>
      <c r="AT168" s="72"/>
      <c r="AU168" s="72"/>
      <c r="AV168" s="73"/>
      <c r="AW168" s="75">
        <v>1.8821563576576494E-2</v>
      </c>
      <c r="AX168" s="76">
        <v>-0.14868297569998745</v>
      </c>
      <c r="AY168" s="76">
        <v>-1.9167864458413675</v>
      </c>
      <c r="AZ168" s="76">
        <v>-0.42785720782757553</v>
      </c>
      <c r="BA168" s="76">
        <v>1.247188184937964</v>
      </c>
      <c r="BB168" s="77">
        <v>1.3402462623138156</v>
      </c>
      <c r="BC168" s="65"/>
      <c r="BD168" s="78"/>
      <c r="BE168" s="78"/>
      <c r="BF168" s="78"/>
      <c r="BG168" s="78"/>
      <c r="BH168" s="70"/>
      <c r="BI168" s="65"/>
      <c r="BJ168" s="78"/>
      <c r="BK168" s="78"/>
      <c r="BL168" s="78"/>
      <c r="BM168" s="78"/>
      <c r="BN168" s="70"/>
      <c r="BO168" s="65"/>
      <c r="BP168" s="78"/>
      <c r="BQ168" s="78"/>
      <c r="BR168" s="78"/>
      <c r="BS168" s="78"/>
      <c r="BT168" s="70"/>
      <c r="BU168" s="65"/>
      <c r="BV168" s="78"/>
      <c r="BW168" s="78"/>
      <c r="BX168" s="78"/>
      <c r="BY168" s="78"/>
      <c r="BZ168" s="70"/>
      <c r="CA168" s="110"/>
      <c r="CB168" s="76"/>
      <c r="CC168" s="76"/>
      <c r="CD168" s="76"/>
      <c r="CE168" s="76"/>
      <c r="CF168" s="77"/>
    </row>
    <row r="169" spans="1:84" ht="12" customHeight="1">
      <c r="A169" s="2" t="s">
        <v>173</v>
      </c>
      <c r="B169" s="64">
        <v>157</v>
      </c>
      <c r="C169" s="65">
        <v>10</v>
      </c>
      <c r="D169" s="66" t="s">
        <v>10</v>
      </c>
      <c r="E169" s="69" t="s">
        <v>140</v>
      </c>
      <c r="F169" s="70"/>
      <c r="G169" s="71">
        <v>1669.2780487804878</v>
      </c>
      <c r="H169" s="72">
        <v>1669.2780487804878</v>
      </c>
      <c r="I169" s="72"/>
      <c r="J169" s="72"/>
      <c r="K169" s="72"/>
      <c r="L169" s="73"/>
      <c r="M169" s="71">
        <v>3338.5560975609756</v>
      </c>
      <c r="N169" s="72">
        <v>3338.5560975609756</v>
      </c>
      <c r="O169" s="72"/>
      <c r="P169" s="72"/>
      <c r="Q169" s="72"/>
      <c r="R169" s="73"/>
      <c r="S169" s="71">
        <v>1656.5048543689322</v>
      </c>
      <c r="T169" s="72">
        <v>1636.8932038834951</v>
      </c>
      <c r="U169" s="72">
        <v>1666.990291262136</v>
      </c>
      <c r="V169" s="72">
        <v>1669.9029126213593</v>
      </c>
      <c r="W169" s="72">
        <v>1620.3883495145631</v>
      </c>
      <c r="X169" s="73">
        <v>1688.3495145631068</v>
      </c>
      <c r="Y169" s="71"/>
      <c r="Z169" s="72"/>
      <c r="AA169" s="72"/>
      <c r="AB169" s="72"/>
      <c r="AC169" s="72"/>
      <c r="AD169" s="73"/>
      <c r="AE169" s="71"/>
      <c r="AF169" s="72"/>
      <c r="AG169" s="72"/>
      <c r="AH169" s="72"/>
      <c r="AI169" s="72"/>
      <c r="AJ169" s="73"/>
      <c r="AK169" s="71"/>
      <c r="AL169" s="72"/>
      <c r="AM169" s="72"/>
      <c r="AN169" s="72"/>
      <c r="AO169" s="72"/>
      <c r="AP169" s="73"/>
      <c r="AQ169" s="71"/>
      <c r="AR169" s="72"/>
      <c r="AS169" s="72"/>
      <c r="AT169" s="72"/>
      <c r="AU169" s="72"/>
      <c r="AV169" s="73"/>
      <c r="AW169" s="75">
        <v>-0.76519273831505696</v>
      </c>
      <c r="AX169" s="76">
        <v>-1.9400509651853359</v>
      </c>
      <c r="AY169" s="76">
        <v>-0.13705071602799768</v>
      </c>
      <c r="AZ169" s="76">
        <v>3.743317905173793E-2</v>
      </c>
      <c r="BA169" s="76">
        <v>-2.9287930373038673</v>
      </c>
      <c r="BB169" s="77">
        <v>1.1424978478901116</v>
      </c>
      <c r="BC169" s="65"/>
      <c r="BD169" s="78"/>
      <c r="BE169" s="78"/>
      <c r="BF169" s="78"/>
      <c r="BG169" s="78"/>
      <c r="BH169" s="70"/>
      <c r="BI169" s="65"/>
      <c r="BJ169" s="78"/>
      <c r="BK169" s="78"/>
      <c r="BL169" s="78"/>
      <c r="BM169" s="78"/>
      <c r="BN169" s="70"/>
      <c r="BO169" s="65"/>
      <c r="BP169" s="78"/>
      <c r="BQ169" s="78"/>
      <c r="BR169" s="78"/>
      <c r="BS169" s="78"/>
      <c r="BT169" s="70"/>
      <c r="BU169" s="65"/>
      <c r="BV169" s="78"/>
      <c r="BW169" s="78"/>
      <c r="BX169" s="78"/>
      <c r="BY169" s="78"/>
      <c r="BZ169" s="70"/>
      <c r="CA169" s="110"/>
      <c r="CB169" s="76"/>
      <c r="CC169" s="76"/>
      <c r="CD169" s="76"/>
      <c r="CE169" s="76"/>
      <c r="CF169" s="77"/>
    </row>
    <row r="170" spans="1:84" ht="12" customHeight="1">
      <c r="A170" s="2"/>
      <c r="B170" s="64">
        <v>158</v>
      </c>
      <c r="C170" s="65">
        <v>10</v>
      </c>
      <c r="D170" s="66" t="s">
        <v>10</v>
      </c>
      <c r="E170" s="69" t="s">
        <v>95</v>
      </c>
      <c r="F170" s="70"/>
      <c r="G170" s="71">
        <v>834.63902439024389</v>
      </c>
      <c r="H170" s="72">
        <v>834.63902439024389</v>
      </c>
      <c r="I170" s="72"/>
      <c r="J170" s="72"/>
      <c r="K170" s="72"/>
      <c r="L170" s="73"/>
      <c r="M170" s="71">
        <v>2503.9170731707318</v>
      </c>
      <c r="N170" s="72">
        <v>2503.9170731707318</v>
      </c>
      <c r="O170" s="72"/>
      <c r="P170" s="72"/>
      <c r="Q170" s="72"/>
      <c r="R170" s="73"/>
      <c r="S170" s="71">
        <v>840.77669902912623</v>
      </c>
      <c r="T170" s="72">
        <v>866.99029126213588</v>
      </c>
      <c r="U170" s="72">
        <v>817.47572815533977</v>
      </c>
      <c r="V170" s="72">
        <v>827.18446601941753</v>
      </c>
      <c r="W170" s="72">
        <v>853.39805825242718</v>
      </c>
      <c r="X170" s="73">
        <v>838.8349514563107</v>
      </c>
      <c r="Y170" s="71"/>
      <c r="Z170" s="72"/>
      <c r="AA170" s="72"/>
      <c r="AB170" s="72"/>
      <c r="AC170" s="72"/>
      <c r="AD170" s="73"/>
      <c r="AE170" s="71"/>
      <c r="AF170" s="72"/>
      <c r="AG170" s="72"/>
      <c r="AH170" s="72"/>
      <c r="AI170" s="72"/>
      <c r="AJ170" s="73"/>
      <c r="AK170" s="71"/>
      <c r="AL170" s="72"/>
      <c r="AM170" s="72"/>
      <c r="AN170" s="72"/>
      <c r="AO170" s="72"/>
      <c r="AP170" s="73"/>
      <c r="AQ170" s="71"/>
      <c r="AR170" s="72"/>
      <c r="AS170" s="72"/>
      <c r="AT170" s="72"/>
      <c r="AU170" s="72"/>
      <c r="AV170" s="73"/>
      <c r="AW170" s="75">
        <v>0.73536875937070256</v>
      </c>
      <c r="AX170" s="76">
        <v>3.8760788708060545</v>
      </c>
      <c r="AY170" s="76">
        <v>-2.056373561905156</v>
      </c>
      <c r="AZ170" s="76">
        <v>-0.89314759470686678</v>
      </c>
      <c r="BA170" s="76">
        <v>2.247562516728463</v>
      </c>
      <c r="BB170" s="77">
        <v>0.50272356593106249</v>
      </c>
      <c r="BC170" s="71">
        <v>1339.8058252427186</v>
      </c>
      <c r="BD170" s="72">
        <v>1300.9708737864078</v>
      </c>
      <c r="BE170" s="72">
        <v>1248.5436893203882</v>
      </c>
      <c r="BF170" s="72">
        <v>1653.3980582524273</v>
      </c>
      <c r="BG170" s="72">
        <v>1210.6796116504854</v>
      </c>
      <c r="BH170" s="73">
        <v>1285.4368932038835</v>
      </c>
      <c r="BI170" s="65"/>
      <c r="BJ170" s="78"/>
      <c r="BK170" s="78"/>
      <c r="BL170" s="78"/>
      <c r="BM170" s="78"/>
      <c r="BN170" s="70"/>
      <c r="BO170" s="65"/>
      <c r="BP170" s="78"/>
      <c r="BQ170" s="78"/>
      <c r="BR170" s="78"/>
      <c r="BS170" s="78"/>
      <c r="BT170" s="70"/>
      <c r="BU170" s="65"/>
      <c r="BV170" s="78"/>
      <c r="BW170" s="78"/>
      <c r="BX170" s="78"/>
      <c r="BY170" s="78"/>
      <c r="BZ170" s="70"/>
      <c r="CA170" s="110">
        <v>0.32823967085131578</v>
      </c>
      <c r="CB170" s="76">
        <v>-2.579825247144385</v>
      </c>
      <c r="CC170" s="76">
        <v>-6.5057128864385749</v>
      </c>
      <c r="CD170" s="76">
        <v>23.81086388366651</v>
      </c>
      <c r="CE170" s="76">
        <v>-9.3410761814843646</v>
      </c>
      <c r="CF170" s="77">
        <v>-3.7430512143426631</v>
      </c>
    </row>
    <row r="171" spans="1:84" ht="12" customHeight="1">
      <c r="A171" s="2" t="s">
        <v>173</v>
      </c>
      <c r="B171" s="64">
        <v>159</v>
      </c>
      <c r="C171" s="65">
        <v>10</v>
      </c>
      <c r="D171" s="66" t="s">
        <v>10</v>
      </c>
      <c r="E171" s="69" t="s">
        <v>161</v>
      </c>
      <c r="F171" s="70"/>
      <c r="G171" s="71">
        <v>1969.7480975609756</v>
      </c>
      <c r="H171" s="72">
        <v>1969.7480975609756</v>
      </c>
      <c r="I171" s="72"/>
      <c r="J171" s="72"/>
      <c r="K171" s="72"/>
      <c r="L171" s="73"/>
      <c r="M171" s="71">
        <v>3939.4961951219511</v>
      </c>
      <c r="N171" s="72">
        <v>3939.4961951219511</v>
      </c>
      <c r="O171" s="72"/>
      <c r="P171" s="72"/>
      <c r="Q171" s="72"/>
      <c r="R171" s="73"/>
      <c r="S171" s="71">
        <v>1950.2912621359224</v>
      </c>
      <c r="T171" s="72">
        <v>1964.0776699029127</v>
      </c>
      <c r="U171" s="72">
        <v>1937.8640776699028</v>
      </c>
      <c r="V171" s="72">
        <v>1925.2427184466019</v>
      </c>
      <c r="W171" s="72">
        <v>1939.8058252427184</v>
      </c>
      <c r="X171" s="73">
        <v>1984.4660194174758</v>
      </c>
      <c r="Y171" s="71"/>
      <c r="Z171" s="72"/>
      <c r="AA171" s="72"/>
      <c r="AB171" s="72"/>
      <c r="AC171" s="72"/>
      <c r="AD171" s="73"/>
      <c r="AE171" s="71"/>
      <c r="AF171" s="72"/>
      <c r="AG171" s="72"/>
      <c r="AH171" s="72"/>
      <c r="AI171" s="72"/>
      <c r="AJ171" s="73"/>
      <c r="AK171" s="71"/>
      <c r="AL171" s="72"/>
      <c r="AM171" s="72"/>
      <c r="AN171" s="72"/>
      <c r="AO171" s="72"/>
      <c r="AP171" s="73"/>
      <c r="AQ171" s="71"/>
      <c r="AR171" s="72"/>
      <c r="AS171" s="72"/>
      <c r="AT171" s="72"/>
      <c r="AU171" s="72"/>
      <c r="AV171" s="73"/>
      <c r="AW171" s="75">
        <v>-0.98778292763148645</v>
      </c>
      <c r="AX171" s="76">
        <v>-0.28787577787657836</v>
      </c>
      <c r="AY171" s="76">
        <v>-1.6186851471288621</v>
      </c>
      <c r="AZ171" s="76">
        <v>-2.2594452138058774</v>
      </c>
      <c r="BA171" s="76">
        <v>-1.5201066753323889</v>
      </c>
      <c r="BB171" s="77">
        <v>0.74719817598629668</v>
      </c>
      <c r="BC171" s="71"/>
      <c r="BD171" s="72"/>
      <c r="BE171" s="72"/>
      <c r="BF171" s="72"/>
      <c r="BG171" s="72"/>
      <c r="BH171" s="73"/>
      <c r="BI171" s="65"/>
      <c r="BJ171" s="78"/>
      <c r="BK171" s="78"/>
      <c r="BL171" s="78"/>
      <c r="BM171" s="78"/>
      <c r="BN171" s="70"/>
      <c r="BO171" s="65"/>
      <c r="BP171" s="78"/>
      <c r="BQ171" s="78"/>
      <c r="BR171" s="78"/>
      <c r="BS171" s="78"/>
      <c r="BT171" s="70"/>
      <c r="BU171" s="65"/>
      <c r="BV171" s="78"/>
      <c r="BW171" s="78"/>
      <c r="BX171" s="78"/>
      <c r="BY171" s="78"/>
      <c r="BZ171" s="70"/>
      <c r="CA171" s="110"/>
      <c r="CB171" s="76"/>
      <c r="CC171" s="76"/>
      <c r="CD171" s="76"/>
      <c r="CE171" s="76"/>
      <c r="CF171" s="77"/>
    </row>
    <row r="172" spans="1:84" ht="12" customHeight="1">
      <c r="A172" s="2" t="s">
        <v>160</v>
      </c>
      <c r="B172" s="64">
        <v>160</v>
      </c>
      <c r="C172" s="65">
        <v>10</v>
      </c>
      <c r="D172" s="66" t="s">
        <v>10</v>
      </c>
      <c r="E172" s="69" t="s">
        <v>99</v>
      </c>
      <c r="F172" s="70"/>
      <c r="G172" s="71">
        <v>984.87404878048778</v>
      </c>
      <c r="H172" s="72">
        <v>984.87404878048778</v>
      </c>
      <c r="I172" s="72"/>
      <c r="J172" s="72"/>
      <c r="K172" s="72"/>
      <c r="L172" s="73"/>
      <c r="M172" s="71">
        <v>2954.6221463414631</v>
      </c>
      <c r="N172" s="72">
        <v>2954.6221463414631</v>
      </c>
      <c r="O172" s="72"/>
      <c r="P172" s="72"/>
      <c r="Q172" s="72"/>
      <c r="R172" s="73"/>
      <c r="S172" s="71">
        <v>987.96116504854365</v>
      </c>
      <c r="T172" s="72">
        <v>994.17475728155341</v>
      </c>
      <c r="U172" s="72">
        <v>987.37864077669906</v>
      </c>
      <c r="V172" s="72">
        <v>1004.8543689320388</v>
      </c>
      <c r="W172" s="72">
        <v>966.01941747572812</v>
      </c>
      <c r="X172" s="73">
        <v>987.37864077669906</v>
      </c>
      <c r="Y172" s="71"/>
      <c r="Z172" s="72"/>
      <c r="AA172" s="72"/>
      <c r="AB172" s="72"/>
      <c r="AC172" s="72"/>
      <c r="AD172" s="73"/>
      <c r="AE172" s="71"/>
      <c r="AF172" s="72"/>
      <c r="AG172" s="72"/>
      <c r="AH172" s="72"/>
      <c r="AI172" s="72"/>
      <c r="AJ172" s="73"/>
      <c r="AK172" s="71"/>
      <c r="AL172" s="72"/>
      <c r="AM172" s="72"/>
      <c r="AN172" s="72"/>
      <c r="AO172" s="72"/>
      <c r="AP172" s="73"/>
      <c r="AQ172" s="71"/>
      <c r="AR172" s="72"/>
      <c r="AS172" s="72"/>
      <c r="AT172" s="72"/>
      <c r="AU172" s="72"/>
      <c r="AV172" s="73"/>
      <c r="AW172" s="75">
        <v>0.31345290008184534</v>
      </c>
      <c r="AX172" s="76">
        <v>0.94435511957922103</v>
      </c>
      <c r="AY172" s="76">
        <v>0.2543058170039636</v>
      </c>
      <c r="AZ172" s="76">
        <v>2.0287183093403272</v>
      </c>
      <c r="BA172" s="76">
        <v>-1.9144205625182487</v>
      </c>
      <c r="BB172" s="77">
        <v>0.2543058170039636</v>
      </c>
      <c r="BC172" s="71"/>
      <c r="BD172" s="72"/>
      <c r="BE172" s="72"/>
      <c r="BF172" s="72"/>
      <c r="BG172" s="72"/>
      <c r="BH172" s="73"/>
      <c r="BI172" s="65"/>
      <c r="BJ172" s="78"/>
      <c r="BK172" s="78"/>
      <c r="BL172" s="78"/>
      <c r="BM172" s="78"/>
      <c r="BN172" s="70"/>
      <c r="BO172" s="65"/>
      <c r="BP172" s="78"/>
      <c r="BQ172" s="78"/>
      <c r="BR172" s="78"/>
      <c r="BS172" s="78"/>
      <c r="BT172" s="70"/>
      <c r="BU172" s="65"/>
      <c r="BV172" s="78"/>
      <c r="BW172" s="78"/>
      <c r="BX172" s="78"/>
      <c r="BY172" s="78"/>
      <c r="BZ172" s="70"/>
      <c r="CA172" s="110"/>
      <c r="CB172" s="76"/>
      <c r="CC172" s="76"/>
      <c r="CD172" s="76"/>
      <c r="CE172" s="76"/>
      <c r="CF172" s="77"/>
    </row>
    <row r="173" spans="1:84" ht="12" customHeight="1">
      <c r="A173" s="2" t="s">
        <v>160</v>
      </c>
      <c r="B173" s="64">
        <v>161</v>
      </c>
      <c r="C173" s="65">
        <v>10</v>
      </c>
      <c r="D173" s="66" t="s">
        <v>10</v>
      </c>
      <c r="E173" s="69" t="s">
        <v>168</v>
      </c>
      <c r="F173" s="70"/>
      <c r="G173" s="71">
        <v>2462.1851219512196</v>
      </c>
      <c r="H173" s="72">
        <v>2462.1851219512196</v>
      </c>
      <c r="I173" s="72"/>
      <c r="J173" s="72"/>
      <c r="K173" s="72"/>
      <c r="L173" s="73"/>
      <c r="M173" s="71">
        <v>4924.3702439024391</v>
      </c>
      <c r="N173" s="72">
        <v>4924.3702439024391</v>
      </c>
      <c r="O173" s="72"/>
      <c r="P173" s="72"/>
      <c r="Q173" s="72"/>
      <c r="R173" s="73"/>
      <c r="S173" s="71">
        <v>2401.1650485436894</v>
      </c>
      <c r="T173" s="72">
        <v>2400.970873786408</v>
      </c>
      <c r="U173" s="72">
        <v>2449.5145631067962</v>
      </c>
      <c r="V173" s="72">
        <v>2361.1650485436894</v>
      </c>
      <c r="W173" s="72">
        <v>2363.1067961165049</v>
      </c>
      <c r="X173" s="73">
        <v>2431.0679611650485</v>
      </c>
      <c r="Y173" s="71"/>
      <c r="Z173" s="72"/>
      <c r="AA173" s="72"/>
      <c r="AB173" s="72"/>
      <c r="AC173" s="72"/>
      <c r="AD173" s="73"/>
      <c r="AE173" s="71"/>
      <c r="AF173" s="72"/>
      <c r="AG173" s="72"/>
      <c r="AH173" s="72"/>
      <c r="AI173" s="72"/>
      <c r="AJ173" s="73"/>
      <c r="AK173" s="71"/>
      <c r="AL173" s="72"/>
      <c r="AM173" s="72"/>
      <c r="AN173" s="72"/>
      <c r="AO173" s="72"/>
      <c r="AP173" s="73"/>
      <c r="AQ173" s="71"/>
      <c r="AR173" s="72"/>
      <c r="AS173" s="72"/>
      <c r="AT173" s="72"/>
      <c r="AU173" s="72"/>
      <c r="AV173" s="73"/>
      <c r="AW173" s="75">
        <v>-2.4782894211940243</v>
      </c>
      <c r="AX173" s="76">
        <v>-2.4861756989377315</v>
      </c>
      <c r="AY173" s="76">
        <v>-0.51460626300845469</v>
      </c>
      <c r="AZ173" s="76">
        <v>-4.1028626363997507</v>
      </c>
      <c r="BA173" s="76">
        <v>-4.0239998589625792</v>
      </c>
      <c r="BB173" s="77">
        <v>-1.2638026486615939</v>
      </c>
      <c r="BC173" s="71"/>
      <c r="BD173" s="72"/>
      <c r="BE173" s="72"/>
      <c r="BF173" s="72"/>
      <c r="BG173" s="72"/>
      <c r="BH173" s="73"/>
      <c r="BI173" s="65"/>
      <c r="BJ173" s="78"/>
      <c r="BK173" s="78"/>
      <c r="BL173" s="78"/>
      <c r="BM173" s="78"/>
      <c r="BN173" s="70"/>
      <c r="BO173" s="65"/>
      <c r="BP173" s="78"/>
      <c r="BQ173" s="78"/>
      <c r="BR173" s="78"/>
      <c r="BS173" s="78"/>
      <c r="BT173" s="70"/>
      <c r="BU173" s="65"/>
      <c r="BV173" s="78"/>
      <c r="BW173" s="78"/>
      <c r="BX173" s="78"/>
      <c r="BY173" s="78"/>
      <c r="BZ173" s="70"/>
      <c r="CA173" s="110"/>
      <c r="CB173" s="76"/>
      <c r="CC173" s="76"/>
      <c r="CD173" s="76"/>
      <c r="CE173" s="76"/>
      <c r="CF173" s="77"/>
    </row>
    <row r="174" spans="1:84" ht="12" customHeight="1">
      <c r="A174" s="2" t="s">
        <v>173</v>
      </c>
      <c r="B174" s="64">
        <v>162</v>
      </c>
      <c r="C174" s="65">
        <v>10</v>
      </c>
      <c r="D174" s="66" t="s">
        <v>10</v>
      </c>
      <c r="E174" s="69" t="s">
        <v>169</v>
      </c>
      <c r="F174" s="70"/>
      <c r="G174" s="71">
        <v>2462.1851219512196</v>
      </c>
      <c r="H174" s="72">
        <v>2462.1851219512196</v>
      </c>
      <c r="I174" s="72"/>
      <c r="J174" s="72"/>
      <c r="K174" s="72"/>
      <c r="L174" s="73"/>
      <c r="M174" s="71">
        <v>4924.3702439024391</v>
      </c>
      <c r="N174" s="72">
        <v>4924.3702439024391</v>
      </c>
      <c r="O174" s="72"/>
      <c r="P174" s="72"/>
      <c r="Q174" s="72"/>
      <c r="R174" s="73"/>
      <c r="S174" s="71">
        <v>2428.3495145631068</v>
      </c>
      <c r="T174" s="72">
        <v>2388.3495145631068</v>
      </c>
      <c r="U174" s="72">
        <v>2450.4854368932038</v>
      </c>
      <c r="V174" s="72">
        <v>2461.1650485436894</v>
      </c>
      <c r="W174" s="72">
        <v>2422.3300970873788</v>
      </c>
      <c r="X174" s="73">
        <v>2419.4174757281553</v>
      </c>
      <c r="Y174" s="71"/>
      <c r="Z174" s="72"/>
      <c r="AA174" s="72"/>
      <c r="AB174" s="72"/>
      <c r="AC174" s="72"/>
      <c r="AD174" s="73"/>
      <c r="AE174" s="71"/>
      <c r="AF174" s="72"/>
      <c r="AG174" s="72"/>
      <c r="AH174" s="72"/>
      <c r="AI174" s="72"/>
      <c r="AJ174" s="73"/>
      <c r="AK174" s="71"/>
      <c r="AL174" s="72"/>
      <c r="AM174" s="72"/>
      <c r="AN174" s="72"/>
      <c r="AO174" s="72"/>
      <c r="AP174" s="73"/>
      <c r="AQ174" s="71"/>
      <c r="AR174" s="72"/>
      <c r="AS174" s="72"/>
      <c r="AT174" s="72"/>
      <c r="AU174" s="72"/>
      <c r="AV174" s="73"/>
      <c r="AW174" s="75">
        <v>-1.3742105370736279</v>
      </c>
      <c r="AX174" s="76">
        <v>-2.9987837522793548</v>
      </c>
      <c r="AY174" s="76">
        <v>-0.47517487428987426</v>
      </c>
      <c r="AZ174" s="76">
        <v>-4.1429598385422928E-2</v>
      </c>
      <c r="BA174" s="76">
        <v>-1.618685147128851</v>
      </c>
      <c r="BB174" s="77">
        <v>-1.7369793132846145</v>
      </c>
      <c r="BC174" s="71"/>
      <c r="BD174" s="72"/>
      <c r="BE174" s="72"/>
      <c r="BF174" s="72"/>
      <c r="BG174" s="72"/>
      <c r="BH174" s="73"/>
      <c r="BI174" s="65"/>
      <c r="BJ174" s="78"/>
      <c r="BK174" s="78"/>
      <c r="BL174" s="78"/>
      <c r="BM174" s="78"/>
      <c r="BN174" s="70"/>
      <c r="BO174" s="65"/>
      <c r="BP174" s="78"/>
      <c r="BQ174" s="78"/>
      <c r="BR174" s="78"/>
      <c r="BS174" s="78"/>
      <c r="BT174" s="70"/>
      <c r="BU174" s="65"/>
      <c r="BV174" s="78"/>
      <c r="BW174" s="78"/>
      <c r="BX174" s="78"/>
      <c r="BY174" s="78"/>
      <c r="BZ174" s="70"/>
      <c r="CA174" s="110"/>
      <c r="CB174" s="76"/>
      <c r="CC174" s="76"/>
      <c r="CD174" s="76"/>
      <c r="CE174" s="76"/>
      <c r="CF174" s="77"/>
    </row>
    <row r="175" spans="1:84" ht="12" customHeight="1">
      <c r="A175" s="2" t="s">
        <v>160</v>
      </c>
      <c r="B175" s="64">
        <v>163</v>
      </c>
      <c r="C175" s="65">
        <v>10</v>
      </c>
      <c r="D175" s="66" t="s">
        <v>10</v>
      </c>
      <c r="E175" s="69" t="s">
        <v>170</v>
      </c>
      <c r="F175" s="70"/>
      <c r="G175" s="71">
        <v>1231.0925609756098</v>
      </c>
      <c r="H175" s="72">
        <v>1231.0925609756098</v>
      </c>
      <c r="I175" s="72"/>
      <c r="J175" s="72"/>
      <c r="K175" s="72"/>
      <c r="L175" s="73"/>
      <c r="M175" s="71">
        <v>3693.2776829268296</v>
      </c>
      <c r="N175" s="72">
        <v>3693.2776829268296</v>
      </c>
      <c r="O175" s="72"/>
      <c r="P175" s="72"/>
      <c r="Q175" s="72"/>
      <c r="R175" s="73"/>
      <c r="S175" s="71">
        <v>1228.9320388349515</v>
      </c>
      <c r="T175" s="72">
        <v>1227.1844660194174</v>
      </c>
      <c r="U175" s="72">
        <v>1255.3398058252428</v>
      </c>
      <c r="V175" s="72">
        <v>1222.3300970873786</v>
      </c>
      <c r="W175" s="72">
        <v>1233.9805825242718</v>
      </c>
      <c r="X175" s="73">
        <v>1205.8252427184466</v>
      </c>
      <c r="Y175" s="71"/>
      <c r="Z175" s="72"/>
      <c r="AA175" s="72"/>
      <c r="AB175" s="72"/>
      <c r="AC175" s="72"/>
      <c r="AD175" s="73"/>
      <c r="AE175" s="71"/>
      <c r="AF175" s="72"/>
      <c r="AG175" s="72"/>
      <c r="AH175" s="72"/>
      <c r="AI175" s="72"/>
      <c r="AJ175" s="73"/>
      <c r="AK175" s="71"/>
      <c r="AL175" s="72"/>
      <c r="AM175" s="72"/>
      <c r="AN175" s="72"/>
      <c r="AO175" s="72"/>
      <c r="AP175" s="73"/>
      <c r="AQ175" s="71"/>
      <c r="AR175" s="72"/>
      <c r="AS175" s="72"/>
      <c r="AT175" s="72"/>
      <c r="AU175" s="72"/>
      <c r="AV175" s="73"/>
      <c r="AW175" s="75">
        <v>-0.17549632002861193</v>
      </c>
      <c r="AX175" s="76">
        <v>-0.31744931941554144</v>
      </c>
      <c r="AY175" s="76">
        <v>1.9695712262624454</v>
      </c>
      <c r="AZ175" s="76">
        <v>-0.71176320660139014</v>
      </c>
      <c r="BA175" s="76">
        <v>0.23459012264466228</v>
      </c>
      <c r="BB175" s="77">
        <v>-2.0524304230333024</v>
      </c>
      <c r="BC175" s="71"/>
      <c r="BD175" s="72"/>
      <c r="BE175" s="72"/>
      <c r="BF175" s="72"/>
      <c r="BG175" s="72"/>
      <c r="BH175" s="73"/>
      <c r="BI175" s="65"/>
      <c r="BJ175" s="78"/>
      <c r="BK175" s="78"/>
      <c r="BL175" s="78"/>
      <c r="BM175" s="78"/>
      <c r="BN175" s="70"/>
      <c r="BO175" s="65"/>
      <c r="BP175" s="78"/>
      <c r="BQ175" s="78"/>
      <c r="BR175" s="78"/>
      <c r="BS175" s="78"/>
      <c r="BT175" s="70"/>
      <c r="BU175" s="65"/>
      <c r="BV175" s="78"/>
      <c r="BW175" s="78"/>
      <c r="BX175" s="78"/>
      <c r="BY175" s="78"/>
      <c r="BZ175" s="70"/>
      <c r="CA175" s="110"/>
      <c r="CB175" s="76"/>
      <c r="CC175" s="76"/>
      <c r="CD175" s="76"/>
      <c r="CE175" s="76"/>
      <c r="CF175" s="77"/>
    </row>
    <row r="176" spans="1:84" ht="12" customHeight="1">
      <c r="A176" s="2" t="s">
        <v>160</v>
      </c>
      <c r="B176" s="64">
        <v>164</v>
      </c>
      <c r="C176" s="65">
        <v>10</v>
      </c>
      <c r="D176" s="66" t="s">
        <v>10</v>
      </c>
      <c r="E176" s="69" t="s">
        <v>101</v>
      </c>
      <c r="F176" s="70"/>
      <c r="G176" s="71">
        <v>1969.7480975609756</v>
      </c>
      <c r="H176" s="72">
        <v>1969.7480975609756</v>
      </c>
      <c r="I176" s="72"/>
      <c r="J176" s="72"/>
      <c r="K176" s="72"/>
      <c r="L176" s="73"/>
      <c r="M176" s="71">
        <v>3939.4961951219511</v>
      </c>
      <c r="N176" s="72">
        <v>3939.4961951219511</v>
      </c>
      <c r="O176" s="72"/>
      <c r="P176" s="72"/>
      <c r="Q176" s="72"/>
      <c r="R176" s="73"/>
      <c r="S176" s="71">
        <v>1918.4466019417475</v>
      </c>
      <c r="T176" s="72">
        <v>1889.3203883495146</v>
      </c>
      <c r="U176" s="72">
        <v>1955.3398058252428</v>
      </c>
      <c r="V176" s="72">
        <v>1953.3980582524273</v>
      </c>
      <c r="W176" s="72">
        <v>1881.5533980582525</v>
      </c>
      <c r="X176" s="73">
        <v>1912.6213592233009</v>
      </c>
      <c r="Y176" s="71"/>
      <c r="Z176" s="72"/>
      <c r="AA176" s="72"/>
      <c r="AB176" s="72"/>
      <c r="AC176" s="72"/>
      <c r="AD176" s="73"/>
      <c r="AE176" s="71"/>
      <c r="AF176" s="72"/>
      <c r="AG176" s="72"/>
      <c r="AH176" s="72"/>
      <c r="AI176" s="72"/>
      <c r="AJ176" s="73"/>
      <c r="AK176" s="71"/>
      <c r="AL176" s="72"/>
      <c r="AM176" s="72"/>
      <c r="AN176" s="72"/>
      <c r="AO176" s="72"/>
      <c r="AP176" s="73"/>
      <c r="AQ176" s="71"/>
      <c r="AR176" s="72"/>
      <c r="AS176" s="72"/>
      <c r="AT176" s="72"/>
      <c r="AU176" s="72"/>
      <c r="AV176" s="73"/>
      <c r="AW176" s="75">
        <v>-2.604469865093495</v>
      </c>
      <c r="AX176" s="76">
        <v>-4.0831469420404503</v>
      </c>
      <c r="AY176" s="76">
        <v>-0.73147890096066925</v>
      </c>
      <c r="AZ176" s="76">
        <v>-0.83005737275713143</v>
      </c>
      <c r="BA176" s="76">
        <v>-4.4774608292263096</v>
      </c>
      <c r="BB176" s="77">
        <v>-2.9002052804828926</v>
      </c>
      <c r="BC176" s="71"/>
      <c r="BD176" s="72"/>
      <c r="BE176" s="72"/>
      <c r="BF176" s="72"/>
      <c r="BG176" s="72"/>
      <c r="BH176" s="73"/>
      <c r="BI176" s="65"/>
      <c r="BJ176" s="78"/>
      <c r="BK176" s="78"/>
      <c r="BL176" s="78"/>
      <c r="BM176" s="78"/>
      <c r="BN176" s="70"/>
      <c r="BO176" s="65"/>
      <c r="BP176" s="78"/>
      <c r="BQ176" s="78"/>
      <c r="BR176" s="78"/>
      <c r="BS176" s="78"/>
      <c r="BT176" s="70"/>
      <c r="BU176" s="65"/>
      <c r="BV176" s="78"/>
      <c r="BW176" s="78"/>
      <c r="BX176" s="78"/>
      <c r="BY176" s="78"/>
      <c r="BZ176" s="70"/>
      <c r="CA176" s="110"/>
      <c r="CB176" s="76"/>
      <c r="CC176" s="76"/>
      <c r="CD176" s="76"/>
      <c r="CE176" s="76"/>
      <c r="CF176" s="77"/>
    </row>
    <row r="177" spans="1:84" ht="12" customHeight="1">
      <c r="A177" s="2" t="s">
        <v>173</v>
      </c>
      <c r="B177" s="64">
        <v>165</v>
      </c>
      <c r="C177" s="65">
        <v>10</v>
      </c>
      <c r="D177" s="66" t="s">
        <v>10</v>
      </c>
      <c r="E177" s="69" t="s">
        <v>162</v>
      </c>
      <c r="F177" s="70"/>
      <c r="G177" s="71">
        <v>1969.7480975609756</v>
      </c>
      <c r="H177" s="72">
        <v>1969.7480975609756</v>
      </c>
      <c r="I177" s="72"/>
      <c r="J177" s="72"/>
      <c r="K177" s="72"/>
      <c r="L177" s="73"/>
      <c r="M177" s="71">
        <v>3939.4961951219511</v>
      </c>
      <c r="N177" s="72">
        <v>3939.4961951219511</v>
      </c>
      <c r="O177" s="72"/>
      <c r="P177" s="72"/>
      <c r="Q177" s="72"/>
      <c r="R177" s="73"/>
      <c r="S177" s="71">
        <v>1950.2912621359224</v>
      </c>
      <c r="T177" s="72">
        <v>1964.0776699029127</v>
      </c>
      <c r="U177" s="72">
        <v>1937.8640776699028</v>
      </c>
      <c r="V177" s="72">
        <v>1925.2427184466019</v>
      </c>
      <c r="W177" s="72">
        <v>1939.8058252427184</v>
      </c>
      <c r="X177" s="73">
        <v>1984.4660194174758</v>
      </c>
      <c r="Y177" s="71"/>
      <c r="Z177" s="72"/>
      <c r="AA177" s="72"/>
      <c r="AB177" s="72"/>
      <c r="AC177" s="72"/>
      <c r="AD177" s="73"/>
      <c r="AE177" s="71"/>
      <c r="AF177" s="72"/>
      <c r="AG177" s="72"/>
      <c r="AH177" s="72"/>
      <c r="AI177" s="72"/>
      <c r="AJ177" s="73"/>
      <c r="AK177" s="71"/>
      <c r="AL177" s="72"/>
      <c r="AM177" s="72"/>
      <c r="AN177" s="72"/>
      <c r="AO177" s="72"/>
      <c r="AP177" s="73"/>
      <c r="AQ177" s="71"/>
      <c r="AR177" s="72"/>
      <c r="AS177" s="72"/>
      <c r="AT177" s="72"/>
      <c r="AU177" s="72"/>
      <c r="AV177" s="73"/>
      <c r="AW177" s="75">
        <v>-0.98778292763148645</v>
      </c>
      <c r="AX177" s="76">
        <v>-0.28787577787657836</v>
      </c>
      <c r="AY177" s="76">
        <v>-1.6186851471288621</v>
      </c>
      <c r="AZ177" s="76">
        <v>-2.2594452138058774</v>
      </c>
      <c r="BA177" s="76">
        <v>-1.5201066753323889</v>
      </c>
      <c r="BB177" s="77">
        <v>0.74719817598629668</v>
      </c>
      <c r="BC177" s="71"/>
      <c r="BD177" s="72"/>
      <c r="BE177" s="72"/>
      <c r="BF177" s="72"/>
      <c r="BG177" s="72"/>
      <c r="BH177" s="73"/>
      <c r="BI177" s="65"/>
      <c r="BJ177" s="78"/>
      <c r="BK177" s="78"/>
      <c r="BL177" s="78"/>
      <c r="BM177" s="78"/>
      <c r="BN177" s="70"/>
      <c r="BO177" s="65"/>
      <c r="BP177" s="78"/>
      <c r="BQ177" s="78"/>
      <c r="BR177" s="78"/>
      <c r="BS177" s="78"/>
      <c r="BT177" s="70"/>
      <c r="BU177" s="65"/>
      <c r="BV177" s="78"/>
      <c r="BW177" s="78"/>
      <c r="BX177" s="78"/>
      <c r="BY177" s="78"/>
      <c r="BZ177" s="70"/>
      <c r="CA177" s="110"/>
      <c r="CB177" s="76"/>
      <c r="CC177" s="76"/>
      <c r="CD177" s="76"/>
      <c r="CE177" s="76"/>
      <c r="CF177" s="77"/>
    </row>
    <row r="178" spans="1:84" ht="12" customHeight="1">
      <c r="A178" s="2" t="s">
        <v>160</v>
      </c>
      <c r="B178" s="64">
        <v>166</v>
      </c>
      <c r="C178" s="65">
        <v>10</v>
      </c>
      <c r="D178" s="66" t="s">
        <v>10</v>
      </c>
      <c r="E178" s="69" t="s">
        <v>102</v>
      </c>
      <c r="F178" s="70"/>
      <c r="G178" s="71">
        <v>984.87404878048778</v>
      </c>
      <c r="H178" s="72">
        <v>984.87404878048778</v>
      </c>
      <c r="I178" s="72"/>
      <c r="J178" s="72"/>
      <c r="K178" s="72"/>
      <c r="L178" s="73"/>
      <c r="M178" s="71">
        <v>2954.6221463414631</v>
      </c>
      <c r="N178" s="72">
        <v>2954.6221463414631</v>
      </c>
      <c r="O178" s="72"/>
      <c r="P178" s="72"/>
      <c r="Q178" s="72"/>
      <c r="R178" s="73"/>
      <c r="S178" s="71">
        <v>987.96116504854365</v>
      </c>
      <c r="T178" s="72">
        <v>994.17475728155341</v>
      </c>
      <c r="U178" s="72">
        <v>987.37864077669906</v>
      </c>
      <c r="V178" s="72">
        <v>1004.8543689320388</v>
      </c>
      <c r="W178" s="72">
        <v>966.01941747572812</v>
      </c>
      <c r="X178" s="73">
        <v>987.37864077669906</v>
      </c>
      <c r="Y178" s="71"/>
      <c r="Z178" s="72"/>
      <c r="AA178" s="72"/>
      <c r="AB178" s="72"/>
      <c r="AC178" s="72"/>
      <c r="AD178" s="73"/>
      <c r="AE178" s="71"/>
      <c r="AF178" s="72"/>
      <c r="AG178" s="72"/>
      <c r="AH178" s="72"/>
      <c r="AI178" s="72"/>
      <c r="AJ178" s="73"/>
      <c r="AK178" s="71"/>
      <c r="AL178" s="72"/>
      <c r="AM178" s="72"/>
      <c r="AN178" s="72"/>
      <c r="AO178" s="72"/>
      <c r="AP178" s="73"/>
      <c r="AQ178" s="71"/>
      <c r="AR178" s="72"/>
      <c r="AS178" s="72"/>
      <c r="AT178" s="72"/>
      <c r="AU178" s="72"/>
      <c r="AV178" s="73"/>
      <c r="AW178" s="75">
        <v>0.31345290008184534</v>
      </c>
      <c r="AX178" s="76">
        <v>0.94435511957922103</v>
      </c>
      <c r="AY178" s="76">
        <v>0.2543058170039636</v>
      </c>
      <c r="AZ178" s="76">
        <v>2.0287183093403272</v>
      </c>
      <c r="BA178" s="76">
        <v>-1.9144205625182487</v>
      </c>
      <c r="BB178" s="77">
        <v>0.2543058170039636</v>
      </c>
      <c r="BC178" s="71">
        <v>1497.9009708737863</v>
      </c>
      <c r="BD178" s="72">
        <v>1435.9223300970873</v>
      </c>
      <c r="BE178" s="72">
        <v>1474.7572815533981</v>
      </c>
      <c r="BF178" s="72">
        <v>1529.1262135922329</v>
      </c>
      <c r="BG178" s="72">
        <v>1476.6990291262136</v>
      </c>
      <c r="BH178" s="73">
        <v>1573</v>
      </c>
      <c r="BI178" s="65"/>
      <c r="BJ178" s="78"/>
      <c r="BK178" s="78"/>
      <c r="BL178" s="78"/>
      <c r="BM178" s="78"/>
      <c r="BN178" s="70"/>
      <c r="BO178" s="65"/>
      <c r="BP178" s="78"/>
      <c r="BQ178" s="78"/>
      <c r="BR178" s="78"/>
      <c r="BS178" s="78"/>
      <c r="BT178" s="70"/>
      <c r="BU178" s="65"/>
      <c r="BV178" s="78"/>
      <c r="BW178" s="78"/>
      <c r="BX178" s="78"/>
      <c r="BY178" s="78"/>
      <c r="BZ178" s="70"/>
      <c r="CA178" s="110">
        <v>-4.9433673315544047</v>
      </c>
      <c r="CB178" s="76">
        <v>-8.8765251331435202</v>
      </c>
      <c r="CC178" s="76">
        <v>-6.4120633382319099</v>
      </c>
      <c r="CD178" s="76">
        <v>-2.9618168253556787</v>
      </c>
      <c r="CE178" s="76">
        <v>-6.2888402484865598</v>
      </c>
      <c r="CF178" s="77">
        <v>-0.17759111255429838</v>
      </c>
    </row>
    <row r="179" spans="1:84" ht="12" customHeight="1">
      <c r="A179" s="2"/>
      <c r="B179" s="64">
        <v>167</v>
      </c>
      <c r="C179" s="65">
        <v>10</v>
      </c>
      <c r="D179" s="66" t="s">
        <v>11</v>
      </c>
      <c r="E179" s="69" t="s">
        <v>67</v>
      </c>
      <c r="F179" s="70">
        <v>5</v>
      </c>
      <c r="G179" s="71">
        <v>1680.1951219512196</v>
      </c>
      <c r="H179" s="72">
        <v>1680.1951219512196</v>
      </c>
      <c r="I179" s="72">
        <v>133.99024390243903</v>
      </c>
      <c r="J179" s="72"/>
      <c r="K179" s="72"/>
      <c r="L179" s="73"/>
      <c r="M179" s="71">
        <v>3628.3707317073172</v>
      </c>
      <c r="N179" s="72">
        <v>3360.3902439024391</v>
      </c>
      <c r="O179" s="72">
        <v>267.98048780487807</v>
      </c>
      <c r="P179" s="72"/>
      <c r="Q179" s="72"/>
      <c r="R179" s="73"/>
      <c r="S179" s="71">
        <v>1673.6</v>
      </c>
      <c r="T179" s="72">
        <v>1673</v>
      </c>
      <c r="U179" s="72">
        <v>1669</v>
      </c>
      <c r="V179" s="72">
        <v>1682</v>
      </c>
      <c r="W179" s="72">
        <v>1640</v>
      </c>
      <c r="X179" s="73">
        <v>1704</v>
      </c>
      <c r="Y179" s="71">
        <v>137.19999999999999</v>
      </c>
      <c r="Z179" s="72">
        <v>141</v>
      </c>
      <c r="AA179" s="72">
        <v>140</v>
      </c>
      <c r="AB179" s="72">
        <v>132</v>
      </c>
      <c r="AC179" s="72">
        <v>140</v>
      </c>
      <c r="AD179" s="73">
        <v>133</v>
      </c>
      <c r="AE179" s="71"/>
      <c r="AF179" s="72"/>
      <c r="AG179" s="72"/>
      <c r="AH179" s="72"/>
      <c r="AI179" s="72"/>
      <c r="AJ179" s="73"/>
      <c r="AK179" s="71"/>
      <c r="AL179" s="72"/>
      <c r="AM179" s="72"/>
      <c r="AN179" s="72"/>
      <c r="AO179" s="72"/>
      <c r="AP179" s="73"/>
      <c r="AQ179" s="71"/>
      <c r="AR179" s="72"/>
      <c r="AS179" s="72"/>
      <c r="AT179" s="72"/>
      <c r="AU179" s="72"/>
      <c r="AV179" s="73"/>
      <c r="AW179" s="75">
        <v>-0.39252119382185979</v>
      </c>
      <c r="AX179" s="76">
        <v>-0.42823133201719266</v>
      </c>
      <c r="AY179" s="76">
        <v>-0.66629891998606361</v>
      </c>
      <c r="AZ179" s="76">
        <v>0.10742074091278919</v>
      </c>
      <c r="BA179" s="76">
        <v>-2.3922889327604224</v>
      </c>
      <c r="BB179" s="77">
        <v>1.4167924747416016</v>
      </c>
      <c r="BC179" s="71"/>
      <c r="BD179" s="72"/>
      <c r="BE179" s="72"/>
      <c r="BF179" s="72"/>
      <c r="BG179" s="72"/>
      <c r="BH179" s="73"/>
      <c r="BI179" s="65"/>
      <c r="BJ179" s="78"/>
      <c r="BK179" s="78"/>
      <c r="BL179" s="78"/>
      <c r="BM179" s="78"/>
      <c r="BN179" s="70"/>
      <c r="BO179" s="65"/>
      <c r="BP179" s="78"/>
      <c r="BQ179" s="78"/>
      <c r="BR179" s="78"/>
      <c r="BS179" s="78"/>
      <c r="BT179" s="70"/>
      <c r="BU179" s="65"/>
      <c r="BV179" s="78"/>
      <c r="BW179" s="78"/>
      <c r="BX179" s="78"/>
      <c r="BY179" s="78"/>
      <c r="BZ179" s="70"/>
      <c r="CA179" s="80"/>
      <c r="CB179" s="78"/>
      <c r="CC179" s="78"/>
      <c r="CD179" s="78"/>
      <c r="CE179" s="78"/>
      <c r="CF179" s="70"/>
    </row>
    <row r="180" spans="1:84" ht="12" customHeight="1">
      <c r="A180" s="2"/>
      <c r="B180" s="64">
        <v>168</v>
      </c>
      <c r="C180" s="65">
        <v>10</v>
      </c>
      <c r="D180" s="66" t="s">
        <v>11</v>
      </c>
      <c r="E180" s="69" t="s">
        <v>148</v>
      </c>
      <c r="F180" s="70">
        <v>5</v>
      </c>
      <c r="G180" s="71">
        <v>1680.1951219512196</v>
      </c>
      <c r="H180" s="72">
        <v>1680.1951219512196</v>
      </c>
      <c r="I180" s="72">
        <v>133.99024390243903</v>
      </c>
      <c r="J180" s="72"/>
      <c r="K180" s="72"/>
      <c r="L180" s="73"/>
      <c r="M180" s="71">
        <v>3628.3707317073172</v>
      </c>
      <c r="N180" s="72">
        <v>3360.3902439024391</v>
      </c>
      <c r="O180" s="72">
        <v>267.98048780487807</v>
      </c>
      <c r="P180" s="72"/>
      <c r="Q180" s="72"/>
      <c r="R180" s="73"/>
      <c r="S180" s="71">
        <v>1673.6</v>
      </c>
      <c r="T180" s="72">
        <v>1673</v>
      </c>
      <c r="U180" s="72">
        <v>1669</v>
      </c>
      <c r="V180" s="72">
        <v>1682</v>
      </c>
      <c r="W180" s="72">
        <v>1640</v>
      </c>
      <c r="X180" s="73">
        <v>1704</v>
      </c>
      <c r="Y180" s="71">
        <v>137.19999999999999</v>
      </c>
      <c r="Z180" s="72">
        <v>141</v>
      </c>
      <c r="AA180" s="72">
        <v>140</v>
      </c>
      <c r="AB180" s="72">
        <v>132</v>
      </c>
      <c r="AC180" s="72">
        <v>140</v>
      </c>
      <c r="AD180" s="73">
        <v>133</v>
      </c>
      <c r="AE180" s="71"/>
      <c r="AF180" s="72"/>
      <c r="AG180" s="72"/>
      <c r="AH180" s="72"/>
      <c r="AI180" s="72"/>
      <c r="AJ180" s="73"/>
      <c r="AK180" s="71"/>
      <c r="AL180" s="72"/>
      <c r="AM180" s="72"/>
      <c r="AN180" s="72"/>
      <c r="AO180" s="72"/>
      <c r="AP180" s="73"/>
      <c r="AQ180" s="71"/>
      <c r="AR180" s="72"/>
      <c r="AS180" s="72"/>
      <c r="AT180" s="72"/>
      <c r="AU180" s="72"/>
      <c r="AV180" s="73"/>
      <c r="AW180" s="75">
        <v>-0.39252119382185979</v>
      </c>
      <c r="AX180" s="76">
        <v>-0.42823133201719266</v>
      </c>
      <c r="AY180" s="76">
        <v>-0.66629891998606361</v>
      </c>
      <c r="AZ180" s="76">
        <v>0.10742074091278919</v>
      </c>
      <c r="BA180" s="76">
        <v>-2.3922889327604224</v>
      </c>
      <c r="BB180" s="77">
        <v>1.4167924747416016</v>
      </c>
      <c r="BC180" s="65"/>
      <c r="BD180" s="78"/>
      <c r="BE180" s="78"/>
      <c r="BF180" s="78"/>
      <c r="BG180" s="78"/>
      <c r="BH180" s="70"/>
      <c r="BI180" s="65"/>
      <c r="BJ180" s="78"/>
      <c r="BK180" s="78"/>
      <c r="BL180" s="78"/>
      <c r="BM180" s="78"/>
      <c r="BN180" s="70"/>
      <c r="BO180" s="65"/>
      <c r="BP180" s="78"/>
      <c r="BQ180" s="78"/>
      <c r="BR180" s="78"/>
      <c r="BS180" s="78"/>
      <c r="BT180" s="70"/>
      <c r="BU180" s="65"/>
      <c r="BV180" s="78"/>
      <c r="BW180" s="78"/>
      <c r="BX180" s="78"/>
      <c r="BY180" s="78"/>
      <c r="BZ180" s="70"/>
      <c r="CA180" s="80"/>
      <c r="CB180" s="78"/>
      <c r="CC180" s="78"/>
      <c r="CD180" s="78"/>
      <c r="CE180" s="78"/>
      <c r="CF180" s="70"/>
    </row>
    <row r="181" spans="1:84" ht="12" customHeight="1">
      <c r="A181" s="2"/>
      <c r="B181" s="64">
        <v>169</v>
      </c>
      <c r="C181" s="65">
        <v>10</v>
      </c>
      <c r="D181" s="66" t="s">
        <v>11</v>
      </c>
      <c r="E181" s="69" t="s">
        <v>79</v>
      </c>
      <c r="F181" s="70">
        <v>5</v>
      </c>
      <c r="G181" s="71">
        <v>1680.1951219512196</v>
      </c>
      <c r="H181" s="72">
        <v>1680.1951219512196</v>
      </c>
      <c r="I181" s="72">
        <v>133.99024390243903</v>
      </c>
      <c r="J181" s="72"/>
      <c r="K181" s="72"/>
      <c r="L181" s="73"/>
      <c r="M181" s="71">
        <v>3628.3707317073172</v>
      </c>
      <c r="N181" s="72">
        <v>3360.3902439024391</v>
      </c>
      <c r="O181" s="72">
        <v>267.98048780487807</v>
      </c>
      <c r="P181" s="72"/>
      <c r="Q181" s="72"/>
      <c r="R181" s="73"/>
      <c r="S181" s="71">
        <v>1673.6</v>
      </c>
      <c r="T181" s="72">
        <v>1673</v>
      </c>
      <c r="U181" s="72">
        <v>1669</v>
      </c>
      <c r="V181" s="72">
        <v>1682</v>
      </c>
      <c r="W181" s="72">
        <v>1640</v>
      </c>
      <c r="X181" s="73">
        <v>1704</v>
      </c>
      <c r="Y181" s="71">
        <v>137.19999999999999</v>
      </c>
      <c r="Z181" s="72">
        <v>141</v>
      </c>
      <c r="AA181" s="72">
        <v>140</v>
      </c>
      <c r="AB181" s="72">
        <v>132</v>
      </c>
      <c r="AC181" s="72">
        <v>140</v>
      </c>
      <c r="AD181" s="73">
        <v>133</v>
      </c>
      <c r="AE181" s="71"/>
      <c r="AF181" s="72"/>
      <c r="AG181" s="72"/>
      <c r="AH181" s="72"/>
      <c r="AI181" s="72"/>
      <c r="AJ181" s="73"/>
      <c r="AK181" s="71"/>
      <c r="AL181" s="72"/>
      <c r="AM181" s="72"/>
      <c r="AN181" s="72"/>
      <c r="AO181" s="72"/>
      <c r="AP181" s="73"/>
      <c r="AQ181" s="71"/>
      <c r="AR181" s="72"/>
      <c r="AS181" s="72"/>
      <c r="AT181" s="72"/>
      <c r="AU181" s="72"/>
      <c r="AV181" s="73"/>
      <c r="AW181" s="75">
        <v>-0.39252119382185979</v>
      </c>
      <c r="AX181" s="76">
        <v>-0.42823133201719266</v>
      </c>
      <c r="AY181" s="76">
        <v>-0.66629891998606361</v>
      </c>
      <c r="AZ181" s="76">
        <v>0.10742074091278919</v>
      </c>
      <c r="BA181" s="76">
        <v>-2.3922889327604224</v>
      </c>
      <c r="BB181" s="77">
        <v>1.4167924747416016</v>
      </c>
      <c r="BC181" s="65"/>
      <c r="BD181" s="78"/>
      <c r="BE181" s="78"/>
      <c r="BF181" s="78"/>
      <c r="BG181" s="78"/>
      <c r="BH181" s="70"/>
      <c r="BI181" s="65"/>
      <c r="BJ181" s="78"/>
      <c r="BK181" s="78"/>
      <c r="BL181" s="78"/>
      <c r="BM181" s="78"/>
      <c r="BN181" s="70"/>
      <c r="BO181" s="65"/>
      <c r="BP181" s="78"/>
      <c r="BQ181" s="78"/>
      <c r="BR181" s="78"/>
      <c r="BS181" s="78"/>
      <c r="BT181" s="70"/>
      <c r="BU181" s="65"/>
      <c r="BV181" s="78"/>
      <c r="BW181" s="78"/>
      <c r="BX181" s="78"/>
      <c r="BY181" s="78"/>
      <c r="BZ181" s="70"/>
      <c r="CA181" s="80"/>
      <c r="CB181" s="78"/>
      <c r="CC181" s="78"/>
      <c r="CD181" s="78"/>
      <c r="CE181" s="78"/>
      <c r="CF181" s="70"/>
    </row>
    <row r="182" spans="1:84" ht="12" customHeight="1">
      <c r="A182" s="2"/>
      <c r="B182" s="64">
        <v>170</v>
      </c>
      <c r="C182" s="65">
        <v>10</v>
      </c>
      <c r="D182" s="66" t="s">
        <v>11</v>
      </c>
      <c r="E182" s="69" t="s">
        <v>89</v>
      </c>
      <c r="F182" s="70">
        <v>5</v>
      </c>
      <c r="G182" s="71">
        <v>1680.1951219512196</v>
      </c>
      <c r="H182" s="72">
        <v>1680.1951219512196</v>
      </c>
      <c r="I182" s="72">
        <v>200.98536585365855</v>
      </c>
      <c r="J182" s="72"/>
      <c r="K182" s="72"/>
      <c r="L182" s="73"/>
      <c r="M182" s="71">
        <v>3762.3609756097562</v>
      </c>
      <c r="N182" s="72">
        <v>3360.3902439024391</v>
      </c>
      <c r="O182" s="72">
        <v>401.9707317073171</v>
      </c>
      <c r="P182" s="72"/>
      <c r="Q182" s="72"/>
      <c r="R182" s="73"/>
      <c r="S182" s="71">
        <v>1660.8</v>
      </c>
      <c r="T182" s="72">
        <v>1661</v>
      </c>
      <c r="U182" s="72">
        <v>1658</v>
      </c>
      <c r="V182" s="72">
        <v>1676</v>
      </c>
      <c r="W182" s="72">
        <v>1690</v>
      </c>
      <c r="X182" s="73">
        <v>1619</v>
      </c>
      <c r="Y182" s="71">
        <v>199.6</v>
      </c>
      <c r="Z182" s="72">
        <v>199</v>
      </c>
      <c r="AA182" s="72">
        <v>203</v>
      </c>
      <c r="AB182" s="72">
        <v>202</v>
      </c>
      <c r="AC182" s="72">
        <v>198</v>
      </c>
      <c r="AD182" s="73">
        <v>196</v>
      </c>
      <c r="AE182" s="71"/>
      <c r="AF182" s="72"/>
      <c r="AG182" s="72"/>
      <c r="AH182" s="72"/>
      <c r="AI182" s="72"/>
      <c r="AJ182" s="73"/>
      <c r="AK182" s="71"/>
      <c r="AL182" s="72"/>
      <c r="AM182" s="72"/>
      <c r="AN182" s="72"/>
      <c r="AO182" s="72"/>
      <c r="AP182" s="73"/>
      <c r="AQ182" s="71"/>
      <c r="AR182" s="72"/>
      <c r="AS182" s="72"/>
      <c r="AT182" s="72"/>
      <c r="AU182" s="72"/>
      <c r="AV182" s="73"/>
      <c r="AW182" s="75">
        <v>-1.1543374753222646</v>
      </c>
      <c r="AX182" s="76">
        <v>-1.1424340959238166</v>
      </c>
      <c r="AY182" s="76">
        <v>-1.3209847869004809</v>
      </c>
      <c r="AZ182" s="76">
        <v>-0.24968064104052834</v>
      </c>
      <c r="BA182" s="76">
        <v>0.5835559168505311</v>
      </c>
      <c r="BB182" s="77">
        <v>-3.6421437695970282</v>
      </c>
      <c r="BC182" s="65"/>
      <c r="BD182" s="78"/>
      <c r="BE182" s="78"/>
      <c r="BF182" s="78"/>
      <c r="BG182" s="78"/>
      <c r="BH182" s="70"/>
      <c r="BI182" s="65"/>
      <c r="BJ182" s="78"/>
      <c r="BK182" s="78"/>
      <c r="BL182" s="78"/>
      <c r="BM182" s="78"/>
      <c r="BN182" s="70"/>
      <c r="BO182" s="65"/>
      <c r="BP182" s="78"/>
      <c r="BQ182" s="78"/>
      <c r="BR182" s="78"/>
      <c r="BS182" s="78"/>
      <c r="BT182" s="70"/>
      <c r="BU182" s="65"/>
      <c r="BV182" s="78"/>
      <c r="BW182" s="78"/>
      <c r="BX182" s="78"/>
      <c r="BY182" s="78"/>
      <c r="BZ182" s="70"/>
      <c r="CA182" s="80"/>
      <c r="CB182" s="78"/>
      <c r="CC182" s="78"/>
      <c r="CD182" s="78"/>
      <c r="CE182" s="78"/>
      <c r="CF182" s="70"/>
    </row>
    <row r="183" spans="1:84" ht="12" customHeight="1">
      <c r="A183" s="2"/>
      <c r="B183" s="64">
        <v>171</v>
      </c>
      <c r="C183" s="65">
        <v>10</v>
      </c>
      <c r="D183" s="66" t="s">
        <v>11</v>
      </c>
      <c r="E183" s="69" t="s">
        <v>144</v>
      </c>
      <c r="F183" s="70">
        <v>1</v>
      </c>
      <c r="G183" s="71">
        <v>2016.2341463414637</v>
      </c>
      <c r="H183" s="72">
        <v>2016.2341463414637</v>
      </c>
      <c r="I183" s="72">
        <v>133.99024390243903</v>
      </c>
      <c r="J183" s="72"/>
      <c r="K183" s="72"/>
      <c r="L183" s="73"/>
      <c r="M183" s="71">
        <v>4300.4487804878063</v>
      </c>
      <c r="N183" s="72">
        <v>4032.4682926829278</v>
      </c>
      <c r="O183" s="72">
        <v>267.98048780487807</v>
      </c>
      <c r="P183" s="72"/>
      <c r="Q183" s="72"/>
      <c r="R183" s="73"/>
      <c r="S183" s="71">
        <v>2003.6</v>
      </c>
      <c r="T183" s="72">
        <v>1998</v>
      </c>
      <c r="U183" s="72">
        <v>2076</v>
      </c>
      <c r="V183" s="72">
        <v>1876</v>
      </c>
      <c r="W183" s="72">
        <v>2016</v>
      </c>
      <c r="X183" s="73">
        <v>2052</v>
      </c>
      <c r="Y183" s="71">
        <v>134.19999999999999</v>
      </c>
      <c r="Z183" s="72">
        <v>140</v>
      </c>
      <c r="AA183" s="72">
        <v>127</v>
      </c>
      <c r="AB183" s="72">
        <v>130</v>
      </c>
      <c r="AC183" s="72">
        <v>130</v>
      </c>
      <c r="AD183" s="73">
        <v>144</v>
      </c>
      <c r="AE183" s="71"/>
      <c r="AF183" s="72"/>
      <c r="AG183" s="72"/>
      <c r="AH183" s="72"/>
      <c r="AI183" s="72"/>
      <c r="AJ183" s="73"/>
      <c r="AK183" s="71"/>
      <c r="AL183" s="72"/>
      <c r="AM183" s="72"/>
      <c r="AN183" s="72"/>
      <c r="AO183" s="72"/>
      <c r="AP183" s="73"/>
      <c r="AQ183" s="71"/>
      <c r="AR183" s="72"/>
      <c r="AS183" s="72"/>
      <c r="AT183" s="72"/>
      <c r="AU183" s="72"/>
      <c r="AV183" s="73"/>
      <c r="AW183" s="75">
        <v>-0.62662098865793325</v>
      </c>
      <c r="AX183" s="76">
        <v>-0.90436650795495677</v>
      </c>
      <c r="AY183" s="76">
        <v>2.9642317965393072</v>
      </c>
      <c r="AZ183" s="76">
        <v>-6.9552510354972448</v>
      </c>
      <c r="BA183" s="76">
        <v>-1.1613053071668489E-2</v>
      </c>
      <c r="BB183" s="77">
        <v>1.7738938566949081</v>
      </c>
      <c r="BC183" s="65"/>
      <c r="BD183" s="78"/>
      <c r="BE183" s="78"/>
      <c r="BF183" s="78"/>
      <c r="BG183" s="78"/>
      <c r="BH183" s="70"/>
      <c r="BI183" s="65"/>
      <c r="BJ183" s="78"/>
      <c r="BK183" s="78"/>
      <c r="BL183" s="78"/>
      <c r="BM183" s="78"/>
      <c r="BN183" s="70"/>
      <c r="BO183" s="65"/>
      <c r="BP183" s="78"/>
      <c r="BQ183" s="78"/>
      <c r="BR183" s="78"/>
      <c r="BS183" s="78"/>
      <c r="BT183" s="70"/>
      <c r="BU183" s="65"/>
      <c r="BV183" s="78"/>
      <c r="BW183" s="78"/>
      <c r="BX183" s="78"/>
      <c r="BY183" s="78"/>
      <c r="BZ183" s="70"/>
      <c r="CA183" s="80"/>
      <c r="CB183" s="78"/>
      <c r="CC183" s="78"/>
      <c r="CD183" s="78"/>
      <c r="CE183" s="78"/>
      <c r="CF183" s="70"/>
    </row>
    <row r="184" spans="1:84" ht="12" customHeight="1">
      <c r="A184" s="2"/>
      <c r="B184" s="64">
        <v>172</v>
      </c>
      <c r="C184" s="65">
        <v>10</v>
      </c>
      <c r="D184" s="66" t="s">
        <v>11</v>
      </c>
      <c r="E184" s="69" t="s">
        <v>140</v>
      </c>
      <c r="F184" s="70">
        <v>1</v>
      </c>
      <c r="G184" s="71">
        <v>2016.2341463414637</v>
      </c>
      <c r="H184" s="72">
        <v>2016.2341463414637</v>
      </c>
      <c r="I184" s="72">
        <v>200.98536585365855</v>
      </c>
      <c r="J184" s="72"/>
      <c r="K184" s="72"/>
      <c r="L184" s="73"/>
      <c r="M184" s="71">
        <v>4434.4390243902453</v>
      </c>
      <c r="N184" s="72">
        <v>4032.4682926829278</v>
      </c>
      <c r="O184" s="72">
        <v>401.9707317073171</v>
      </c>
      <c r="P184" s="72"/>
      <c r="Q184" s="72"/>
      <c r="R184" s="73"/>
      <c r="S184" s="71">
        <v>1996.8</v>
      </c>
      <c r="T184" s="72">
        <v>2052</v>
      </c>
      <c r="U184" s="72">
        <v>2028</v>
      </c>
      <c r="V184" s="72">
        <v>2094</v>
      </c>
      <c r="W184" s="72">
        <v>1872</v>
      </c>
      <c r="X184" s="73">
        <v>1938</v>
      </c>
      <c r="Y184" s="71">
        <v>205.8</v>
      </c>
      <c r="Z184" s="72">
        <v>201</v>
      </c>
      <c r="AA184" s="72">
        <v>208</v>
      </c>
      <c r="AB184" s="72">
        <v>210</v>
      </c>
      <c r="AC184" s="72">
        <v>200</v>
      </c>
      <c r="AD184" s="73">
        <v>210</v>
      </c>
      <c r="AE184" s="71"/>
      <c r="AF184" s="72"/>
      <c r="AG184" s="72"/>
      <c r="AH184" s="72"/>
      <c r="AI184" s="72"/>
      <c r="AJ184" s="73"/>
      <c r="AK184" s="71"/>
      <c r="AL184" s="72"/>
      <c r="AM184" s="72"/>
      <c r="AN184" s="72"/>
      <c r="AO184" s="72"/>
      <c r="AP184" s="73"/>
      <c r="AQ184" s="71"/>
      <c r="AR184" s="72"/>
      <c r="AS184" s="72"/>
      <c r="AT184" s="72"/>
      <c r="AU184" s="72"/>
      <c r="AV184" s="73"/>
      <c r="AW184" s="75">
        <v>-0.9638834049471745</v>
      </c>
      <c r="AX184" s="76">
        <v>1.7738938566949081</v>
      </c>
      <c r="AY184" s="76">
        <v>0.5835559168505311</v>
      </c>
      <c r="AZ184" s="76">
        <v>3.8569852514225955</v>
      </c>
      <c r="BA184" s="76">
        <v>-7.1536406921379747</v>
      </c>
      <c r="BB184" s="77">
        <v>-3.8802113575659103</v>
      </c>
      <c r="BC184" s="65"/>
      <c r="BD184" s="78"/>
      <c r="BE184" s="78"/>
      <c r="BF184" s="78"/>
      <c r="BG184" s="78"/>
      <c r="BH184" s="70"/>
      <c r="BI184" s="65"/>
      <c r="BJ184" s="78"/>
      <c r="BK184" s="78"/>
      <c r="BL184" s="78"/>
      <c r="BM184" s="78"/>
      <c r="BN184" s="70"/>
      <c r="BO184" s="65"/>
      <c r="BP184" s="78"/>
      <c r="BQ184" s="78"/>
      <c r="BR184" s="78"/>
      <c r="BS184" s="78"/>
      <c r="BT184" s="70"/>
      <c r="BU184" s="65"/>
      <c r="BV184" s="78"/>
      <c r="BW184" s="78"/>
      <c r="BX184" s="78"/>
      <c r="BY184" s="78"/>
      <c r="BZ184" s="70"/>
      <c r="CA184" s="80"/>
      <c r="CB184" s="78"/>
      <c r="CC184" s="78"/>
      <c r="CD184" s="78"/>
      <c r="CE184" s="78"/>
      <c r="CF184" s="70"/>
    </row>
    <row r="185" spans="1:84" ht="12" customHeight="1">
      <c r="A185" s="2"/>
      <c r="B185" s="64">
        <v>173</v>
      </c>
      <c r="C185" s="65">
        <v>10</v>
      </c>
      <c r="D185" s="66" t="s">
        <v>11</v>
      </c>
      <c r="E185" s="69" t="s">
        <v>150</v>
      </c>
      <c r="F185" s="70">
        <v>1</v>
      </c>
      <c r="G185" s="71">
        <v>2016.2341463414637</v>
      </c>
      <c r="H185" s="72">
        <v>2016.2341463414637</v>
      </c>
      <c r="I185" s="72">
        <v>133.99024390243903</v>
      </c>
      <c r="J185" s="72"/>
      <c r="K185" s="72"/>
      <c r="L185" s="73"/>
      <c r="M185" s="71">
        <v>4300.4487804878063</v>
      </c>
      <c r="N185" s="72">
        <v>4032.4682926829278</v>
      </c>
      <c r="O185" s="72">
        <v>267.98048780487807</v>
      </c>
      <c r="P185" s="72"/>
      <c r="Q185" s="72"/>
      <c r="R185" s="73"/>
      <c r="S185" s="71">
        <v>2003.6</v>
      </c>
      <c r="T185" s="72">
        <v>1998</v>
      </c>
      <c r="U185" s="72">
        <v>2076</v>
      </c>
      <c r="V185" s="72">
        <v>1876</v>
      </c>
      <c r="W185" s="72">
        <v>2016</v>
      </c>
      <c r="X185" s="73">
        <v>2052</v>
      </c>
      <c r="Y185" s="71">
        <v>134.19999999999999</v>
      </c>
      <c r="Z185" s="72">
        <v>140</v>
      </c>
      <c r="AA185" s="72">
        <v>127</v>
      </c>
      <c r="AB185" s="72">
        <v>130</v>
      </c>
      <c r="AC185" s="72">
        <v>130</v>
      </c>
      <c r="AD185" s="73">
        <v>144</v>
      </c>
      <c r="AE185" s="71"/>
      <c r="AF185" s="72"/>
      <c r="AG185" s="72"/>
      <c r="AH185" s="72"/>
      <c r="AI185" s="72"/>
      <c r="AJ185" s="73"/>
      <c r="AK185" s="71"/>
      <c r="AL185" s="72"/>
      <c r="AM185" s="72"/>
      <c r="AN185" s="72"/>
      <c r="AO185" s="72"/>
      <c r="AP185" s="73"/>
      <c r="AQ185" s="71"/>
      <c r="AR185" s="72"/>
      <c r="AS185" s="72"/>
      <c r="AT185" s="72"/>
      <c r="AU185" s="72"/>
      <c r="AV185" s="73"/>
      <c r="AW185" s="75">
        <v>-0.62662098865793325</v>
      </c>
      <c r="AX185" s="76">
        <v>-0.90436650795495677</v>
      </c>
      <c r="AY185" s="76">
        <v>2.9642317965393072</v>
      </c>
      <c r="AZ185" s="76">
        <v>-6.9552510354972448</v>
      </c>
      <c r="BA185" s="76">
        <v>-1.1613053071668489E-2</v>
      </c>
      <c r="BB185" s="77">
        <v>1.7738938566949081</v>
      </c>
      <c r="BC185" s="65"/>
      <c r="BD185" s="78"/>
      <c r="BE185" s="78"/>
      <c r="BF185" s="78"/>
      <c r="BG185" s="78"/>
      <c r="BH185" s="70"/>
      <c r="BI185" s="65"/>
      <c r="BJ185" s="78"/>
      <c r="BK185" s="78"/>
      <c r="BL185" s="78"/>
      <c r="BM185" s="78"/>
      <c r="BN185" s="70"/>
      <c r="BO185" s="65"/>
      <c r="BP185" s="78"/>
      <c r="BQ185" s="78"/>
      <c r="BR185" s="78"/>
      <c r="BS185" s="78"/>
      <c r="BT185" s="70"/>
      <c r="BU185" s="65"/>
      <c r="BV185" s="78"/>
      <c r="BW185" s="78"/>
      <c r="BX185" s="78"/>
      <c r="BY185" s="78"/>
      <c r="BZ185" s="70"/>
      <c r="CA185" s="80"/>
      <c r="CB185" s="78"/>
      <c r="CC185" s="78"/>
      <c r="CD185" s="78"/>
      <c r="CE185" s="78"/>
      <c r="CF185" s="70"/>
    </row>
    <row r="186" spans="1:84" ht="12" customHeight="1">
      <c r="A186" s="2"/>
      <c r="B186" s="64">
        <v>174</v>
      </c>
      <c r="C186" s="65">
        <v>10</v>
      </c>
      <c r="D186" s="66" t="s">
        <v>11</v>
      </c>
      <c r="E186" s="69" t="s">
        <v>152</v>
      </c>
      <c r="F186" s="70">
        <v>5</v>
      </c>
      <c r="G186" s="71">
        <v>1680.1951219512196</v>
      </c>
      <c r="H186" s="72">
        <v>1680.1951219512196</v>
      </c>
      <c r="I186" s="72">
        <v>200.98536585365855</v>
      </c>
      <c r="J186" s="72"/>
      <c r="K186" s="72"/>
      <c r="L186" s="73"/>
      <c r="M186" s="71">
        <v>3762.3609756097562</v>
      </c>
      <c r="N186" s="72">
        <v>3360.3902439024391</v>
      </c>
      <c r="O186" s="72">
        <v>401.9707317073171</v>
      </c>
      <c r="P186" s="72"/>
      <c r="Q186" s="72"/>
      <c r="R186" s="73"/>
      <c r="S186" s="71">
        <v>1660.8</v>
      </c>
      <c r="T186" s="72">
        <v>1661</v>
      </c>
      <c r="U186" s="72">
        <v>1658</v>
      </c>
      <c r="V186" s="72">
        <v>1676</v>
      </c>
      <c r="W186" s="72">
        <v>1690</v>
      </c>
      <c r="X186" s="73">
        <v>1619</v>
      </c>
      <c r="Y186" s="71">
        <v>199.6</v>
      </c>
      <c r="Z186" s="72">
        <v>199</v>
      </c>
      <c r="AA186" s="72">
        <v>203</v>
      </c>
      <c r="AB186" s="72">
        <v>202</v>
      </c>
      <c r="AC186" s="72">
        <v>198</v>
      </c>
      <c r="AD186" s="73">
        <v>196</v>
      </c>
      <c r="AE186" s="71"/>
      <c r="AF186" s="72"/>
      <c r="AG186" s="72"/>
      <c r="AH186" s="72"/>
      <c r="AI186" s="72"/>
      <c r="AJ186" s="73"/>
      <c r="AK186" s="71"/>
      <c r="AL186" s="72"/>
      <c r="AM186" s="72"/>
      <c r="AN186" s="72"/>
      <c r="AO186" s="72"/>
      <c r="AP186" s="73"/>
      <c r="AQ186" s="71"/>
      <c r="AR186" s="72"/>
      <c r="AS186" s="72"/>
      <c r="AT186" s="72"/>
      <c r="AU186" s="72"/>
      <c r="AV186" s="73"/>
      <c r="AW186" s="75">
        <v>-1.1543374753222646</v>
      </c>
      <c r="AX186" s="76">
        <v>-1.1424340959238166</v>
      </c>
      <c r="AY186" s="76">
        <v>-1.3209847869004809</v>
      </c>
      <c r="AZ186" s="76">
        <v>-0.24968064104052834</v>
      </c>
      <c r="BA186" s="76">
        <v>0.5835559168505311</v>
      </c>
      <c r="BB186" s="77">
        <v>-3.6421437695970282</v>
      </c>
      <c r="BC186" s="65"/>
      <c r="BD186" s="78"/>
      <c r="BE186" s="78"/>
      <c r="BF186" s="78"/>
      <c r="BG186" s="78"/>
      <c r="BH186" s="70"/>
      <c r="BI186" s="65"/>
      <c r="BJ186" s="78"/>
      <c r="BK186" s="78"/>
      <c r="BL186" s="78"/>
      <c r="BM186" s="78"/>
      <c r="BN186" s="70"/>
      <c r="BO186" s="65"/>
      <c r="BP186" s="78"/>
      <c r="BQ186" s="78"/>
      <c r="BR186" s="78"/>
      <c r="BS186" s="78"/>
      <c r="BT186" s="70"/>
      <c r="BU186" s="65"/>
      <c r="BV186" s="78"/>
      <c r="BW186" s="78"/>
      <c r="BX186" s="78"/>
      <c r="BY186" s="78"/>
      <c r="BZ186" s="70"/>
      <c r="CA186" s="80"/>
      <c r="CB186" s="78"/>
      <c r="CC186" s="78"/>
      <c r="CD186" s="78"/>
      <c r="CE186" s="78"/>
      <c r="CF186" s="70"/>
    </row>
    <row r="187" spans="1:84" ht="12" customHeight="1">
      <c r="A187" s="2"/>
      <c r="B187" s="64">
        <v>175</v>
      </c>
      <c r="C187" s="65">
        <v>10</v>
      </c>
      <c r="D187" s="66" t="s">
        <v>11</v>
      </c>
      <c r="E187" s="69" t="s">
        <v>153</v>
      </c>
      <c r="F187" s="70">
        <v>1</v>
      </c>
      <c r="G187" s="71">
        <v>2016.2341463414637</v>
      </c>
      <c r="H187" s="72">
        <v>2016.2341463414637</v>
      </c>
      <c r="I187" s="72">
        <v>200.98536585365855</v>
      </c>
      <c r="J187" s="72"/>
      <c r="K187" s="72"/>
      <c r="L187" s="73"/>
      <c r="M187" s="71">
        <v>4434.4390243902453</v>
      </c>
      <c r="N187" s="72">
        <v>4032.4682926829278</v>
      </c>
      <c r="O187" s="72">
        <v>401.9707317073171</v>
      </c>
      <c r="P187" s="72"/>
      <c r="Q187" s="72"/>
      <c r="R187" s="73"/>
      <c r="S187" s="71">
        <v>1996.8</v>
      </c>
      <c r="T187" s="72">
        <v>2052</v>
      </c>
      <c r="U187" s="72">
        <v>2028</v>
      </c>
      <c r="V187" s="72">
        <v>2094</v>
      </c>
      <c r="W187" s="72">
        <v>1872</v>
      </c>
      <c r="X187" s="73">
        <v>1938</v>
      </c>
      <c r="Y187" s="71">
        <v>205.8</v>
      </c>
      <c r="Z187" s="72">
        <v>201</v>
      </c>
      <c r="AA187" s="72">
        <v>208</v>
      </c>
      <c r="AB187" s="72">
        <v>210</v>
      </c>
      <c r="AC187" s="72">
        <v>200</v>
      </c>
      <c r="AD187" s="73">
        <v>210</v>
      </c>
      <c r="AE187" s="71"/>
      <c r="AF187" s="72"/>
      <c r="AG187" s="72"/>
      <c r="AH187" s="72"/>
      <c r="AI187" s="72"/>
      <c r="AJ187" s="73"/>
      <c r="AK187" s="71"/>
      <c r="AL187" s="72"/>
      <c r="AM187" s="72"/>
      <c r="AN187" s="72"/>
      <c r="AO187" s="72"/>
      <c r="AP187" s="73"/>
      <c r="AQ187" s="71"/>
      <c r="AR187" s="72"/>
      <c r="AS187" s="72"/>
      <c r="AT187" s="72"/>
      <c r="AU187" s="72"/>
      <c r="AV187" s="73"/>
      <c r="AW187" s="75">
        <v>-0.9638834049471745</v>
      </c>
      <c r="AX187" s="76">
        <v>1.7738938566949081</v>
      </c>
      <c r="AY187" s="76">
        <v>0.5835559168505311</v>
      </c>
      <c r="AZ187" s="76">
        <v>3.8569852514225955</v>
      </c>
      <c r="BA187" s="76">
        <v>-7.1536406921379747</v>
      </c>
      <c r="BB187" s="77">
        <v>-3.8802113575659103</v>
      </c>
      <c r="BC187" s="65"/>
      <c r="BD187" s="78"/>
      <c r="BE187" s="78"/>
      <c r="BF187" s="78"/>
      <c r="BG187" s="78"/>
      <c r="BH187" s="70"/>
      <c r="BI187" s="65"/>
      <c r="BJ187" s="78"/>
      <c r="BK187" s="78"/>
      <c r="BL187" s="78"/>
      <c r="BM187" s="78"/>
      <c r="BN187" s="70"/>
      <c r="BO187" s="65"/>
      <c r="BP187" s="78"/>
      <c r="BQ187" s="78"/>
      <c r="BR187" s="78"/>
      <c r="BS187" s="78"/>
      <c r="BT187" s="70"/>
      <c r="BU187" s="65"/>
      <c r="BV187" s="78"/>
      <c r="BW187" s="78"/>
      <c r="BX187" s="78"/>
      <c r="BY187" s="78"/>
      <c r="BZ187" s="70"/>
      <c r="CA187" s="80"/>
      <c r="CB187" s="78"/>
      <c r="CC187" s="78"/>
      <c r="CD187" s="78"/>
      <c r="CE187" s="78"/>
      <c r="CF187" s="70"/>
    </row>
    <row r="188" spans="1:84" ht="12" customHeight="1">
      <c r="A188" s="2"/>
      <c r="B188" s="64">
        <v>176</v>
      </c>
      <c r="C188" s="65">
        <v>10</v>
      </c>
      <c r="D188" s="66" t="s">
        <v>11</v>
      </c>
      <c r="E188" s="69" t="s">
        <v>161</v>
      </c>
      <c r="F188" s="70">
        <v>1</v>
      </c>
      <c r="G188" s="71">
        <v>2016.2341463414637</v>
      </c>
      <c r="H188" s="72">
        <v>2016.2341463414637</v>
      </c>
      <c r="I188" s="72">
        <v>133.99024390243903</v>
      </c>
      <c r="J188" s="72"/>
      <c r="K188" s="72"/>
      <c r="L188" s="73"/>
      <c r="M188" s="71">
        <v>4300.4487804878063</v>
      </c>
      <c r="N188" s="72">
        <v>4032.4682926829278</v>
      </c>
      <c r="O188" s="72">
        <v>267.98048780487807</v>
      </c>
      <c r="P188" s="72"/>
      <c r="Q188" s="72"/>
      <c r="R188" s="73"/>
      <c r="S188" s="71">
        <v>2003.6</v>
      </c>
      <c r="T188" s="72">
        <v>1998</v>
      </c>
      <c r="U188" s="72">
        <v>2076</v>
      </c>
      <c r="V188" s="72">
        <v>1876</v>
      </c>
      <c r="W188" s="72">
        <v>2016</v>
      </c>
      <c r="X188" s="73">
        <v>2052</v>
      </c>
      <c r="Y188" s="71">
        <v>134.19999999999999</v>
      </c>
      <c r="Z188" s="72">
        <v>140</v>
      </c>
      <c r="AA188" s="72">
        <v>127</v>
      </c>
      <c r="AB188" s="72">
        <v>130</v>
      </c>
      <c r="AC188" s="72">
        <v>130</v>
      </c>
      <c r="AD188" s="73">
        <v>144</v>
      </c>
      <c r="AE188" s="71"/>
      <c r="AF188" s="72"/>
      <c r="AG188" s="72"/>
      <c r="AH188" s="72"/>
      <c r="AI188" s="72"/>
      <c r="AJ188" s="73"/>
      <c r="AK188" s="71"/>
      <c r="AL188" s="72"/>
      <c r="AM188" s="72"/>
      <c r="AN188" s="72"/>
      <c r="AO188" s="72"/>
      <c r="AP188" s="73"/>
      <c r="AQ188" s="71"/>
      <c r="AR188" s="72"/>
      <c r="AS188" s="72"/>
      <c r="AT188" s="72"/>
      <c r="AU188" s="72"/>
      <c r="AV188" s="73"/>
      <c r="AW188" s="75">
        <v>-0.62662098865793325</v>
      </c>
      <c r="AX188" s="76">
        <v>-0.90436650795495677</v>
      </c>
      <c r="AY188" s="76">
        <v>2.9642317965393072</v>
      </c>
      <c r="AZ188" s="76">
        <v>-6.9552510354972448</v>
      </c>
      <c r="BA188" s="76">
        <v>-1.1613053071668489E-2</v>
      </c>
      <c r="BB188" s="77">
        <v>1.7738938566949081</v>
      </c>
      <c r="BC188" s="65"/>
      <c r="BD188" s="78"/>
      <c r="BE188" s="78"/>
      <c r="BF188" s="78"/>
      <c r="BG188" s="78"/>
      <c r="BH188" s="70"/>
      <c r="BI188" s="65"/>
      <c r="BJ188" s="78"/>
      <c r="BK188" s="78"/>
      <c r="BL188" s="78"/>
      <c r="BM188" s="78"/>
      <c r="BN188" s="70"/>
      <c r="BO188" s="65"/>
      <c r="BP188" s="78"/>
      <c r="BQ188" s="78"/>
      <c r="BR188" s="78"/>
      <c r="BS188" s="78"/>
      <c r="BT188" s="70"/>
      <c r="BU188" s="65"/>
      <c r="BV188" s="78"/>
      <c r="BW188" s="78"/>
      <c r="BX188" s="78"/>
      <c r="BY188" s="78"/>
      <c r="BZ188" s="70"/>
      <c r="CA188" s="80"/>
      <c r="CB188" s="78"/>
      <c r="CC188" s="78"/>
      <c r="CD188" s="78"/>
      <c r="CE188" s="78"/>
      <c r="CF188" s="70"/>
    </row>
    <row r="189" spans="1:84" ht="12" customHeight="1">
      <c r="A189" s="2"/>
      <c r="B189" s="64">
        <v>177</v>
      </c>
      <c r="C189" s="65">
        <v>10</v>
      </c>
      <c r="D189" s="66" t="s">
        <v>11</v>
      </c>
      <c r="E189" s="69" t="s">
        <v>101</v>
      </c>
      <c r="F189" s="70">
        <v>5</v>
      </c>
      <c r="G189" s="71">
        <v>1680.1951219512196</v>
      </c>
      <c r="H189" s="72">
        <v>1680.1951219512196</v>
      </c>
      <c r="I189" s="72">
        <v>200.98536585365855</v>
      </c>
      <c r="J189" s="72"/>
      <c r="K189" s="72"/>
      <c r="L189" s="73"/>
      <c r="M189" s="71">
        <v>3762.3609756097562</v>
      </c>
      <c r="N189" s="72">
        <v>3360.3902439024391</v>
      </c>
      <c r="O189" s="72">
        <v>401.9707317073171</v>
      </c>
      <c r="P189" s="72"/>
      <c r="Q189" s="72"/>
      <c r="R189" s="73"/>
      <c r="S189" s="71">
        <v>1660.8</v>
      </c>
      <c r="T189" s="72">
        <v>1661</v>
      </c>
      <c r="U189" s="72">
        <v>1658</v>
      </c>
      <c r="V189" s="72">
        <v>1676</v>
      </c>
      <c r="W189" s="72">
        <v>1690</v>
      </c>
      <c r="X189" s="73">
        <v>1619</v>
      </c>
      <c r="Y189" s="71">
        <v>199.6</v>
      </c>
      <c r="Z189" s="72">
        <v>199</v>
      </c>
      <c r="AA189" s="72">
        <v>203</v>
      </c>
      <c r="AB189" s="72">
        <v>202</v>
      </c>
      <c r="AC189" s="72">
        <v>198</v>
      </c>
      <c r="AD189" s="73">
        <v>196</v>
      </c>
      <c r="AE189" s="71"/>
      <c r="AF189" s="72"/>
      <c r="AG189" s="72"/>
      <c r="AH189" s="72"/>
      <c r="AI189" s="72"/>
      <c r="AJ189" s="73"/>
      <c r="AK189" s="71"/>
      <c r="AL189" s="72"/>
      <c r="AM189" s="72"/>
      <c r="AN189" s="72"/>
      <c r="AO189" s="72"/>
      <c r="AP189" s="73"/>
      <c r="AQ189" s="71"/>
      <c r="AR189" s="72"/>
      <c r="AS189" s="72"/>
      <c r="AT189" s="72"/>
      <c r="AU189" s="72"/>
      <c r="AV189" s="73"/>
      <c r="AW189" s="75">
        <v>-1.1543374753222646</v>
      </c>
      <c r="AX189" s="76">
        <v>-1.1424340959238166</v>
      </c>
      <c r="AY189" s="76">
        <v>-1.3209847869004809</v>
      </c>
      <c r="AZ189" s="76">
        <v>-0.24968064104052834</v>
      </c>
      <c r="BA189" s="76">
        <v>0.5835559168505311</v>
      </c>
      <c r="BB189" s="77">
        <v>-3.6421437695970282</v>
      </c>
      <c r="BC189" s="65"/>
      <c r="BD189" s="78"/>
      <c r="BE189" s="78"/>
      <c r="BF189" s="78"/>
      <c r="BG189" s="78"/>
      <c r="BH189" s="70"/>
      <c r="BI189" s="65"/>
      <c r="BJ189" s="78"/>
      <c r="BK189" s="78"/>
      <c r="BL189" s="78"/>
      <c r="BM189" s="78"/>
      <c r="BN189" s="70"/>
      <c r="BO189" s="65"/>
      <c r="BP189" s="78"/>
      <c r="BQ189" s="78"/>
      <c r="BR189" s="78"/>
      <c r="BS189" s="78"/>
      <c r="BT189" s="70"/>
      <c r="BU189" s="65"/>
      <c r="BV189" s="78"/>
      <c r="BW189" s="78"/>
      <c r="BX189" s="78"/>
      <c r="BY189" s="78"/>
      <c r="BZ189" s="70"/>
      <c r="CA189" s="80"/>
      <c r="CB189" s="78"/>
      <c r="CC189" s="78"/>
      <c r="CD189" s="78"/>
      <c r="CE189" s="78"/>
      <c r="CF189" s="70"/>
    </row>
    <row r="190" spans="1:84" ht="12" customHeight="1">
      <c r="A190" s="2"/>
      <c r="B190" s="64">
        <v>178</v>
      </c>
      <c r="C190" s="65">
        <v>10</v>
      </c>
      <c r="D190" s="66" t="s">
        <v>11</v>
      </c>
      <c r="E190" s="69" t="s">
        <v>162</v>
      </c>
      <c r="F190" s="70">
        <v>1</v>
      </c>
      <c r="G190" s="71">
        <v>2016.2341463414637</v>
      </c>
      <c r="H190" s="72">
        <v>2016.2341463414637</v>
      </c>
      <c r="I190" s="72">
        <v>200.98536585365855</v>
      </c>
      <c r="J190" s="72"/>
      <c r="K190" s="72"/>
      <c r="L190" s="73"/>
      <c r="M190" s="71">
        <v>4434.4390243902453</v>
      </c>
      <c r="N190" s="72">
        <v>4032.4682926829278</v>
      </c>
      <c r="O190" s="72">
        <v>401.9707317073171</v>
      </c>
      <c r="P190" s="72"/>
      <c r="Q190" s="72"/>
      <c r="R190" s="73"/>
      <c r="S190" s="71">
        <v>1996.8</v>
      </c>
      <c r="T190" s="72">
        <v>2052</v>
      </c>
      <c r="U190" s="72">
        <v>2028</v>
      </c>
      <c r="V190" s="72">
        <v>2094</v>
      </c>
      <c r="W190" s="72">
        <v>1872</v>
      </c>
      <c r="X190" s="73">
        <v>1938</v>
      </c>
      <c r="Y190" s="71">
        <v>205.8</v>
      </c>
      <c r="Z190" s="72">
        <v>201</v>
      </c>
      <c r="AA190" s="72">
        <v>208</v>
      </c>
      <c r="AB190" s="72">
        <v>210</v>
      </c>
      <c r="AC190" s="72">
        <v>200</v>
      </c>
      <c r="AD190" s="73">
        <v>210</v>
      </c>
      <c r="AE190" s="71"/>
      <c r="AF190" s="72"/>
      <c r="AG190" s="72"/>
      <c r="AH190" s="72"/>
      <c r="AI190" s="72"/>
      <c r="AJ190" s="73"/>
      <c r="AK190" s="71"/>
      <c r="AL190" s="72"/>
      <c r="AM190" s="72"/>
      <c r="AN190" s="72"/>
      <c r="AO190" s="72"/>
      <c r="AP190" s="73"/>
      <c r="AQ190" s="71"/>
      <c r="AR190" s="72"/>
      <c r="AS190" s="72"/>
      <c r="AT190" s="72"/>
      <c r="AU190" s="72"/>
      <c r="AV190" s="73"/>
      <c r="AW190" s="75">
        <v>-0.9638834049471745</v>
      </c>
      <c r="AX190" s="76">
        <v>1.7738938566949081</v>
      </c>
      <c r="AY190" s="76">
        <v>0.5835559168505311</v>
      </c>
      <c r="AZ190" s="76">
        <v>3.8569852514225955</v>
      </c>
      <c r="BA190" s="76">
        <v>-7.1536406921379747</v>
      </c>
      <c r="BB190" s="77">
        <v>-3.8802113575659103</v>
      </c>
      <c r="BC190" s="65"/>
      <c r="BD190" s="78"/>
      <c r="BE190" s="78"/>
      <c r="BF190" s="78"/>
      <c r="BG190" s="78"/>
      <c r="BH190" s="70"/>
      <c r="BI190" s="65"/>
      <c r="BJ190" s="78"/>
      <c r="BK190" s="78"/>
      <c r="BL190" s="78"/>
      <c r="BM190" s="78"/>
      <c r="BN190" s="70"/>
      <c r="BO190" s="65"/>
      <c r="BP190" s="78"/>
      <c r="BQ190" s="78"/>
      <c r="BR190" s="78"/>
      <c r="BS190" s="78"/>
      <c r="BT190" s="70"/>
      <c r="BU190" s="65"/>
      <c r="BV190" s="78"/>
      <c r="BW190" s="78"/>
      <c r="BX190" s="78"/>
      <c r="BY190" s="78"/>
      <c r="BZ190" s="70"/>
      <c r="CA190" s="80"/>
      <c r="CB190" s="78"/>
      <c r="CC190" s="78"/>
      <c r="CD190" s="78"/>
      <c r="CE190" s="78"/>
      <c r="CF190" s="70"/>
    </row>
    <row r="191" spans="1:84" ht="12" customHeight="1">
      <c r="A191" s="2"/>
      <c r="B191" s="64">
        <v>179</v>
      </c>
      <c r="C191" s="65">
        <v>10</v>
      </c>
      <c r="D191" s="66" t="s">
        <v>12</v>
      </c>
      <c r="E191" s="69" t="s">
        <v>67</v>
      </c>
      <c r="F191" s="70"/>
      <c r="G191" s="71">
        <v>1428.1853658536586</v>
      </c>
      <c r="H191" s="72">
        <v>1428.1853658536586</v>
      </c>
      <c r="I191" s="72">
        <v>0</v>
      </c>
      <c r="J191" s="72"/>
      <c r="K191" s="72"/>
      <c r="L191" s="73">
        <v>0</v>
      </c>
      <c r="M191" s="71">
        <v>2856.3707317073172</v>
      </c>
      <c r="N191" s="72">
        <v>2856.3707317073172</v>
      </c>
      <c r="O191" s="72"/>
      <c r="P191" s="72"/>
      <c r="Q191" s="72"/>
      <c r="R191" s="73"/>
      <c r="S191" s="71">
        <v>1432.8</v>
      </c>
      <c r="T191" s="72">
        <v>1401</v>
      </c>
      <c r="U191" s="72">
        <v>1490</v>
      </c>
      <c r="V191" s="72">
        <v>1471</v>
      </c>
      <c r="W191" s="72">
        <v>1368</v>
      </c>
      <c r="X191" s="73">
        <v>1434</v>
      </c>
      <c r="Y191" s="71"/>
      <c r="Z191" s="72"/>
      <c r="AA191" s="72"/>
      <c r="AB191" s="72"/>
      <c r="AC191" s="72"/>
      <c r="AD191" s="73"/>
      <c r="AE191" s="71"/>
      <c r="AF191" s="72"/>
      <c r="AG191" s="72"/>
      <c r="AH191" s="72"/>
      <c r="AI191" s="72"/>
      <c r="AJ191" s="73"/>
      <c r="AK191" s="71"/>
      <c r="AL191" s="72"/>
      <c r="AM191" s="72"/>
      <c r="AN191" s="72"/>
      <c r="AO191" s="72"/>
      <c r="AP191" s="73"/>
      <c r="AQ191" s="71"/>
      <c r="AR191" s="72"/>
      <c r="AS191" s="72"/>
      <c r="AT191" s="72"/>
      <c r="AU191" s="72"/>
      <c r="AV191" s="73"/>
      <c r="AW191" s="75">
        <v>0.32311170921310861</v>
      </c>
      <c r="AX191" s="76">
        <v>-1.9034900163263702</v>
      </c>
      <c r="AY191" s="76">
        <v>4.3281940582967193</v>
      </c>
      <c r="AZ191" s="76">
        <v>2.9978345367479786</v>
      </c>
      <c r="BA191" s="76">
        <v>-4.2141144484899806</v>
      </c>
      <c r="BB191" s="77">
        <v>0.4071344158372403</v>
      </c>
      <c r="BC191" s="65"/>
      <c r="BD191" s="78"/>
      <c r="BE191" s="78"/>
      <c r="BF191" s="78"/>
      <c r="BG191" s="78"/>
      <c r="BH191" s="70"/>
      <c r="BI191" s="65"/>
      <c r="BJ191" s="78"/>
      <c r="BK191" s="78"/>
      <c r="BL191" s="78"/>
      <c r="BM191" s="78"/>
      <c r="BN191" s="70"/>
      <c r="BO191" s="65"/>
      <c r="BP191" s="78"/>
      <c r="BQ191" s="78"/>
      <c r="BR191" s="78"/>
      <c r="BS191" s="78"/>
      <c r="BT191" s="70"/>
      <c r="BU191" s="65"/>
      <c r="BV191" s="78"/>
      <c r="BW191" s="78"/>
      <c r="BX191" s="78"/>
      <c r="BY191" s="78"/>
      <c r="BZ191" s="70"/>
      <c r="CA191" s="80"/>
      <c r="CB191" s="78"/>
      <c r="CC191" s="78"/>
      <c r="CD191" s="78"/>
      <c r="CE191" s="78"/>
      <c r="CF191" s="70"/>
    </row>
    <row r="192" spans="1:84" ht="12" customHeight="1">
      <c r="A192" s="31" t="s">
        <v>174</v>
      </c>
      <c r="B192" s="64">
        <v>180</v>
      </c>
      <c r="C192" s="65">
        <v>10</v>
      </c>
      <c r="D192" s="66" t="s">
        <v>12</v>
      </c>
      <c r="E192" s="69" t="s">
        <v>136</v>
      </c>
      <c r="F192" s="70"/>
      <c r="G192" s="71">
        <v>1856.6409756097562</v>
      </c>
      <c r="H192" s="72">
        <v>1856.6409756097562</v>
      </c>
      <c r="I192" s="72">
        <v>0</v>
      </c>
      <c r="J192" s="72"/>
      <c r="K192" s="72"/>
      <c r="L192" s="73">
        <v>0</v>
      </c>
      <c r="M192" s="71">
        <v>3713.2819512195124</v>
      </c>
      <c r="N192" s="72">
        <v>3713.2819512195124</v>
      </c>
      <c r="O192" s="72"/>
      <c r="P192" s="72"/>
      <c r="Q192" s="72"/>
      <c r="R192" s="73"/>
      <c r="S192" s="71">
        <v>1886.2</v>
      </c>
      <c r="T192" s="72">
        <v>1877</v>
      </c>
      <c r="U192" s="72">
        <v>1831</v>
      </c>
      <c r="V192" s="72">
        <v>1879</v>
      </c>
      <c r="W192" s="72">
        <v>1917</v>
      </c>
      <c r="X192" s="73">
        <v>1927</v>
      </c>
      <c r="Y192" s="71"/>
      <c r="Z192" s="72"/>
      <c r="AA192" s="72"/>
      <c r="AB192" s="72"/>
      <c r="AC192" s="72"/>
      <c r="AD192" s="73"/>
      <c r="AE192" s="71"/>
      <c r="AF192" s="72"/>
      <c r="AG192" s="72"/>
      <c r="AH192" s="72"/>
      <c r="AI192" s="72"/>
      <c r="AJ192" s="73"/>
      <c r="AK192" s="71"/>
      <c r="AL192" s="72"/>
      <c r="AM192" s="72"/>
      <c r="AN192" s="72"/>
      <c r="AO192" s="72"/>
      <c r="AP192" s="73"/>
      <c r="AQ192" s="71"/>
      <c r="AR192" s="72"/>
      <c r="AS192" s="72"/>
      <c r="AT192" s="72"/>
      <c r="AU192" s="72"/>
      <c r="AV192" s="73"/>
      <c r="AW192" s="75">
        <v>1.5920700220749984</v>
      </c>
      <c r="AX192" s="76">
        <v>1.0965514958301226</v>
      </c>
      <c r="AY192" s="76">
        <v>-1.3810411353942675</v>
      </c>
      <c r="AZ192" s="76">
        <v>1.2042729145790076</v>
      </c>
      <c r="BA192" s="76">
        <v>3.2509798708078685</v>
      </c>
      <c r="BB192" s="77">
        <v>3.7895869645522939</v>
      </c>
      <c r="BC192" s="65"/>
      <c r="BD192" s="78"/>
      <c r="BE192" s="78"/>
      <c r="BF192" s="78"/>
      <c r="BG192" s="78"/>
      <c r="BH192" s="70"/>
      <c r="BI192" s="65"/>
      <c r="BJ192" s="78"/>
      <c r="BK192" s="78"/>
      <c r="BL192" s="78"/>
      <c r="BM192" s="78"/>
      <c r="BN192" s="70"/>
      <c r="BO192" s="65"/>
      <c r="BP192" s="78"/>
      <c r="BQ192" s="78"/>
      <c r="BR192" s="78"/>
      <c r="BS192" s="78"/>
      <c r="BT192" s="70"/>
      <c r="BU192" s="65"/>
      <c r="BV192" s="78"/>
      <c r="BW192" s="78"/>
      <c r="BX192" s="78"/>
      <c r="BY192" s="78"/>
      <c r="BZ192" s="70"/>
      <c r="CA192" s="80"/>
      <c r="CB192" s="78"/>
      <c r="CC192" s="78"/>
      <c r="CD192" s="78"/>
      <c r="CE192" s="78"/>
      <c r="CF192" s="70"/>
    </row>
    <row r="193" spans="1:84" ht="12" customHeight="1">
      <c r="A193" s="31" t="s">
        <v>175</v>
      </c>
      <c r="B193" s="64">
        <v>181</v>
      </c>
      <c r="C193" s="65">
        <v>10</v>
      </c>
      <c r="D193" s="66" t="s">
        <v>12</v>
      </c>
      <c r="E193" s="69" t="s">
        <v>89</v>
      </c>
      <c r="F193" s="70"/>
      <c r="G193" s="71">
        <v>1428.1853658536586</v>
      </c>
      <c r="H193" s="72">
        <v>1428.1853658536586</v>
      </c>
      <c r="I193" s="72">
        <v>0</v>
      </c>
      <c r="J193" s="72"/>
      <c r="K193" s="72"/>
      <c r="L193" s="73">
        <v>0</v>
      </c>
      <c r="M193" s="71">
        <v>2856.3707317073172</v>
      </c>
      <c r="N193" s="72">
        <v>2856.3707317073172</v>
      </c>
      <c r="O193" s="72"/>
      <c r="P193" s="72"/>
      <c r="Q193" s="72"/>
      <c r="R193" s="73"/>
      <c r="S193" s="71">
        <v>1432.8</v>
      </c>
      <c r="T193" s="72">
        <v>1401</v>
      </c>
      <c r="U193" s="72">
        <v>1490</v>
      </c>
      <c r="V193" s="72">
        <v>1471</v>
      </c>
      <c r="W193" s="72">
        <v>1368</v>
      </c>
      <c r="X193" s="73">
        <v>1434</v>
      </c>
      <c r="Y193" s="71"/>
      <c r="Z193" s="72"/>
      <c r="AA193" s="72"/>
      <c r="AB193" s="72"/>
      <c r="AC193" s="72"/>
      <c r="AD193" s="73"/>
      <c r="AE193" s="71"/>
      <c r="AF193" s="72"/>
      <c r="AG193" s="72"/>
      <c r="AH193" s="72"/>
      <c r="AI193" s="72"/>
      <c r="AJ193" s="73"/>
      <c r="AK193" s="71"/>
      <c r="AL193" s="72"/>
      <c r="AM193" s="72"/>
      <c r="AN193" s="72"/>
      <c r="AO193" s="72"/>
      <c r="AP193" s="73"/>
      <c r="AQ193" s="71"/>
      <c r="AR193" s="72"/>
      <c r="AS193" s="72"/>
      <c r="AT193" s="72"/>
      <c r="AU193" s="72"/>
      <c r="AV193" s="73"/>
      <c r="AW193" s="75">
        <v>0.32311170921310861</v>
      </c>
      <c r="AX193" s="76">
        <v>-1.9034900163263702</v>
      </c>
      <c r="AY193" s="76">
        <v>4.3281940582967193</v>
      </c>
      <c r="AZ193" s="76">
        <v>2.9978345367479786</v>
      </c>
      <c r="BA193" s="76">
        <v>-4.2141144484899806</v>
      </c>
      <c r="BB193" s="77">
        <v>0.4071344158372403</v>
      </c>
      <c r="BC193" s="65"/>
      <c r="BD193" s="78"/>
      <c r="BE193" s="78"/>
      <c r="BF193" s="78"/>
      <c r="BG193" s="78"/>
      <c r="BH193" s="70"/>
      <c r="BI193" s="65"/>
      <c r="BJ193" s="78"/>
      <c r="BK193" s="78"/>
      <c r="BL193" s="78"/>
      <c r="BM193" s="78"/>
      <c r="BN193" s="70"/>
      <c r="BO193" s="65"/>
      <c r="BP193" s="78"/>
      <c r="BQ193" s="78"/>
      <c r="BR193" s="78"/>
      <c r="BS193" s="78"/>
      <c r="BT193" s="70"/>
      <c r="BU193" s="65"/>
      <c r="BV193" s="78"/>
      <c r="BW193" s="78"/>
      <c r="BX193" s="78"/>
      <c r="BY193" s="78"/>
      <c r="BZ193" s="70"/>
      <c r="CA193" s="80"/>
      <c r="CB193" s="78"/>
      <c r="CC193" s="78"/>
      <c r="CD193" s="78"/>
      <c r="CE193" s="78"/>
      <c r="CF193" s="70"/>
    </row>
    <row r="194" spans="1:84" ht="12" customHeight="1">
      <c r="A194" s="31" t="s">
        <v>176</v>
      </c>
      <c r="B194" s="64">
        <v>182</v>
      </c>
      <c r="C194" s="65">
        <v>10</v>
      </c>
      <c r="D194" s="66" t="s">
        <v>12</v>
      </c>
      <c r="E194" s="69" t="s">
        <v>91</v>
      </c>
      <c r="F194" s="70"/>
      <c r="G194" s="71">
        <v>1999.459512195122</v>
      </c>
      <c r="H194" s="72">
        <v>1999.459512195122</v>
      </c>
      <c r="I194" s="72">
        <v>0</v>
      </c>
      <c r="J194" s="72"/>
      <c r="K194" s="72"/>
      <c r="L194" s="73">
        <v>0</v>
      </c>
      <c r="M194" s="71">
        <v>3998.919024390244</v>
      </c>
      <c r="N194" s="72">
        <v>3998.919024390244</v>
      </c>
      <c r="O194" s="72"/>
      <c r="P194" s="72"/>
      <c r="Q194" s="72"/>
      <c r="R194" s="73"/>
      <c r="S194" s="71">
        <v>2042.8</v>
      </c>
      <c r="T194" s="72">
        <v>2017</v>
      </c>
      <c r="U194" s="72">
        <v>2055</v>
      </c>
      <c r="V194" s="72">
        <v>2077</v>
      </c>
      <c r="W194" s="72">
        <v>2073</v>
      </c>
      <c r="X194" s="73">
        <v>1992</v>
      </c>
      <c r="Y194" s="71"/>
      <c r="Z194" s="72"/>
      <c r="AA194" s="72"/>
      <c r="AB194" s="72"/>
      <c r="AC194" s="72"/>
      <c r="AD194" s="73"/>
      <c r="AE194" s="71"/>
      <c r="AF194" s="72"/>
      <c r="AG194" s="72"/>
      <c r="AH194" s="72"/>
      <c r="AI194" s="72"/>
      <c r="AJ194" s="73"/>
      <c r="AK194" s="71"/>
      <c r="AL194" s="72"/>
      <c r="AM194" s="72"/>
      <c r="AN194" s="72"/>
      <c r="AO194" s="72"/>
      <c r="AP194" s="73"/>
      <c r="AQ194" s="71"/>
      <c r="AR194" s="72"/>
      <c r="AS194" s="72"/>
      <c r="AT194" s="72"/>
      <c r="AU194" s="72"/>
      <c r="AV194" s="73"/>
      <c r="AW194" s="75">
        <v>2.1676101736761932</v>
      </c>
      <c r="AX194" s="76">
        <v>0.87726146480560097</v>
      </c>
      <c r="AY194" s="76">
        <v>2.7777750670181067</v>
      </c>
      <c r="AZ194" s="76">
        <v>3.878072415667444</v>
      </c>
      <c r="BA194" s="76">
        <v>3.6780183522766574</v>
      </c>
      <c r="BB194" s="77">
        <v>-0.37307643138682067</v>
      </c>
      <c r="BC194" s="65"/>
      <c r="BD194" s="78"/>
      <c r="BE194" s="78"/>
      <c r="BF194" s="78"/>
      <c r="BG194" s="78"/>
      <c r="BH194" s="70"/>
      <c r="BI194" s="65"/>
      <c r="BJ194" s="78"/>
      <c r="BK194" s="78"/>
      <c r="BL194" s="78"/>
      <c r="BM194" s="78"/>
      <c r="BN194" s="70"/>
      <c r="BO194" s="65"/>
      <c r="BP194" s="78"/>
      <c r="BQ194" s="78"/>
      <c r="BR194" s="78"/>
      <c r="BS194" s="78"/>
      <c r="BT194" s="70"/>
      <c r="BU194" s="65"/>
      <c r="BV194" s="78"/>
      <c r="BW194" s="78"/>
      <c r="BX194" s="78"/>
      <c r="BY194" s="78"/>
      <c r="BZ194" s="70"/>
      <c r="CA194" s="80"/>
      <c r="CB194" s="78"/>
      <c r="CC194" s="78"/>
      <c r="CD194" s="78"/>
      <c r="CE194" s="78"/>
      <c r="CF194" s="70"/>
    </row>
    <row r="195" spans="1:84" ht="12" customHeight="1">
      <c r="A195" s="31"/>
      <c r="B195" s="64">
        <v>183</v>
      </c>
      <c r="C195" s="65">
        <v>10</v>
      </c>
      <c r="D195" s="66" t="s">
        <v>12</v>
      </c>
      <c r="E195" s="69" t="s">
        <v>144</v>
      </c>
      <c r="F195" s="70"/>
      <c r="G195" s="71">
        <v>2142.278048780488</v>
      </c>
      <c r="H195" s="72">
        <v>1428.1853658536586</v>
      </c>
      <c r="I195" s="72">
        <v>714.0926829268293</v>
      </c>
      <c r="J195" s="72"/>
      <c r="K195" s="72"/>
      <c r="L195" s="73">
        <v>0</v>
      </c>
      <c r="M195" s="71">
        <v>2856.3707317073172</v>
      </c>
      <c r="N195" s="72">
        <v>2856.3707317073172</v>
      </c>
      <c r="O195" s="72"/>
      <c r="P195" s="72"/>
      <c r="Q195" s="72"/>
      <c r="R195" s="73"/>
      <c r="S195" s="71">
        <v>1447</v>
      </c>
      <c r="T195" s="72">
        <v>1422</v>
      </c>
      <c r="U195" s="72">
        <v>1330</v>
      </c>
      <c r="V195" s="72">
        <v>1499</v>
      </c>
      <c r="W195" s="72">
        <v>1493</v>
      </c>
      <c r="X195" s="73">
        <v>1491</v>
      </c>
      <c r="Y195" s="71">
        <v>728.4</v>
      </c>
      <c r="Z195" s="72">
        <v>740</v>
      </c>
      <c r="AA195" s="72">
        <v>706</v>
      </c>
      <c r="AB195" s="72">
        <v>727</v>
      </c>
      <c r="AC195" s="72">
        <v>748</v>
      </c>
      <c r="AD195" s="73">
        <v>721</v>
      </c>
      <c r="AE195" s="71"/>
      <c r="AF195" s="72"/>
      <c r="AG195" s="72"/>
      <c r="AH195" s="72"/>
      <c r="AI195" s="72"/>
      <c r="AJ195" s="73"/>
      <c r="AK195" s="71"/>
      <c r="AL195" s="72"/>
      <c r="AM195" s="72"/>
      <c r="AN195" s="72"/>
      <c r="AO195" s="72"/>
      <c r="AP195" s="73"/>
      <c r="AQ195" s="71"/>
      <c r="AR195" s="72"/>
      <c r="AS195" s="72"/>
      <c r="AT195" s="72"/>
      <c r="AU195" s="72"/>
      <c r="AV195" s="73"/>
      <c r="AW195" s="75">
        <v>1.5461088834088033</v>
      </c>
      <c r="AX195" s="76">
        <v>0.92060651187360065</v>
      </c>
      <c r="AY195" s="76">
        <v>-4.9609829518156072</v>
      </c>
      <c r="AZ195" s="76">
        <v>3.9080805251760609</v>
      </c>
      <c r="BA195" s="76">
        <v>4.608269747043825</v>
      </c>
      <c r="BB195" s="77">
        <v>3.2545705847661477</v>
      </c>
      <c r="BC195" s="65"/>
      <c r="BD195" s="78"/>
      <c r="BE195" s="78"/>
      <c r="BF195" s="78"/>
      <c r="BG195" s="78"/>
      <c r="BH195" s="70"/>
      <c r="BI195" s="65"/>
      <c r="BJ195" s="78"/>
      <c r="BK195" s="78"/>
      <c r="BL195" s="78"/>
      <c r="BM195" s="78"/>
      <c r="BN195" s="70"/>
      <c r="BO195" s="65"/>
      <c r="BP195" s="78"/>
      <c r="BQ195" s="78"/>
      <c r="BR195" s="78"/>
      <c r="BS195" s="78"/>
      <c r="BT195" s="70"/>
      <c r="BU195" s="65"/>
      <c r="BV195" s="78"/>
      <c r="BW195" s="78"/>
      <c r="BX195" s="78"/>
      <c r="BY195" s="78"/>
      <c r="BZ195" s="70"/>
      <c r="CA195" s="80"/>
      <c r="CB195" s="78"/>
      <c r="CC195" s="78"/>
      <c r="CD195" s="78"/>
      <c r="CE195" s="78"/>
      <c r="CF195" s="70"/>
    </row>
    <row r="196" spans="1:84" ht="12" customHeight="1">
      <c r="A196" s="31"/>
      <c r="B196" s="64">
        <v>184</v>
      </c>
      <c r="C196" s="65">
        <v>10</v>
      </c>
      <c r="D196" s="66" t="s">
        <v>12</v>
      </c>
      <c r="E196" s="69" t="s">
        <v>92</v>
      </c>
      <c r="F196" s="70"/>
      <c r="G196" s="71">
        <v>2285.0965853658536</v>
      </c>
      <c r="H196" s="72">
        <v>1428.1853658536586</v>
      </c>
      <c r="I196" s="72">
        <v>0</v>
      </c>
      <c r="J196" s="72"/>
      <c r="K196" s="72"/>
      <c r="L196" s="73">
        <v>856.91121951219509</v>
      </c>
      <c r="M196" s="71">
        <v>2856.3707317073172</v>
      </c>
      <c r="N196" s="72">
        <v>2856.3707317073172</v>
      </c>
      <c r="O196" s="72"/>
      <c r="P196" s="72"/>
      <c r="Q196" s="72"/>
      <c r="R196" s="73"/>
      <c r="S196" s="71">
        <v>1464.2</v>
      </c>
      <c r="T196" s="72">
        <v>1444</v>
      </c>
      <c r="U196" s="72">
        <v>1490</v>
      </c>
      <c r="V196" s="72">
        <v>1418</v>
      </c>
      <c r="W196" s="72">
        <v>1497</v>
      </c>
      <c r="X196" s="73">
        <v>1472</v>
      </c>
      <c r="Y196" s="71"/>
      <c r="Z196" s="72"/>
      <c r="AA196" s="72"/>
      <c r="AB196" s="72"/>
      <c r="AC196" s="72"/>
      <c r="AD196" s="73"/>
      <c r="AE196" s="71"/>
      <c r="AF196" s="72"/>
      <c r="AG196" s="72"/>
      <c r="AH196" s="72"/>
      <c r="AI196" s="72"/>
      <c r="AJ196" s="73"/>
      <c r="AK196" s="71"/>
      <c r="AL196" s="72"/>
      <c r="AM196" s="72"/>
      <c r="AN196" s="72"/>
      <c r="AO196" s="72"/>
      <c r="AP196" s="73"/>
      <c r="AQ196" s="71">
        <v>870.6</v>
      </c>
      <c r="AR196" s="72">
        <v>876</v>
      </c>
      <c r="AS196" s="72">
        <v>888</v>
      </c>
      <c r="AT196" s="72">
        <v>846</v>
      </c>
      <c r="AU196" s="72">
        <v>882</v>
      </c>
      <c r="AV196" s="73">
        <v>861</v>
      </c>
      <c r="AW196" s="75">
        <v>2.1751122010533752</v>
      </c>
      <c r="AX196" s="76">
        <v>1.5274371708256851</v>
      </c>
      <c r="AY196" s="76">
        <v>4.0656231000963272</v>
      </c>
      <c r="AZ196" s="76">
        <v>-0.9232251057114893</v>
      </c>
      <c r="BA196" s="76">
        <v>4.1093849264630666</v>
      </c>
      <c r="BB196" s="77">
        <v>2.0963409135932309</v>
      </c>
      <c r="BC196" s="65"/>
      <c r="BD196" s="78"/>
      <c r="BE196" s="78"/>
      <c r="BF196" s="78"/>
      <c r="BG196" s="78"/>
      <c r="BH196" s="70"/>
      <c r="BI196" s="65"/>
      <c r="BJ196" s="78"/>
      <c r="BK196" s="78"/>
      <c r="BL196" s="78"/>
      <c r="BM196" s="78"/>
      <c r="BN196" s="70"/>
      <c r="BO196" s="65"/>
      <c r="BP196" s="78"/>
      <c r="BQ196" s="78"/>
      <c r="BR196" s="78"/>
      <c r="BS196" s="78"/>
      <c r="BT196" s="70"/>
      <c r="BU196" s="65"/>
      <c r="BV196" s="78"/>
      <c r="BW196" s="78"/>
      <c r="BX196" s="78"/>
      <c r="BY196" s="78"/>
      <c r="BZ196" s="70"/>
      <c r="CA196" s="80"/>
      <c r="CB196" s="78"/>
      <c r="CC196" s="78"/>
      <c r="CD196" s="78"/>
      <c r="CE196" s="78"/>
      <c r="CF196" s="70"/>
    </row>
    <row r="197" spans="1:84" ht="12" customHeight="1">
      <c r="A197" s="31" t="s">
        <v>174</v>
      </c>
      <c r="B197" s="64">
        <v>185</v>
      </c>
      <c r="C197" s="65">
        <v>10</v>
      </c>
      <c r="D197" s="66" t="s">
        <v>12</v>
      </c>
      <c r="E197" s="69" t="s">
        <v>138</v>
      </c>
      <c r="F197" s="70"/>
      <c r="G197" s="71">
        <v>2784.9614634146342</v>
      </c>
      <c r="H197" s="72">
        <v>1856.6409756097562</v>
      </c>
      <c r="I197" s="72">
        <v>928.3204878048781</v>
      </c>
      <c r="J197" s="72"/>
      <c r="K197" s="72"/>
      <c r="L197" s="73">
        <v>0</v>
      </c>
      <c r="M197" s="71">
        <v>3713.2819512195124</v>
      </c>
      <c r="N197" s="72">
        <v>3713.2819512195124</v>
      </c>
      <c r="O197" s="72"/>
      <c r="P197" s="72"/>
      <c r="Q197" s="72"/>
      <c r="R197" s="73"/>
      <c r="S197" s="71">
        <v>1855.2</v>
      </c>
      <c r="T197" s="72">
        <v>1912</v>
      </c>
      <c r="U197" s="72">
        <v>1792</v>
      </c>
      <c r="V197" s="72">
        <v>1779</v>
      </c>
      <c r="W197" s="72">
        <v>1886</v>
      </c>
      <c r="X197" s="73">
        <v>1907</v>
      </c>
      <c r="Y197" s="71">
        <v>936.2</v>
      </c>
      <c r="Z197" s="72">
        <v>998</v>
      </c>
      <c r="AA197" s="72">
        <v>880</v>
      </c>
      <c r="AB197" s="72">
        <v>917</v>
      </c>
      <c r="AC197" s="72">
        <v>956</v>
      </c>
      <c r="AD197" s="73">
        <v>930</v>
      </c>
      <c r="AE197" s="71"/>
      <c r="AF197" s="72"/>
      <c r="AG197" s="72"/>
      <c r="AH197" s="72"/>
      <c r="AI197" s="72"/>
      <c r="AJ197" s="73"/>
      <c r="AK197" s="71"/>
      <c r="AL197" s="72"/>
      <c r="AM197" s="72"/>
      <c r="AN197" s="72"/>
      <c r="AO197" s="72"/>
      <c r="AP197" s="73"/>
      <c r="AQ197" s="71"/>
      <c r="AR197" s="72"/>
      <c r="AS197" s="72"/>
      <c r="AT197" s="72"/>
      <c r="AU197" s="72"/>
      <c r="AV197" s="73"/>
      <c r="AW197" s="75">
        <v>0.23118943188074059</v>
      </c>
      <c r="AX197" s="76">
        <v>4.489776186420058</v>
      </c>
      <c r="AY197" s="76">
        <v>-4.0561230343249548</v>
      </c>
      <c r="AZ197" s="76">
        <v>-3.1943516843338515</v>
      </c>
      <c r="BA197" s="76">
        <v>2.0480906947786259</v>
      </c>
      <c r="BB197" s="77">
        <v>1.8685549968638249</v>
      </c>
      <c r="BC197" s="65"/>
      <c r="BD197" s="78"/>
      <c r="BE197" s="78"/>
      <c r="BF197" s="78"/>
      <c r="BG197" s="78"/>
      <c r="BH197" s="70"/>
      <c r="BI197" s="65"/>
      <c r="BJ197" s="78"/>
      <c r="BK197" s="78"/>
      <c r="BL197" s="78"/>
      <c r="BM197" s="78"/>
      <c r="BN197" s="70"/>
      <c r="BO197" s="65"/>
      <c r="BP197" s="78"/>
      <c r="BQ197" s="78"/>
      <c r="BR197" s="78"/>
      <c r="BS197" s="78"/>
      <c r="BT197" s="70"/>
      <c r="BU197" s="65"/>
      <c r="BV197" s="78"/>
      <c r="BW197" s="78"/>
      <c r="BX197" s="78"/>
      <c r="BY197" s="78"/>
      <c r="BZ197" s="70"/>
      <c r="CA197" s="80"/>
      <c r="CB197" s="78"/>
      <c r="CC197" s="78"/>
      <c r="CD197" s="78"/>
      <c r="CE197" s="78"/>
      <c r="CF197" s="70"/>
    </row>
    <row r="198" spans="1:84" ht="12" customHeight="1">
      <c r="A198" s="31" t="s">
        <v>175</v>
      </c>
      <c r="B198" s="64">
        <v>186</v>
      </c>
      <c r="C198" s="65">
        <v>10</v>
      </c>
      <c r="D198" s="66" t="s">
        <v>12</v>
      </c>
      <c r="E198" s="69" t="s">
        <v>140</v>
      </c>
      <c r="F198" s="70"/>
      <c r="G198" s="71">
        <v>2142.278048780488</v>
      </c>
      <c r="H198" s="72">
        <v>1428.1853658536586</v>
      </c>
      <c r="I198" s="72">
        <v>714.0926829268293</v>
      </c>
      <c r="J198" s="72"/>
      <c r="K198" s="72"/>
      <c r="L198" s="73">
        <v>0</v>
      </c>
      <c r="M198" s="71">
        <v>2856.3707317073172</v>
      </c>
      <c r="N198" s="72">
        <v>2856.3707317073172</v>
      </c>
      <c r="O198" s="72"/>
      <c r="P198" s="72"/>
      <c r="Q198" s="72"/>
      <c r="R198" s="73"/>
      <c r="S198" s="71">
        <v>1447</v>
      </c>
      <c r="T198" s="72">
        <v>1422</v>
      </c>
      <c r="U198" s="72">
        <v>1330</v>
      </c>
      <c r="V198" s="72">
        <v>1499</v>
      </c>
      <c r="W198" s="72">
        <v>1493</v>
      </c>
      <c r="X198" s="73">
        <v>1491</v>
      </c>
      <c r="Y198" s="71">
        <v>728.4</v>
      </c>
      <c r="Z198" s="72">
        <v>740</v>
      </c>
      <c r="AA198" s="72">
        <v>706</v>
      </c>
      <c r="AB198" s="72">
        <v>727</v>
      </c>
      <c r="AC198" s="72">
        <v>748</v>
      </c>
      <c r="AD198" s="73">
        <v>721</v>
      </c>
      <c r="AE198" s="71"/>
      <c r="AF198" s="72"/>
      <c r="AG198" s="72"/>
      <c r="AH198" s="72"/>
      <c r="AI198" s="72"/>
      <c r="AJ198" s="73"/>
      <c r="AK198" s="71"/>
      <c r="AL198" s="72"/>
      <c r="AM198" s="72"/>
      <c r="AN198" s="72"/>
      <c r="AO198" s="72"/>
      <c r="AP198" s="73"/>
      <c r="AQ198" s="71"/>
      <c r="AR198" s="72"/>
      <c r="AS198" s="72"/>
      <c r="AT198" s="72"/>
      <c r="AU198" s="72"/>
      <c r="AV198" s="73"/>
      <c r="AW198" s="75">
        <v>1.5461088834088033</v>
      </c>
      <c r="AX198" s="76">
        <v>0.92060651187360065</v>
      </c>
      <c r="AY198" s="76">
        <v>-4.9609829518156072</v>
      </c>
      <c r="AZ198" s="76">
        <v>3.9080805251760609</v>
      </c>
      <c r="BA198" s="76">
        <v>4.608269747043825</v>
      </c>
      <c r="BB198" s="77">
        <v>3.2545705847661477</v>
      </c>
      <c r="BC198" s="65"/>
      <c r="BD198" s="78"/>
      <c r="BE198" s="78"/>
      <c r="BF198" s="78"/>
      <c r="BG198" s="78"/>
      <c r="BH198" s="70"/>
      <c r="BI198" s="65"/>
      <c r="BJ198" s="78"/>
      <c r="BK198" s="78"/>
      <c r="BL198" s="78"/>
      <c r="BM198" s="78"/>
      <c r="BN198" s="70"/>
      <c r="BO198" s="65"/>
      <c r="BP198" s="78"/>
      <c r="BQ198" s="78"/>
      <c r="BR198" s="78"/>
      <c r="BS198" s="78"/>
      <c r="BT198" s="70"/>
      <c r="BU198" s="65"/>
      <c r="BV198" s="78"/>
      <c r="BW198" s="78"/>
      <c r="BX198" s="78"/>
      <c r="BY198" s="78"/>
      <c r="BZ198" s="70"/>
      <c r="CA198" s="80"/>
      <c r="CB198" s="78"/>
      <c r="CC198" s="78"/>
      <c r="CD198" s="78"/>
      <c r="CE198" s="78"/>
      <c r="CF198" s="70"/>
    </row>
    <row r="199" spans="1:84" ht="12" customHeight="1">
      <c r="A199" s="31" t="s">
        <v>176</v>
      </c>
      <c r="B199" s="64">
        <v>187</v>
      </c>
      <c r="C199" s="65">
        <v>10</v>
      </c>
      <c r="D199" s="66" t="s">
        <v>12</v>
      </c>
      <c r="E199" s="69" t="s">
        <v>141</v>
      </c>
      <c r="F199" s="70"/>
      <c r="G199" s="71">
        <v>2999.1892682926828</v>
      </c>
      <c r="H199" s="72">
        <v>1999.459512195122</v>
      </c>
      <c r="I199" s="72">
        <v>999.72975609756099</v>
      </c>
      <c r="J199" s="72"/>
      <c r="K199" s="72"/>
      <c r="L199" s="73">
        <v>0</v>
      </c>
      <c r="M199" s="71">
        <v>3998.919024390244</v>
      </c>
      <c r="N199" s="72">
        <v>3998.919024390244</v>
      </c>
      <c r="O199" s="72"/>
      <c r="P199" s="72"/>
      <c r="Q199" s="72"/>
      <c r="R199" s="73"/>
      <c r="S199" s="71">
        <v>1983.4</v>
      </c>
      <c r="T199" s="72">
        <v>1975</v>
      </c>
      <c r="U199" s="72">
        <v>2094</v>
      </c>
      <c r="V199" s="72">
        <v>2037</v>
      </c>
      <c r="W199" s="72">
        <v>1904</v>
      </c>
      <c r="X199" s="73">
        <v>1907</v>
      </c>
      <c r="Y199" s="71">
        <v>1063.92</v>
      </c>
      <c r="Z199" s="72">
        <v>1016</v>
      </c>
      <c r="AA199" s="72">
        <v>974.4</v>
      </c>
      <c r="AB199" s="72">
        <v>1024.8</v>
      </c>
      <c r="AC199" s="72">
        <v>1002.4</v>
      </c>
      <c r="AD199" s="73">
        <v>1302</v>
      </c>
      <c r="AE199" s="71"/>
      <c r="AF199" s="72"/>
      <c r="AG199" s="72"/>
      <c r="AH199" s="72"/>
      <c r="AI199" s="72"/>
      <c r="AJ199" s="73"/>
      <c r="AK199" s="71"/>
      <c r="AL199" s="72"/>
      <c r="AM199" s="72"/>
      <c r="AN199" s="72"/>
      <c r="AO199" s="72"/>
      <c r="AP199" s="73"/>
      <c r="AQ199" s="71"/>
      <c r="AR199" s="72"/>
      <c r="AS199" s="72"/>
      <c r="AT199" s="72"/>
      <c r="AU199" s="72"/>
      <c r="AV199" s="73"/>
      <c r="AW199" s="75">
        <v>1.6047914086701365</v>
      </c>
      <c r="AX199" s="76">
        <v>-0.27304939969142739</v>
      </c>
      <c r="AY199" s="76">
        <v>2.3076480180497683</v>
      </c>
      <c r="AZ199" s="76">
        <v>2.0875885483198964</v>
      </c>
      <c r="BA199" s="76">
        <v>-3.0938116935015469</v>
      </c>
      <c r="BB199" s="77">
        <v>6.9955815701739255</v>
      </c>
      <c r="BC199" s="65"/>
      <c r="BD199" s="78"/>
      <c r="BE199" s="78"/>
      <c r="BF199" s="78"/>
      <c r="BG199" s="78"/>
      <c r="BH199" s="70"/>
      <c r="BI199" s="65"/>
      <c r="BJ199" s="78"/>
      <c r="BK199" s="78"/>
      <c r="BL199" s="78"/>
      <c r="BM199" s="78"/>
      <c r="BN199" s="70"/>
      <c r="BO199" s="65"/>
      <c r="BP199" s="78"/>
      <c r="BQ199" s="78"/>
      <c r="BR199" s="78"/>
      <c r="BS199" s="78"/>
      <c r="BT199" s="70"/>
      <c r="BU199" s="65"/>
      <c r="BV199" s="78"/>
      <c r="BW199" s="78"/>
      <c r="BX199" s="78"/>
      <c r="BY199" s="78"/>
      <c r="BZ199" s="70"/>
      <c r="CA199" s="80"/>
      <c r="CB199" s="78"/>
      <c r="CC199" s="78"/>
      <c r="CD199" s="78"/>
      <c r="CE199" s="78"/>
      <c r="CF199" s="70"/>
    </row>
    <row r="200" spans="1:84" ht="12" customHeight="1">
      <c r="A200" s="31" t="s">
        <v>174</v>
      </c>
      <c r="B200" s="64">
        <v>188</v>
      </c>
      <c r="C200" s="65">
        <v>10</v>
      </c>
      <c r="D200" s="66" t="s">
        <v>12</v>
      </c>
      <c r="E200" s="69" t="s">
        <v>139</v>
      </c>
      <c r="F200" s="70"/>
      <c r="G200" s="71">
        <v>2713.5521951219512</v>
      </c>
      <c r="H200" s="72">
        <v>1856.6409756097562</v>
      </c>
      <c r="I200" s="72">
        <v>0</v>
      </c>
      <c r="J200" s="72"/>
      <c r="K200" s="72"/>
      <c r="L200" s="73">
        <v>856.91121951219509</v>
      </c>
      <c r="M200" s="71">
        <v>3713.2819512195124</v>
      </c>
      <c r="N200" s="72">
        <v>3713.2819512195124</v>
      </c>
      <c r="O200" s="72"/>
      <c r="P200" s="72"/>
      <c r="Q200" s="72"/>
      <c r="R200" s="73"/>
      <c r="S200" s="71">
        <v>1899.8</v>
      </c>
      <c r="T200" s="72">
        <v>1898</v>
      </c>
      <c r="U200" s="72">
        <v>1923</v>
      </c>
      <c r="V200" s="72">
        <v>2000</v>
      </c>
      <c r="W200" s="72">
        <v>1882</v>
      </c>
      <c r="X200" s="73">
        <v>1796</v>
      </c>
      <c r="Y200" s="71"/>
      <c r="Z200" s="72"/>
      <c r="AA200" s="72"/>
      <c r="AB200" s="72"/>
      <c r="AC200" s="72"/>
      <c r="AD200" s="73"/>
      <c r="AE200" s="71"/>
      <c r="AF200" s="72"/>
      <c r="AG200" s="72"/>
      <c r="AH200" s="72"/>
      <c r="AI200" s="72"/>
      <c r="AJ200" s="73"/>
      <c r="AK200" s="71"/>
      <c r="AL200" s="72"/>
      <c r="AM200" s="72"/>
      <c r="AN200" s="72"/>
      <c r="AO200" s="72"/>
      <c r="AP200" s="73"/>
      <c r="AQ200" s="71">
        <v>875.4</v>
      </c>
      <c r="AR200" s="72">
        <v>876</v>
      </c>
      <c r="AS200" s="72">
        <v>864</v>
      </c>
      <c r="AT200" s="72">
        <v>888</v>
      </c>
      <c r="AU200" s="72">
        <v>891</v>
      </c>
      <c r="AV200" s="73">
        <v>858</v>
      </c>
      <c r="AW200" s="75">
        <v>2.2718488698640238</v>
      </c>
      <c r="AX200" s="76">
        <v>2.2276263926934492</v>
      </c>
      <c r="AY200" s="76">
        <v>2.7067032287082293</v>
      </c>
      <c r="AZ200" s="76">
        <v>6.4287617239000117</v>
      </c>
      <c r="BA200" s="76">
        <v>2.1907743283846148</v>
      </c>
      <c r="BB200" s="77">
        <v>-2.1946213243661195</v>
      </c>
      <c r="BC200" s="65"/>
      <c r="BD200" s="78"/>
      <c r="BE200" s="78"/>
      <c r="BF200" s="78"/>
      <c r="BG200" s="78"/>
      <c r="BH200" s="70"/>
      <c r="BI200" s="65"/>
      <c r="BJ200" s="78"/>
      <c r="BK200" s="78"/>
      <c r="BL200" s="78"/>
      <c r="BM200" s="78"/>
      <c r="BN200" s="70"/>
      <c r="BO200" s="65"/>
      <c r="BP200" s="78"/>
      <c r="BQ200" s="78"/>
      <c r="BR200" s="78"/>
      <c r="BS200" s="78"/>
      <c r="BT200" s="70"/>
      <c r="BU200" s="65"/>
      <c r="BV200" s="78"/>
      <c r="BW200" s="78"/>
      <c r="BX200" s="78"/>
      <c r="BY200" s="78"/>
      <c r="BZ200" s="70"/>
      <c r="CA200" s="80"/>
      <c r="CB200" s="78"/>
      <c r="CC200" s="78"/>
      <c r="CD200" s="78"/>
      <c r="CE200" s="78"/>
      <c r="CF200" s="70"/>
    </row>
    <row r="201" spans="1:84" ht="12" customHeight="1">
      <c r="A201" s="31" t="s">
        <v>175</v>
      </c>
      <c r="B201" s="64">
        <v>189</v>
      </c>
      <c r="C201" s="65">
        <v>10</v>
      </c>
      <c r="D201" s="66" t="s">
        <v>12</v>
      </c>
      <c r="E201" s="69" t="s">
        <v>95</v>
      </c>
      <c r="F201" s="70"/>
      <c r="G201" s="71">
        <v>2285.0965853658536</v>
      </c>
      <c r="H201" s="72">
        <v>1428.1853658536586</v>
      </c>
      <c r="I201" s="72">
        <v>0</v>
      </c>
      <c r="J201" s="72"/>
      <c r="K201" s="72"/>
      <c r="L201" s="73">
        <v>856.91121951219509</v>
      </c>
      <c r="M201" s="71">
        <v>2856.3707317073172</v>
      </c>
      <c r="N201" s="72">
        <v>2856.3707317073172</v>
      </c>
      <c r="O201" s="72"/>
      <c r="P201" s="72"/>
      <c r="Q201" s="72"/>
      <c r="R201" s="73"/>
      <c r="S201" s="71">
        <v>1464.2</v>
      </c>
      <c r="T201" s="72">
        <v>1444</v>
      </c>
      <c r="U201" s="72">
        <v>1490</v>
      </c>
      <c r="V201" s="72">
        <v>1418</v>
      </c>
      <c r="W201" s="72">
        <v>1497</v>
      </c>
      <c r="X201" s="73">
        <v>1472</v>
      </c>
      <c r="Y201" s="71"/>
      <c r="Z201" s="72"/>
      <c r="AA201" s="72"/>
      <c r="AB201" s="72"/>
      <c r="AC201" s="72"/>
      <c r="AD201" s="73"/>
      <c r="AE201" s="71"/>
      <c r="AF201" s="72"/>
      <c r="AG201" s="72"/>
      <c r="AH201" s="72"/>
      <c r="AI201" s="72"/>
      <c r="AJ201" s="73"/>
      <c r="AK201" s="71"/>
      <c r="AL201" s="72"/>
      <c r="AM201" s="72"/>
      <c r="AN201" s="72"/>
      <c r="AO201" s="72"/>
      <c r="AP201" s="73"/>
      <c r="AQ201" s="71">
        <v>870.6</v>
      </c>
      <c r="AR201" s="72">
        <v>876</v>
      </c>
      <c r="AS201" s="72">
        <v>888</v>
      </c>
      <c r="AT201" s="72">
        <v>846</v>
      </c>
      <c r="AU201" s="72">
        <v>882</v>
      </c>
      <c r="AV201" s="73">
        <v>861</v>
      </c>
      <c r="AW201" s="75">
        <v>2.1751122010533752</v>
      </c>
      <c r="AX201" s="76">
        <v>1.5274371708256851</v>
      </c>
      <c r="AY201" s="76">
        <v>4.0656231000963272</v>
      </c>
      <c r="AZ201" s="76">
        <v>-0.9232251057114893</v>
      </c>
      <c r="BA201" s="76">
        <v>4.1093849264630666</v>
      </c>
      <c r="BB201" s="77">
        <v>2.0963409135932309</v>
      </c>
      <c r="BC201" s="65"/>
      <c r="BD201" s="78"/>
      <c r="BE201" s="78"/>
      <c r="BF201" s="78"/>
      <c r="BG201" s="78"/>
      <c r="BH201" s="70"/>
      <c r="BI201" s="65"/>
      <c r="BJ201" s="78"/>
      <c r="BK201" s="78"/>
      <c r="BL201" s="78"/>
      <c r="BM201" s="78"/>
      <c r="BN201" s="70"/>
      <c r="BO201" s="65"/>
      <c r="BP201" s="78"/>
      <c r="BQ201" s="78"/>
      <c r="BR201" s="78"/>
      <c r="BS201" s="78"/>
      <c r="BT201" s="70"/>
      <c r="BU201" s="65"/>
      <c r="BV201" s="78"/>
      <c r="BW201" s="78"/>
      <c r="BX201" s="78"/>
      <c r="BY201" s="78"/>
      <c r="BZ201" s="70"/>
      <c r="CA201" s="80"/>
      <c r="CB201" s="78"/>
      <c r="CC201" s="78"/>
      <c r="CD201" s="78"/>
      <c r="CE201" s="78"/>
      <c r="CF201" s="70"/>
    </row>
    <row r="202" spans="1:84" ht="12" customHeight="1">
      <c r="A202" s="31" t="s">
        <v>176</v>
      </c>
      <c r="B202" s="64">
        <v>190</v>
      </c>
      <c r="C202" s="65">
        <v>10</v>
      </c>
      <c r="D202" s="66" t="s">
        <v>12</v>
      </c>
      <c r="E202" s="69" t="s">
        <v>98</v>
      </c>
      <c r="F202" s="70"/>
      <c r="G202" s="71">
        <v>2856.3707317073172</v>
      </c>
      <c r="H202" s="72">
        <v>1999.459512195122</v>
      </c>
      <c r="I202" s="72">
        <v>0</v>
      </c>
      <c r="J202" s="72"/>
      <c r="K202" s="72"/>
      <c r="L202" s="73">
        <v>856.91121951219509</v>
      </c>
      <c r="M202" s="71">
        <v>3998.919024390244</v>
      </c>
      <c r="N202" s="72">
        <v>3998.919024390244</v>
      </c>
      <c r="O202" s="72"/>
      <c r="P202" s="72"/>
      <c r="Q202" s="72"/>
      <c r="R202" s="73"/>
      <c r="S202" s="71">
        <v>1996</v>
      </c>
      <c r="T202" s="72">
        <v>2002</v>
      </c>
      <c r="U202" s="72">
        <v>2108</v>
      </c>
      <c r="V202" s="72">
        <v>2017</v>
      </c>
      <c r="W202" s="72">
        <v>1913</v>
      </c>
      <c r="X202" s="73">
        <v>1940</v>
      </c>
      <c r="Y202" s="71"/>
      <c r="Z202" s="72"/>
      <c r="AA202" s="72"/>
      <c r="AB202" s="72"/>
      <c r="AC202" s="72"/>
      <c r="AD202" s="73"/>
      <c r="AE202" s="71"/>
      <c r="AF202" s="72"/>
      <c r="AG202" s="72"/>
      <c r="AH202" s="72"/>
      <c r="AI202" s="72"/>
      <c r="AJ202" s="73"/>
      <c r="AK202" s="71"/>
      <c r="AL202" s="72"/>
      <c r="AM202" s="72"/>
      <c r="AN202" s="72"/>
      <c r="AO202" s="72"/>
      <c r="AP202" s="73"/>
      <c r="AQ202" s="71">
        <v>879</v>
      </c>
      <c r="AR202" s="72">
        <v>849</v>
      </c>
      <c r="AS202" s="72">
        <v>924</v>
      </c>
      <c r="AT202" s="72">
        <v>879</v>
      </c>
      <c r="AU202" s="72">
        <v>882</v>
      </c>
      <c r="AV202" s="73">
        <v>861</v>
      </c>
      <c r="AW202" s="75">
        <v>0.65220064349096329</v>
      </c>
      <c r="AX202" s="76">
        <v>-0.18802642275034254</v>
      </c>
      <c r="AY202" s="76">
        <v>6.148686035152906</v>
      </c>
      <c r="AZ202" s="76">
        <v>1.3873993264521101</v>
      </c>
      <c r="BA202" s="76">
        <v>-2.148556243980082</v>
      </c>
      <c r="BB202" s="77">
        <v>-1.9384994774197528</v>
      </c>
      <c r="BC202" s="65"/>
      <c r="BD202" s="78"/>
      <c r="BE202" s="78"/>
      <c r="BF202" s="78"/>
      <c r="BG202" s="78"/>
      <c r="BH202" s="70"/>
      <c r="BI202" s="65"/>
      <c r="BJ202" s="78"/>
      <c r="BK202" s="78"/>
      <c r="BL202" s="78"/>
      <c r="BM202" s="78"/>
      <c r="BN202" s="70"/>
      <c r="BO202" s="65"/>
      <c r="BP202" s="78"/>
      <c r="BQ202" s="78"/>
      <c r="BR202" s="78"/>
      <c r="BS202" s="78"/>
      <c r="BT202" s="70"/>
      <c r="BU202" s="65"/>
      <c r="BV202" s="78"/>
      <c r="BW202" s="78"/>
      <c r="BX202" s="78"/>
      <c r="BY202" s="78"/>
      <c r="BZ202" s="70"/>
      <c r="CA202" s="80"/>
      <c r="CB202" s="78"/>
      <c r="CC202" s="78"/>
      <c r="CD202" s="78"/>
      <c r="CE202" s="78"/>
      <c r="CF202" s="70"/>
    </row>
    <row r="203" spans="1:84" ht="12" customHeight="1">
      <c r="A203" s="2"/>
      <c r="B203" s="64">
        <v>191</v>
      </c>
      <c r="C203" s="65">
        <v>10</v>
      </c>
      <c r="D203" s="66" t="s">
        <v>13</v>
      </c>
      <c r="E203" s="69" t="s">
        <v>67</v>
      </c>
      <c r="F203" s="70"/>
      <c r="G203" s="71">
        <v>1750.3804878048782</v>
      </c>
      <c r="H203" s="72">
        <v>1124.6048780487806</v>
      </c>
      <c r="I203" s="72">
        <v>625.77560975609754</v>
      </c>
      <c r="J203" s="72"/>
      <c r="K203" s="72"/>
      <c r="L203" s="73">
        <v>0</v>
      </c>
      <c r="M203" s="71">
        <v>3500.7609756097563</v>
      </c>
      <c r="N203" s="72">
        <v>2249.2097560975612</v>
      </c>
      <c r="O203" s="72">
        <v>1251.5512195121951</v>
      </c>
      <c r="P203" s="72"/>
      <c r="Q203" s="72"/>
      <c r="R203" s="73">
        <v>0</v>
      </c>
      <c r="S203" s="71">
        <v>1119.2</v>
      </c>
      <c r="T203" s="72">
        <v>1126</v>
      </c>
      <c r="U203" s="72">
        <v>1105</v>
      </c>
      <c r="V203" s="72">
        <v>1105</v>
      </c>
      <c r="W203" s="72">
        <v>1149</v>
      </c>
      <c r="X203" s="73">
        <v>1111</v>
      </c>
      <c r="Y203" s="71">
        <v>635.4</v>
      </c>
      <c r="Z203" s="72">
        <v>646</v>
      </c>
      <c r="AA203" s="72">
        <v>640</v>
      </c>
      <c r="AB203" s="72">
        <v>625</v>
      </c>
      <c r="AC203" s="72">
        <v>652</v>
      </c>
      <c r="AD203" s="73">
        <v>614</v>
      </c>
      <c r="AE203" s="71">
        <v>0</v>
      </c>
      <c r="AF203" s="72">
        <v>0</v>
      </c>
      <c r="AG203" s="72">
        <v>0</v>
      </c>
      <c r="AH203" s="72">
        <v>0</v>
      </c>
      <c r="AI203" s="72">
        <v>0</v>
      </c>
      <c r="AJ203" s="73">
        <v>0</v>
      </c>
      <c r="AK203" s="71">
        <v>0</v>
      </c>
      <c r="AL203" s="72">
        <v>0</v>
      </c>
      <c r="AM203" s="72">
        <v>0</v>
      </c>
      <c r="AN203" s="72">
        <v>0</v>
      </c>
      <c r="AO203" s="72">
        <v>0</v>
      </c>
      <c r="AP203" s="73">
        <v>0</v>
      </c>
      <c r="AQ203" s="71"/>
      <c r="AR203" s="72"/>
      <c r="AS203" s="72"/>
      <c r="AT203" s="72"/>
      <c r="AU203" s="72"/>
      <c r="AV203" s="73"/>
      <c r="AW203" s="75">
        <v>0.24106257036795586</v>
      </c>
      <c r="AX203" s="76">
        <v>1.2351321524518566</v>
      </c>
      <c r="AY203" s="76">
        <v>-0.30738961285072808</v>
      </c>
      <c r="AZ203" s="76">
        <v>-1.1643461491299467</v>
      </c>
      <c r="BA203" s="76">
        <v>2.8919147892583652</v>
      </c>
      <c r="BB203" s="77">
        <v>-1.44999832788969</v>
      </c>
      <c r="BC203" s="65"/>
      <c r="BD203" s="78"/>
      <c r="BE203" s="78"/>
      <c r="BF203" s="78"/>
      <c r="BG203" s="78"/>
      <c r="BH203" s="70"/>
      <c r="BI203" s="65"/>
      <c r="BJ203" s="78"/>
      <c r="BK203" s="78"/>
      <c r="BL203" s="78"/>
      <c r="BM203" s="78"/>
      <c r="BN203" s="70"/>
      <c r="BO203" s="65"/>
      <c r="BP203" s="78"/>
      <c r="BQ203" s="78"/>
      <c r="BR203" s="78"/>
      <c r="BS203" s="78"/>
      <c r="BT203" s="70"/>
      <c r="BU203" s="65"/>
      <c r="BV203" s="78"/>
      <c r="BW203" s="78"/>
      <c r="BX203" s="78"/>
      <c r="BY203" s="78"/>
      <c r="BZ203" s="70"/>
      <c r="CA203" s="80"/>
      <c r="CB203" s="78"/>
      <c r="CC203" s="78"/>
      <c r="CD203" s="78"/>
      <c r="CE203" s="78"/>
      <c r="CF203" s="70"/>
    </row>
    <row r="204" spans="1:84" ht="12" customHeight="1">
      <c r="A204" s="2"/>
      <c r="B204" s="64">
        <v>192</v>
      </c>
      <c r="C204" s="65">
        <v>10</v>
      </c>
      <c r="D204" s="66" t="s">
        <v>13</v>
      </c>
      <c r="E204" s="69" t="s">
        <v>87</v>
      </c>
      <c r="F204" s="70"/>
      <c r="G204" s="71">
        <v>1750.3804878048782</v>
      </c>
      <c r="H204" s="72">
        <v>1124.6048780487806</v>
      </c>
      <c r="I204" s="72">
        <v>625.77560975609754</v>
      </c>
      <c r="J204" s="72"/>
      <c r="K204" s="72"/>
      <c r="L204" s="73">
        <v>0</v>
      </c>
      <c r="M204" s="71">
        <v>3500.7609756097563</v>
      </c>
      <c r="N204" s="72">
        <v>2249.2097560975612</v>
      </c>
      <c r="O204" s="72">
        <v>1251.5512195121951</v>
      </c>
      <c r="P204" s="72"/>
      <c r="Q204" s="72"/>
      <c r="R204" s="73">
        <v>0</v>
      </c>
      <c r="S204" s="71">
        <v>1119.2</v>
      </c>
      <c r="T204" s="72">
        <v>1126</v>
      </c>
      <c r="U204" s="72">
        <v>1105</v>
      </c>
      <c r="V204" s="72">
        <v>1105</v>
      </c>
      <c r="W204" s="72">
        <v>1149</v>
      </c>
      <c r="X204" s="73">
        <v>1111</v>
      </c>
      <c r="Y204" s="71">
        <v>635.4</v>
      </c>
      <c r="Z204" s="72">
        <v>646</v>
      </c>
      <c r="AA204" s="72">
        <v>640</v>
      </c>
      <c r="AB204" s="72">
        <v>625</v>
      </c>
      <c r="AC204" s="72">
        <v>652</v>
      </c>
      <c r="AD204" s="73">
        <v>614</v>
      </c>
      <c r="AE204" s="71">
        <v>0</v>
      </c>
      <c r="AF204" s="72">
        <v>0</v>
      </c>
      <c r="AG204" s="72">
        <v>0</v>
      </c>
      <c r="AH204" s="72">
        <v>0</v>
      </c>
      <c r="AI204" s="72">
        <v>0</v>
      </c>
      <c r="AJ204" s="73">
        <v>0</v>
      </c>
      <c r="AK204" s="71">
        <v>0</v>
      </c>
      <c r="AL204" s="72">
        <v>0</v>
      </c>
      <c r="AM204" s="72">
        <v>0</v>
      </c>
      <c r="AN204" s="72">
        <v>0</v>
      </c>
      <c r="AO204" s="72">
        <v>0</v>
      </c>
      <c r="AP204" s="73">
        <v>0</v>
      </c>
      <c r="AQ204" s="71"/>
      <c r="AR204" s="72"/>
      <c r="AS204" s="72"/>
      <c r="AT204" s="72"/>
      <c r="AU204" s="72"/>
      <c r="AV204" s="73"/>
      <c r="AW204" s="75">
        <v>0.24106257036795586</v>
      </c>
      <c r="AX204" s="76">
        <v>1.2351321524518566</v>
      </c>
      <c r="AY204" s="76">
        <v>-0.30738961285072808</v>
      </c>
      <c r="AZ204" s="76">
        <v>-1.1643461491299467</v>
      </c>
      <c r="BA204" s="76">
        <v>2.8919147892583652</v>
      </c>
      <c r="BB204" s="77">
        <v>-1.44999832788969</v>
      </c>
      <c r="BC204" s="65"/>
      <c r="BD204" s="78"/>
      <c r="BE204" s="78"/>
      <c r="BF204" s="78"/>
      <c r="BG204" s="78"/>
      <c r="BH204" s="70"/>
      <c r="BI204" s="65"/>
      <c r="BJ204" s="78"/>
      <c r="BK204" s="78"/>
      <c r="BL204" s="78"/>
      <c r="BM204" s="78"/>
      <c r="BN204" s="70"/>
      <c r="BO204" s="65"/>
      <c r="BP204" s="78"/>
      <c r="BQ204" s="78"/>
      <c r="BR204" s="78"/>
      <c r="BS204" s="78"/>
      <c r="BT204" s="70"/>
      <c r="BU204" s="65"/>
      <c r="BV204" s="78"/>
      <c r="BW204" s="78"/>
      <c r="BX204" s="78"/>
      <c r="BY204" s="78"/>
      <c r="BZ204" s="70"/>
      <c r="CA204" s="80"/>
      <c r="CB204" s="78"/>
      <c r="CC204" s="78"/>
      <c r="CD204" s="78"/>
      <c r="CE204" s="78"/>
      <c r="CF204" s="70"/>
    </row>
    <row r="205" spans="1:84" ht="12" customHeight="1">
      <c r="A205" s="2"/>
      <c r="B205" s="64">
        <v>193</v>
      </c>
      <c r="C205" s="65">
        <v>10</v>
      </c>
      <c r="D205" s="66" t="s">
        <v>13</v>
      </c>
      <c r="E205" s="69" t="s">
        <v>136</v>
      </c>
      <c r="F205" s="70"/>
      <c r="G205" s="71">
        <v>2446.5558536585368</v>
      </c>
      <c r="H205" s="72">
        <v>1124.6048780487806</v>
      </c>
      <c r="I205" s="72">
        <v>813.50829268292682</v>
      </c>
      <c r="J205" s="72"/>
      <c r="K205" s="72"/>
      <c r="L205" s="73">
        <v>508.44268292682926</v>
      </c>
      <c r="M205" s="71">
        <v>4893.1117073170735</v>
      </c>
      <c r="N205" s="72">
        <v>2249.2097560975612</v>
      </c>
      <c r="O205" s="72">
        <v>1627.0165853658536</v>
      </c>
      <c r="P205" s="72"/>
      <c r="Q205" s="72"/>
      <c r="R205" s="73">
        <v>1016.8853658536586</v>
      </c>
      <c r="S205" s="71">
        <v>1121.4000000000001</v>
      </c>
      <c r="T205" s="72">
        <v>1119</v>
      </c>
      <c r="U205" s="72">
        <v>1132</v>
      </c>
      <c r="V205" s="72">
        <v>1110</v>
      </c>
      <c r="W205" s="72">
        <v>1132</v>
      </c>
      <c r="X205" s="73">
        <v>1114</v>
      </c>
      <c r="Y205" s="71">
        <v>805.8</v>
      </c>
      <c r="Z205" s="72">
        <v>825</v>
      </c>
      <c r="AA205" s="72">
        <v>795</v>
      </c>
      <c r="AB205" s="72">
        <v>829</v>
      </c>
      <c r="AC205" s="72">
        <v>795</v>
      </c>
      <c r="AD205" s="73">
        <v>785</v>
      </c>
      <c r="AE205" s="71">
        <v>0</v>
      </c>
      <c r="AF205" s="72">
        <v>0</v>
      </c>
      <c r="AG205" s="72">
        <v>0</v>
      </c>
      <c r="AH205" s="72">
        <v>0</v>
      </c>
      <c r="AI205" s="72">
        <v>0</v>
      </c>
      <c r="AJ205" s="73">
        <v>0</v>
      </c>
      <c r="AK205" s="71">
        <v>0</v>
      </c>
      <c r="AL205" s="72">
        <v>0</v>
      </c>
      <c r="AM205" s="72">
        <v>0</v>
      </c>
      <c r="AN205" s="72">
        <v>0</v>
      </c>
      <c r="AO205" s="72">
        <v>0</v>
      </c>
      <c r="AP205" s="73">
        <v>0</v>
      </c>
      <c r="AQ205" s="71">
        <v>528</v>
      </c>
      <c r="AR205" s="72">
        <v>520</v>
      </c>
      <c r="AS205" s="72">
        <v>545</v>
      </c>
      <c r="AT205" s="72">
        <v>500</v>
      </c>
      <c r="AU205" s="72">
        <v>550</v>
      </c>
      <c r="AV205" s="73">
        <v>525</v>
      </c>
      <c r="AW205" s="75">
        <v>0.35331898630217573</v>
      </c>
      <c r="AX205" s="76">
        <v>0.7130083016652744</v>
      </c>
      <c r="AY205" s="76">
        <v>1.0399985883589924</v>
      </c>
      <c r="AZ205" s="76">
        <v>-0.30883634425259432</v>
      </c>
      <c r="BA205" s="76">
        <v>1.2443675175425772</v>
      </c>
      <c r="BB205" s="77">
        <v>-0.92194313180331555</v>
      </c>
      <c r="BC205" s="65"/>
      <c r="BD205" s="78"/>
      <c r="BE205" s="78"/>
      <c r="BF205" s="78"/>
      <c r="BG205" s="78"/>
      <c r="BH205" s="70"/>
      <c r="BI205" s="65"/>
      <c r="BJ205" s="78"/>
      <c r="BK205" s="78"/>
      <c r="BL205" s="78"/>
      <c r="BM205" s="78"/>
      <c r="BN205" s="70"/>
      <c r="BO205" s="65"/>
      <c r="BP205" s="78"/>
      <c r="BQ205" s="78"/>
      <c r="BR205" s="78"/>
      <c r="BS205" s="78"/>
      <c r="BT205" s="70"/>
      <c r="BU205" s="65"/>
      <c r="BV205" s="78"/>
      <c r="BW205" s="78"/>
      <c r="BX205" s="78"/>
      <c r="BY205" s="78"/>
      <c r="BZ205" s="70"/>
      <c r="CA205" s="80"/>
      <c r="CB205" s="78"/>
      <c r="CC205" s="78"/>
      <c r="CD205" s="78"/>
      <c r="CE205" s="78"/>
      <c r="CF205" s="70"/>
    </row>
    <row r="206" spans="1:84" ht="12" customHeight="1">
      <c r="A206" s="2"/>
      <c r="B206" s="64">
        <v>194</v>
      </c>
      <c r="C206" s="65">
        <v>10</v>
      </c>
      <c r="D206" s="66" t="s">
        <v>13</v>
      </c>
      <c r="E206" s="69" t="s">
        <v>91</v>
      </c>
      <c r="F206" s="70"/>
      <c r="G206" s="71">
        <v>2376.1560975609755</v>
      </c>
      <c r="H206" s="72">
        <v>1124.6048780487806</v>
      </c>
      <c r="I206" s="72">
        <v>1251.5512195121951</v>
      </c>
      <c r="J206" s="72"/>
      <c r="K206" s="72"/>
      <c r="L206" s="73">
        <v>0</v>
      </c>
      <c r="M206" s="71">
        <v>4752.3121951219509</v>
      </c>
      <c r="N206" s="72">
        <v>2249.2097560975612</v>
      </c>
      <c r="O206" s="72">
        <v>2503.1024390243902</v>
      </c>
      <c r="P206" s="72"/>
      <c r="Q206" s="72"/>
      <c r="R206" s="73">
        <v>0</v>
      </c>
      <c r="S206" s="71">
        <v>1126.8</v>
      </c>
      <c r="T206" s="72">
        <v>1146</v>
      </c>
      <c r="U206" s="72">
        <v>1137</v>
      </c>
      <c r="V206" s="72">
        <v>1107</v>
      </c>
      <c r="W206" s="72">
        <v>1119</v>
      </c>
      <c r="X206" s="73">
        <v>1125</v>
      </c>
      <c r="Y206" s="71">
        <v>1226.2</v>
      </c>
      <c r="Z206" s="72">
        <v>1249</v>
      </c>
      <c r="AA206" s="72">
        <v>1223</v>
      </c>
      <c r="AB206" s="72">
        <v>1202</v>
      </c>
      <c r="AC206" s="72">
        <v>1211</v>
      </c>
      <c r="AD206" s="73">
        <v>1246</v>
      </c>
      <c r="AE206" s="71">
        <v>0</v>
      </c>
      <c r="AF206" s="72">
        <v>0</v>
      </c>
      <c r="AG206" s="72">
        <v>0</v>
      </c>
      <c r="AH206" s="72">
        <v>0</v>
      </c>
      <c r="AI206" s="72">
        <v>0</v>
      </c>
      <c r="AJ206" s="73">
        <v>0</v>
      </c>
      <c r="AK206" s="71">
        <v>0</v>
      </c>
      <c r="AL206" s="72">
        <v>0</v>
      </c>
      <c r="AM206" s="72">
        <v>0</v>
      </c>
      <c r="AN206" s="72">
        <v>0</v>
      </c>
      <c r="AO206" s="72">
        <v>0</v>
      </c>
      <c r="AP206" s="73">
        <v>0</v>
      </c>
      <c r="AQ206" s="71"/>
      <c r="AR206" s="72"/>
      <c r="AS206" s="72"/>
      <c r="AT206" s="72"/>
      <c r="AU206" s="72"/>
      <c r="AV206" s="73"/>
      <c r="AW206" s="75">
        <v>-0.97451920708173656</v>
      </c>
      <c r="AX206" s="76">
        <v>0.79304143605578581</v>
      </c>
      <c r="AY206" s="76">
        <v>-0.67992576655880876</v>
      </c>
      <c r="AZ206" s="76">
        <v>-2.8262494046543685</v>
      </c>
      <c r="BA206" s="76">
        <v>-1.9424690830856073</v>
      </c>
      <c r="BB206" s="77">
        <v>-0.21699321716565079</v>
      </c>
      <c r="BC206" s="65"/>
      <c r="BD206" s="78"/>
      <c r="BE206" s="78"/>
      <c r="BF206" s="78"/>
      <c r="BG206" s="78"/>
      <c r="BH206" s="70"/>
      <c r="BI206" s="65"/>
      <c r="BJ206" s="78"/>
      <c r="BK206" s="78"/>
      <c r="BL206" s="78"/>
      <c r="BM206" s="78"/>
      <c r="BN206" s="70"/>
      <c r="BO206" s="65"/>
      <c r="BP206" s="78"/>
      <c r="BQ206" s="78"/>
      <c r="BR206" s="78"/>
      <c r="BS206" s="78"/>
      <c r="BT206" s="70"/>
      <c r="BU206" s="65"/>
      <c r="BV206" s="78"/>
      <c r="BW206" s="78"/>
      <c r="BX206" s="78"/>
      <c r="BY206" s="78"/>
      <c r="BZ206" s="70"/>
      <c r="CA206" s="80"/>
      <c r="CB206" s="78"/>
      <c r="CC206" s="78"/>
      <c r="CD206" s="78"/>
      <c r="CE206" s="78"/>
      <c r="CF206" s="70"/>
    </row>
    <row r="207" spans="1:84" ht="12" customHeight="1">
      <c r="A207" s="2"/>
      <c r="B207" s="64">
        <v>195</v>
      </c>
      <c r="C207" s="65">
        <v>10</v>
      </c>
      <c r="D207" s="66" t="s">
        <v>13</v>
      </c>
      <c r="E207" s="69" t="s">
        <v>92</v>
      </c>
      <c r="F207" s="70"/>
      <c r="G207" s="71">
        <v>2121.5000975609755</v>
      </c>
      <c r="H207" s="72">
        <v>1495.7244878048782</v>
      </c>
      <c r="I207" s="72">
        <v>625.77560975609754</v>
      </c>
      <c r="J207" s="72"/>
      <c r="K207" s="72"/>
      <c r="L207" s="73">
        <v>0</v>
      </c>
      <c r="M207" s="71">
        <v>4243.000195121951</v>
      </c>
      <c r="N207" s="72">
        <v>2991.4489756097564</v>
      </c>
      <c r="O207" s="72">
        <v>1251.5512195121951</v>
      </c>
      <c r="P207" s="72"/>
      <c r="Q207" s="72"/>
      <c r="R207" s="73">
        <v>0</v>
      </c>
      <c r="S207" s="71">
        <v>1496.2</v>
      </c>
      <c r="T207" s="72">
        <v>1498</v>
      </c>
      <c r="U207" s="72">
        <v>1495</v>
      </c>
      <c r="V207" s="72">
        <v>1501</v>
      </c>
      <c r="W207" s="72">
        <v>1476</v>
      </c>
      <c r="X207" s="73">
        <v>1511</v>
      </c>
      <c r="Y207" s="71">
        <v>633.6</v>
      </c>
      <c r="Z207" s="72">
        <v>661</v>
      </c>
      <c r="AA207" s="72">
        <v>620</v>
      </c>
      <c r="AB207" s="72">
        <v>619</v>
      </c>
      <c r="AC207" s="72">
        <v>648</v>
      </c>
      <c r="AD207" s="73">
        <v>620</v>
      </c>
      <c r="AE207" s="71">
        <v>0</v>
      </c>
      <c r="AF207" s="72">
        <v>0</v>
      </c>
      <c r="AG207" s="72">
        <v>0</v>
      </c>
      <c r="AH207" s="72">
        <v>0</v>
      </c>
      <c r="AI207" s="72">
        <v>0</v>
      </c>
      <c r="AJ207" s="73">
        <v>0</v>
      </c>
      <c r="AK207" s="71">
        <v>0</v>
      </c>
      <c r="AL207" s="72">
        <v>0</v>
      </c>
      <c r="AM207" s="72">
        <v>0</v>
      </c>
      <c r="AN207" s="72">
        <v>0</v>
      </c>
      <c r="AO207" s="72">
        <v>0</v>
      </c>
      <c r="AP207" s="73">
        <v>0</v>
      </c>
      <c r="AQ207" s="71"/>
      <c r="AR207" s="72"/>
      <c r="AS207" s="72"/>
      <c r="AT207" s="72"/>
      <c r="AU207" s="72"/>
      <c r="AV207" s="73"/>
      <c r="AW207" s="75">
        <v>0.39122800176001338</v>
      </c>
      <c r="AX207" s="76">
        <v>1.7676125719785274</v>
      </c>
      <c r="AY207" s="76">
        <v>-0.30639157492609037</v>
      </c>
      <c r="AZ207" s="76">
        <v>-7.0709285505110575E-2</v>
      </c>
      <c r="BA207" s="76">
        <v>0.11783654603167992</v>
      </c>
      <c r="BB207" s="77">
        <v>0.44779175122104942</v>
      </c>
      <c r="BC207" s="65"/>
      <c r="BD207" s="78"/>
      <c r="BE207" s="78"/>
      <c r="BF207" s="78"/>
      <c r="BG207" s="78"/>
      <c r="BH207" s="70"/>
      <c r="BI207" s="65"/>
      <c r="BJ207" s="78"/>
      <c r="BK207" s="78"/>
      <c r="BL207" s="78"/>
      <c r="BM207" s="78"/>
      <c r="BN207" s="70"/>
      <c r="BO207" s="65"/>
      <c r="BP207" s="78"/>
      <c r="BQ207" s="78"/>
      <c r="BR207" s="78"/>
      <c r="BS207" s="78"/>
      <c r="BT207" s="70"/>
      <c r="BU207" s="65"/>
      <c r="BV207" s="78"/>
      <c r="BW207" s="78"/>
      <c r="BX207" s="78"/>
      <c r="BY207" s="78"/>
      <c r="BZ207" s="70"/>
      <c r="CA207" s="80"/>
      <c r="CB207" s="78"/>
      <c r="CC207" s="78"/>
      <c r="CD207" s="78"/>
      <c r="CE207" s="78"/>
      <c r="CF207" s="70"/>
    </row>
    <row r="208" spans="1:84" ht="12" customHeight="1">
      <c r="A208" s="2"/>
      <c r="B208" s="64">
        <v>196</v>
      </c>
      <c r="C208" s="65">
        <v>10</v>
      </c>
      <c r="D208" s="66" t="s">
        <v>13</v>
      </c>
      <c r="E208" s="69" t="s">
        <v>139</v>
      </c>
      <c r="F208" s="70"/>
      <c r="G208" s="71">
        <v>2817.6754634146341</v>
      </c>
      <c r="H208" s="72">
        <v>1495.7244878048782</v>
      </c>
      <c r="I208" s="72">
        <v>813.50829268292682</v>
      </c>
      <c r="J208" s="72"/>
      <c r="K208" s="72"/>
      <c r="L208" s="73">
        <v>508.44268292682926</v>
      </c>
      <c r="M208" s="71">
        <v>5635.3509268292692</v>
      </c>
      <c r="N208" s="72">
        <v>2991.4489756097564</v>
      </c>
      <c r="O208" s="72">
        <v>1627.0165853658536</v>
      </c>
      <c r="P208" s="72"/>
      <c r="Q208" s="72"/>
      <c r="R208" s="73">
        <v>1016.8853658536586</v>
      </c>
      <c r="S208" s="71">
        <v>1485</v>
      </c>
      <c r="T208" s="72">
        <v>1475</v>
      </c>
      <c r="U208" s="72">
        <v>1503</v>
      </c>
      <c r="V208" s="72">
        <v>1492</v>
      </c>
      <c r="W208" s="72">
        <v>1470</v>
      </c>
      <c r="X208" s="73">
        <v>1485</v>
      </c>
      <c r="Y208" s="71">
        <v>833.6</v>
      </c>
      <c r="Z208" s="72">
        <v>850</v>
      </c>
      <c r="AA208" s="72">
        <v>806</v>
      </c>
      <c r="AB208" s="72">
        <v>795</v>
      </c>
      <c r="AC208" s="72">
        <v>861</v>
      </c>
      <c r="AD208" s="73">
        <v>856</v>
      </c>
      <c r="AE208" s="71">
        <v>0</v>
      </c>
      <c r="AF208" s="72">
        <v>0</v>
      </c>
      <c r="AG208" s="72">
        <v>0</v>
      </c>
      <c r="AH208" s="72">
        <v>0</v>
      </c>
      <c r="AI208" s="72">
        <v>0</v>
      </c>
      <c r="AJ208" s="73">
        <v>0</v>
      </c>
      <c r="AK208" s="71">
        <v>0</v>
      </c>
      <c r="AL208" s="72">
        <v>0</v>
      </c>
      <c r="AM208" s="72">
        <v>0</v>
      </c>
      <c r="AN208" s="72">
        <v>0</v>
      </c>
      <c r="AO208" s="72">
        <v>0</v>
      </c>
      <c r="AP208" s="73">
        <v>0</v>
      </c>
      <c r="AQ208" s="71">
        <v>510</v>
      </c>
      <c r="AR208" s="72">
        <v>530</v>
      </c>
      <c r="AS208" s="72">
        <v>470</v>
      </c>
      <c r="AT208" s="72">
        <v>505</v>
      </c>
      <c r="AU208" s="72">
        <v>525</v>
      </c>
      <c r="AV208" s="73">
        <v>520</v>
      </c>
      <c r="AW208" s="75">
        <v>0.38771450889971693</v>
      </c>
      <c r="AX208" s="76">
        <v>1.3246570469167329</v>
      </c>
      <c r="AY208" s="76">
        <v>-1.3726017746474195</v>
      </c>
      <c r="AZ208" s="76">
        <v>-0.91122855516934109</v>
      </c>
      <c r="BA208" s="76">
        <v>1.360147294568903</v>
      </c>
      <c r="BB208" s="77">
        <v>1.5375985328297093</v>
      </c>
      <c r="BC208" s="65"/>
      <c r="BD208" s="78"/>
      <c r="BE208" s="78"/>
      <c r="BF208" s="78"/>
      <c r="BG208" s="78"/>
      <c r="BH208" s="70"/>
      <c r="BI208" s="65"/>
      <c r="BJ208" s="78"/>
      <c r="BK208" s="78"/>
      <c r="BL208" s="78"/>
      <c r="BM208" s="78"/>
      <c r="BN208" s="70"/>
      <c r="BO208" s="65"/>
      <c r="BP208" s="78"/>
      <c r="BQ208" s="78"/>
      <c r="BR208" s="78"/>
      <c r="BS208" s="78"/>
      <c r="BT208" s="70"/>
      <c r="BU208" s="65"/>
      <c r="BV208" s="78"/>
      <c r="BW208" s="78"/>
      <c r="BX208" s="78"/>
      <c r="BY208" s="78"/>
      <c r="BZ208" s="70"/>
      <c r="CA208" s="80"/>
      <c r="CB208" s="78"/>
      <c r="CC208" s="78"/>
      <c r="CD208" s="78"/>
      <c r="CE208" s="78"/>
      <c r="CF208" s="70"/>
    </row>
    <row r="209" spans="1:84" ht="12" customHeight="1">
      <c r="A209" s="2"/>
      <c r="B209" s="64">
        <v>197</v>
      </c>
      <c r="C209" s="65">
        <v>10</v>
      </c>
      <c r="D209" s="66" t="s">
        <v>13</v>
      </c>
      <c r="E209" s="69" t="s">
        <v>98</v>
      </c>
      <c r="F209" s="70"/>
      <c r="G209" s="71">
        <v>2747.2757073170733</v>
      </c>
      <c r="H209" s="72">
        <v>1495.7244878048782</v>
      </c>
      <c r="I209" s="72">
        <v>1251.5512195121951</v>
      </c>
      <c r="J209" s="72"/>
      <c r="K209" s="72"/>
      <c r="L209" s="73">
        <v>0</v>
      </c>
      <c r="M209" s="71">
        <v>5494.5514146341466</v>
      </c>
      <c r="N209" s="72">
        <v>2991.4489756097564</v>
      </c>
      <c r="O209" s="72">
        <v>2503.1024390243902</v>
      </c>
      <c r="P209" s="72"/>
      <c r="Q209" s="72"/>
      <c r="R209" s="73">
        <v>0</v>
      </c>
      <c r="S209" s="71">
        <v>1496.8</v>
      </c>
      <c r="T209" s="72">
        <v>1483</v>
      </c>
      <c r="U209" s="72">
        <v>1504</v>
      </c>
      <c r="V209" s="72">
        <v>1523</v>
      </c>
      <c r="W209" s="72">
        <v>1493</v>
      </c>
      <c r="X209" s="73">
        <v>1481</v>
      </c>
      <c r="Y209" s="71">
        <v>1247.8</v>
      </c>
      <c r="Z209" s="72">
        <v>1254</v>
      </c>
      <c r="AA209" s="72">
        <v>1266</v>
      </c>
      <c r="AB209" s="72">
        <v>1210</v>
      </c>
      <c r="AC209" s="72">
        <v>1259</v>
      </c>
      <c r="AD209" s="73">
        <v>1250</v>
      </c>
      <c r="AE209" s="71">
        <v>0</v>
      </c>
      <c r="AF209" s="72">
        <v>0</v>
      </c>
      <c r="AG209" s="72">
        <v>0</v>
      </c>
      <c r="AH209" s="72">
        <v>0</v>
      </c>
      <c r="AI209" s="72">
        <v>0</v>
      </c>
      <c r="AJ209" s="73">
        <v>0</v>
      </c>
      <c r="AK209" s="71">
        <v>0</v>
      </c>
      <c r="AL209" s="72">
        <v>0</v>
      </c>
      <c r="AM209" s="72">
        <v>0</v>
      </c>
      <c r="AN209" s="72">
        <v>0</v>
      </c>
      <c r="AO209" s="72">
        <v>0</v>
      </c>
      <c r="AP209" s="73">
        <v>0</v>
      </c>
      <c r="AQ209" s="71"/>
      <c r="AR209" s="72"/>
      <c r="AS209" s="72"/>
      <c r="AT209" s="72"/>
      <c r="AU209" s="72"/>
      <c r="AV209" s="73"/>
      <c r="AW209" s="75">
        <v>-9.7394932366889897E-2</v>
      </c>
      <c r="AX209" s="76">
        <v>-0.37403262037752905</v>
      </c>
      <c r="AY209" s="76">
        <v>0.82715734072131841</v>
      </c>
      <c r="AZ209" s="76">
        <v>-0.519631403541021</v>
      </c>
      <c r="BA209" s="76">
        <v>0.17196281648559353</v>
      </c>
      <c r="BB209" s="77">
        <v>-0.59243079512276697</v>
      </c>
      <c r="BC209" s="65"/>
      <c r="BD209" s="78"/>
      <c r="BE209" s="78"/>
      <c r="BF209" s="78"/>
      <c r="BG209" s="78"/>
      <c r="BH209" s="70"/>
      <c r="BI209" s="65"/>
      <c r="BJ209" s="78"/>
      <c r="BK209" s="78"/>
      <c r="BL209" s="78"/>
      <c r="BM209" s="78"/>
      <c r="BN209" s="70"/>
      <c r="BO209" s="65"/>
      <c r="BP209" s="78"/>
      <c r="BQ209" s="78"/>
      <c r="BR209" s="78"/>
      <c r="BS209" s="78"/>
      <c r="BT209" s="70"/>
      <c r="BU209" s="65"/>
      <c r="BV209" s="78"/>
      <c r="BW209" s="78"/>
      <c r="BX209" s="78"/>
      <c r="BY209" s="78"/>
      <c r="BZ209" s="70"/>
      <c r="CA209" s="80"/>
      <c r="CB209" s="78"/>
      <c r="CC209" s="78"/>
      <c r="CD209" s="78"/>
      <c r="CE209" s="78"/>
      <c r="CF209" s="70"/>
    </row>
    <row r="210" spans="1:84" ht="12" customHeight="1">
      <c r="A210" s="2"/>
      <c r="B210" s="64">
        <v>198</v>
      </c>
      <c r="C210" s="65">
        <v>10</v>
      </c>
      <c r="D210" s="66" t="s">
        <v>13</v>
      </c>
      <c r="E210" s="69" t="s">
        <v>111</v>
      </c>
      <c r="F210" s="70"/>
      <c r="G210" s="71">
        <v>2121.5000975609755</v>
      </c>
      <c r="H210" s="72">
        <v>1495.7244878048782</v>
      </c>
      <c r="I210" s="72">
        <v>625.77560975609754</v>
      </c>
      <c r="J210" s="72"/>
      <c r="K210" s="72"/>
      <c r="L210" s="73">
        <v>0</v>
      </c>
      <c r="M210" s="71">
        <v>4243.000195121951</v>
      </c>
      <c r="N210" s="72">
        <v>2991.4489756097564</v>
      </c>
      <c r="O210" s="72">
        <v>1251.5512195121951</v>
      </c>
      <c r="P210" s="72"/>
      <c r="Q210" s="72"/>
      <c r="R210" s="73">
        <v>0</v>
      </c>
      <c r="S210" s="71">
        <v>1496.2</v>
      </c>
      <c r="T210" s="72">
        <v>1498</v>
      </c>
      <c r="U210" s="72">
        <v>1495</v>
      </c>
      <c r="V210" s="72">
        <v>1501</v>
      </c>
      <c r="W210" s="72">
        <v>1476</v>
      </c>
      <c r="X210" s="73">
        <v>1511</v>
      </c>
      <c r="Y210" s="71">
        <v>633.6</v>
      </c>
      <c r="Z210" s="72">
        <v>661</v>
      </c>
      <c r="AA210" s="72">
        <v>620</v>
      </c>
      <c r="AB210" s="72">
        <v>619</v>
      </c>
      <c r="AC210" s="72">
        <v>648</v>
      </c>
      <c r="AD210" s="73">
        <v>620</v>
      </c>
      <c r="AE210" s="71">
        <v>0</v>
      </c>
      <c r="AF210" s="72">
        <v>0</v>
      </c>
      <c r="AG210" s="72">
        <v>0</v>
      </c>
      <c r="AH210" s="72">
        <v>0</v>
      </c>
      <c r="AI210" s="72">
        <v>0</v>
      </c>
      <c r="AJ210" s="73">
        <v>0</v>
      </c>
      <c r="AK210" s="71">
        <v>0</v>
      </c>
      <c r="AL210" s="72">
        <v>0</v>
      </c>
      <c r="AM210" s="72">
        <v>0</v>
      </c>
      <c r="AN210" s="72">
        <v>0</v>
      </c>
      <c r="AO210" s="72">
        <v>0</v>
      </c>
      <c r="AP210" s="73">
        <v>0</v>
      </c>
      <c r="AQ210" s="71"/>
      <c r="AR210" s="72"/>
      <c r="AS210" s="72"/>
      <c r="AT210" s="72"/>
      <c r="AU210" s="72"/>
      <c r="AV210" s="73"/>
      <c r="AW210" s="75">
        <v>0.39122800176001338</v>
      </c>
      <c r="AX210" s="76">
        <v>1.7676125719785274</v>
      </c>
      <c r="AY210" s="76">
        <v>-0.30639157492609037</v>
      </c>
      <c r="AZ210" s="76">
        <v>-7.0709285505110575E-2</v>
      </c>
      <c r="BA210" s="76">
        <v>0.11783654603167992</v>
      </c>
      <c r="BB210" s="77">
        <v>0.44779175122104942</v>
      </c>
      <c r="BC210" s="65"/>
      <c r="BD210" s="78"/>
      <c r="BE210" s="78"/>
      <c r="BF210" s="78"/>
      <c r="BG210" s="78"/>
      <c r="BH210" s="70"/>
      <c r="BI210" s="65"/>
      <c r="BJ210" s="78"/>
      <c r="BK210" s="78"/>
      <c r="BL210" s="78"/>
      <c r="BM210" s="78"/>
      <c r="BN210" s="70"/>
      <c r="BO210" s="65"/>
      <c r="BP210" s="78"/>
      <c r="BQ210" s="78"/>
      <c r="BR210" s="78"/>
      <c r="BS210" s="78"/>
      <c r="BT210" s="70"/>
      <c r="BU210" s="65"/>
      <c r="BV210" s="78"/>
      <c r="BW210" s="78"/>
      <c r="BX210" s="78"/>
      <c r="BY210" s="78"/>
      <c r="BZ210" s="70"/>
      <c r="CA210" s="80"/>
      <c r="CB210" s="78"/>
      <c r="CC210" s="78"/>
      <c r="CD210" s="78"/>
      <c r="CE210" s="78"/>
      <c r="CF210" s="70"/>
    </row>
    <row r="211" spans="1:84" ht="12" customHeight="1">
      <c r="A211" s="2"/>
      <c r="B211" s="64">
        <v>199</v>
      </c>
      <c r="C211" s="65">
        <v>10</v>
      </c>
      <c r="D211" s="66" t="s">
        <v>13</v>
      </c>
      <c r="E211" s="69" t="s">
        <v>179</v>
      </c>
      <c r="F211" s="70"/>
      <c r="G211" s="71">
        <v>2446.5558536585368</v>
      </c>
      <c r="H211" s="72">
        <v>1124.6048780487806</v>
      </c>
      <c r="I211" s="72">
        <v>813.50829268292682</v>
      </c>
      <c r="J211" s="72"/>
      <c r="K211" s="72"/>
      <c r="L211" s="73">
        <v>508.44268292682926</v>
      </c>
      <c r="M211" s="71">
        <v>4893.1117073170735</v>
      </c>
      <c r="N211" s="72">
        <v>2249.2097560975612</v>
      </c>
      <c r="O211" s="72">
        <v>1627.0165853658536</v>
      </c>
      <c r="P211" s="72"/>
      <c r="Q211" s="72"/>
      <c r="R211" s="73">
        <v>1016.8853658536586</v>
      </c>
      <c r="S211" s="71">
        <v>1121.4000000000001</v>
      </c>
      <c r="T211" s="72">
        <v>1119</v>
      </c>
      <c r="U211" s="72">
        <v>1132</v>
      </c>
      <c r="V211" s="72">
        <v>1110</v>
      </c>
      <c r="W211" s="72">
        <v>1132</v>
      </c>
      <c r="X211" s="73">
        <v>1114</v>
      </c>
      <c r="Y211" s="71">
        <v>805.8</v>
      </c>
      <c r="Z211" s="72">
        <v>825</v>
      </c>
      <c r="AA211" s="72">
        <v>795</v>
      </c>
      <c r="AB211" s="72">
        <v>829</v>
      </c>
      <c r="AC211" s="72">
        <v>795</v>
      </c>
      <c r="AD211" s="73">
        <v>785</v>
      </c>
      <c r="AE211" s="71">
        <v>0</v>
      </c>
      <c r="AF211" s="72">
        <v>0</v>
      </c>
      <c r="AG211" s="72">
        <v>0</v>
      </c>
      <c r="AH211" s="72">
        <v>0</v>
      </c>
      <c r="AI211" s="72">
        <v>0</v>
      </c>
      <c r="AJ211" s="73">
        <v>0</v>
      </c>
      <c r="AK211" s="71">
        <v>0</v>
      </c>
      <c r="AL211" s="72">
        <v>0</v>
      </c>
      <c r="AM211" s="72">
        <v>0</v>
      </c>
      <c r="AN211" s="72">
        <v>0</v>
      </c>
      <c r="AO211" s="72">
        <v>0</v>
      </c>
      <c r="AP211" s="73">
        <v>0</v>
      </c>
      <c r="AQ211" s="71">
        <v>528</v>
      </c>
      <c r="AR211" s="72">
        <v>520</v>
      </c>
      <c r="AS211" s="72">
        <v>545</v>
      </c>
      <c r="AT211" s="72">
        <v>500</v>
      </c>
      <c r="AU211" s="72">
        <v>550</v>
      </c>
      <c r="AV211" s="73">
        <v>525</v>
      </c>
      <c r="AW211" s="75">
        <v>0.35331898630217573</v>
      </c>
      <c r="AX211" s="76">
        <v>0.7130083016652744</v>
      </c>
      <c r="AY211" s="76">
        <v>1.0399985883589924</v>
      </c>
      <c r="AZ211" s="76">
        <v>-0.30883634425259432</v>
      </c>
      <c r="BA211" s="76">
        <v>1.2443675175425772</v>
      </c>
      <c r="BB211" s="77">
        <v>-0.92194313180331555</v>
      </c>
      <c r="BC211" s="65"/>
      <c r="BD211" s="78"/>
      <c r="BE211" s="78"/>
      <c r="BF211" s="78"/>
      <c r="BG211" s="78"/>
      <c r="BH211" s="70"/>
      <c r="BI211" s="65"/>
      <c r="BJ211" s="78"/>
      <c r="BK211" s="78"/>
      <c r="BL211" s="78"/>
      <c r="BM211" s="78"/>
      <c r="BN211" s="70"/>
      <c r="BO211" s="65"/>
      <c r="BP211" s="78"/>
      <c r="BQ211" s="78"/>
      <c r="BR211" s="78"/>
      <c r="BS211" s="78"/>
      <c r="BT211" s="70"/>
      <c r="BU211" s="65"/>
      <c r="BV211" s="78"/>
      <c r="BW211" s="78"/>
      <c r="BX211" s="78"/>
      <c r="BY211" s="78"/>
      <c r="BZ211" s="70"/>
      <c r="CA211" s="80"/>
      <c r="CB211" s="78"/>
      <c r="CC211" s="78"/>
      <c r="CD211" s="78"/>
      <c r="CE211" s="78"/>
      <c r="CF211" s="70"/>
    </row>
    <row r="212" spans="1:84" ht="12" customHeight="1">
      <c r="A212" s="2"/>
      <c r="B212" s="64">
        <v>200</v>
      </c>
      <c r="C212" s="65">
        <v>10</v>
      </c>
      <c r="D212" s="66" t="s">
        <v>13</v>
      </c>
      <c r="E212" s="69" t="s">
        <v>145</v>
      </c>
      <c r="F212" s="70"/>
      <c r="G212" s="71">
        <v>2817.6754634146341</v>
      </c>
      <c r="H212" s="72">
        <v>1495.7244878048782</v>
      </c>
      <c r="I212" s="72">
        <v>813.50829268292682</v>
      </c>
      <c r="J212" s="72"/>
      <c r="K212" s="72"/>
      <c r="L212" s="73">
        <v>508.44268292682926</v>
      </c>
      <c r="M212" s="71">
        <v>5635.3509268292692</v>
      </c>
      <c r="N212" s="72">
        <v>2991.4489756097564</v>
      </c>
      <c r="O212" s="72">
        <v>1627.0165853658536</v>
      </c>
      <c r="P212" s="72"/>
      <c r="Q212" s="72"/>
      <c r="R212" s="73">
        <v>1016.8853658536586</v>
      </c>
      <c r="S212" s="71">
        <v>1485</v>
      </c>
      <c r="T212" s="72">
        <v>1475</v>
      </c>
      <c r="U212" s="72">
        <v>1503</v>
      </c>
      <c r="V212" s="72">
        <v>1492</v>
      </c>
      <c r="W212" s="72">
        <v>1470</v>
      </c>
      <c r="X212" s="73">
        <v>1485</v>
      </c>
      <c r="Y212" s="71">
        <v>833.6</v>
      </c>
      <c r="Z212" s="72">
        <v>850</v>
      </c>
      <c r="AA212" s="72">
        <v>806</v>
      </c>
      <c r="AB212" s="72">
        <v>795</v>
      </c>
      <c r="AC212" s="72">
        <v>861</v>
      </c>
      <c r="AD212" s="73">
        <v>856</v>
      </c>
      <c r="AE212" s="71">
        <v>0</v>
      </c>
      <c r="AF212" s="72">
        <v>0</v>
      </c>
      <c r="AG212" s="72">
        <v>0</v>
      </c>
      <c r="AH212" s="72">
        <v>0</v>
      </c>
      <c r="AI212" s="72">
        <v>0</v>
      </c>
      <c r="AJ212" s="73">
        <v>0</v>
      </c>
      <c r="AK212" s="71">
        <v>0</v>
      </c>
      <c r="AL212" s="72">
        <v>0</v>
      </c>
      <c r="AM212" s="72">
        <v>0</v>
      </c>
      <c r="AN212" s="72">
        <v>0</v>
      </c>
      <c r="AO212" s="72">
        <v>0</v>
      </c>
      <c r="AP212" s="73">
        <v>0</v>
      </c>
      <c r="AQ212" s="71">
        <v>510</v>
      </c>
      <c r="AR212" s="72">
        <v>530</v>
      </c>
      <c r="AS212" s="72">
        <v>470</v>
      </c>
      <c r="AT212" s="72">
        <v>505</v>
      </c>
      <c r="AU212" s="72">
        <v>525</v>
      </c>
      <c r="AV212" s="73">
        <v>520</v>
      </c>
      <c r="AW212" s="75">
        <v>0.38771450889971693</v>
      </c>
      <c r="AX212" s="76">
        <v>1.3246570469167329</v>
      </c>
      <c r="AY212" s="76">
        <v>-1.3726017746474195</v>
      </c>
      <c r="AZ212" s="76">
        <v>-0.91122855516934109</v>
      </c>
      <c r="BA212" s="76">
        <v>1.360147294568903</v>
      </c>
      <c r="BB212" s="77">
        <v>1.5375985328297093</v>
      </c>
      <c r="BC212" s="65"/>
      <c r="BD212" s="78"/>
      <c r="BE212" s="78"/>
      <c r="BF212" s="78"/>
      <c r="BG212" s="78"/>
      <c r="BH212" s="70"/>
      <c r="BI212" s="65"/>
      <c r="BJ212" s="78"/>
      <c r="BK212" s="78"/>
      <c r="BL212" s="78"/>
      <c r="BM212" s="78"/>
      <c r="BN212" s="70"/>
      <c r="BO212" s="65"/>
      <c r="BP212" s="78"/>
      <c r="BQ212" s="78"/>
      <c r="BR212" s="78"/>
      <c r="BS212" s="78"/>
      <c r="BT212" s="70"/>
      <c r="BU212" s="65"/>
      <c r="BV212" s="78"/>
      <c r="BW212" s="78"/>
      <c r="BX212" s="78"/>
      <c r="BY212" s="78"/>
      <c r="BZ212" s="70"/>
      <c r="CA212" s="80"/>
      <c r="CB212" s="78"/>
      <c r="CC212" s="78"/>
      <c r="CD212" s="78"/>
      <c r="CE212" s="78"/>
      <c r="CF212" s="70"/>
    </row>
    <row r="213" spans="1:84" ht="12" customHeight="1">
      <c r="A213" s="2"/>
      <c r="B213" s="64">
        <v>201</v>
      </c>
      <c r="C213" s="65">
        <v>10</v>
      </c>
      <c r="D213" s="66" t="s">
        <v>13</v>
      </c>
      <c r="E213" s="69" t="s">
        <v>134</v>
      </c>
      <c r="F213" s="70"/>
      <c r="G213" s="71">
        <v>2376.1560975609755</v>
      </c>
      <c r="H213" s="72">
        <v>1124.6048780487806</v>
      </c>
      <c r="I213" s="72">
        <v>1251.5512195121951</v>
      </c>
      <c r="J213" s="72"/>
      <c r="K213" s="72"/>
      <c r="L213" s="73">
        <v>0</v>
      </c>
      <c r="M213" s="71">
        <v>4752.3121951219509</v>
      </c>
      <c r="N213" s="72">
        <v>2249.2097560975612</v>
      </c>
      <c r="O213" s="72">
        <v>2503.1024390243902</v>
      </c>
      <c r="P213" s="72"/>
      <c r="Q213" s="72"/>
      <c r="R213" s="73">
        <v>0</v>
      </c>
      <c r="S213" s="71">
        <v>1126.8</v>
      </c>
      <c r="T213" s="72">
        <v>1146</v>
      </c>
      <c r="U213" s="72">
        <v>1137</v>
      </c>
      <c r="V213" s="72">
        <v>1107</v>
      </c>
      <c r="W213" s="72">
        <v>1119</v>
      </c>
      <c r="X213" s="73">
        <v>1125</v>
      </c>
      <c r="Y213" s="71">
        <v>1226.2</v>
      </c>
      <c r="Z213" s="72">
        <v>1249</v>
      </c>
      <c r="AA213" s="72">
        <v>1223</v>
      </c>
      <c r="AB213" s="72">
        <v>1202</v>
      </c>
      <c r="AC213" s="72">
        <v>1211</v>
      </c>
      <c r="AD213" s="73">
        <v>1246</v>
      </c>
      <c r="AE213" s="71">
        <v>0</v>
      </c>
      <c r="AF213" s="72">
        <v>0</v>
      </c>
      <c r="AG213" s="72">
        <v>0</v>
      </c>
      <c r="AH213" s="72">
        <v>0</v>
      </c>
      <c r="AI213" s="72">
        <v>0</v>
      </c>
      <c r="AJ213" s="73">
        <v>0</v>
      </c>
      <c r="AK213" s="71">
        <v>0</v>
      </c>
      <c r="AL213" s="72">
        <v>0</v>
      </c>
      <c r="AM213" s="72">
        <v>0</v>
      </c>
      <c r="AN213" s="72">
        <v>0</v>
      </c>
      <c r="AO213" s="72">
        <v>0</v>
      </c>
      <c r="AP213" s="73">
        <v>0</v>
      </c>
      <c r="AQ213" s="71"/>
      <c r="AR213" s="72"/>
      <c r="AS213" s="72"/>
      <c r="AT213" s="72"/>
      <c r="AU213" s="72"/>
      <c r="AV213" s="73"/>
      <c r="AW213" s="75">
        <v>-0.97451920708173656</v>
      </c>
      <c r="AX213" s="76">
        <v>0.79304143605578581</v>
      </c>
      <c r="AY213" s="76">
        <v>-0.67992576655880876</v>
      </c>
      <c r="AZ213" s="76">
        <v>-2.8262494046543685</v>
      </c>
      <c r="BA213" s="76">
        <v>-1.9424690830856073</v>
      </c>
      <c r="BB213" s="77">
        <v>-0.21699321716565079</v>
      </c>
      <c r="BC213" s="65"/>
      <c r="BD213" s="78"/>
      <c r="BE213" s="78"/>
      <c r="BF213" s="78"/>
      <c r="BG213" s="78"/>
      <c r="BH213" s="70"/>
      <c r="BI213" s="65"/>
      <c r="BJ213" s="78"/>
      <c r="BK213" s="78"/>
      <c r="BL213" s="78"/>
      <c r="BM213" s="78"/>
      <c r="BN213" s="70"/>
      <c r="BO213" s="65"/>
      <c r="BP213" s="78"/>
      <c r="BQ213" s="78"/>
      <c r="BR213" s="78"/>
      <c r="BS213" s="78"/>
      <c r="BT213" s="70"/>
      <c r="BU213" s="65"/>
      <c r="BV213" s="78"/>
      <c r="BW213" s="78"/>
      <c r="BX213" s="78"/>
      <c r="BY213" s="78"/>
      <c r="BZ213" s="70"/>
      <c r="CA213" s="80"/>
      <c r="CB213" s="78"/>
      <c r="CC213" s="78"/>
      <c r="CD213" s="78"/>
      <c r="CE213" s="78"/>
      <c r="CF213" s="70"/>
    </row>
    <row r="214" spans="1:84" ht="12" customHeight="1">
      <c r="A214" s="2"/>
      <c r="B214" s="64">
        <v>202</v>
      </c>
      <c r="C214" s="65">
        <v>10</v>
      </c>
      <c r="D214" s="66" t="s">
        <v>13</v>
      </c>
      <c r="E214" s="69" t="s">
        <v>135</v>
      </c>
      <c r="F214" s="70"/>
      <c r="G214" s="71">
        <v>2747.2757073170733</v>
      </c>
      <c r="H214" s="72">
        <v>1495.7244878048782</v>
      </c>
      <c r="I214" s="72">
        <v>1251.5512195121951</v>
      </c>
      <c r="J214" s="72"/>
      <c r="K214" s="72"/>
      <c r="L214" s="73">
        <v>0</v>
      </c>
      <c r="M214" s="71">
        <v>5494.5514146341466</v>
      </c>
      <c r="N214" s="72">
        <v>2991.4489756097564</v>
      </c>
      <c r="O214" s="72">
        <v>2503.1024390243902</v>
      </c>
      <c r="P214" s="72"/>
      <c r="Q214" s="72"/>
      <c r="R214" s="73">
        <v>0</v>
      </c>
      <c r="S214" s="71">
        <v>1496.8</v>
      </c>
      <c r="T214" s="72">
        <v>1483</v>
      </c>
      <c r="U214" s="72">
        <v>1504</v>
      </c>
      <c r="V214" s="72">
        <v>1523</v>
      </c>
      <c r="W214" s="72">
        <v>1493</v>
      </c>
      <c r="X214" s="73">
        <v>1481</v>
      </c>
      <c r="Y214" s="71">
        <v>1247.8</v>
      </c>
      <c r="Z214" s="72">
        <v>1254</v>
      </c>
      <c r="AA214" s="72">
        <v>1266</v>
      </c>
      <c r="AB214" s="72">
        <v>1210</v>
      </c>
      <c r="AC214" s="72">
        <v>1259</v>
      </c>
      <c r="AD214" s="73">
        <v>1250</v>
      </c>
      <c r="AE214" s="71">
        <v>0</v>
      </c>
      <c r="AF214" s="72">
        <v>0</v>
      </c>
      <c r="AG214" s="72">
        <v>0</v>
      </c>
      <c r="AH214" s="72">
        <v>0</v>
      </c>
      <c r="AI214" s="72">
        <v>0</v>
      </c>
      <c r="AJ214" s="73">
        <v>0</v>
      </c>
      <c r="AK214" s="71">
        <v>0</v>
      </c>
      <c r="AL214" s="72">
        <v>0</v>
      </c>
      <c r="AM214" s="72">
        <v>0</v>
      </c>
      <c r="AN214" s="72">
        <v>0</v>
      </c>
      <c r="AO214" s="72">
        <v>0</v>
      </c>
      <c r="AP214" s="73">
        <v>0</v>
      </c>
      <c r="AQ214" s="71"/>
      <c r="AR214" s="72"/>
      <c r="AS214" s="72"/>
      <c r="AT214" s="72"/>
      <c r="AU214" s="72"/>
      <c r="AV214" s="73"/>
      <c r="AW214" s="75">
        <v>-9.7394932366889897E-2</v>
      </c>
      <c r="AX214" s="76">
        <v>-0.37403262037752905</v>
      </c>
      <c r="AY214" s="76">
        <v>0.82715734072131841</v>
      </c>
      <c r="AZ214" s="76">
        <v>-0.519631403541021</v>
      </c>
      <c r="BA214" s="76">
        <v>0.17196281648559353</v>
      </c>
      <c r="BB214" s="77">
        <v>-0.59243079512276697</v>
      </c>
      <c r="BC214" s="65"/>
      <c r="BD214" s="78"/>
      <c r="BE214" s="78"/>
      <c r="BF214" s="78"/>
      <c r="BG214" s="78"/>
      <c r="BH214" s="70"/>
      <c r="BI214" s="65"/>
      <c r="BJ214" s="78"/>
      <c r="BK214" s="78"/>
      <c r="BL214" s="78"/>
      <c r="BM214" s="78"/>
      <c r="BN214" s="70"/>
      <c r="BO214" s="65"/>
      <c r="BP214" s="78"/>
      <c r="BQ214" s="78"/>
      <c r="BR214" s="78"/>
      <c r="BS214" s="78"/>
      <c r="BT214" s="70"/>
      <c r="BU214" s="65"/>
      <c r="BV214" s="78"/>
      <c r="BW214" s="78"/>
      <c r="BX214" s="78"/>
      <c r="BY214" s="78"/>
      <c r="BZ214" s="70"/>
      <c r="CA214" s="80"/>
      <c r="CB214" s="78"/>
      <c r="CC214" s="78"/>
      <c r="CD214" s="78"/>
      <c r="CE214" s="78"/>
      <c r="CF214" s="70"/>
    </row>
    <row r="215" spans="1:84" ht="12" customHeight="1">
      <c r="A215" s="1"/>
      <c r="B215" s="64">
        <v>203</v>
      </c>
      <c r="C215" s="65">
        <v>10</v>
      </c>
      <c r="D215" s="66" t="s">
        <v>14</v>
      </c>
      <c r="E215" s="69" t="s">
        <v>67</v>
      </c>
      <c r="F215" s="70" t="s">
        <v>81</v>
      </c>
      <c r="G215" s="71">
        <v>2501.3560975609757</v>
      </c>
      <c r="H215" s="72">
        <v>746.28292682926838</v>
      </c>
      <c r="I215" s="72">
        <v>746.28292682926838</v>
      </c>
      <c r="J215" s="72">
        <v>1008.790243902439</v>
      </c>
      <c r="K215" s="72">
        <v>0</v>
      </c>
      <c r="L215" s="73"/>
      <c r="M215" s="71">
        <v>5002.7121951219515</v>
      </c>
      <c r="N215" s="72">
        <v>1492.5658536585368</v>
      </c>
      <c r="O215" s="72">
        <v>1492.5658536585368</v>
      </c>
      <c r="P215" s="72">
        <v>2017.580487804878</v>
      </c>
      <c r="Q215" s="72">
        <v>0</v>
      </c>
      <c r="R215" s="73"/>
      <c r="S215" s="71">
        <v>738.4</v>
      </c>
      <c r="T215" s="72">
        <v>712</v>
      </c>
      <c r="U215" s="72">
        <v>745</v>
      </c>
      <c r="V215" s="72">
        <v>732</v>
      </c>
      <c r="W215" s="72">
        <v>752</v>
      </c>
      <c r="X215" s="73">
        <v>751</v>
      </c>
      <c r="Y215" s="71">
        <v>739.4</v>
      </c>
      <c r="Z215" s="72">
        <v>744</v>
      </c>
      <c r="AA215" s="72">
        <v>730</v>
      </c>
      <c r="AB215" s="72">
        <v>728</v>
      </c>
      <c r="AC215" s="72">
        <v>773</v>
      </c>
      <c r="AD215" s="73">
        <v>722</v>
      </c>
      <c r="AE215" s="71">
        <v>1003.2</v>
      </c>
      <c r="AF215" s="72">
        <v>996</v>
      </c>
      <c r="AG215" s="72">
        <v>1023</v>
      </c>
      <c r="AH215" s="72">
        <v>983</v>
      </c>
      <c r="AI215" s="72">
        <v>1024</v>
      </c>
      <c r="AJ215" s="73">
        <v>990</v>
      </c>
      <c r="AK215" s="71">
        <v>0</v>
      </c>
      <c r="AL215" s="72">
        <v>0</v>
      </c>
      <c r="AM215" s="72">
        <v>0</v>
      </c>
      <c r="AN215" s="72">
        <v>0</v>
      </c>
      <c r="AO215" s="72">
        <v>0</v>
      </c>
      <c r="AP215" s="73">
        <v>0</v>
      </c>
      <c r="AQ215" s="71"/>
      <c r="AR215" s="72"/>
      <c r="AS215" s="72"/>
      <c r="AT215" s="72"/>
      <c r="AU215" s="72"/>
      <c r="AV215" s="73"/>
      <c r="AW215" s="75">
        <v>-0.81380246422428915</v>
      </c>
      <c r="AX215" s="76">
        <v>-1.9731735760894598</v>
      </c>
      <c r="AY215" s="76">
        <v>-0.13417112278608645</v>
      </c>
      <c r="AZ215" s="76">
        <v>-2.3329784039096912</v>
      </c>
      <c r="BA215" s="76">
        <v>1.9047229015285216</v>
      </c>
      <c r="BB215" s="77">
        <v>-1.533412119864741</v>
      </c>
      <c r="BC215" s="65"/>
      <c r="BD215" s="78"/>
      <c r="BE215" s="78"/>
      <c r="BF215" s="78"/>
      <c r="BG215" s="78"/>
      <c r="BH215" s="70"/>
      <c r="BI215" s="65"/>
      <c r="BJ215" s="78"/>
      <c r="BK215" s="78"/>
      <c r="BL215" s="78"/>
      <c r="BM215" s="78"/>
      <c r="BN215" s="70"/>
      <c r="BO215" s="65"/>
      <c r="BP215" s="78"/>
      <c r="BQ215" s="78"/>
      <c r="BR215" s="78"/>
      <c r="BS215" s="78"/>
      <c r="BT215" s="70"/>
      <c r="BU215" s="65"/>
      <c r="BV215" s="78"/>
      <c r="BW215" s="78"/>
      <c r="BX215" s="78"/>
      <c r="BY215" s="78"/>
      <c r="BZ215" s="70"/>
      <c r="CA215" s="110"/>
      <c r="CB215" s="76"/>
      <c r="CC215" s="76"/>
      <c r="CD215" s="76"/>
      <c r="CE215" s="76"/>
      <c r="CF215" s="77"/>
    </row>
    <row r="216" spans="1:84" ht="12" customHeight="1">
      <c r="A216" s="1"/>
      <c r="B216" s="64">
        <v>204</v>
      </c>
      <c r="C216" s="65">
        <v>10</v>
      </c>
      <c r="D216" s="66" t="s">
        <v>14</v>
      </c>
      <c r="E216" s="69" t="s">
        <v>148</v>
      </c>
      <c r="F216" s="70" t="s">
        <v>81</v>
      </c>
      <c r="G216" s="71">
        <v>2501.3560975609757</v>
      </c>
      <c r="H216" s="72">
        <v>746.28292682926838</v>
      </c>
      <c r="I216" s="72">
        <v>746.28292682926838</v>
      </c>
      <c r="J216" s="72">
        <v>1008.790243902439</v>
      </c>
      <c r="K216" s="72">
        <v>0</v>
      </c>
      <c r="L216" s="73"/>
      <c r="M216" s="71">
        <v>6253.3902439024387</v>
      </c>
      <c r="N216" s="72">
        <v>1865.7073170731708</v>
      </c>
      <c r="O216" s="72">
        <v>1865.7073170731708</v>
      </c>
      <c r="P216" s="72">
        <v>2521.9756097560976</v>
      </c>
      <c r="Q216" s="72">
        <v>0</v>
      </c>
      <c r="R216" s="73"/>
      <c r="S216" s="71">
        <v>738.4</v>
      </c>
      <c r="T216" s="72">
        <v>712</v>
      </c>
      <c r="U216" s="72">
        <v>745</v>
      </c>
      <c r="V216" s="72">
        <v>732</v>
      </c>
      <c r="W216" s="72">
        <v>752</v>
      </c>
      <c r="X216" s="73">
        <v>751</v>
      </c>
      <c r="Y216" s="71">
        <v>739.4</v>
      </c>
      <c r="Z216" s="72">
        <v>744</v>
      </c>
      <c r="AA216" s="72">
        <v>730</v>
      </c>
      <c r="AB216" s="72">
        <v>728</v>
      </c>
      <c r="AC216" s="72">
        <v>773</v>
      </c>
      <c r="AD216" s="73">
        <v>722</v>
      </c>
      <c r="AE216" s="71">
        <v>1003.2</v>
      </c>
      <c r="AF216" s="72">
        <v>996</v>
      </c>
      <c r="AG216" s="72">
        <v>1023</v>
      </c>
      <c r="AH216" s="72">
        <v>983</v>
      </c>
      <c r="AI216" s="72">
        <v>1024</v>
      </c>
      <c r="AJ216" s="73">
        <v>990</v>
      </c>
      <c r="AK216" s="71">
        <v>0</v>
      </c>
      <c r="AL216" s="72">
        <v>0</v>
      </c>
      <c r="AM216" s="72">
        <v>0</v>
      </c>
      <c r="AN216" s="72">
        <v>0</v>
      </c>
      <c r="AO216" s="72">
        <v>0</v>
      </c>
      <c r="AP216" s="73">
        <v>0</v>
      </c>
      <c r="AQ216" s="71"/>
      <c r="AR216" s="72"/>
      <c r="AS216" s="72"/>
      <c r="AT216" s="72"/>
      <c r="AU216" s="72"/>
      <c r="AV216" s="73"/>
      <c r="AW216" s="75">
        <v>-0.81380246422428915</v>
      </c>
      <c r="AX216" s="76">
        <v>-1.9731735760894598</v>
      </c>
      <c r="AY216" s="76">
        <v>-0.13417112278608645</v>
      </c>
      <c r="AZ216" s="76">
        <v>-2.3329784039096912</v>
      </c>
      <c r="BA216" s="76">
        <v>1.9047229015285216</v>
      </c>
      <c r="BB216" s="77">
        <v>-1.533412119864741</v>
      </c>
      <c r="BC216" s="71">
        <v>1853.2</v>
      </c>
      <c r="BD216" s="72">
        <v>1811</v>
      </c>
      <c r="BE216" s="72">
        <v>1775</v>
      </c>
      <c r="BF216" s="72">
        <v>1846</v>
      </c>
      <c r="BG216" s="72">
        <v>1881</v>
      </c>
      <c r="BH216" s="73">
        <v>1953</v>
      </c>
      <c r="BI216" s="71">
        <v>1918.8</v>
      </c>
      <c r="BJ216" s="72">
        <v>1951</v>
      </c>
      <c r="BK216" s="72">
        <v>1965</v>
      </c>
      <c r="BL216" s="72">
        <v>1927</v>
      </c>
      <c r="BM216" s="72">
        <v>1900</v>
      </c>
      <c r="BN216" s="73">
        <v>1851</v>
      </c>
      <c r="BO216" s="71">
        <v>2511.1999999999998</v>
      </c>
      <c r="BP216" s="72">
        <v>2583</v>
      </c>
      <c r="BQ216" s="72">
        <v>2350</v>
      </c>
      <c r="BR216" s="72">
        <v>2588</v>
      </c>
      <c r="BS216" s="72">
        <v>2505</v>
      </c>
      <c r="BT216" s="73">
        <v>2530</v>
      </c>
      <c r="BU216" s="71"/>
      <c r="BV216" s="72"/>
      <c r="BW216" s="72"/>
      <c r="BX216" s="72"/>
      <c r="BY216" s="72"/>
      <c r="BZ216" s="73"/>
      <c r="CA216" s="110">
        <v>0.4766975182242561</v>
      </c>
      <c r="CB216" s="76">
        <v>1.464961445303814</v>
      </c>
      <c r="CC216" s="76">
        <v>-2.6128266033254133</v>
      </c>
      <c r="CD216" s="76">
        <v>1.7208226561981954</v>
      </c>
      <c r="CE216" s="76">
        <v>0.52147323013078672</v>
      </c>
      <c r="CF216" s="77">
        <v>1.2890568628139309</v>
      </c>
    </row>
    <row r="217" spans="1:84" ht="12" customHeight="1">
      <c r="A217" s="1"/>
      <c r="B217" s="64">
        <v>205</v>
      </c>
      <c r="C217" s="65">
        <v>10</v>
      </c>
      <c r="D217" s="66" t="s">
        <v>14</v>
      </c>
      <c r="E217" s="69" t="s">
        <v>79</v>
      </c>
      <c r="F217" s="70" t="s">
        <v>81</v>
      </c>
      <c r="G217" s="71">
        <v>2501.3560975609757</v>
      </c>
      <c r="H217" s="72">
        <v>746.28292682926838</v>
      </c>
      <c r="I217" s="72">
        <v>746.28292682926838</v>
      </c>
      <c r="J217" s="72">
        <v>1008.790243902439</v>
      </c>
      <c r="K217" s="72">
        <v>0</v>
      </c>
      <c r="L217" s="73"/>
      <c r="M217" s="71">
        <v>5002.7121951219515</v>
      </c>
      <c r="N217" s="72">
        <v>1492.5658536585368</v>
      </c>
      <c r="O217" s="72">
        <v>1492.5658536585368</v>
      </c>
      <c r="P217" s="72">
        <v>2017.580487804878</v>
      </c>
      <c r="Q217" s="72">
        <v>0</v>
      </c>
      <c r="R217" s="73"/>
      <c r="S217" s="71">
        <v>738.4</v>
      </c>
      <c r="T217" s="72">
        <v>712</v>
      </c>
      <c r="U217" s="72">
        <v>745</v>
      </c>
      <c r="V217" s="72">
        <v>732</v>
      </c>
      <c r="W217" s="72">
        <v>752</v>
      </c>
      <c r="X217" s="73">
        <v>751</v>
      </c>
      <c r="Y217" s="71">
        <v>739.4</v>
      </c>
      <c r="Z217" s="72">
        <v>744</v>
      </c>
      <c r="AA217" s="72">
        <v>730</v>
      </c>
      <c r="AB217" s="72">
        <v>728</v>
      </c>
      <c r="AC217" s="72">
        <v>773</v>
      </c>
      <c r="AD217" s="73">
        <v>722</v>
      </c>
      <c r="AE217" s="71">
        <v>1003.2</v>
      </c>
      <c r="AF217" s="72">
        <v>996</v>
      </c>
      <c r="AG217" s="72">
        <v>1023</v>
      </c>
      <c r="AH217" s="72">
        <v>983</v>
      </c>
      <c r="AI217" s="72">
        <v>1024</v>
      </c>
      <c r="AJ217" s="73">
        <v>990</v>
      </c>
      <c r="AK217" s="71">
        <v>0</v>
      </c>
      <c r="AL217" s="72">
        <v>0</v>
      </c>
      <c r="AM217" s="72">
        <v>0</v>
      </c>
      <c r="AN217" s="72">
        <v>0</v>
      </c>
      <c r="AO217" s="72">
        <v>0</v>
      </c>
      <c r="AP217" s="73">
        <v>0</v>
      </c>
      <c r="AQ217" s="71"/>
      <c r="AR217" s="72"/>
      <c r="AS217" s="72"/>
      <c r="AT217" s="72"/>
      <c r="AU217" s="72"/>
      <c r="AV217" s="73"/>
      <c r="AW217" s="75">
        <v>-0.81380246422428915</v>
      </c>
      <c r="AX217" s="76">
        <v>-1.9731735760894598</v>
      </c>
      <c r="AY217" s="76">
        <v>-0.13417112278608645</v>
      </c>
      <c r="AZ217" s="76">
        <v>-2.3329784039096912</v>
      </c>
      <c r="BA217" s="76">
        <v>1.9047229015285216</v>
      </c>
      <c r="BB217" s="77">
        <v>-1.533412119864741</v>
      </c>
      <c r="BC217" s="71"/>
      <c r="BD217" s="72"/>
      <c r="BE217" s="72"/>
      <c r="BF217" s="72"/>
      <c r="BG217" s="72"/>
      <c r="BH217" s="73"/>
      <c r="BI217" s="71"/>
      <c r="BJ217" s="72"/>
      <c r="BK217" s="72"/>
      <c r="BL217" s="72"/>
      <c r="BM217" s="72"/>
      <c r="BN217" s="73"/>
      <c r="BO217" s="71"/>
      <c r="BP217" s="72"/>
      <c r="BQ217" s="72"/>
      <c r="BR217" s="72"/>
      <c r="BS217" s="72"/>
      <c r="BT217" s="73"/>
      <c r="BU217" s="71"/>
      <c r="BV217" s="72"/>
      <c r="BW217" s="72"/>
      <c r="BX217" s="72"/>
      <c r="BY217" s="72"/>
      <c r="BZ217" s="73"/>
      <c r="CA217" s="110"/>
      <c r="CB217" s="76"/>
      <c r="CC217" s="76"/>
      <c r="CD217" s="76"/>
      <c r="CE217" s="76"/>
      <c r="CF217" s="77"/>
    </row>
    <row r="218" spans="1:84" ht="12" customHeight="1">
      <c r="A218" s="1"/>
      <c r="B218" s="64">
        <v>206</v>
      </c>
      <c r="C218" s="65">
        <v>10</v>
      </c>
      <c r="D218" s="66" t="s">
        <v>14</v>
      </c>
      <c r="E218" s="69" t="s">
        <v>136</v>
      </c>
      <c r="F218" s="70" t="s">
        <v>81</v>
      </c>
      <c r="G218" s="71">
        <v>2501.3560975609757</v>
      </c>
      <c r="H218" s="72">
        <v>746.28292682926838</v>
      </c>
      <c r="I218" s="72">
        <v>746.28292682926838</v>
      </c>
      <c r="J218" s="72">
        <v>1008.790243902439</v>
      </c>
      <c r="K218" s="72">
        <v>0</v>
      </c>
      <c r="L218" s="73"/>
      <c r="M218" s="71">
        <v>5002.7121951219515</v>
      </c>
      <c r="N218" s="72">
        <v>1492.5658536585368</v>
      </c>
      <c r="O218" s="72">
        <v>1492.5658536585368</v>
      </c>
      <c r="P218" s="72">
        <v>2017.580487804878</v>
      </c>
      <c r="Q218" s="72">
        <v>0</v>
      </c>
      <c r="R218" s="73"/>
      <c r="S218" s="71">
        <v>738.4</v>
      </c>
      <c r="T218" s="72">
        <v>712</v>
      </c>
      <c r="U218" s="72">
        <v>745</v>
      </c>
      <c r="V218" s="72">
        <v>732</v>
      </c>
      <c r="W218" s="72">
        <v>752</v>
      </c>
      <c r="X218" s="73">
        <v>751</v>
      </c>
      <c r="Y218" s="71">
        <v>739.4</v>
      </c>
      <c r="Z218" s="72">
        <v>744</v>
      </c>
      <c r="AA218" s="72">
        <v>730</v>
      </c>
      <c r="AB218" s="72">
        <v>728</v>
      </c>
      <c r="AC218" s="72">
        <v>773</v>
      </c>
      <c r="AD218" s="73">
        <v>722</v>
      </c>
      <c r="AE218" s="71">
        <v>1003.2</v>
      </c>
      <c r="AF218" s="72">
        <v>996</v>
      </c>
      <c r="AG218" s="72">
        <v>1023</v>
      </c>
      <c r="AH218" s="72">
        <v>983</v>
      </c>
      <c r="AI218" s="72">
        <v>1024</v>
      </c>
      <c r="AJ218" s="73">
        <v>990</v>
      </c>
      <c r="AK218" s="71">
        <v>0</v>
      </c>
      <c r="AL218" s="72">
        <v>0</v>
      </c>
      <c r="AM218" s="72">
        <v>0</v>
      </c>
      <c r="AN218" s="72">
        <v>0</v>
      </c>
      <c r="AO218" s="72">
        <v>0</v>
      </c>
      <c r="AP218" s="73">
        <v>0</v>
      </c>
      <c r="AQ218" s="71"/>
      <c r="AR218" s="72"/>
      <c r="AS218" s="72"/>
      <c r="AT218" s="72"/>
      <c r="AU218" s="72"/>
      <c r="AV218" s="73"/>
      <c r="AW218" s="75">
        <v>-0.81380246422428915</v>
      </c>
      <c r="AX218" s="76">
        <v>-1.9731735760894598</v>
      </c>
      <c r="AY218" s="76">
        <v>-0.13417112278608645</v>
      </c>
      <c r="AZ218" s="76">
        <v>-2.3329784039096912</v>
      </c>
      <c r="BA218" s="76">
        <v>1.9047229015285216</v>
      </c>
      <c r="BB218" s="77">
        <v>-1.533412119864741</v>
      </c>
      <c r="BC218" s="71"/>
      <c r="BD218" s="72"/>
      <c r="BE218" s="72"/>
      <c r="BF218" s="72"/>
      <c r="BG218" s="72"/>
      <c r="BH218" s="73"/>
      <c r="BI218" s="71"/>
      <c r="BJ218" s="72"/>
      <c r="BK218" s="72"/>
      <c r="BL218" s="72"/>
      <c r="BM218" s="72"/>
      <c r="BN218" s="73"/>
      <c r="BO218" s="71"/>
      <c r="BP218" s="72"/>
      <c r="BQ218" s="72"/>
      <c r="BR218" s="72"/>
      <c r="BS218" s="72"/>
      <c r="BT218" s="73"/>
      <c r="BU218" s="71"/>
      <c r="BV218" s="72"/>
      <c r="BW218" s="72"/>
      <c r="BX218" s="72"/>
      <c r="BY218" s="72"/>
      <c r="BZ218" s="73"/>
      <c r="CA218" s="110"/>
      <c r="CB218" s="76"/>
      <c r="CC218" s="76"/>
      <c r="CD218" s="76"/>
      <c r="CE218" s="76"/>
      <c r="CF218" s="77"/>
    </row>
    <row r="219" spans="1:84" ht="12" customHeight="1">
      <c r="A219" s="1"/>
      <c r="B219" s="64">
        <v>207</v>
      </c>
      <c r="C219" s="65">
        <v>10</v>
      </c>
      <c r="D219" s="66" t="s">
        <v>14</v>
      </c>
      <c r="E219" s="69" t="s">
        <v>91</v>
      </c>
      <c r="F219" s="70" t="s">
        <v>81</v>
      </c>
      <c r="G219" s="71">
        <v>2501.3560975609757</v>
      </c>
      <c r="H219" s="72">
        <v>746.28292682926838</v>
      </c>
      <c r="I219" s="72">
        <v>746.28292682926838</v>
      </c>
      <c r="J219" s="72">
        <v>1008.790243902439</v>
      </c>
      <c r="K219" s="72">
        <v>0</v>
      </c>
      <c r="L219" s="73"/>
      <c r="M219" s="71">
        <v>5729.0411707317071</v>
      </c>
      <c r="N219" s="72">
        <v>1492.5658536585368</v>
      </c>
      <c r="O219" s="72">
        <v>1492.5658536585368</v>
      </c>
      <c r="P219" s="72">
        <v>2743.909463414634</v>
      </c>
      <c r="Q219" s="72">
        <v>0</v>
      </c>
      <c r="R219" s="73"/>
      <c r="S219" s="71">
        <v>738.4</v>
      </c>
      <c r="T219" s="72">
        <v>712</v>
      </c>
      <c r="U219" s="72">
        <v>745</v>
      </c>
      <c r="V219" s="72">
        <v>732</v>
      </c>
      <c r="W219" s="72">
        <v>752</v>
      </c>
      <c r="X219" s="73">
        <v>751</v>
      </c>
      <c r="Y219" s="71">
        <v>739.4</v>
      </c>
      <c r="Z219" s="72">
        <v>744</v>
      </c>
      <c r="AA219" s="72">
        <v>730</v>
      </c>
      <c r="AB219" s="72">
        <v>728</v>
      </c>
      <c r="AC219" s="72">
        <v>773</v>
      </c>
      <c r="AD219" s="73">
        <v>722</v>
      </c>
      <c r="AE219" s="71">
        <v>1003.2</v>
      </c>
      <c r="AF219" s="72">
        <v>996</v>
      </c>
      <c r="AG219" s="72">
        <v>1023</v>
      </c>
      <c r="AH219" s="72">
        <v>983</v>
      </c>
      <c r="AI219" s="72">
        <v>1024</v>
      </c>
      <c r="AJ219" s="73">
        <v>990</v>
      </c>
      <c r="AK219" s="71">
        <v>0</v>
      </c>
      <c r="AL219" s="72">
        <v>0</v>
      </c>
      <c r="AM219" s="72">
        <v>0</v>
      </c>
      <c r="AN219" s="72">
        <v>0</v>
      </c>
      <c r="AO219" s="72">
        <v>0</v>
      </c>
      <c r="AP219" s="73">
        <v>0</v>
      </c>
      <c r="AQ219" s="71"/>
      <c r="AR219" s="72"/>
      <c r="AS219" s="72"/>
      <c r="AT219" s="72"/>
      <c r="AU219" s="72"/>
      <c r="AV219" s="73"/>
      <c r="AW219" s="75">
        <v>-0.81380246422428915</v>
      </c>
      <c r="AX219" s="76">
        <v>-1.9731735760894598</v>
      </c>
      <c r="AY219" s="76">
        <v>-0.13417112278608645</v>
      </c>
      <c r="AZ219" s="76">
        <v>-2.3329784039096912</v>
      </c>
      <c r="BA219" s="76">
        <v>1.9047229015285216</v>
      </c>
      <c r="BB219" s="77">
        <v>-1.533412119864741</v>
      </c>
      <c r="BC219" s="71">
        <v>1513.2</v>
      </c>
      <c r="BD219" s="72">
        <v>1531</v>
      </c>
      <c r="BE219" s="72">
        <v>1534</v>
      </c>
      <c r="BF219" s="72">
        <v>1524</v>
      </c>
      <c r="BG219" s="72">
        <v>1433</v>
      </c>
      <c r="BH219" s="73">
        <v>1544</v>
      </c>
      <c r="BI219" s="71">
        <v>1492</v>
      </c>
      <c r="BJ219" s="72">
        <v>1436</v>
      </c>
      <c r="BK219" s="72">
        <v>1521</v>
      </c>
      <c r="BL219" s="72">
        <v>1484</v>
      </c>
      <c r="BM219" s="72">
        <v>1552</v>
      </c>
      <c r="BN219" s="73">
        <v>1467</v>
      </c>
      <c r="BO219" s="71">
        <v>2812.2</v>
      </c>
      <c r="BP219" s="72">
        <v>2696</v>
      </c>
      <c r="BQ219" s="72">
        <v>2863</v>
      </c>
      <c r="BR219" s="72">
        <v>2813</v>
      </c>
      <c r="BS219" s="72">
        <v>2924</v>
      </c>
      <c r="BT219" s="73">
        <v>2765</v>
      </c>
      <c r="BU219" s="71"/>
      <c r="BV219" s="72"/>
      <c r="BW219" s="72"/>
      <c r="BX219" s="72"/>
      <c r="BY219" s="72"/>
      <c r="BZ219" s="73"/>
      <c r="CA219" s="110">
        <v>1.54229698539603</v>
      </c>
      <c r="CB219" s="76">
        <v>-1.152743866968442</v>
      </c>
      <c r="CC219" s="76">
        <v>3.2982627221050276</v>
      </c>
      <c r="CD219" s="76">
        <v>1.6051347254770754</v>
      </c>
      <c r="CE219" s="76">
        <v>3.1411683719024364</v>
      </c>
      <c r="CF219" s="77">
        <v>0.81966297446411929</v>
      </c>
    </row>
    <row r="220" spans="1:84" ht="12" customHeight="1">
      <c r="A220" s="1"/>
      <c r="B220" s="64">
        <v>208</v>
      </c>
      <c r="C220" s="65">
        <v>10</v>
      </c>
      <c r="D220" s="66" t="s">
        <v>14</v>
      </c>
      <c r="E220" s="69" t="s">
        <v>144</v>
      </c>
      <c r="F220" s="70" t="s">
        <v>81</v>
      </c>
      <c r="G220" s="71">
        <v>4002.1697560975608</v>
      </c>
      <c r="H220" s="72">
        <v>746.28292682926838</v>
      </c>
      <c r="I220" s="72">
        <v>746.28292682926838</v>
      </c>
      <c r="J220" s="72">
        <v>1008.790243902439</v>
      </c>
      <c r="K220" s="72">
        <v>1500.8136585365853</v>
      </c>
      <c r="L220" s="73"/>
      <c r="M220" s="71">
        <v>8004.3395121951216</v>
      </c>
      <c r="N220" s="72">
        <v>1492.5658536585368</v>
      </c>
      <c r="O220" s="72">
        <v>1492.5658536585368</v>
      </c>
      <c r="P220" s="72">
        <v>2017.580487804878</v>
      </c>
      <c r="Q220" s="72">
        <v>3001.6273170731706</v>
      </c>
      <c r="R220" s="73"/>
      <c r="S220" s="71">
        <v>741.6</v>
      </c>
      <c r="T220" s="72">
        <v>744</v>
      </c>
      <c r="U220" s="72">
        <v>725</v>
      </c>
      <c r="V220" s="72">
        <v>707</v>
      </c>
      <c r="W220" s="72">
        <v>763</v>
      </c>
      <c r="X220" s="73">
        <v>769</v>
      </c>
      <c r="Y220" s="71">
        <v>752.4</v>
      </c>
      <c r="Z220" s="72">
        <v>793</v>
      </c>
      <c r="AA220" s="72">
        <v>704</v>
      </c>
      <c r="AB220" s="72">
        <v>747</v>
      </c>
      <c r="AC220" s="72">
        <v>785</v>
      </c>
      <c r="AD220" s="73">
        <v>733</v>
      </c>
      <c r="AE220" s="71">
        <v>1034.4000000000001</v>
      </c>
      <c r="AF220" s="72">
        <v>1027</v>
      </c>
      <c r="AG220" s="72">
        <v>1024</v>
      </c>
      <c r="AH220" s="72">
        <v>986</v>
      </c>
      <c r="AI220" s="72">
        <v>1066</v>
      </c>
      <c r="AJ220" s="73">
        <v>1069</v>
      </c>
      <c r="AK220" s="71">
        <v>1497</v>
      </c>
      <c r="AL220" s="72">
        <v>1478</v>
      </c>
      <c r="AM220" s="72">
        <v>1448</v>
      </c>
      <c r="AN220" s="72">
        <v>1565</v>
      </c>
      <c r="AO220" s="72">
        <v>1421</v>
      </c>
      <c r="AP220" s="73">
        <v>1573</v>
      </c>
      <c r="AQ220" s="71"/>
      <c r="AR220" s="72"/>
      <c r="AS220" s="72"/>
      <c r="AT220" s="72"/>
      <c r="AU220" s="72"/>
      <c r="AV220" s="73"/>
      <c r="AW220" s="75">
        <v>0.58044124357909954</v>
      </c>
      <c r="AX220" s="76">
        <v>0.99521625342742226</v>
      </c>
      <c r="AY220" s="76">
        <v>-2.5278726856456379</v>
      </c>
      <c r="AZ220" s="76">
        <v>7.0717737500447519E-2</v>
      </c>
      <c r="BA220" s="76">
        <v>0.8203111287925724</v>
      </c>
      <c r="BB220" s="77">
        <v>3.5438337838206824</v>
      </c>
      <c r="BC220" s="71"/>
      <c r="BD220" s="72"/>
      <c r="BE220" s="72"/>
      <c r="BF220" s="72"/>
      <c r="BG220" s="72"/>
      <c r="BH220" s="73"/>
      <c r="BI220" s="71"/>
      <c r="BJ220" s="72"/>
      <c r="BK220" s="72"/>
      <c r="BL220" s="72"/>
      <c r="BM220" s="72"/>
      <c r="BN220" s="73"/>
      <c r="BO220" s="71"/>
      <c r="BP220" s="72"/>
      <c r="BQ220" s="72"/>
      <c r="BR220" s="72"/>
      <c r="BS220" s="72"/>
      <c r="BT220" s="73"/>
      <c r="BU220" s="71"/>
      <c r="BV220" s="72"/>
      <c r="BW220" s="72"/>
      <c r="BX220" s="72"/>
      <c r="BY220" s="72"/>
      <c r="BZ220" s="73"/>
      <c r="CA220" s="110"/>
      <c r="CB220" s="76"/>
      <c r="CC220" s="76"/>
      <c r="CD220" s="76"/>
      <c r="CE220" s="76"/>
      <c r="CF220" s="77"/>
    </row>
    <row r="221" spans="1:84" ht="12" customHeight="1">
      <c r="A221" s="1"/>
      <c r="B221" s="64">
        <v>209</v>
      </c>
      <c r="C221" s="65">
        <v>10</v>
      </c>
      <c r="D221" s="66" t="s">
        <v>14</v>
      </c>
      <c r="E221" s="69" t="s">
        <v>92</v>
      </c>
      <c r="F221" s="70" t="s">
        <v>81</v>
      </c>
      <c r="G221" s="71">
        <v>3001.6273170731711</v>
      </c>
      <c r="H221" s="72">
        <v>895.53951219512203</v>
      </c>
      <c r="I221" s="72">
        <v>895.53951219512203</v>
      </c>
      <c r="J221" s="72">
        <v>1210.5482926829268</v>
      </c>
      <c r="K221" s="72">
        <v>0</v>
      </c>
      <c r="L221" s="73"/>
      <c r="M221" s="71">
        <v>7504.0682926829268</v>
      </c>
      <c r="N221" s="72">
        <v>2238.848780487805</v>
      </c>
      <c r="O221" s="72">
        <v>2238.848780487805</v>
      </c>
      <c r="P221" s="72">
        <v>3026.3707317073172</v>
      </c>
      <c r="Q221" s="72">
        <v>0</v>
      </c>
      <c r="R221" s="73"/>
      <c r="S221" s="71">
        <v>910.2</v>
      </c>
      <c r="T221" s="72">
        <v>921</v>
      </c>
      <c r="U221" s="72">
        <v>933</v>
      </c>
      <c r="V221" s="72">
        <v>886</v>
      </c>
      <c r="W221" s="72">
        <v>909</v>
      </c>
      <c r="X221" s="73">
        <v>902</v>
      </c>
      <c r="Y221" s="71">
        <v>925.2</v>
      </c>
      <c r="Z221" s="72">
        <v>937</v>
      </c>
      <c r="AA221" s="72">
        <v>943</v>
      </c>
      <c r="AB221" s="72">
        <v>890</v>
      </c>
      <c r="AC221" s="72">
        <v>934</v>
      </c>
      <c r="AD221" s="73">
        <v>922</v>
      </c>
      <c r="AE221" s="71">
        <v>1220.2</v>
      </c>
      <c r="AF221" s="72">
        <v>1227</v>
      </c>
      <c r="AG221" s="72">
        <v>1224</v>
      </c>
      <c r="AH221" s="72">
        <v>1210</v>
      </c>
      <c r="AI221" s="72">
        <v>1202</v>
      </c>
      <c r="AJ221" s="73">
        <v>1238</v>
      </c>
      <c r="AK221" s="71">
        <v>0</v>
      </c>
      <c r="AL221" s="72">
        <v>0</v>
      </c>
      <c r="AM221" s="72">
        <v>0</v>
      </c>
      <c r="AN221" s="72">
        <v>0</v>
      </c>
      <c r="AO221" s="72">
        <v>0</v>
      </c>
      <c r="AP221" s="73">
        <v>0</v>
      </c>
      <c r="AQ221" s="71"/>
      <c r="AR221" s="72"/>
      <c r="AS221" s="72"/>
      <c r="AT221" s="72"/>
      <c r="AU221" s="72"/>
      <c r="AV221" s="73"/>
      <c r="AW221" s="75">
        <v>1.7981140636558868</v>
      </c>
      <c r="AX221" s="76">
        <v>2.7775827616109305</v>
      </c>
      <c r="AY221" s="76">
        <v>3.2773116891390286</v>
      </c>
      <c r="AZ221" s="76">
        <v>-0.52062816007447665</v>
      </c>
      <c r="BA221" s="76">
        <v>1.4449722882026839</v>
      </c>
      <c r="BB221" s="77">
        <v>2.0113317394011787</v>
      </c>
      <c r="BC221" s="71">
        <v>2291</v>
      </c>
      <c r="BD221" s="72">
        <v>2331</v>
      </c>
      <c r="BE221" s="72">
        <v>2272</v>
      </c>
      <c r="BF221" s="72">
        <v>2282</v>
      </c>
      <c r="BG221" s="72">
        <v>2350</v>
      </c>
      <c r="BH221" s="73">
        <v>2220</v>
      </c>
      <c r="BI221" s="71">
        <v>2181.6</v>
      </c>
      <c r="BJ221" s="72">
        <v>2137</v>
      </c>
      <c r="BK221" s="72">
        <v>2143</v>
      </c>
      <c r="BL221" s="72">
        <v>2157</v>
      </c>
      <c r="BM221" s="72">
        <v>2325</v>
      </c>
      <c r="BN221" s="73">
        <v>2146</v>
      </c>
      <c r="BO221" s="71">
        <v>3065.6</v>
      </c>
      <c r="BP221" s="72">
        <v>3066</v>
      </c>
      <c r="BQ221" s="72">
        <v>3082</v>
      </c>
      <c r="BR221" s="72">
        <v>3127</v>
      </c>
      <c r="BS221" s="72">
        <v>2878</v>
      </c>
      <c r="BT221" s="73">
        <v>3175</v>
      </c>
      <c r="BU221" s="71"/>
      <c r="BV221" s="72"/>
      <c r="BW221" s="72"/>
      <c r="BX221" s="72"/>
      <c r="BY221" s="72"/>
      <c r="BZ221" s="73"/>
      <c r="CA221" s="110">
        <v>0.45484270646036773</v>
      </c>
      <c r="CB221" s="76">
        <v>0.3988730665772211</v>
      </c>
      <c r="CC221" s="76">
        <v>-9.4192808583826171E-2</v>
      </c>
      <c r="CD221" s="76">
        <v>0.82530841806784938</v>
      </c>
      <c r="CE221" s="76">
        <v>0.65206905652479552</v>
      </c>
      <c r="CF221" s="77">
        <v>0.49215579971579881</v>
      </c>
    </row>
    <row r="222" spans="1:84" ht="12" customHeight="1">
      <c r="A222" s="1"/>
      <c r="B222" s="64">
        <v>210</v>
      </c>
      <c r="C222" s="65">
        <v>10</v>
      </c>
      <c r="D222" s="66" t="s">
        <v>14</v>
      </c>
      <c r="E222" s="69" t="s">
        <v>138</v>
      </c>
      <c r="F222" s="70" t="s">
        <v>81</v>
      </c>
      <c r="G222" s="71">
        <v>4002.1697560975608</v>
      </c>
      <c r="H222" s="72">
        <v>746.28292682926838</v>
      </c>
      <c r="I222" s="72">
        <v>746.28292682926838</v>
      </c>
      <c r="J222" s="72">
        <v>1008.790243902439</v>
      </c>
      <c r="K222" s="72">
        <v>1500.8136585365853</v>
      </c>
      <c r="L222" s="73"/>
      <c r="M222" s="71">
        <v>8004.3395121951216</v>
      </c>
      <c r="N222" s="72">
        <v>1492.5658536585368</v>
      </c>
      <c r="O222" s="72">
        <v>1492.5658536585368</v>
      </c>
      <c r="P222" s="72">
        <v>2017.580487804878</v>
      </c>
      <c r="Q222" s="72">
        <v>3001.6273170731706</v>
      </c>
      <c r="R222" s="73"/>
      <c r="S222" s="71">
        <v>741.6</v>
      </c>
      <c r="T222" s="72">
        <v>744</v>
      </c>
      <c r="U222" s="72">
        <v>725</v>
      </c>
      <c r="V222" s="72">
        <v>707</v>
      </c>
      <c r="W222" s="72">
        <v>763</v>
      </c>
      <c r="X222" s="73">
        <v>769</v>
      </c>
      <c r="Y222" s="71">
        <v>752.4</v>
      </c>
      <c r="Z222" s="72">
        <v>793</v>
      </c>
      <c r="AA222" s="72">
        <v>704</v>
      </c>
      <c r="AB222" s="72">
        <v>747</v>
      </c>
      <c r="AC222" s="72">
        <v>785</v>
      </c>
      <c r="AD222" s="73">
        <v>733</v>
      </c>
      <c r="AE222" s="71">
        <v>1034.4000000000001</v>
      </c>
      <c r="AF222" s="72">
        <v>1027</v>
      </c>
      <c r="AG222" s="72">
        <v>1024</v>
      </c>
      <c r="AH222" s="72">
        <v>986</v>
      </c>
      <c r="AI222" s="72">
        <v>1066</v>
      </c>
      <c r="AJ222" s="73">
        <v>1069</v>
      </c>
      <c r="AK222" s="71">
        <v>1497</v>
      </c>
      <c r="AL222" s="72">
        <v>1478</v>
      </c>
      <c r="AM222" s="72">
        <v>1448</v>
      </c>
      <c r="AN222" s="72">
        <v>1565</v>
      </c>
      <c r="AO222" s="72">
        <v>1421</v>
      </c>
      <c r="AP222" s="73">
        <v>1573</v>
      </c>
      <c r="AQ222" s="71"/>
      <c r="AR222" s="72"/>
      <c r="AS222" s="72"/>
      <c r="AT222" s="72"/>
      <c r="AU222" s="72"/>
      <c r="AV222" s="73"/>
      <c r="AW222" s="75">
        <v>0.58044124357909954</v>
      </c>
      <c r="AX222" s="76">
        <v>0.99521625342742226</v>
      </c>
      <c r="AY222" s="76">
        <v>-2.5278726856456379</v>
      </c>
      <c r="AZ222" s="76">
        <v>7.0717737500447519E-2</v>
      </c>
      <c r="BA222" s="76">
        <v>0.8203111287925724</v>
      </c>
      <c r="BB222" s="77">
        <v>3.5438337838206824</v>
      </c>
      <c r="BC222" s="71"/>
      <c r="BD222" s="72"/>
      <c r="BE222" s="72"/>
      <c r="BF222" s="72"/>
      <c r="BG222" s="72"/>
      <c r="BH222" s="73"/>
      <c r="BI222" s="71"/>
      <c r="BJ222" s="72"/>
      <c r="BK222" s="72"/>
      <c r="BL222" s="72"/>
      <c r="BM222" s="72"/>
      <c r="BN222" s="73"/>
      <c r="BO222" s="71"/>
      <c r="BP222" s="72"/>
      <c r="BQ222" s="72"/>
      <c r="BR222" s="72"/>
      <c r="BS222" s="72"/>
      <c r="BT222" s="73"/>
      <c r="BU222" s="71"/>
      <c r="BV222" s="72"/>
      <c r="BW222" s="72"/>
      <c r="BX222" s="72"/>
      <c r="BY222" s="72"/>
      <c r="BZ222" s="73"/>
      <c r="CA222" s="110"/>
      <c r="CB222" s="76"/>
      <c r="CC222" s="76"/>
      <c r="CD222" s="76"/>
      <c r="CE222" s="76"/>
      <c r="CF222" s="77"/>
    </row>
    <row r="223" spans="1:84" ht="12" customHeight="1">
      <c r="A223" s="1"/>
      <c r="B223" s="64">
        <v>211</v>
      </c>
      <c r="C223" s="65">
        <v>10</v>
      </c>
      <c r="D223" s="66" t="s">
        <v>14</v>
      </c>
      <c r="E223" s="69" t="s">
        <v>139</v>
      </c>
      <c r="F223" s="70" t="s">
        <v>81</v>
      </c>
      <c r="G223" s="71">
        <v>3001.6273170731711</v>
      </c>
      <c r="H223" s="72">
        <v>895.53951219512203</v>
      </c>
      <c r="I223" s="72">
        <v>895.53951219512203</v>
      </c>
      <c r="J223" s="72">
        <v>1210.5482926829268</v>
      </c>
      <c r="K223" s="72">
        <v>0</v>
      </c>
      <c r="L223" s="73"/>
      <c r="M223" s="71">
        <v>7504.0682926829268</v>
      </c>
      <c r="N223" s="72">
        <v>2238.848780487805</v>
      </c>
      <c r="O223" s="72">
        <v>2238.848780487805</v>
      </c>
      <c r="P223" s="72">
        <v>3026.3707317073172</v>
      </c>
      <c r="Q223" s="72">
        <v>0</v>
      </c>
      <c r="R223" s="73"/>
      <c r="S223" s="71">
        <v>910.2</v>
      </c>
      <c r="T223" s="72">
        <v>921</v>
      </c>
      <c r="U223" s="72">
        <v>933</v>
      </c>
      <c r="V223" s="72">
        <v>886</v>
      </c>
      <c r="W223" s="72">
        <v>909</v>
      </c>
      <c r="X223" s="73">
        <v>902</v>
      </c>
      <c r="Y223" s="71">
        <v>925.2</v>
      </c>
      <c r="Z223" s="72">
        <v>937</v>
      </c>
      <c r="AA223" s="72">
        <v>943</v>
      </c>
      <c r="AB223" s="72">
        <v>890</v>
      </c>
      <c r="AC223" s="72">
        <v>934</v>
      </c>
      <c r="AD223" s="73">
        <v>922</v>
      </c>
      <c r="AE223" s="71">
        <v>1220.2</v>
      </c>
      <c r="AF223" s="72">
        <v>1227</v>
      </c>
      <c r="AG223" s="72">
        <v>1224</v>
      </c>
      <c r="AH223" s="72">
        <v>1210</v>
      </c>
      <c r="AI223" s="72">
        <v>1202</v>
      </c>
      <c r="AJ223" s="73">
        <v>1238</v>
      </c>
      <c r="AK223" s="71">
        <v>0</v>
      </c>
      <c r="AL223" s="72">
        <v>0</v>
      </c>
      <c r="AM223" s="72">
        <v>0</v>
      </c>
      <c r="AN223" s="72">
        <v>0</v>
      </c>
      <c r="AO223" s="72">
        <v>0</v>
      </c>
      <c r="AP223" s="73">
        <v>0</v>
      </c>
      <c r="AQ223" s="71"/>
      <c r="AR223" s="72"/>
      <c r="AS223" s="72"/>
      <c r="AT223" s="72"/>
      <c r="AU223" s="72"/>
      <c r="AV223" s="73"/>
      <c r="AW223" s="75">
        <v>1.7981140636558868</v>
      </c>
      <c r="AX223" s="76">
        <v>2.7775827616109305</v>
      </c>
      <c r="AY223" s="76">
        <v>3.2773116891390286</v>
      </c>
      <c r="AZ223" s="76">
        <v>-0.52062816007447665</v>
      </c>
      <c r="BA223" s="76">
        <v>1.4449722882026839</v>
      </c>
      <c r="BB223" s="77">
        <v>2.0113317394011787</v>
      </c>
      <c r="BC223" s="71">
        <v>2291</v>
      </c>
      <c r="BD223" s="72">
        <v>2331</v>
      </c>
      <c r="BE223" s="72">
        <v>2272</v>
      </c>
      <c r="BF223" s="72">
        <v>2282</v>
      </c>
      <c r="BG223" s="72">
        <v>2350</v>
      </c>
      <c r="BH223" s="73">
        <v>2220</v>
      </c>
      <c r="BI223" s="71">
        <v>2181.6</v>
      </c>
      <c r="BJ223" s="72">
        <v>2137</v>
      </c>
      <c r="BK223" s="72">
        <v>2143</v>
      </c>
      <c r="BL223" s="72">
        <v>2157</v>
      </c>
      <c r="BM223" s="72">
        <v>2325</v>
      </c>
      <c r="BN223" s="73">
        <v>2146</v>
      </c>
      <c r="BO223" s="71">
        <v>3065.6</v>
      </c>
      <c r="BP223" s="72">
        <v>3066</v>
      </c>
      <c r="BQ223" s="72">
        <v>3082</v>
      </c>
      <c r="BR223" s="72">
        <v>3127</v>
      </c>
      <c r="BS223" s="72">
        <v>2878</v>
      </c>
      <c r="BT223" s="73">
        <v>3175</v>
      </c>
      <c r="BU223" s="71"/>
      <c r="BV223" s="72"/>
      <c r="BW223" s="72"/>
      <c r="BX223" s="72"/>
      <c r="BY223" s="72"/>
      <c r="BZ223" s="73"/>
      <c r="CA223" s="110">
        <v>0.45484270646036773</v>
      </c>
      <c r="CB223" s="76">
        <v>0.3988730665772211</v>
      </c>
      <c r="CC223" s="76">
        <v>-9.4192808583826171E-2</v>
      </c>
      <c r="CD223" s="76">
        <v>0.82530841806784938</v>
      </c>
      <c r="CE223" s="76">
        <v>0.65206905652479552</v>
      </c>
      <c r="CF223" s="77">
        <v>0.49215579971579881</v>
      </c>
    </row>
    <row r="224" spans="1:84" ht="12" customHeight="1">
      <c r="A224" s="1"/>
      <c r="B224" s="64">
        <v>212</v>
      </c>
      <c r="C224" s="65">
        <v>10</v>
      </c>
      <c r="D224" s="66" t="s">
        <v>14</v>
      </c>
      <c r="E224" s="69" t="s">
        <v>141</v>
      </c>
      <c r="F224" s="70" t="s">
        <v>81</v>
      </c>
      <c r="G224" s="71">
        <v>4002.1697560975608</v>
      </c>
      <c r="H224" s="72">
        <v>746.28292682926838</v>
      </c>
      <c r="I224" s="72">
        <v>746.28292682926838</v>
      </c>
      <c r="J224" s="72">
        <v>1008.790243902439</v>
      </c>
      <c r="K224" s="72">
        <v>1500.8136585365853</v>
      </c>
      <c r="L224" s="73"/>
      <c r="M224" s="71">
        <v>9084.9253463414643</v>
      </c>
      <c r="N224" s="72">
        <v>1492.5658536585368</v>
      </c>
      <c r="O224" s="72">
        <v>1492.5658536585368</v>
      </c>
      <c r="P224" s="72">
        <v>2017.580487804878</v>
      </c>
      <c r="Q224" s="72">
        <v>4082.2131512195124</v>
      </c>
      <c r="R224" s="73"/>
      <c r="S224" s="71">
        <v>741.6</v>
      </c>
      <c r="T224" s="72">
        <v>744</v>
      </c>
      <c r="U224" s="72">
        <v>725</v>
      </c>
      <c r="V224" s="72">
        <v>707</v>
      </c>
      <c r="W224" s="72">
        <v>763</v>
      </c>
      <c r="X224" s="73">
        <v>769</v>
      </c>
      <c r="Y224" s="71">
        <v>752.4</v>
      </c>
      <c r="Z224" s="72">
        <v>793</v>
      </c>
      <c r="AA224" s="72">
        <v>704</v>
      </c>
      <c r="AB224" s="72">
        <v>747</v>
      </c>
      <c r="AC224" s="72">
        <v>785</v>
      </c>
      <c r="AD224" s="73">
        <v>733</v>
      </c>
      <c r="AE224" s="71">
        <v>1034.4000000000001</v>
      </c>
      <c r="AF224" s="72">
        <v>1027</v>
      </c>
      <c r="AG224" s="72">
        <v>1024</v>
      </c>
      <c r="AH224" s="72">
        <v>986</v>
      </c>
      <c r="AI224" s="72">
        <v>1066</v>
      </c>
      <c r="AJ224" s="73">
        <v>1069</v>
      </c>
      <c r="AK224" s="71">
        <v>1497</v>
      </c>
      <c r="AL224" s="72">
        <v>1478</v>
      </c>
      <c r="AM224" s="72">
        <v>1448</v>
      </c>
      <c r="AN224" s="72">
        <v>1565</v>
      </c>
      <c r="AO224" s="72">
        <v>1421</v>
      </c>
      <c r="AP224" s="73">
        <v>1573</v>
      </c>
      <c r="AQ224" s="71"/>
      <c r="AR224" s="72"/>
      <c r="AS224" s="72"/>
      <c r="AT224" s="72"/>
      <c r="AU224" s="72"/>
      <c r="AV224" s="73"/>
      <c r="AW224" s="75">
        <v>0.58044124357909954</v>
      </c>
      <c r="AX224" s="76">
        <v>0.99521625342742226</v>
      </c>
      <c r="AY224" s="76">
        <v>-2.5278726856456379</v>
      </c>
      <c r="AZ224" s="76">
        <v>7.0717737500447519E-2</v>
      </c>
      <c r="BA224" s="76">
        <v>0.8203111287925724</v>
      </c>
      <c r="BB224" s="77">
        <v>3.5438337838206824</v>
      </c>
      <c r="BC224" s="71">
        <v>1488.2</v>
      </c>
      <c r="BD224" s="72">
        <v>1533</v>
      </c>
      <c r="BE224" s="72">
        <v>1576</v>
      </c>
      <c r="BF224" s="72">
        <v>1416</v>
      </c>
      <c r="BG224" s="72">
        <v>1472</v>
      </c>
      <c r="BH224" s="73">
        <v>1444</v>
      </c>
      <c r="BI224" s="71">
        <v>1468.6</v>
      </c>
      <c r="BJ224" s="72">
        <v>1448</v>
      </c>
      <c r="BK224" s="72">
        <v>1451</v>
      </c>
      <c r="BL224" s="72">
        <v>1456</v>
      </c>
      <c r="BM224" s="72">
        <v>1516</v>
      </c>
      <c r="BN224" s="73">
        <v>1472</v>
      </c>
      <c r="BO224" s="71">
        <v>2009</v>
      </c>
      <c r="BP224" s="72">
        <v>1989</v>
      </c>
      <c r="BQ224" s="72">
        <v>1933</v>
      </c>
      <c r="BR224" s="72">
        <v>2127</v>
      </c>
      <c r="BS224" s="72">
        <v>2057</v>
      </c>
      <c r="BT224" s="73">
        <v>1939</v>
      </c>
      <c r="BU224" s="71">
        <v>4220</v>
      </c>
      <c r="BV224" s="72">
        <v>4134</v>
      </c>
      <c r="BW224" s="72">
        <v>4182</v>
      </c>
      <c r="BX224" s="72">
        <v>4112</v>
      </c>
      <c r="BY224" s="72">
        <v>4264</v>
      </c>
      <c r="BZ224" s="73">
        <v>4408</v>
      </c>
      <c r="CA224" s="110">
        <v>1.1103520371706477</v>
      </c>
      <c r="CB224" s="76">
        <v>0.20995938801211533</v>
      </c>
      <c r="CC224" s="76">
        <v>0.62823470180213281</v>
      </c>
      <c r="CD224" s="76">
        <v>0.28701010371028346</v>
      </c>
      <c r="CE224" s="76">
        <v>2.4664446334583312</v>
      </c>
      <c r="CF224" s="77">
        <v>1.9601113588703978</v>
      </c>
    </row>
    <row r="225" spans="1:84" ht="12" customHeight="1">
      <c r="A225" s="1"/>
      <c r="B225" s="64">
        <v>213</v>
      </c>
      <c r="C225" s="65">
        <v>10</v>
      </c>
      <c r="D225" s="66" t="s">
        <v>14</v>
      </c>
      <c r="E225" s="69" t="s">
        <v>98</v>
      </c>
      <c r="F225" s="70" t="s">
        <v>81</v>
      </c>
      <c r="G225" s="71">
        <v>3001.6273170731711</v>
      </c>
      <c r="H225" s="72">
        <v>895.53951219512203</v>
      </c>
      <c r="I225" s="72">
        <v>895.53951219512203</v>
      </c>
      <c r="J225" s="72">
        <v>1210.5482926829268</v>
      </c>
      <c r="K225" s="72">
        <v>0</v>
      </c>
      <c r="L225" s="73"/>
      <c r="M225" s="71">
        <v>8593.5617560975625</v>
      </c>
      <c r="N225" s="72">
        <v>2238.848780487805</v>
      </c>
      <c r="O225" s="72">
        <v>2238.848780487805</v>
      </c>
      <c r="P225" s="72">
        <v>4115.8641951219515</v>
      </c>
      <c r="Q225" s="72">
        <v>0</v>
      </c>
      <c r="R225" s="73"/>
      <c r="S225" s="71">
        <v>910.2</v>
      </c>
      <c r="T225" s="72">
        <v>921</v>
      </c>
      <c r="U225" s="72">
        <v>933</v>
      </c>
      <c r="V225" s="72">
        <v>886</v>
      </c>
      <c r="W225" s="72">
        <v>909</v>
      </c>
      <c r="X225" s="73">
        <v>902</v>
      </c>
      <c r="Y225" s="71">
        <v>925.2</v>
      </c>
      <c r="Z225" s="72">
        <v>937</v>
      </c>
      <c r="AA225" s="72">
        <v>943</v>
      </c>
      <c r="AB225" s="72">
        <v>890</v>
      </c>
      <c r="AC225" s="72">
        <v>934</v>
      </c>
      <c r="AD225" s="73">
        <v>922</v>
      </c>
      <c r="AE225" s="71">
        <v>1220.2</v>
      </c>
      <c r="AF225" s="72">
        <v>1227</v>
      </c>
      <c r="AG225" s="72">
        <v>1224</v>
      </c>
      <c r="AH225" s="72">
        <v>1210</v>
      </c>
      <c r="AI225" s="72">
        <v>1202</v>
      </c>
      <c r="AJ225" s="73">
        <v>1238</v>
      </c>
      <c r="AK225" s="71">
        <v>0</v>
      </c>
      <c r="AL225" s="72">
        <v>0</v>
      </c>
      <c r="AM225" s="72">
        <v>0</v>
      </c>
      <c r="AN225" s="72">
        <v>0</v>
      </c>
      <c r="AO225" s="72">
        <v>0</v>
      </c>
      <c r="AP225" s="73">
        <v>0</v>
      </c>
      <c r="AQ225" s="71"/>
      <c r="AR225" s="72"/>
      <c r="AS225" s="72"/>
      <c r="AT225" s="72"/>
      <c r="AU225" s="72"/>
      <c r="AV225" s="73"/>
      <c r="AW225" s="75">
        <v>1.7981140636558868</v>
      </c>
      <c r="AX225" s="76">
        <v>2.7775827616109305</v>
      </c>
      <c r="AY225" s="76">
        <v>3.2773116891390286</v>
      </c>
      <c r="AZ225" s="76">
        <v>-0.52062816007447665</v>
      </c>
      <c r="BA225" s="76">
        <v>1.4449722882026839</v>
      </c>
      <c r="BB225" s="77">
        <v>2.0113317394011787</v>
      </c>
      <c r="BC225" s="71">
        <v>2232.1999999999998</v>
      </c>
      <c r="BD225" s="72">
        <v>2098</v>
      </c>
      <c r="BE225" s="72">
        <v>2211</v>
      </c>
      <c r="BF225" s="72">
        <v>2208</v>
      </c>
      <c r="BG225" s="72">
        <v>2360</v>
      </c>
      <c r="BH225" s="73">
        <v>2284</v>
      </c>
      <c r="BI225" s="71">
        <v>2263.1999999999998</v>
      </c>
      <c r="BJ225" s="72">
        <v>2237</v>
      </c>
      <c r="BK225" s="72">
        <v>2170</v>
      </c>
      <c r="BL225" s="72">
        <v>2251</v>
      </c>
      <c r="BM225" s="72">
        <v>2252</v>
      </c>
      <c r="BN225" s="73">
        <v>2406</v>
      </c>
      <c r="BO225" s="71">
        <v>4217</v>
      </c>
      <c r="BP225" s="72">
        <v>4293</v>
      </c>
      <c r="BQ225" s="72">
        <v>4180</v>
      </c>
      <c r="BR225" s="72">
        <v>4360</v>
      </c>
      <c r="BS225" s="72">
        <v>4318</v>
      </c>
      <c r="BT225" s="73">
        <v>3934</v>
      </c>
      <c r="BU225" s="71"/>
      <c r="BV225" s="72"/>
      <c r="BW225" s="72"/>
      <c r="BX225" s="72"/>
      <c r="BY225" s="72"/>
      <c r="BZ225" s="73"/>
      <c r="CA225" s="110">
        <v>1.3828753114867087</v>
      </c>
      <c r="CB225" s="76">
        <v>0.40074470725717237</v>
      </c>
      <c r="CC225" s="76">
        <v>-0.37890873448902518</v>
      </c>
      <c r="CD225" s="76">
        <v>2.6233388471605279</v>
      </c>
      <c r="CE225" s="76">
        <v>3.9150035043818532</v>
      </c>
      <c r="CF225" s="77">
        <v>0.35419823312308196</v>
      </c>
    </row>
    <row r="226" spans="1:84" ht="12" customHeight="1">
      <c r="A226" s="1"/>
      <c r="B226" s="64">
        <v>214</v>
      </c>
      <c r="C226" s="65">
        <v>10</v>
      </c>
      <c r="D226" s="66" t="s">
        <v>14</v>
      </c>
      <c r="E226" s="69" t="s">
        <v>150</v>
      </c>
      <c r="F226" s="70" t="s">
        <v>81</v>
      </c>
      <c r="G226" s="71">
        <v>4002.1697560975608</v>
      </c>
      <c r="H226" s="72">
        <v>746.28292682926838</v>
      </c>
      <c r="I226" s="72">
        <v>746.28292682926838</v>
      </c>
      <c r="J226" s="72">
        <v>1008.790243902439</v>
      </c>
      <c r="K226" s="72">
        <v>1500.8136585365853</v>
      </c>
      <c r="L226" s="73"/>
      <c r="M226" s="71">
        <v>10005.424390243901</v>
      </c>
      <c r="N226" s="72">
        <v>1865.7073170731708</v>
      </c>
      <c r="O226" s="72">
        <v>1865.7073170731708</v>
      </c>
      <c r="P226" s="72">
        <v>2521.9756097560976</v>
      </c>
      <c r="Q226" s="72">
        <v>3752.0341463414634</v>
      </c>
      <c r="R226" s="73"/>
      <c r="S226" s="71">
        <v>741.6</v>
      </c>
      <c r="T226" s="72">
        <v>744</v>
      </c>
      <c r="U226" s="72">
        <v>725</v>
      </c>
      <c r="V226" s="72">
        <v>707</v>
      </c>
      <c r="W226" s="72">
        <v>763</v>
      </c>
      <c r="X226" s="73">
        <v>769</v>
      </c>
      <c r="Y226" s="71">
        <v>752.4</v>
      </c>
      <c r="Z226" s="72">
        <v>793</v>
      </c>
      <c r="AA226" s="72">
        <v>704</v>
      </c>
      <c r="AB226" s="72">
        <v>747</v>
      </c>
      <c r="AC226" s="72">
        <v>785</v>
      </c>
      <c r="AD226" s="73">
        <v>733</v>
      </c>
      <c r="AE226" s="71">
        <v>1034.4000000000001</v>
      </c>
      <c r="AF226" s="72">
        <v>1027</v>
      </c>
      <c r="AG226" s="72">
        <v>1024</v>
      </c>
      <c r="AH226" s="72">
        <v>986</v>
      </c>
      <c r="AI226" s="72">
        <v>1066</v>
      </c>
      <c r="AJ226" s="73">
        <v>1069</v>
      </c>
      <c r="AK226" s="71">
        <v>1497</v>
      </c>
      <c r="AL226" s="72">
        <v>1478</v>
      </c>
      <c r="AM226" s="72">
        <v>1448</v>
      </c>
      <c r="AN226" s="72">
        <v>1565</v>
      </c>
      <c r="AO226" s="72">
        <v>1421</v>
      </c>
      <c r="AP226" s="73">
        <v>1573</v>
      </c>
      <c r="AQ226" s="71"/>
      <c r="AR226" s="72"/>
      <c r="AS226" s="72"/>
      <c r="AT226" s="72"/>
      <c r="AU226" s="72"/>
      <c r="AV226" s="73"/>
      <c r="AW226" s="75">
        <v>0.58044124357909954</v>
      </c>
      <c r="AX226" s="76">
        <v>0.99521625342742226</v>
      </c>
      <c r="AY226" s="76">
        <v>-2.5278726856456379</v>
      </c>
      <c r="AZ226" s="76">
        <v>7.0717737500447519E-2</v>
      </c>
      <c r="BA226" s="76">
        <v>0.8203111287925724</v>
      </c>
      <c r="BB226" s="77">
        <v>3.5438337838206824</v>
      </c>
      <c r="BC226" s="71">
        <v>1890</v>
      </c>
      <c r="BD226" s="72">
        <v>1927</v>
      </c>
      <c r="BE226" s="72">
        <v>1792</v>
      </c>
      <c r="BF226" s="72">
        <v>1941</v>
      </c>
      <c r="BG226" s="72">
        <v>1845</v>
      </c>
      <c r="BH226" s="73">
        <v>1945</v>
      </c>
      <c r="BI226" s="71">
        <v>1877</v>
      </c>
      <c r="BJ226" s="72">
        <v>1789</v>
      </c>
      <c r="BK226" s="72">
        <v>1936</v>
      </c>
      <c r="BL226" s="72">
        <v>1880</v>
      </c>
      <c r="BM226" s="72">
        <v>1880</v>
      </c>
      <c r="BN226" s="73">
        <v>1900</v>
      </c>
      <c r="BO226" s="71">
        <v>1982</v>
      </c>
      <c r="BP226" s="72">
        <v>1886</v>
      </c>
      <c r="BQ226" s="72">
        <v>2033</v>
      </c>
      <c r="BR226" s="72">
        <v>2035</v>
      </c>
      <c r="BS226" s="72">
        <v>2042</v>
      </c>
      <c r="BT226" s="73">
        <v>1914</v>
      </c>
      <c r="BU226" s="71">
        <v>3715.4</v>
      </c>
      <c r="BV226" s="72">
        <v>3667</v>
      </c>
      <c r="BW226" s="72">
        <v>3743</v>
      </c>
      <c r="BX226" s="72">
        <v>3783</v>
      </c>
      <c r="BY226" s="72">
        <v>3726</v>
      </c>
      <c r="BZ226" s="73">
        <v>3658</v>
      </c>
      <c r="CA226" s="110">
        <v>-5.4073107660625013</v>
      </c>
      <c r="CB226" s="76">
        <v>-7.3602514148422777</v>
      </c>
      <c r="CC226" s="76">
        <v>-5.0115254554602418</v>
      </c>
      <c r="CD226" s="76">
        <v>-3.6622573511344014</v>
      </c>
      <c r="CE226" s="76">
        <v>-5.1214658195164242</v>
      </c>
      <c r="CF226" s="77">
        <v>-5.8810537893591253</v>
      </c>
    </row>
    <row r="227" spans="1:84" ht="12" customHeight="1">
      <c r="A227" s="1"/>
      <c r="B227" s="64">
        <v>215</v>
      </c>
      <c r="C227" s="65">
        <v>10</v>
      </c>
      <c r="D227" s="66" t="s">
        <v>14</v>
      </c>
      <c r="E227" s="69" t="s">
        <v>151</v>
      </c>
      <c r="F227" s="70" t="s">
        <v>81</v>
      </c>
      <c r="G227" s="71">
        <v>3001.6273170731711</v>
      </c>
      <c r="H227" s="72">
        <v>895.53951219512203</v>
      </c>
      <c r="I227" s="72">
        <v>895.53951219512203</v>
      </c>
      <c r="J227" s="72">
        <v>1210.5482926829268</v>
      </c>
      <c r="K227" s="72">
        <v>0</v>
      </c>
      <c r="L227" s="73"/>
      <c r="M227" s="71">
        <v>9004.8819512195132</v>
      </c>
      <c r="N227" s="72">
        <v>2686.6185365853662</v>
      </c>
      <c r="O227" s="72">
        <v>2686.6185365853662</v>
      </c>
      <c r="P227" s="72">
        <v>3631.6448780487804</v>
      </c>
      <c r="Q227" s="72">
        <v>0</v>
      </c>
      <c r="R227" s="73"/>
      <c r="S227" s="71">
        <v>910.2</v>
      </c>
      <c r="T227" s="72">
        <v>921</v>
      </c>
      <c r="U227" s="72">
        <v>933</v>
      </c>
      <c r="V227" s="72">
        <v>886</v>
      </c>
      <c r="W227" s="72">
        <v>909</v>
      </c>
      <c r="X227" s="73">
        <v>902</v>
      </c>
      <c r="Y227" s="71">
        <v>925.2</v>
      </c>
      <c r="Z227" s="72">
        <v>937</v>
      </c>
      <c r="AA227" s="72">
        <v>943</v>
      </c>
      <c r="AB227" s="72">
        <v>890</v>
      </c>
      <c r="AC227" s="72">
        <v>934</v>
      </c>
      <c r="AD227" s="73">
        <v>922</v>
      </c>
      <c r="AE227" s="71">
        <v>1220.2</v>
      </c>
      <c r="AF227" s="72">
        <v>1227</v>
      </c>
      <c r="AG227" s="72">
        <v>1224</v>
      </c>
      <c r="AH227" s="72">
        <v>1210</v>
      </c>
      <c r="AI227" s="72">
        <v>1202</v>
      </c>
      <c r="AJ227" s="73">
        <v>1238</v>
      </c>
      <c r="AK227" s="71">
        <v>0</v>
      </c>
      <c r="AL227" s="72">
        <v>0</v>
      </c>
      <c r="AM227" s="72">
        <v>0</v>
      </c>
      <c r="AN227" s="72">
        <v>0</v>
      </c>
      <c r="AO227" s="72">
        <v>0</v>
      </c>
      <c r="AP227" s="73">
        <v>0</v>
      </c>
      <c r="AQ227" s="71"/>
      <c r="AR227" s="72"/>
      <c r="AS227" s="72"/>
      <c r="AT227" s="72"/>
      <c r="AU227" s="72"/>
      <c r="AV227" s="73"/>
      <c r="AW227" s="75">
        <v>1.7981140636558868</v>
      </c>
      <c r="AX227" s="76">
        <v>2.7775827616109305</v>
      </c>
      <c r="AY227" s="76">
        <v>3.2773116891390286</v>
      </c>
      <c r="AZ227" s="76">
        <v>-0.52062816007447665</v>
      </c>
      <c r="BA227" s="76">
        <v>1.4449722882026839</v>
      </c>
      <c r="BB227" s="77">
        <v>2.0113317394011787</v>
      </c>
      <c r="BC227" s="71">
        <v>2665</v>
      </c>
      <c r="BD227" s="72">
        <v>2580</v>
      </c>
      <c r="BE227" s="72">
        <v>2626</v>
      </c>
      <c r="BF227" s="72">
        <v>2685</v>
      </c>
      <c r="BG227" s="72">
        <v>2830</v>
      </c>
      <c r="BH227" s="73">
        <v>2604</v>
      </c>
      <c r="BI227" s="71">
        <v>2642</v>
      </c>
      <c r="BJ227" s="72">
        <v>2581</v>
      </c>
      <c r="BK227" s="72">
        <v>2625</v>
      </c>
      <c r="BL227" s="72">
        <v>2597</v>
      </c>
      <c r="BM227" s="72">
        <v>2703</v>
      </c>
      <c r="BN227" s="73">
        <v>2704</v>
      </c>
      <c r="BO227" s="71">
        <v>3658.2</v>
      </c>
      <c r="BP227" s="72">
        <v>3600</v>
      </c>
      <c r="BQ227" s="72">
        <v>3778</v>
      </c>
      <c r="BR227" s="72">
        <v>3579</v>
      </c>
      <c r="BS227" s="72">
        <v>3691</v>
      </c>
      <c r="BT227" s="73">
        <v>3643</v>
      </c>
      <c r="BU227" s="71"/>
      <c r="BV227" s="72"/>
      <c r="BW227" s="72"/>
      <c r="BX227" s="72"/>
      <c r="BY227" s="72"/>
      <c r="BZ227" s="73"/>
      <c r="CA227" s="110">
        <v>-0.4406715316699783</v>
      </c>
      <c r="CB227" s="76">
        <v>-2.7083303539196857</v>
      </c>
      <c r="CC227" s="76">
        <v>0.26783303669206671</v>
      </c>
      <c r="CD227" s="76">
        <v>-1.5978216260794764</v>
      </c>
      <c r="CE227" s="76">
        <v>2.433325055980462</v>
      </c>
      <c r="CF227" s="77">
        <v>-0.59836377102329141</v>
      </c>
    </row>
    <row r="228" spans="1:84" ht="12" customHeight="1">
      <c r="A228" s="1"/>
      <c r="B228" s="64">
        <v>216</v>
      </c>
      <c r="C228" s="65">
        <v>10</v>
      </c>
      <c r="D228" s="66" t="s">
        <v>14</v>
      </c>
      <c r="E228" s="69" t="s">
        <v>163</v>
      </c>
      <c r="F228" s="70" t="s">
        <v>81</v>
      </c>
      <c r="G228" s="71">
        <v>2501.3560975609757</v>
      </c>
      <c r="H228" s="72">
        <v>746.28292682926838</v>
      </c>
      <c r="I228" s="72">
        <v>746.28292682926838</v>
      </c>
      <c r="J228" s="72">
        <v>1008.790243902439</v>
      </c>
      <c r="K228" s="72">
        <v>0</v>
      </c>
      <c r="L228" s="73"/>
      <c r="M228" s="71">
        <v>6253.3902439024387</v>
      </c>
      <c r="N228" s="72">
        <v>1865.7073170731708</v>
      </c>
      <c r="O228" s="72">
        <v>1865.7073170731708</v>
      </c>
      <c r="P228" s="72">
        <v>2521.9756097560976</v>
      </c>
      <c r="Q228" s="72">
        <v>0</v>
      </c>
      <c r="R228" s="73"/>
      <c r="S228" s="71">
        <v>738.4</v>
      </c>
      <c r="T228" s="72">
        <v>712</v>
      </c>
      <c r="U228" s="72">
        <v>745</v>
      </c>
      <c r="V228" s="72">
        <v>732</v>
      </c>
      <c r="W228" s="72">
        <v>752</v>
      </c>
      <c r="X228" s="73">
        <v>751</v>
      </c>
      <c r="Y228" s="71">
        <v>739.4</v>
      </c>
      <c r="Z228" s="72">
        <v>744</v>
      </c>
      <c r="AA228" s="72">
        <v>730</v>
      </c>
      <c r="AB228" s="72">
        <v>728</v>
      </c>
      <c r="AC228" s="72">
        <v>773</v>
      </c>
      <c r="AD228" s="73">
        <v>722</v>
      </c>
      <c r="AE228" s="71">
        <v>1003.2</v>
      </c>
      <c r="AF228" s="72">
        <v>996</v>
      </c>
      <c r="AG228" s="72">
        <v>1023</v>
      </c>
      <c r="AH228" s="72">
        <v>983</v>
      </c>
      <c r="AI228" s="72">
        <v>1024</v>
      </c>
      <c r="AJ228" s="73">
        <v>990</v>
      </c>
      <c r="AK228" s="71">
        <v>0</v>
      </c>
      <c r="AL228" s="72">
        <v>0</v>
      </c>
      <c r="AM228" s="72">
        <v>0</v>
      </c>
      <c r="AN228" s="72">
        <v>0</v>
      </c>
      <c r="AO228" s="72">
        <v>0</v>
      </c>
      <c r="AP228" s="73">
        <v>0</v>
      </c>
      <c r="AQ228" s="71"/>
      <c r="AR228" s="72"/>
      <c r="AS228" s="72"/>
      <c r="AT228" s="72"/>
      <c r="AU228" s="72"/>
      <c r="AV228" s="73"/>
      <c r="AW228" s="75">
        <v>-0.81380246422428915</v>
      </c>
      <c r="AX228" s="76">
        <v>-1.9731735760894598</v>
      </c>
      <c r="AY228" s="76">
        <v>-0.13417112278608645</v>
      </c>
      <c r="AZ228" s="76">
        <v>-2.3329784039096912</v>
      </c>
      <c r="BA228" s="76">
        <v>1.9047229015285216</v>
      </c>
      <c r="BB228" s="77">
        <v>-1.533412119864741</v>
      </c>
      <c r="BC228" s="71">
        <v>1853.2</v>
      </c>
      <c r="BD228" s="72">
        <v>1811</v>
      </c>
      <c r="BE228" s="72">
        <v>1775</v>
      </c>
      <c r="BF228" s="72">
        <v>1846</v>
      </c>
      <c r="BG228" s="72">
        <v>1881</v>
      </c>
      <c r="BH228" s="73">
        <v>1953</v>
      </c>
      <c r="BI228" s="71">
        <v>1918.8</v>
      </c>
      <c r="BJ228" s="72">
        <v>1951</v>
      </c>
      <c r="BK228" s="72">
        <v>1965</v>
      </c>
      <c r="BL228" s="72">
        <v>1927</v>
      </c>
      <c r="BM228" s="72">
        <v>1900</v>
      </c>
      <c r="BN228" s="73">
        <v>1851</v>
      </c>
      <c r="BO228" s="71">
        <v>2511.1999999999998</v>
      </c>
      <c r="BP228" s="72">
        <v>2583</v>
      </c>
      <c r="BQ228" s="72">
        <v>2350</v>
      </c>
      <c r="BR228" s="72">
        <v>2588</v>
      </c>
      <c r="BS228" s="72">
        <v>2505</v>
      </c>
      <c r="BT228" s="73">
        <v>2530</v>
      </c>
      <c r="BU228" s="71"/>
      <c r="BV228" s="72"/>
      <c r="BW228" s="72"/>
      <c r="BX228" s="72"/>
      <c r="BY228" s="72"/>
      <c r="BZ228" s="73"/>
      <c r="CA228" s="110">
        <v>0.4766975182242561</v>
      </c>
      <c r="CB228" s="76">
        <v>1.464961445303814</v>
      </c>
      <c r="CC228" s="76">
        <v>-2.6128266033254133</v>
      </c>
      <c r="CD228" s="76">
        <v>1.7208226561981954</v>
      </c>
      <c r="CE228" s="76">
        <v>0.52147323013078672</v>
      </c>
      <c r="CF228" s="77">
        <v>1.2890568628139309</v>
      </c>
    </row>
    <row r="229" spans="1:84" ht="12" customHeight="1">
      <c r="A229" s="1"/>
      <c r="B229" s="64">
        <v>217</v>
      </c>
      <c r="C229" s="65">
        <v>10</v>
      </c>
      <c r="D229" s="66" t="s">
        <v>14</v>
      </c>
      <c r="E229" s="69" t="s">
        <v>164</v>
      </c>
      <c r="F229" s="70" t="s">
        <v>81</v>
      </c>
      <c r="G229" s="71">
        <v>4002.1697560975608</v>
      </c>
      <c r="H229" s="72">
        <v>746.28292682926838</v>
      </c>
      <c r="I229" s="72">
        <v>746.28292682926838</v>
      </c>
      <c r="J229" s="72">
        <v>1008.790243902439</v>
      </c>
      <c r="K229" s="72">
        <v>1500.8136585365853</v>
      </c>
      <c r="L229" s="73"/>
      <c r="M229" s="71">
        <v>10005.424390243901</v>
      </c>
      <c r="N229" s="72">
        <v>1865.7073170731708</v>
      </c>
      <c r="O229" s="72">
        <v>1865.7073170731708</v>
      </c>
      <c r="P229" s="72">
        <v>2521.9756097560976</v>
      </c>
      <c r="Q229" s="72">
        <v>3752.0341463414634</v>
      </c>
      <c r="R229" s="73"/>
      <c r="S229" s="71">
        <v>741.6</v>
      </c>
      <c r="T229" s="72">
        <v>744</v>
      </c>
      <c r="U229" s="72">
        <v>725</v>
      </c>
      <c r="V229" s="72">
        <v>707</v>
      </c>
      <c r="W229" s="72">
        <v>763</v>
      </c>
      <c r="X229" s="73">
        <v>769</v>
      </c>
      <c r="Y229" s="71">
        <v>752.4</v>
      </c>
      <c r="Z229" s="72">
        <v>793</v>
      </c>
      <c r="AA229" s="72">
        <v>704</v>
      </c>
      <c r="AB229" s="72">
        <v>747</v>
      </c>
      <c r="AC229" s="72">
        <v>785</v>
      </c>
      <c r="AD229" s="73">
        <v>733</v>
      </c>
      <c r="AE229" s="71">
        <v>1034.4000000000001</v>
      </c>
      <c r="AF229" s="72">
        <v>1027</v>
      </c>
      <c r="AG229" s="72">
        <v>1024</v>
      </c>
      <c r="AH229" s="72">
        <v>986</v>
      </c>
      <c r="AI229" s="72">
        <v>1066</v>
      </c>
      <c r="AJ229" s="73">
        <v>1069</v>
      </c>
      <c r="AK229" s="71">
        <v>1497</v>
      </c>
      <c r="AL229" s="72">
        <v>1478</v>
      </c>
      <c r="AM229" s="72">
        <v>1448</v>
      </c>
      <c r="AN229" s="72">
        <v>1565</v>
      </c>
      <c r="AO229" s="72">
        <v>1421</v>
      </c>
      <c r="AP229" s="73">
        <v>1573</v>
      </c>
      <c r="AQ229" s="71"/>
      <c r="AR229" s="72"/>
      <c r="AS229" s="72"/>
      <c r="AT229" s="72"/>
      <c r="AU229" s="72"/>
      <c r="AV229" s="73"/>
      <c r="AW229" s="75">
        <v>0.58044124357909954</v>
      </c>
      <c r="AX229" s="76">
        <v>0.99521625342742226</v>
      </c>
      <c r="AY229" s="76">
        <v>-2.5278726856456379</v>
      </c>
      <c r="AZ229" s="76">
        <v>7.0717737500447519E-2</v>
      </c>
      <c r="BA229" s="76">
        <v>0.8203111287925724</v>
      </c>
      <c r="BB229" s="77">
        <v>3.5438337838206824</v>
      </c>
      <c r="BC229" s="71">
        <v>1890</v>
      </c>
      <c r="BD229" s="72">
        <v>1927</v>
      </c>
      <c r="BE229" s="72">
        <v>1792</v>
      </c>
      <c r="BF229" s="72">
        <v>1941</v>
      </c>
      <c r="BG229" s="72">
        <v>1845</v>
      </c>
      <c r="BH229" s="73">
        <v>1945</v>
      </c>
      <c r="BI229" s="71">
        <v>1877</v>
      </c>
      <c r="BJ229" s="72">
        <v>1789</v>
      </c>
      <c r="BK229" s="72">
        <v>1936</v>
      </c>
      <c r="BL229" s="72">
        <v>1880</v>
      </c>
      <c r="BM229" s="72">
        <v>1880</v>
      </c>
      <c r="BN229" s="73">
        <v>1900</v>
      </c>
      <c r="BO229" s="71">
        <v>1982</v>
      </c>
      <c r="BP229" s="72">
        <v>1886</v>
      </c>
      <c r="BQ229" s="72">
        <v>2033</v>
      </c>
      <c r="BR229" s="72">
        <v>2035</v>
      </c>
      <c r="BS229" s="72">
        <v>2042</v>
      </c>
      <c r="BT229" s="73">
        <v>1914</v>
      </c>
      <c r="BU229" s="71">
        <v>3715.4</v>
      </c>
      <c r="BV229" s="72">
        <v>3667</v>
      </c>
      <c r="BW229" s="72">
        <v>3743</v>
      </c>
      <c r="BX229" s="72">
        <v>3783</v>
      </c>
      <c r="BY229" s="72">
        <v>3726</v>
      </c>
      <c r="BZ229" s="73">
        <v>3658</v>
      </c>
      <c r="CA229" s="110">
        <v>-5.4073107660625013</v>
      </c>
      <c r="CB229" s="76">
        <v>-7.3602514148422777</v>
      </c>
      <c r="CC229" s="76">
        <v>-5.0115254554602418</v>
      </c>
      <c r="CD229" s="76">
        <v>-3.6622573511344014</v>
      </c>
      <c r="CE229" s="76">
        <v>-5.1214658195164242</v>
      </c>
      <c r="CF229" s="77">
        <v>-5.8810537893591253</v>
      </c>
    </row>
    <row r="230" spans="1:84" ht="12" customHeight="1">
      <c r="A230" s="1"/>
      <c r="B230" s="64">
        <v>218</v>
      </c>
      <c r="C230" s="65">
        <v>10</v>
      </c>
      <c r="D230" s="66" t="s">
        <v>14</v>
      </c>
      <c r="E230" s="69" t="s">
        <v>165</v>
      </c>
      <c r="F230" s="70" t="s">
        <v>81</v>
      </c>
      <c r="G230" s="71">
        <v>3001.6273170731711</v>
      </c>
      <c r="H230" s="72">
        <v>895.53951219512203</v>
      </c>
      <c r="I230" s="72">
        <v>895.53951219512203</v>
      </c>
      <c r="J230" s="72">
        <v>1210.5482926829268</v>
      </c>
      <c r="K230" s="72">
        <v>0</v>
      </c>
      <c r="L230" s="73"/>
      <c r="M230" s="71">
        <v>9004.8819512195132</v>
      </c>
      <c r="N230" s="72">
        <v>2686.6185365853662</v>
      </c>
      <c r="O230" s="72">
        <v>2686.6185365853662</v>
      </c>
      <c r="P230" s="72">
        <v>3631.6448780487804</v>
      </c>
      <c r="Q230" s="72">
        <v>0</v>
      </c>
      <c r="R230" s="73"/>
      <c r="S230" s="71">
        <v>910.2</v>
      </c>
      <c r="T230" s="72">
        <v>921</v>
      </c>
      <c r="U230" s="72">
        <v>933</v>
      </c>
      <c r="V230" s="72">
        <v>886</v>
      </c>
      <c r="W230" s="72">
        <v>909</v>
      </c>
      <c r="X230" s="73">
        <v>902</v>
      </c>
      <c r="Y230" s="71">
        <v>925.2</v>
      </c>
      <c r="Z230" s="72">
        <v>937</v>
      </c>
      <c r="AA230" s="72">
        <v>943</v>
      </c>
      <c r="AB230" s="72">
        <v>890</v>
      </c>
      <c r="AC230" s="72">
        <v>934</v>
      </c>
      <c r="AD230" s="73">
        <v>922</v>
      </c>
      <c r="AE230" s="71">
        <v>1220.2</v>
      </c>
      <c r="AF230" s="72">
        <v>1227</v>
      </c>
      <c r="AG230" s="72">
        <v>1224</v>
      </c>
      <c r="AH230" s="72">
        <v>1210</v>
      </c>
      <c r="AI230" s="72">
        <v>1202</v>
      </c>
      <c r="AJ230" s="73">
        <v>1238</v>
      </c>
      <c r="AK230" s="71">
        <v>0</v>
      </c>
      <c r="AL230" s="72">
        <v>0</v>
      </c>
      <c r="AM230" s="72">
        <v>0</v>
      </c>
      <c r="AN230" s="72">
        <v>0</v>
      </c>
      <c r="AO230" s="72">
        <v>0</v>
      </c>
      <c r="AP230" s="73">
        <v>0</v>
      </c>
      <c r="AQ230" s="71"/>
      <c r="AR230" s="72"/>
      <c r="AS230" s="72"/>
      <c r="AT230" s="72"/>
      <c r="AU230" s="72"/>
      <c r="AV230" s="73"/>
      <c r="AW230" s="75">
        <v>1.7981140636558868</v>
      </c>
      <c r="AX230" s="76">
        <v>2.7775827616109305</v>
      </c>
      <c r="AY230" s="76">
        <v>3.2773116891390286</v>
      </c>
      <c r="AZ230" s="76">
        <v>-0.52062816007447665</v>
      </c>
      <c r="BA230" s="76">
        <v>1.4449722882026839</v>
      </c>
      <c r="BB230" s="77">
        <v>2.0113317394011787</v>
      </c>
      <c r="BC230" s="71">
        <v>2665</v>
      </c>
      <c r="BD230" s="72">
        <v>2580</v>
      </c>
      <c r="BE230" s="72">
        <v>2626</v>
      </c>
      <c r="BF230" s="72">
        <v>2685</v>
      </c>
      <c r="BG230" s="72">
        <v>2830</v>
      </c>
      <c r="BH230" s="73">
        <v>2604</v>
      </c>
      <c r="BI230" s="71">
        <v>2642</v>
      </c>
      <c r="BJ230" s="72">
        <v>2581</v>
      </c>
      <c r="BK230" s="72">
        <v>2625</v>
      </c>
      <c r="BL230" s="72">
        <v>2597</v>
      </c>
      <c r="BM230" s="72">
        <v>2703</v>
      </c>
      <c r="BN230" s="73">
        <v>2704</v>
      </c>
      <c r="BO230" s="71">
        <v>3658.2</v>
      </c>
      <c r="BP230" s="72">
        <v>3600</v>
      </c>
      <c r="BQ230" s="72">
        <v>3778</v>
      </c>
      <c r="BR230" s="72">
        <v>3579</v>
      </c>
      <c r="BS230" s="72">
        <v>3691</v>
      </c>
      <c r="BT230" s="73">
        <v>3643</v>
      </c>
      <c r="BU230" s="71"/>
      <c r="BV230" s="72"/>
      <c r="BW230" s="72"/>
      <c r="BX230" s="72"/>
      <c r="BY230" s="72"/>
      <c r="BZ230" s="73"/>
      <c r="CA230" s="110">
        <v>-0.4406715316699783</v>
      </c>
      <c r="CB230" s="76">
        <v>-2.7083303539196857</v>
      </c>
      <c r="CC230" s="76">
        <v>0.26783303669206671</v>
      </c>
      <c r="CD230" s="76">
        <v>-1.5978216260794764</v>
      </c>
      <c r="CE230" s="76">
        <v>2.433325055980462</v>
      </c>
      <c r="CF230" s="77">
        <v>-0.59836377102329141</v>
      </c>
    </row>
    <row r="231" spans="1:84" ht="12" customHeight="1">
      <c r="A231" s="1"/>
      <c r="B231" s="64">
        <v>219</v>
      </c>
      <c r="C231" s="65">
        <v>10</v>
      </c>
      <c r="D231" s="66" t="s">
        <v>14</v>
      </c>
      <c r="E231" s="69" t="s">
        <v>155</v>
      </c>
      <c r="F231" s="70" t="s">
        <v>81</v>
      </c>
      <c r="G231" s="71">
        <v>2501.3560975609757</v>
      </c>
      <c r="H231" s="72">
        <v>746.28292682926838</v>
      </c>
      <c r="I231" s="72">
        <v>746.28292682926838</v>
      </c>
      <c r="J231" s="72">
        <v>1008.790243902439</v>
      </c>
      <c r="K231" s="72">
        <v>0</v>
      </c>
      <c r="L231" s="73"/>
      <c r="M231" s="71">
        <v>7161.3014634146348</v>
      </c>
      <c r="N231" s="72">
        <v>1865.7073170731708</v>
      </c>
      <c r="O231" s="72">
        <v>1865.7073170731708</v>
      </c>
      <c r="P231" s="72">
        <v>3429.8868292682928</v>
      </c>
      <c r="Q231" s="72">
        <v>0</v>
      </c>
      <c r="R231" s="73"/>
      <c r="S231" s="71">
        <v>738.4</v>
      </c>
      <c r="T231" s="72">
        <v>712</v>
      </c>
      <c r="U231" s="72">
        <v>745</v>
      </c>
      <c r="V231" s="72">
        <v>732</v>
      </c>
      <c r="W231" s="72">
        <v>752</v>
      </c>
      <c r="X231" s="73">
        <v>751</v>
      </c>
      <c r="Y231" s="71">
        <v>739.4</v>
      </c>
      <c r="Z231" s="72">
        <v>744</v>
      </c>
      <c r="AA231" s="72">
        <v>730</v>
      </c>
      <c r="AB231" s="72">
        <v>728</v>
      </c>
      <c r="AC231" s="72">
        <v>773</v>
      </c>
      <c r="AD231" s="73">
        <v>722</v>
      </c>
      <c r="AE231" s="71">
        <v>1003.2</v>
      </c>
      <c r="AF231" s="72">
        <v>996</v>
      </c>
      <c r="AG231" s="72">
        <v>1023</v>
      </c>
      <c r="AH231" s="72">
        <v>983</v>
      </c>
      <c r="AI231" s="72">
        <v>1024</v>
      </c>
      <c r="AJ231" s="73">
        <v>990</v>
      </c>
      <c r="AK231" s="71">
        <v>0</v>
      </c>
      <c r="AL231" s="72">
        <v>0</v>
      </c>
      <c r="AM231" s="72">
        <v>0</v>
      </c>
      <c r="AN231" s="72">
        <v>0</v>
      </c>
      <c r="AO231" s="72">
        <v>0</v>
      </c>
      <c r="AP231" s="73">
        <v>0</v>
      </c>
      <c r="AQ231" s="71"/>
      <c r="AR231" s="72"/>
      <c r="AS231" s="72"/>
      <c r="AT231" s="72"/>
      <c r="AU231" s="72"/>
      <c r="AV231" s="73"/>
      <c r="AW231" s="75">
        <v>-0.81380246422428915</v>
      </c>
      <c r="AX231" s="76">
        <v>-1.9731735760894598</v>
      </c>
      <c r="AY231" s="76">
        <v>-0.13417112278608645</v>
      </c>
      <c r="AZ231" s="76">
        <v>-2.3329784039096912</v>
      </c>
      <c r="BA231" s="76">
        <v>1.9047229015285216</v>
      </c>
      <c r="BB231" s="77">
        <v>-1.533412119864741</v>
      </c>
      <c r="BC231" s="71">
        <v>1845.6</v>
      </c>
      <c r="BD231" s="72">
        <v>1889</v>
      </c>
      <c r="BE231" s="72">
        <v>1880</v>
      </c>
      <c r="BF231" s="72">
        <v>1839</v>
      </c>
      <c r="BG231" s="72">
        <v>1756</v>
      </c>
      <c r="BH231" s="73">
        <v>1864</v>
      </c>
      <c r="BI231" s="71">
        <v>1840.2</v>
      </c>
      <c r="BJ231" s="72">
        <v>1881</v>
      </c>
      <c r="BK231" s="72">
        <v>1814</v>
      </c>
      <c r="BL231" s="72">
        <v>1774</v>
      </c>
      <c r="BM231" s="72">
        <v>1832</v>
      </c>
      <c r="BN231" s="73">
        <v>1900</v>
      </c>
      <c r="BO231" s="71">
        <v>3479.4</v>
      </c>
      <c r="BP231" s="72">
        <v>3655</v>
      </c>
      <c r="BQ231" s="72">
        <v>3286</v>
      </c>
      <c r="BR231" s="72">
        <v>3441</v>
      </c>
      <c r="BS231" s="72">
        <v>3549</v>
      </c>
      <c r="BT231" s="73">
        <v>3466</v>
      </c>
      <c r="BU231" s="71"/>
      <c r="BV231" s="72"/>
      <c r="BW231" s="72"/>
      <c r="BX231" s="72"/>
      <c r="BY231" s="72"/>
      <c r="BZ231" s="73"/>
      <c r="CA231" s="110">
        <v>5.4438939699474886E-2</v>
      </c>
      <c r="CB231" s="76">
        <v>3.6822711337113345</v>
      </c>
      <c r="CC231" s="76">
        <v>-2.5316831631912229</v>
      </c>
      <c r="CD231" s="76">
        <v>-1.4983514374141693</v>
      </c>
      <c r="CE231" s="76">
        <v>-0.33934423147503612</v>
      </c>
      <c r="CF231" s="77">
        <v>0.95930239686639052</v>
      </c>
    </row>
    <row r="232" spans="1:84" ht="12" customHeight="1">
      <c r="A232" s="1"/>
      <c r="B232" s="64">
        <v>220</v>
      </c>
      <c r="C232" s="65">
        <v>10</v>
      </c>
      <c r="D232" s="66" t="s">
        <v>14</v>
      </c>
      <c r="E232" s="69" t="s">
        <v>156</v>
      </c>
      <c r="F232" s="70" t="s">
        <v>81</v>
      </c>
      <c r="G232" s="71">
        <v>4002.1697560975608</v>
      </c>
      <c r="H232" s="72">
        <v>746.28292682926838</v>
      </c>
      <c r="I232" s="72">
        <v>746.28292682926838</v>
      </c>
      <c r="J232" s="72">
        <v>1008.790243902439</v>
      </c>
      <c r="K232" s="72">
        <v>1500.8136585365853</v>
      </c>
      <c r="L232" s="73"/>
      <c r="M232" s="71">
        <v>11356.15668292683</v>
      </c>
      <c r="N232" s="72">
        <v>1865.7073170731708</v>
      </c>
      <c r="O232" s="72">
        <v>1865.7073170731708</v>
      </c>
      <c r="P232" s="72">
        <v>2521.9756097560976</v>
      </c>
      <c r="Q232" s="72">
        <v>5102.7664390243908</v>
      </c>
      <c r="R232" s="73"/>
      <c r="S232" s="71">
        <v>741.6</v>
      </c>
      <c r="T232" s="72">
        <v>744</v>
      </c>
      <c r="U232" s="72">
        <v>725</v>
      </c>
      <c r="V232" s="72">
        <v>707</v>
      </c>
      <c r="W232" s="72">
        <v>763</v>
      </c>
      <c r="X232" s="73">
        <v>769</v>
      </c>
      <c r="Y232" s="71">
        <v>752.4</v>
      </c>
      <c r="Z232" s="72">
        <v>793</v>
      </c>
      <c r="AA232" s="72">
        <v>704</v>
      </c>
      <c r="AB232" s="72">
        <v>747</v>
      </c>
      <c r="AC232" s="72">
        <v>785</v>
      </c>
      <c r="AD232" s="73">
        <v>733</v>
      </c>
      <c r="AE232" s="71">
        <v>1034.4000000000001</v>
      </c>
      <c r="AF232" s="72">
        <v>1027</v>
      </c>
      <c r="AG232" s="72">
        <v>1024</v>
      </c>
      <c r="AH232" s="72">
        <v>986</v>
      </c>
      <c r="AI232" s="72">
        <v>1066</v>
      </c>
      <c r="AJ232" s="73">
        <v>1069</v>
      </c>
      <c r="AK232" s="71">
        <v>1497</v>
      </c>
      <c r="AL232" s="72">
        <v>1478</v>
      </c>
      <c r="AM232" s="72">
        <v>1448</v>
      </c>
      <c r="AN232" s="72">
        <v>1565</v>
      </c>
      <c r="AO232" s="72">
        <v>1421</v>
      </c>
      <c r="AP232" s="73">
        <v>1573</v>
      </c>
      <c r="AQ232" s="71"/>
      <c r="AR232" s="72"/>
      <c r="AS232" s="72"/>
      <c r="AT232" s="72"/>
      <c r="AU232" s="72"/>
      <c r="AV232" s="73"/>
      <c r="AW232" s="75">
        <v>0.58044124357909954</v>
      </c>
      <c r="AX232" s="76">
        <v>0.99521625342742226</v>
      </c>
      <c r="AY232" s="76">
        <v>-2.5278726856456379</v>
      </c>
      <c r="AZ232" s="76">
        <v>7.0717737500447519E-2</v>
      </c>
      <c r="BA232" s="76">
        <v>0.8203111287925724</v>
      </c>
      <c r="BB232" s="77">
        <v>3.5438337838206824</v>
      </c>
      <c r="BC232" s="71">
        <v>1834.6</v>
      </c>
      <c r="BD232" s="72">
        <v>1836</v>
      </c>
      <c r="BE232" s="72">
        <v>1783</v>
      </c>
      <c r="BF232" s="72">
        <v>1948</v>
      </c>
      <c r="BG232" s="72">
        <v>1858</v>
      </c>
      <c r="BH232" s="73">
        <v>1748</v>
      </c>
      <c r="BI232" s="71">
        <v>1882.8</v>
      </c>
      <c r="BJ232" s="72">
        <v>1841</v>
      </c>
      <c r="BK232" s="72">
        <v>1946</v>
      </c>
      <c r="BL232" s="72">
        <v>1956</v>
      </c>
      <c r="BM232" s="72">
        <v>1900</v>
      </c>
      <c r="BN232" s="73">
        <v>1771</v>
      </c>
      <c r="BO232" s="71">
        <v>2035</v>
      </c>
      <c r="BP232" s="72">
        <v>2012</v>
      </c>
      <c r="BQ232" s="72">
        <v>2119</v>
      </c>
      <c r="BR232" s="72">
        <v>2064</v>
      </c>
      <c r="BS232" s="72">
        <v>1979</v>
      </c>
      <c r="BT232" s="73">
        <v>2001</v>
      </c>
      <c r="BU232" s="71">
        <v>5337.8</v>
      </c>
      <c r="BV232" s="72">
        <v>5092</v>
      </c>
      <c r="BW232" s="72">
        <v>5373</v>
      </c>
      <c r="BX232" s="72">
        <v>5402</v>
      </c>
      <c r="BY232" s="72">
        <v>5521</v>
      </c>
      <c r="BZ232" s="73">
        <v>5301</v>
      </c>
      <c r="CA232" s="110">
        <v>-2.3419603159110736</v>
      </c>
      <c r="CB232" s="76">
        <v>-5.064712463782195</v>
      </c>
      <c r="CC232" s="76">
        <v>-1.1901621886745262</v>
      </c>
      <c r="CD232" s="76">
        <v>0.12190142721419939</v>
      </c>
      <c r="CE232" s="76">
        <v>-0.86434773372229268</v>
      </c>
      <c r="CF232" s="77">
        <v>-4.7124806205905978</v>
      </c>
    </row>
    <row r="233" spans="1:84" ht="12" customHeight="1">
      <c r="A233" s="1"/>
      <c r="B233" s="64">
        <v>221</v>
      </c>
      <c r="C233" s="65">
        <v>10</v>
      </c>
      <c r="D233" s="66" t="s">
        <v>14</v>
      </c>
      <c r="E233" s="69" t="s">
        <v>157</v>
      </c>
      <c r="F233" s="70" t="s">
        <v>81</v>
      </c>
      <c r="G233" s="71">
        <v>3001.6273170731711</v>
      </c>
      <c r="H233" s="72">
        <v>895.53951219512203</v>
      </c>
      <c r="I233" s="72">
        <v>895.53951219512203</v>
      </c>
      <c r="J233" s="72">
        <v>1210.5482926829268</v>
      </c>
      <c r="K233" s="72">
        <v>0</v>
      </c>
      <c r="L233" s="73"/>
      <c r="M233" s="71">
        <v>10312.274107317073</v>
      </c>
      <c r="N233" s="72">
        <v>2686.6185365853662</v>
      </c>
      <c r="O233" s="72">
        <v>2686.6185365853662</v>
      </c>
      <c r="P233" s="72">
        <v>4939.0370341463413</v>
      </c>
      <c r="Q233" s="72">
        <v>0</v>
      </c>
      <c r="R233" s="73"/>
      <c r="S233" s="71">
        <v>910.2</v>
      </c>
      <c r="T233" s="72">
        <v>921</v>
      </c>
      <c r="U233" s="72">
        <v>933</v>
      </c>
      <c r="V233" s="72">
        <v>886</v>
      </c>
      <c r="W233" s="72">
        <v>909</v>
      </c>
      <c r="X233" s="73">
        <v>902</v>
      </c>
      <c r="Y233" s="71">
        <v>925.2</v>
      </c>
      <c r="Z233" s="72">
        <v>937</v>
      </c>
      <c r="AA233" s="72">
        <v>943</v>
      </c>
      <c r="AB233" s="72">
        <v>890</v>
      </c>
      <c r="AC233" s="72">
        <v>934</v>
      </c>
      <c r="AD233" s="73">
        <v>922</v>
      </c>
      <c r="AE233" s="71">
        <v>1220.2</v>
      </c>
      <c r="AF233" s="72">
        <v>1227</v>
      </c>
      <c r="AG233" s="72">
        <v>1224</v>
      </c>
      <c r="AH233" s="72">
        <v>1210</v>
      </c>
      <c r="AI233" s="72">
        <v>1202</v>
      </c>
      <c r="AJ233" s="73">
        <v>1238</v>
      </c>
      <c r="AK233" s="71">
        <v>0</v>
      </c>
      <c r="AL233" s="72">
        <v>0</v>
      </c>
      <c r="AM233" s="72">
        <v>0</v>
      </c>
      <c r="AN233" s="72">
        <v>0</v>
      </c>
      <c r="AO233" s="72">
        <v>0</v>
      </c>
      <c r="AP233" s="73">
        <v>0</v>
      </c>
      <c r="AQ233" s="71"/>
      <c r="AR233" s="72"/>
      <c r="AS233" s="72"/>
      <c r="AT233" s="72"/>
      <c r="AU233" s="72"/>
      <c r="AV233" s="73"/>
      <c r="AW233" s="75">
        <v>1.7981140636558868</v>
      </c>
      <c r="AX233" s="76">
        <v>2.7775827616109305</v>
      </c>
      <c r="AY233" s="76">
        <v>3.2773116891390286</v>
      </c>
      <c r="AZ233" s="76">
        <v>-0.52062816007447665</v>
      </c>
      <c r="BA233" s="76">
        <v>1.4449722882026839</v>
      </c>
      <c r="BB233" s="77">
        <v>2.0113317394011787</v>
      </c>
      <c r="BC233" s="71">
        <v>2747</v>
      </c>
      <c r="BD233" s="72">
        <v>2785</v>
      </c>
      <c r="BE233" s="72">
        <v>2685</v>
      </c>
      <c r="BF233" s="72">
        <v>2768</v>
      </c>
      <c r="BG233" s="72">
        <v>2720</v>
      </c>
      <c r="BH233" s="73">
        <v>2777</v>
      </c>
      <c r="BI233" s="71">
        <v>2654.4</v>
      </c>
      <c r="BJ233" s="72">
        <v>2862</v>
      </c>
      <c r="BK233" s="72">
        <v>2549</v>
      </c>
      <c r="BL233" s="72">
        <v>2773</v>
      </c>
      <c r="BM233" s="72">
        <v>2506</v>
      </c>
      <c r="BN233" s="73">
        <v>2582</v>
      </c>
      <c r="BO233" s="71">
        <v>4974.3999999999996</v>
      </c>
      <c r="BP233" s="72">
        <v>4820</v>
      </c>
      <c r="BQ233" s="72">
        <v>4996</v>
      </c>
      <c r="BR233" s="72">
        <v>5120</v>
      </c>
      <c r="BS233" s="72">
        <v>4915</v>
      </c>
      <c r="BT233" s="73">
        <v>5021</v>
      </c>
      <c r="BU233" s="71"/>
      <c r="BV233" s="72"/>
      <c r="BW233" s="72"/>
      <c r="BX233" s="72"/>
      <c r="BY233" s="72"/>
      <c r="BZ233" s="73"/>
      <c r="CA233" s="110">
        <v>0.61602215012741546</v>
      </c>
      <c r="CB233" s="76">
        <v>1.5004051586753553</v>
      </c>
      <c r="CC233" s="76">
        <v>-0.79782700169592768</v>
      </c>
      <c r="CD233" s="76">
        <v>3.3816584882619516</v>
      </c>
      <c r="CE233" s="76">
        <v>-1.6608762095990603</v>
      </c>
      <c r="CF233" s="77">
        <v>0.65675031499474734</v>
      </c>
    </row>
    <row r="234" spans="1:84" ht="12" customHeight="1">
      <c r="A234" s="1"/>
      <c r="B234" s="64">
        <v>222</v>
      </c>
      <c r="C234" s="65">
        <v>10</v>
      </c>
      <c r="D234" s="66" t="s">
        <v>14</v>
      </c>
      <c r="E234" s="69" t="s">
        <v>161</v>
      </c>
      <c r="F234" s="70" t="s">
        <v>81</v>
      </c>
      <c r="G234" s="71">
        <v>4002.1697560975608</v>
      </c>
      <c r="H234" s="72">
        <v>746.28292682926838</v>
      </c>
      <c r="I234" s="72">
        <v>746.28292682926838</v>
      </c>
      <c r="J234" s="72">
        <v>1008.790243902439</v>
      </c>
      <c r="K234" s="72">
        <v>1500.8136585365853</v>
      </c>
      <c r="L234" s="73"/>
      <c r="M234" s="71">
        <v>8004.3395121951216</v>
      </c>
      <c r="N234" s="72">
        <v>1492.5658536585368</v>
      </c>
      <c r="O234" s="72">
        <v>1492.5658536585368</v>
      </c>
      <c r="P234" s="72">
        <v>2017.580487804878</v>
      </c>
      <c r="Q234" s="72">
        <v>3001.6273170731706</v>
      </c>
      <c r="R234" s="73"/>
      <c r="S234" s="71">
        <v>741.6</v>
      </c>
      <c r="T234" s="72">
        <v>744</v>
      </c>
      <c r="U234" s="72">
        <v>725</v>
      </c>
      <c r="V234" s="72">
        <v>707</v>
      </c>
      <c r="W234" s="72">
        <v>763</v>
      </c>
      <c r="X234" s="73">
        <v>769</v>
      </c>
      <c r="Y234" s="71">
        <v>752.4</v>
      </c>
      <c r="Z234" s="72">
        <v>793</v>
      </c>
      <c r="AA234" s="72">
        <v>704</v>
      </c>
      <c r="AB234" s="72">
        <v>747</v>
      </c>
      <c r="AC234" s="72">
        <v>785</v>
      </c>
      <c r="AD234" s="73">
        <v>733</v>
      </c>
      <c r="AE234" s="71">
        <v>1034.4000000000001</v>
      </c>
      <c r="AF234" s="72">
        <v>1027</v>
      </c>
      <c r="AG234" s="72">
        <v>1024</v>
      </c>
      <c r="AH234" s="72">
        <v>986</v>
      </c>
      <c r="AI234" s="72">
        <v>1066</v>
      </c>
      <c r="AJ234" s="73">
        <v>1069</v>
      </c>
      <c r="AK234" s="71">
        <v>1497</v>
      </c>
      <c r="AL234" s="72">
        <v>1478</v>
      </c>
      <c r="AM234" s="72">
        <v>1448</v>
      </c>
      <c r="AN234" s="72">
        <v>1565</v>
      </c>
      <c r="AO234" s="72">
        <v>1421</v>
      </c>
      <c r="AP234" s="73">
        <v>1573</v>
      </c>
      <c r="AQ234" s="71"/>
      <c r="AR234" s="72"/>
      <c r="AS234" s="72"/>
      <c r="AT234" s="72"/>
      <c r="AU234" s="72"/>
      <c r="AV234" s="73"/>
      <c r="AW234" s="75">
        <v>0.58044124357909954</v>
      </c>
      <c r="AX234" s="76">
        <v>0.99521625342742226</v>
      </c>
      <c r="AY234" s="76">
        <v>-2.5278726856456379</v>
      </c>
      <c r="AZ234" s="76">
        <v>7.0717737500447519E-2</v>
      </c>
      <c r="BA234" s="76">
        <v>0.8203111287925724</v>
      </c>
      <c r="BB234" s="77">
        <v>3.5438337838206824</v>
      </c>
      <c r="BC234" s="71"/>
      <c r="BD234" s="72"/>
      <c r="BE234" s="72"/>
      <c r="BF234" s="72"/>
      <c r="BG234" s="72"/>
      <c r="BH234" s="73"/>
      <c r="BI234" s="71"/>
      <c r="BJ234" s="72"/>
      <c r="BK234" s="72"/>
      <c r="BL234" s="72"/>
      <c r="BM234" s="72"/>
      <c r="BN234" s="73"/>
      <c r="BO234" s="71"/>
      <c r="BP234" s="72"/>
      <c r="BQ234" s="72"/>
      <c r="BR234" s="72"/>
      <c r="BS234" s="72"/>
      <c r="BT234" s="73"/>
      <c r="BU234" s="71"/>
      <c r="BV234" s="72"/>
      <c r="BW234" s="72"/>
      <c r="BX234" s="72"/>
      <c r="BY234" s="72"/>
      <c r="BZ234" s="73"/>
      <c r="CA234" s="110"/>
      <c r="CB234" s="76"/>
      <c r="CC234" s="76"/>
      <c r="CD234" s="76"/>
      <c r="CE234" s="76"/>
      <c r="CF234" s="77"/>
    </row>
    <row r="235" spans="1:84" ht="12" customHeight="1">
      <c r="A235" s="1"/>
      <c r="B235" s="64">
        <v>223</v>
      </c>
      <c r="C235" s="65">
        <v>10</v>
      </c>
      <c r="D235" s="66" t="s">
        <v>14</v>
      </c>
      <c r="E235" s="69" t="s">
        <v>99</v>
      </c>
      <c r="F235" s="70" t="s">
        <v>81</v>
      </c>
      <c r="G235" s="71">
        <v>3001.6273170731711</v>
      </c>
      <c r="H235" s="72">
        <v>895.53951219512203</v>
      </c>
      <c r="I235" s="72">
        <v>895.53951219512203</v>
      </c>
      <c r="J235" s="72">
        <v>1210.5482926829268</v>
      </c>
      <c r="K235" s="72">
        <v>0</v>
      </c>
      <c r="L235" s="73"/>
      <c r="M235" s="71">
        <v>7504.0682926829268</v>
      </c>
      <c r="N235" s="72">
        <v>2238.848780487805</v>
      </c>
      <c r="O235" s="72">
        <v>2238.848780487805</v>
      </c>
      <c r="P235" s="72">
        <v>3026.3707317073172</v>
      </c>
      <c r="Q235" s="72">
        <v>0</v>
      </c>
      <c r="R235" s="73"/>
      <c r="S235" s="71">
        <v>910.2</v>
      </c>
      <c r="T235" s="72">
        <v>921</v>
      </c>
      <c r="U235" s="72">
        <v>933</v>
      </c>
      <c r="V235" s="72">
        <v>886</v>
      </c>
      <c r="W235" s="72">
        <v>909</v>
      </c>
      <c r="X235" s="73">
        <v>902</v>
      </c>
      <c r="Y235" s="71">
        <v>925.2</v>
      </c>
      <c r="Z235" s="72">
        <v>937</v>
      </c>
      <c r="AA235" s="72">
        <v>943</v>
      </c>
      <c r="AB235" s="72">
        <v>890</v>
      </c>
      <c r="AC235" s="72">
        <v>934</v>
      </c>
      <c r="AD235" s="73">
        <v>922</v>
      </c>
      <c r="AE235" s="71">
        <v>1220.2</v>
      </c>
      <c r="AF235" s="72">
        <v>1227</v>
      </c>
      <c r="AG235" s="72">
        <v>1224</v>
      </c>
      <c r="AH235" s="72">
        <v>1210</v>
      </c>
      <c r="AI235" s="72">
        <v>1202</v>
      </c>
      <c r="AJ235" s="73">
        <v>1238</v>
      </c>
      <c r="AK235" s="71">
        <v>0</v>
      </c>
      <c r="AL235" s="72">
        <v>0</v>
      </c>
      <c r="AM235" s="72">
        <v>0</v>
      </c>
      <c r="AN235" s="72">
        <v>0</v>
      </c>
      <c r="AO235" s="72">
        <v>0</v>
      </c>
      <c r="AP235" s="73">
        <v>0</v>
      </c>
      <c r="AQ235" s="71"/>
      <c r="AR235" s="72"/>
      <c r="AS235" s="72"/>
      <c r="AT235" s="72"/>
      <c r="AU235" s="72"/>
      <c r="AV235" s="73"/>
      <c r="AW235" s="75">
        <v>1.7981140636558868</v>
      </c>
      <c r="AX235" s="76">
        <v>2.7775827616109305</v>
      </c>
      <c r="AY235" s="76">
        <v>3.2773116891390286</v>
      </c>
      <c r="AZ235" s="76">
        <v>-0.52062816007447665</v>
      </c>
      <c r="BA235" s="76">
        <v>1.4449722882026839</v>
      </c>
      <c r="BB235" s="77">
        <v>2.0113317394011787</v>
      </c>
      <c r="BC235" s="71">
        <v>2291</v>
      </c>
      <c r="BD235" s="72">
        <v>2331</v>
      </c>
      <c r="BE235" s="72">
        <v>2272</v>
      </c>
      <c r="BF235" s="72">
        <v>2282</v>
      </c>
      <c r="BG235" s="72">
        <v>2350</v>
      </c>
      <c r="BH235" s="73">
        <v>2220</v>
      </c>
      <c r="BI235" s="71">
        <v>2181.6</v>
      </c>
      <c r="BJ235" s="72">
        <v>2137</v>
      </c>
      <c r="BK235" s="72">
        <v>2143</v>
      </c>
      <c r="BL235" s="72">
        <v>2157</v>
      </c>
      <c r="BM235" s="72">
        <v>2325</v>
      </c>
      <c r="BN235" s="73">
        <v>2146</v>
      </c>
      <c r="BO235" s="71">
        <v>3065.6</v>
      </c>
      <c r="BP235" s="72">
        <v>3066</v>
      </c>
      <c r="BQ235" s="72">
        <v>3082</v>
      </c>
      <c r="BR235" s="72">
        <v>3127</v>
      </c>
      <c r="BS235" s="72">
        <v>2878</v>
      </c>
      <c r="BT235" s="73">
        <v>3175</v>
      </c>
      <c r="BU235" s="71"/>
      <c r="BV235" s="72"/>
      <c r="BW235" s="72"/>
      <c r="BX235" s="72"/>
      <c r="BY235" s="72"/>
      <c r="BZ235" s="73"/>
      <c r="CA235" s="110">
        <v>0.45484270646036773</v>
      </c>
      <c r="CB235" s="76">
        <v>0.3988730665772211</v>
      </c>
      <c r="CC235" s="76">
        <v>-9.4192808583826171E-2</v>
      </c>
      <c r="CD235" s="76">
        <v>0.82530841806784938</v>
      </c>
      <c r="CE235" s="76">
        <v>0.65206905652479552</v>
      </c>
      <c r="CF235" s="77">
        <v>0.49215579971579881</v>
      </c>
    </row>
    <row r="236" spans="1:84" ht="12" customHeight="1">
      <c r="A236" s="1"/>
      <c r="B236" s="64">
        <v>224</v>
      </c>
      <c r="C236" s="65">
        <v>10</v>
      </c>
      <c r="D236" s="66" t="s">
        <v>14</v>
      </c>
      <c r="E236" s="69" t="s">
        <v>168</v>
      </c>
      <c r="F236" s="70" t="s">
        <v>81</v>
      </c>
      <c r="G236" s="71">
        <v>2501.3560975609757</v>
      </c>
      <c r="H236" s="72">
        <v>746.28292682926838</v>
      </c>
      <c r="I236" s="72">
        <v>746.28292682926838</v>
      </c>
      <c r="J236" s="72">
        <v>1008.790243902439</v>
      </c>
      <c r="K236" s="72">
        <v>0</v>
      </c>
      <c r="L236" s="73"/>
      <c r="M236" s="71">
        <v>5002.7121951219515</v>
      </c>
      <c r="N236" s="72">
        <v>1492.5658536585368</v>
      </c>
      <c r="O236" s="72">
        <v>1492.5658536585368</v>
      </c>
      <c r="P236" s="72">
        <v>2017.580487804878</v>
      </c>
      <c r="Q236" s="72">
        <v>0</v>
      </c>
      <c r="R236" s="73"/>
      <c r="S236" s="71">
        <v>738.4</v>
      </c>
      <c r="T236" s="72">
        <v>712</v>
      </c>
      <c r="U236" s="72">
        <v>745</v>
      </c>
      <c r="V236" s="72">
        <v>732</v>
      </c>
      <c r="W236" s="72">
        <v>752</v>
      </c>
      <c r="X236" s="73">
        <v>751</v>
      </c>
      <c r="Y236" s="71">
        <v>739.4</v>
      </c>
      <c r="Z236" s="72">
        <v>744</v>
      </c>
      <c r="AA236" s="72">
        <v>730</v>
      </c>
      <c r="AB236" s="72">
        <v>728</v>
      </c>
      <c r="AC236" s="72">
        <v>773</v>
      </c>
      <c r="AD236" s="73">
        <v>722</v>
      </c>
      <c r="AE236" s="71">
        <v>1003.2</v>
      </c>
      <c r="AF236" s="72">
        <v>996</v>
      </c>
      <c r="AG236" s="72">
        <v>1023</v>
      </c>
      <c r="AH236" s="72">
        <v>983</v>
      </c>
      <c r="AI236" s="72">
        <v>1024</v>
      </c>
      <c r="AJ236" s="73">
        <v>990</v>
      </c>
      <c r="AK236" s="71">
        <v>0</v>
      </c>
      <c r="AL236" s="72">
        <v>0</v>
      </c>
      <c r="AM236" s="72">
        <v>0</v>
      </c>
      <c r="AN236" s="72">
        <v>0</v>
      </c>
      <c r="AO236" s="72">
        <v>0</v>
      </c>
      <c r="AP236" s="73">
        <v>0</v>
      </c>
      <c r="AQ236" s="71"/>
      <c r="AR236" s="72"/>
      <c r="AS236" s="72"/>
      <c r="AT236" s="72"/>
      <c r="AU236" s="72"/>
      <c r="AV236" s="73"/>
      <c r="AW236" s="75">
        <v>-0.81380246422428915</v>
      </c>
      <c r="AX236" s="76">
        <v>-1.9731735760894598</v>
      </c>
      <c r="AY236" s="76">
        <v>-0.13417112278608645</v>
      </c>
      <c r="AZ236" s="76">
        <v>-2.3329784039096912</v>
      </c>
      <c r="BA236" s="76">
        <v>1.9047229015285216</v>
      </c>
      <c r="BB236" s="77">
        <v>-1.533412119864741</v>
      </c>
      <c r="BC236" s="71"/>
      <c r="BD236" s="72"/>
      <c r="BE236" s="72"/>
      <c r="BF236" s="72"/>
      <c r="BG236" s="72"/>
      <c r="BH236" s="73"/>
      <c r="BI236" s="71"/>
      <c r="BJ236" s="72"/>
      <c r="BK236" s="72"/>
      <c r="BL236" s="72"/>
      <c r="BM236" s="72"/>
      <c r="BN236" s="73"/>
      <c r="BO236" s="71"/>
      <c r="BP236" s="72"/>
      <c r="BQ236" s="72"/>
      <c r="BR236" s="72"/>
      <c r="BS236" s="72"/>
      <c r="BT236" s="73"/>
      <c r="BU236" s="71"/>
      <c r="BV236" s="72"/>
      <c r="BW236" s="72"/>
      <c r="BX236" s="72"/>
      <c r="BY236" s="72"/>
      <c r="BZ236" s="73"/>
      <c r="CA236" s="110"/>
      <c r="CB236" s="76"/>
      <c r="CC236" s="76"/>
      <c r="CD236" s="76"/>
      <c r="CE236" s="76"/>
      <c r="CF236" s="77"/>
    </row>
    <row r="237" spans="1:84" ht="12" customHeight="1">
      <c r="A237" s="1"/>
      <c r="B237" s="64">
        <v>225</v>
      </c>
      <c r="C237" s="65">
        <v>10</v>
      </c>
      <c r="D237" s="66" t="s">
        <v>14</v>
      </c>
      <c r="E237" s="69" t="s">
        <v>169</v>
      </c>
      <c r="F237" s="70" t="s">
        <v>81</v>
      </c>
      <c r="G237" s="71">
        <v>4002.1697560975608</v>
      </c>
      <c r="H237" s="72">
        <v>746.28292682926838</v>
      </c>
      <c r="I237" s="72">
        <v>746.28292682926838</v>
      </c>
      <c r="J237" s="72">
        <v>1008.790243902439</v>
      </c>
      <c r="K237" s="72">
        <v>1500.8136585365853</v>
      </c>
      <c r="L237" s="73"/>
      <c r="M237" s="71">
        <v>8004.3395121951216</v>
      </c>
      <c r="N237" s="72">
        <v>1492.5658536585368</v>
      </c>
      <c r="O237" s="72">
        <v>1492.5658536585368</v>
      </c>
      <c r="P237" s="72">
        <v>2017.580487804878</v>
      </c>
      <c r="Q237" s="72">
        <v>3001.6273170731706</v>
      </c>
      <c r="R237" s="73"/>
      <c r="S237" s="71">
        <v>741.6</v>
      </c>
      <c r="T237" s="72">
        <v>744</v>
      </c>
      <c r="U237" s="72">
        <v>725</v>
      </c>
      <c r="V237" s="72">
        <v>707</v>
      </c>
      <c r="W237" s="72">
        <v>763</v>
      </c>
      <c r="X237" s="73">
        <v>769</v>
      </c>
      <c r="Y237" s="71">
        <v>752.4</v>
      </c>
      <c r="Z237" s="72">
        <v>793</v>
      </c>
      <c r="AA237" s="72">
        <v>704</v>
      </c>
      <c r="AB237" s="72">
        <v>747</v>
      </c>
      <c r="AC237" s="72">
        <v>785</v>
      </c>
      <c r="AD237" s="73">
        <v>733</v>
      </c>
      <c r="AE237" s="71">
        <v>1034.4000000000001</v>
      </c>
      <c r="AF237" s="72">
        <v>1027</v>
      </c>
      <c r="AG237" s="72">
        <v>1024</v>
      </c>
      <c r="AH237" s="72">
        <v>986</v>
      </c>
      <c r="AI237" s="72">
        <v>1066</v>
      </c>
      <c r="AJ237" s="73">
        <v>1069</v>
      </c>
      <c r="AK237" s="71">
        <v>1497</v>
      </c>
      <c r="AL237" s="72">
        <v>1478</v>
      </c>
      <c r="AM237" s="72">
        <v>1448</v>
      </c>
      <c r="AN237" s="72">
        <v>1565</v>
      </c>
      <c r="AO237" s="72">
        <v>1421</v>
      </c>
      <c r="AP237" s="73">
        <v>1573</v>
      </c>
      <c r="AQ237" s="71"/>
      <c r="AR237" s="72"/>
      <c r="AS237" s="72"/>
      <c r="AT237" s="72"/>
      <c r="AU237" s="72"/>
      <c r="AV237" s="73"/>
      <c r="AW237" s="75">
        <v>0.58044124357909954</v>
      </c>
      <c r="AX237" s="76">
        <v>0.99521625342742226</v>
      </c>
      <c r="AY237" s="76">
        <v>-2.5278726856456379</v>
      </c>
      <c r="AZ237" s="76">
        <v>7.0717737500447519E-2</v>
      </c>
      <c r="BA237" s="76">
        <v>0.8203111287925724</v>
      </c>
      <c r="BB237" s="77">
        <v>3.5438337838206824</v>
      </c>
      <c r="BC237" s="71"/>
      <c r="BD237" s="72"/>
      <c r="BE237" s="72"/>
      <c r="BF237" s="72"/>
      <c r="BG237" s="72"/>
      <c r="BH237" s="73"/>
      <c r="BI237" s="71"/>
      <c r="BJ237" s="72"/>
      <c r="BK237" s="72"/>
      <c r="BL237" s="72"/>
      <c r="BM237" s="72"/>
      <c r="BN237" s="73"/>
      <c r="BO237" s="71"/>
      <c r="BP237" s="72"/>
      <c r="BQ237" s="72"/>
      <c r="BR237" s="72"/>
      <c r="BS237" s="72"/>
      <c r="BT237" s="73"/>
      <c r="BU237" s="71"/>
      <c r="BV237" s="72"/>
      <c r="BW237" s="72"/>
      <c r="BX237" s="72"/>
      <c r="BY237" s="72"/>
      <c r="BZ237" s="73"/>
      <c r="CA237" s="110"/>
      <c r="CB237" s="76"/>
      <c r="CC237" s="76"/>
      <c r="CD237" s="76"/>
      <c r="CE237" s="76"/>
      <c r="CF237" s="77"/>
    </row>
    <row r="238" spans="1:84" ht="12" customHeight="1">
      <c r="A238" s="1"/>
      <c r="B238" s="64">
        <v>226</v>
      </c>
      <c r="C238" s="65">
        <v>10</v>
      </c>
      <c r="D238" s="66" t="s">
        <v>14</v>
      </c>
      <c r="E238" s="69" t="s">
        <v>170</v>
      </c>
      <c r="F238" s="70" t="s">
        <v>81</v>
      </c>
      <c r="G238" s="71">
        <v>3001.6273170731711</v>
      </c>
      <c r="H238" s="72">
        <v>895.53951219512203</v>
      </c>
      <c r="I238" s="72">
        <v>895.53951219512203</v>
      </c>
      <c r="J238" s="72">
        <v>1210.5482926829268</v>
      </c>
      <c r="K238" s="72">
        <v>0</v>
      </c>
      <c r="L238" s="73"/>
      <c r="M238" s="71">
        <v>7504.0682926829268</v>
      </c>
      <c r="N238" s="72">
        <v>2238.848780487805</v>
      </c>
      <c r="O238" s="72">
        <v>2238.848780487805</v>
      </c>
      <c r="P238" s="72">
        <v>3026.3707317073172</v>
      </c>
      <c r="Q238" s="72">
        <v>0</v>
      </c>
      <c r="R238" s="73"/>
      <c r="S238" s="71">
        <v>910.2</v>
      </c>
      <c r="T238" s="72">
        <v>921</v>
      </c>
      <c r="U238" s="72">
        <v>933</v>
      </c>
      <c r="V238" s="72">
        <v>886</v>
      </c>
      <c r="W238" s="72">
        <v>909</v>
      </c>
      <c r="X238" s="73">
        <v>902</v>
      </c>
      <c r="Y238" s="71">
        <v>925.2</v>
      </c>
      <c r="Z238" s="72">
        <v>937</v>
      </c>
      <c r="AA238" s="72">
        <v>943</v>
      </c>
      <c r="AB238" s="72">
        <v>890</v>
      </c>
      <c r="AC238" s="72">
        <v>934</v>
      </c>
      <c r="AD238" s="73">
        <v>922</v>
      </c>
      <c r="AE238" s="71">
        <v>1220.2</v>
      </c>
      <c r="AF238" s="72">
        <v>1227</v>
      </c>
      <c r="AG238" s="72">
        <v>1224</v>
      </c>
      <c r="AH238" s="72">
        <v>1210</v>
      </c>
      <c r="AI238" s="72">
        <v>1202</v>
      </c>
      <c r="AJ238" s="73">
        <v>1238</v>
      </c>
      <c r="AK238" s="71">
        <v>0</v>
      </c>
      <c r="AL238" s="72">
        <v>0</v>
      </c>
      <c r="AM238" s="72">
        <v>0</v>
      </c>
      <c r="AN238" s="72">
        <v>0</v>
      </c>
      <c r="AO238" s="72">
        <v>0</v>
      </c>
      <c r="AP238" s="73">
        <v>0</v>
      </c>
      <c r="AQ238" s="71"/>
      <c r="AR238" s="72"/>
      <c r="AS238" s="72"/>
      <c r="AT238" s="72"/>
      <c r="AU238" s="72"/>
      <c r="AV238" s="73"/>
      <c r="AW238" s="75">
        <v>1.7981140636558868</v>
      </c>
      <c r="AX238" s="76">
        <v>2.7775827616109305</v>
      </c>
      <c r="AY238" s="76">
        <v>3.2773116891390286</v>
      </c>
      <c r="AZ238" s="76">
        <v>-0.52062816007447665</v>
      </c>
      <c r="BA238" s="76">
        <v>1.4449722882026839</v>
      </c>
      <c r="BB238" s="77">
        <v>2.0113317394011787</v>
      </c>
      <c r="BC238" s="71">
        <v>2291</v>
      </c>
      <c r="BD238" s="72">
        <v>2331</v>
      </c>
      <c r="BE238" s="72">
        <v>2272</v>
      </c>
      <c r="BF238" s="72">
        <v>2282</v>
      </c>
      <c r="BG238" s="72">
        <v>2350</v>
      </c>
      <c r="BH238" s="73">
        <v>2220</v>
      </c>
      <c r="BI238" s="71">
        <v>2181.6</v>
      </c>
      <c r="BJ238" s="72">
        <v>2137</v>
      </c>
      <c r="BK238" s="72">
        <v>2143</v>
      </c>
      <c r="BL238" s="72">
        <v>2157</v>
      </c>
      <c r="BM238" s="72">
        <v>2325</v>
      </c>
      <c r="BN238" s="73">
        <v>2146</v>
      </c>
      <c r="BO238" s="71">
        <v>3065.6</v>
      </c>
      <c r="BP238" s="72">
        <v>3066</v>
      </c>
      <c r="BQ238" s="72">
        <v>3082</v>
      </c>
      <c r="BR238" s="72">
        <v>3127</v>
      </c>
      <c r="BS238" s="72">
        <v>2878</v>
      </c>
      <c r="BT238" s="73">
        <v>3175</v>
      </c>
      <c r="BU238" s="71"/>
      <c r="BV238" s="72"/>
      <c r="BW238" s="72"/>
      <c r="BX238" s="72"/>
      <c r="BY238" s="72"/>
      <c r="BZ238" s="73"/>
      <c r="CA238" s="110">
        <v>0.45484270646036773</v>
      </c>
      <c r="CB238" s="76">
        <v>0.3988730665772211</v>
      </c>
      <c r="CC238" s="76">
        <v>-9.4192808583826171E-2</v>
      </c>
      <c r="CD238" s="76">
        <v>0.82530841806784938</v>
      </c>
      <c r="CE238" s="76">
        <v>0.65206905652479552</v>
      </c>
      <c r="CF238" s="77">
        <v>0.49215579971579881</v>
      </c>
    </row>
    <row r="239" spans="1:84" ht="12" customHeight="1">
      <c r="A239" s="1"/>
      <c r="B239" s="64">
        <v>227</v>
      </c>
      <c r="C239" s="65">
        <v>10</v>
      </c>
      <c r="D239" s="66" t="s">
        <v>14</v>
      </c>
      <c r="E239" s="69" t="s">
        <v>103</v>
      </c>
      <c r="F239" s="70" t="s">
        <v>81</v>
      </c>
      <c r="G239" s="71">
        <v>2501.3560975609757</v>
      </c>
      <c r="H239" s="72">
        <v>746.28292682926838</v>
      </c>
      <c r="I239" s="72">
        <v>746.28292682926838</v>
      </c>
      <c r="J239" s="72">
        <v>1008.790243902439</v>
      </c>
      <c r="K239" s="72">
        <v>0</v>
      </c>
      <c r="L239" s="73"/>
      <c r="M239" s="71">
        <v>5729.0411707317071</v>
      </c>
      <c r="N239" s="72">
        <v>1492.5658536585368</v>
      </c>
      <c r="O239" s="72">
        <v>1492.5658536585368</v>
      </c>
      <c r="P239" s="72">
        <v>2743.909463414634</v>
      </c>
      <c r="Q239" s="72">
        <v>0</v>
      </c>
      <c r="R239" s="73"/>
      <c r="S239" s="71">
        <v>738.4</v>
      </c>
      <c r="T239" s="72">
        <v>712</v>
      </c>
      <c r="U239" s="72">
        <v>745</v>
      </c>
      <c r="V239" s="72">
        <v>732</v>
      </c>
      <c r="W239" s="72">
        <v>752</v>
      </c>
      <c r="X239" s="73">
        <v>751</v>
      </c>
      <c r="Y239" s="71">
        <v>739.4</v>
      </c>
      <c r="Z239" s="72">
        <v>744</v>
      </c>
      <c r="AA239" s="72">
        <v>730</v>
      </c>
      <c r="AB239" s="72">
        <v>728</v>
      </c>
      <c r="AC239" s="72">
        <v>773</v>
      </c>
      <c r="AD239" s="73">
        <v>722</v>
      </c>
      <c r="AE239" s="71">
        <v>1003.2</v>
      </c>
      <c r="AF239" s="72">
        <v>996</v>
      </c>
      <c r="AG239" s="72">
        <v>1023</v>
      </c>
      <c r="AH239" s="72">
        <v>983</v>
      </c>
      <c r="AI239" s="72">
        <v>1024</v>
      </c>
      <c r="AJ239" s="73">
        <v>990</v>
      </c>
      <c r="AK239" s="71">
        <v>0</v>
      </c>
      <c r="AL239" s="72">
        <v>0</v>
      </c>
      <c r="AM239" s="72">
        <v>0</v>
      </c>
      <c r="AN239" s="72">
        <v>0</v>
      </c>
      <c r="AO239" s="72">
        <v>0</v>
      </c>
      <c r="AP239" s="73">
        <v>0</v>
      </c>
      <c r="AQ239" s="71"/>
      <c r="AR239" s="72"/>
      <c r="AS239" s="72"/>
      <c r="AT239" s="72"/>
      <c r="AU239" s="72"/>
      <c r="AV239" s="73"/>
      <c r="AW239" s="75">
        <v>-0.81380246422428915</v>
      </c>
      <c r="AX239" s="76">
        <v>-1.9731735760894598</v>
      </c>
      <c r="AY239" s="76">
        <v>-0.13417112278608645</v>
      </c>
      <c r="AZ239" s="76">
        <v>-2.3329784039096912</v>
      </c>
      <c r="BA239" s="76">
        <v>1.9047229015285216</v>
      </c>
      <c r="BB239" s="77">
        <v>-1.533412119864741</v>
      </c>
      <c r="BC239" s="71">
        <v>1513.2</v>
      </c>
      <c r="BD239" s="72">
        <v>1531</v>
      </c>
      <c r="BE239" s="72">
        <v>1534</v>
      </c>
      <c r="BF239" s="72">
        <v>1524</v>
      </c>
      <c r="BG239" s="72">
        <v>1433</v>
      </c>
      <c r="BH239" s="73">
        <v>1544</v>
      </c>
      <c r="BI239" s="71">
        <v>1492</v>
      </c>
      <c r="BJ239" s="72">
        <v>1436</v>
      </c>
      <c r="BK239" s="72">
        <v>1521</v>
      </c>
      <c r="BL239" s="72">
        <v>1484</v>
      </c>
      <c r="BM239" s="72">
        <v>1552</v>
      </c>
      <c r="BN239" s="73">
        <v>1467</v>
      </c>
      <c r="BO239" s="71">
        <v>2812.2</v>
      </c>
      <c r="BP239" s="72">
        <v>2696</v>
      </c>
      <c r="BQ239" s="72">
        <v>2863</v>
      </c>
      <c r="BR239" s="72">
        <v>2813</v>
      </c>
      <c r="BS239" s="72">
        <v>2924</v>
      </c>
      <c r="BT239" s="73">
        <v>2765</v>
      </c>
      <c r="BU239" s="71"/>
      <c r="BV239" s="72"/>
      <c r="BW239" s="72"/>
      <c r="BX239" s="72"/>
      <c r="BY239" s="72"/>
      <c r="BZ239" s="73"/>
      <c r="CA239" s="110">
        <v>1.54229698539603</v>
      </c>
      <c r="CB239" s="76">
        <v>-1.152743866968442</v>
      </c>
      <c r="CC239" s="76">
        <v>3.2982627221050276</v>
      </c>
      <c r="CD239" s="76">
        <v>1.6051347254770754</v>
      </c>
      <c r="CE239" s="76">
        <v>3.1411683719024364</v>
      </c>
      <c r="CF239" s="77">
        <v>0.81966297446411929</v>
      </c>
    </row>
    <row r="240" spans="1:84" ht="12" customHeight="1">
      <c r="A240" s="1"/>
      <c r="B240" s="64">
        <v>228</v>
      </c>
      <c r="C240" s="65">
        <v>10</v>
      </c>
      <c r="D240" s="66" t="s">
        <v>14</v>
      </c>
      <c r="E240" s="69" t="s">
        <v>171</v>
      </c>
      <c r="F240" s="70" t="s">
        <v>81</v>
      </c>
      <c r="G240" s="71">
        <v>4002.1697560975608</v>
      </c>
      <c r="H240" s="72">
        <v>746.28292682926838</v>
      </c>
      <c r="I240" s="72">
        <v>746.28292682926838</v>
      </c>
      <c r="J240" s="72">
        <v>1008.790243902439</v>
      </c>
      <c r="K240" s="72">
        <v>1500.8136585365853</v>
      </c>
      <c r="L240" s="73"/>
      <c r="M240" s="71">
        <v>9084.9253463414643</v>
      </c>
      <c r="N240" s="72">
        <v>1492.5658536585368</v>
      </c>
      <c r="O240" s="72">
        <v>1492.5658536585368</v>
      </c>
      <c r="P240" s="72">
        <v>2017.580487804878</v>
      </c>
      <c r="Q240" s="72">
        <v>4082.2131512195124</v>
      </c>
      <c r="R240" s="73"/>
      <c r="S240" s="71">
        <v>741.6</v>
      </c>
      <c r="T240" s="72">
        <v>744</v>
      </c>
      <c r="U240" s="72">
        <v>725</v>
      </c>
      <c r="V240" s="72">
        <v>707</v>
      </c>
      <c r="W240" s="72">
        <v>763</v>
      </c>
      <c r="X240" s="73">
        <v>769</v>
      </c>
      <c r="Y240" s="71">
        <v>752.4</v>
      </c>
      <c r="Z240" s="72">
        <v>793</v>
      </c>
      <c r="AA240" s="72">
        <v>704</v>
      </c>
      <c r="AB240" s="72">
        <v>747</v>
      </c>
      <c r="AC240" s="72">
        <v>785</v>
      </c>
      <c r="AD240" s="73">
        <v>733</v>
      </c>
      <c r="AE240" s="71">
        <v>1034.4000000000001</v>
      </c>
      <c r="AF240" s="72">
        <v>1027</v>
      </c>
      <c r="AG240" s="72">
        <v>1024</v>
      </c>
      <c r="AH240" s="72">
        <v>986</v>
      </c>
      <c r="AI240" s="72">
        <v>1066</v>
      </c>
      <c r="AJ240" s="73">
        <v>1069</v>
      </c>
      <c r="AK240" s="71">
        <v>1497</v>
      </c>
      <c r="AL240" s="72">
        <v>1478</v>
      </c>
      <c r="AM240" s="72">
        <v>1448</v>
      </c>
      <c r="AN240" s="72">
        <v>1565</v>
      </c>
      <c r="AO240" s="72">
        <v>1421</v>
      </c>
      <c r="AP240" s="73">
        <v>1573</v>
      </c>
      <c r="AQ240" s="71"/>
      <c r="AR240" s="72"/>
      <c r="AS240" s="72"/>
      <c r="AT240" s="72"/>
      <c r="AU240" s="72"/>
      <c r="AV240" s="73"/>
      <c r="AW240" s="75">
        <v>0.58044124357909954</v>
      </c>
      <c r="AX240" s="76">
        <v>0.99521625342742226</v>
      </c>
      <c r="AY240" s="76">
        <v>-2.5278726856456379</v>
      </c>
      <c r="AZ240" s="76">
        <v>7.0717737500447519E-2</v>
      </c>
      <c r="BA240" s="76">
        <v>0.8203111287925724</v>
      </c>
      <c r="BB240" s="77">
        <v>3.5438337838206824</v>
      </c>
      <c r="BC240" s="71">
        <v>1488.2</v>
      </c>
      <c r="BD240" s="72">
        <v>1533</v>
      </c>
      <c r="BE240" s="72">
        <v>1576</v>
      </c>
      <c r="BF240" s="72">
        <v>1416</v>
      </c>
      <c r="BG240" s="72">
        <v>1472</v>
      </c>
      <c r="BH240" s="73">
        <v>1444</v>
      </c>
      <c r="BI240" s="71">
        <v>1468.6</v>
      </c>
      <c r="BJ240" s="72">
        <v>1448</v>
      </c>
      <c r="BK240" s="72">
        <v>1451</v>
      </c>
      <c r="BL240" s="72">
        <v>1456</v>
      </c>
      <c r="BM240" s="72">
        <v>1516</v>
      </c>
      <c r="BN240" s="73">
        <v>1472</v>
      </c>
      <c r="BO240" s="71">
        <v>2009</v>
      </c>
      <c r="BP240" s="72">
        <v>1989</v>
      </c>
      <c r="BQ240" s="72">
        <v>1933</v>
      </c>
      <c r="BR240" s="72">
        <v>2127</v>
      </c>
      <c r="BS240" s="72">
        <v>2057</v>
      </c>
      <c r="BT240" s="73">
        <v>1939</v>
      </c>
      <c r="BU240" s="71">
        <v>4220</v>
      </c>
      <c r="BV240" s="72">
        <v>4134</v>
      </c>
      <c r="BW240" s="72">
        <v>4182</v>
      </c>
      <c r="BX240" s="72">
        <v>4112</v>
      </c>
      <c r="BY240" s="72">
        <v>4264</v>
      </c>
      <c r="BZ240" s="73">
        <v>4408</v>
      </c>
      <c r="CA240" s="110">
        <v>1.1103520371706477</v>
      </c>
      <c r="CB240" s="76">
        <v>0.20995938801211533</v>
      </c>
      <c r="CC240" s="76">
        <v>0.62823470180213281</v>
      </c>
      <c r="CD240" s="76">
        <v>0.28701010371028346</v>
      </c>
      <c r="CE240" s="76">
        <v>2.4664446334583312</v>
      </c>
      <c r="CF240" s="77">
        <v>1.9601113588703978</v>
      </c>
    </row>
    <row r="241" spans="1:84" ht="12" customHeight="1">
      <c r="A241" s="1"/>
      <c r="B241" s="64">
        <v>229</v>
      </c>
      <c r="C241" s="65">
        <v>10</v>
      </c>
      <c r="D241" s="66" t="s">
        <v>14</v>
      </c>
      <c r="E241" s="69" t="s">
        <v>108</v>
      </c>
      <c r="F241" s="70" t="s">
        <v>81</v>
      </c>
      <c r="G241" s="71">
        <v>3001.6273170731711</v>
      </c>
      <c r="H241" s="72">
        <v>895.53951219512203</v>
      </c>
      <c r="I241" s="72">
        <v>895.53951219512203</v>
      </c>
      <c r="J241" s="72">
        <v>1210.5482926829268</v>
      </c>
      <c r="K241" s="72">
        <v>0</v>
      </c>
      <c r="L241" s="73"/>
      <c r="M241" s="71">
        <v>8593.5617560975625</v>
      </c>
      <c r="N241" s="72">
        <v>2238.848780487805</v>
      </c>
      <c r="O241" s="72">
        <v>2238.848780487805</v>
      </c>
      <c r="P241" s="72">
        <v>4115.8641951219515</v>
      </c>
      <c r="Q241" s="72">
        <v>0</v>
      </c>
      <c r="R241" s="73"/>
      <c r="S241" s="71">
        <v>910.2</v>
      </c>
      <c r="T241" s="72">
        <v>921</v>
      </c>
      <c r="U241" s="72">
        <v>933</v>
      </c>
      <c r="V241" s="72">
        <v>886</v>
      </c>
      <c r="W241" s="72">
        <v>909</v>
      </c>
      <c r="X241" s="73">
        <v>902</v>
      </c>
      <c r="Y241" s="71">
        <v>925.2</v>
      </c>
      <c r="Z241" s="72">
        <v>937</v>
      </c>
      <c r="AA241" s="72">
        <v>943</v>
      </c>
      <c r="AB241" s="72">
        <v>890</v>
      </c>
      <c r="AC241" s="72">
        <v>934</v>
      </c>
      <c r="AD241" s="73">
        <v>922</v>
      </c>
      <c r="AE241" s="71">
        <v>1220.2</v>
      </c>
      <c r="AF241" s="72">
        <v>1227</v>
      </c>
      <c r="AG241" s="72">
        <v>1224</v>
      </c>
      <c r="AH241" s="72">
        <v>1210</v>
      </c>
      <c r="AI241" s="72">
        <v>1202</v>
      </c>
      <c r="AJ241" s="73">
        <v>1238</v>
      </c>
      <c r="AK241" s="71">
        <v>0</v>
      </c>
      <c r="AL241" s="72">
        <v>0</v>
      </c>
      <c r="AM241" s="72">
        <v>0</v>
      </c>
      <c r="AN241" s="72">
        <v>0</v>
      </c>
      <c r="AO241" s="72">
        <v>0</v>
      </c>
      <c r="AP241" s="73">
        <v>0</v>
      </c>
      <c r="AQ241" s="71"/>
      <c r="AR241" s="72"/>
      <c r="AS241" s="72"/>
      <c r="AT241" s="72"/>
      <c r="AU241" s="72"/>
      <c r="AV241" s="73"/>
      <c r="AW241" s="75">
        <v>1.7981140636558868</v>
      </c>
      <c r="AX241" s="76">
        <v>2.7775827616109305</v>
      </c>
      <c r="AY241" s="76">
        <v>3.2773116891390286</v>
      </c>
      <c r="AZ241" s="76">
        <v>-0.52062816007447665</v>
      </c>
      <c r="BA241" s="76">
        <v>1.4449722882026839</v>
      </c>
      <c r="BB241" s="77">
        <v>2.0113317394011787</v>
      </c>
      <c r="BC241" s="71">
        <v>2232.1999999999998</v>
      </c>
      <c r="BD241" s="72">
        <v>2098</v>
      </c>
      <c r="BE241" s="72">
        <v>2211</v>
      </c>
      <c r="BF241" s="72">
        <v>2208</v>
      </c>
      <c r="BG241" s="72">
        <v>2360</v>
      </c>
      <c r="BH241" s="73">
        <v>2284</v>
      </c>
      <c r="BI241" s="71">
        <v>2263.1999999999998</v>
      </c>
      <c r="BJ241" s="72">
        <v>2237</v>
      </c>
      <c r="BK241" s="72">
        <v>2170</v>
      </c>
      <c r="BL241" s="72">
        <v>2251</v>
      </c>
      <c r="BM241" s="72">
        <v>2252</v>
      </c>
      <c r="BN241" s="73">
        <v>2406</v>
      </c>
      <c r="BO241" s="71">
        <v>4217</v>
      </c>
      <c r="BP241" s="72">
        <v>4293</v>
      </c>
      <c r="BQ241" s="72">
        <v>4180</v>
      </c>
      <c r="BR241" s="72">
        <v>4360</v>
      </c>
      <c r="BS241" s="72">
        <v>4318</v>
      </c>
      <c r="BT241" s="73">
        <v>3934</v>
      </c>
      <c r="BU241" s="71"/>
      <c r="BV241" s="72"/>
      <c r="BW241" s="72"/>
      <c r="BX241" s="72"/>
      <c r="BY241" s="72"/>
      <c r="BZ241" s="73"/>
      <c r="CA241" s="110">
        <v>1.3828753114867087</v>
      </c>
      <c r="CB241" s="76">
        <v>0.40074470725717237</v>
      </c>
      <c r="CC241" s="76">
        <v>-0.37890873448902518</v>
      </c>
      <c r="CD241" s="76">
        <v>2.6233388471605279</v>
      </c>
      <c r="CE241" s="76">
        <v>3.9150035043818532</v>
      </c>
      <c r="CF241" s="77">
        <v>0.35419823312308196</v>
      </c>
    </row>
    <row r="242" spans="1:84" ht="12" customHeight="1">
      <c r="A242" s="1"/>
      <c r="B242" s="64">
        <v>230</v>
      </c>
      <c r="C242" s="65">
        <v>10</v>
      </c>
      <c r="D242" s="66" t="s">
        <v>14</v>
      </c>
      <c r="E242" s="69" t="s">
        <v>67</v>
      </c>
      <c r="F242" s="70" t="s">
        <v>80</v>
      </c>
      <c r="G242" s="71">
        <v>1667.5707317073172</v>
      </c>
      <c r="H242" s="72">
        <v>497.52195121951229</v>
      </c>
      <c r="I242" s="72">
        <v>497.52195121951229</v>
      </c>
      <c r="J242" s="72">
        <v>672.52682926829266</v>
      </c>
      <c r="K242" s="72">
        <v>0</v>
      </c>
      <c r="L242" s="73"/>
      <c r="M242" s="71">
        <v>3335.1414634146345</v>
      </c>
      <c r="N242" s="72">
        <v>995.04390243902458</v>
      </c>
      <c r="O242" s="72">
        <v>995.04390243902458</v>
      </c>
      <c r="P242" s="72">
        <v>1345.0536585365853</v>
      </c>
      <c r="Q242" s="72">
        <v>0</v>
      </c>
      <c r="R242" s="73"/>
      <c r="S242" s="71">
        <v>506.8</v>
      </c>
      <c r="T242" s="72">
        <v>521</v>
      </c>
      <c r="U242" s="72">
        <v>505</v>
      </c>
      <c r="V242" s="72">
        <v>523</v>
      </c>
      <c r="W242" s="72">
        <v>493</v>
      </c>
      <c r="X242" s="73">
        <v>492</v>
      </c>
      <c r="Y242" s="71">
        <v>507.8</v>
      </c>
      <c r="Z242" s="72">
        <v>507</v>
      </c>
      <c r="AA242" s="72">
        <v>526</v>
      </c>
      <c r="AB242" s="72">
        <v>529</v>
      </c>
      <c r="AC242" s="72">
        <v>493</v>
      </c>
      <c r="AD242" s="73">
        <v>484</v>
      </c>
      <c r="AE242" s="71">
        <v>676</v>
      </c>
      <c r="AF242" s="72">
        <v>668</v>
      </c>
      <c r="AG242" s="72">
        <v>706</v>
      </c>
      <c r="AH242" s="72">
        <v>663</v>
      </c>
      <c r="AI242" s="72">
        <v>699</v>
      </c>
      <c r="AJ242" s="73">
        <v>644</v>
      </c>
      <c r="AK242" s="71">
        <v>0</v>
      </c>
      <c r="AL242" s="72">
        <v>0</v>
      </c>
      <c r="AM242" s="72">
        <v>0</v>
      </c>
      <c r="AN242" s="72">
        <v>0</v>
      </c>
      <c r="AO242" s="72">
        <v>0</v>
      </c>
      <c r="AP242" s="73">
        <v>0</v>
      </c>
      <c r="AQ242" s="71"/>
      <c r="AR242" s="72"/>
      <c r="AS242" s="72"/>
      <c r="AT242" s="72"/>
      <c r="AU242" s="72"/>
      <c r="AV242" s="73"/>
      <c r="AW242" s="75">
        <v>1.3810069854790719</v>
      </c>
      <c r="AX242" s="76">
        <v>1.7048313305172869</v>
      </c>
      <c r="AY242" s="76">
        <v>4.1634976539554946</v>
      </c>
      <c r="AZ242" s="76">
        <v>2.8442132852813495</v>
      </c>
      <c r="BA242" s="76">
        <v>1.0451891461802143</v>
      </c>
      <c r="BB242" s="77">
        <v>-2.8526964885389083</v>
      </c>
      <c r="BC242" s="71"/>
      <c r="BD242" s="72"/>
      <c r="BE242" s="72"/>
      <c r="BF242" s="72"/>
      <c r="BG242" s="72"/>
      <c r="BH242" s="73"/>
      <c r="BI242" s="71"/>
      <c r="BJ242" s="72"/>
      <c r="BK242" s="72"/>
      <c r="BL242" s="72"/>
      <c r="BM242" s="72"/>
      <c r="BN242" s="73"/>
      <c r="BO242" s="71"/>
      <c r="BP242" s="72"/>
      <c r="BQ242" s="72"/>
      <c r="BR242" s="72"/>
      <c r="BS242" s="72"/>
      <c r="BT242" s="73"/>
      <c r="BU242" s="71"/>
      <c r="BV242" s="72"/>
      <c r="BW242" s="72"/>
      <c r="BX242" s="72"/>
      <c r="BY242" s="72"/>
      <c r="BZ242" s="73"/>
      <c r="CA242" s="110"/>
      <c r="CB242" s="76"/>
      <c r="CC242" s="76"/>
      <c r="CD242" s="76"/>
      <c r="CE242" s="76"/>
      <c r="CF242" s="77"/>
    </row>
    <row r="243" spans="1:84" ht="12" customHeight="1">
      <c r="A243" s="1"/>
      <c r="B243" s="64">
        <v>231</v>
      </c>
      <c r="C243" s="65">
        <v>10</v>
      </c>
      <c r="D243" s="66" t="s">
        <v>14</v>
      </c>
      <c r="E243" s="69" t="s">
        <v>148</v>
      </c>
      <c r="F243" s="70" t="s">
        <v>80</v>
      </c>
      <c r="G243" s="71">
        <v>1667.5707317073172</v>
      </c>
      <c r="H243" s="72">
        <v>497.52195121951229</v>
      </c>
      <c r="I243" s="72">
        <v>497.52195121951229</v>
      </c>
      <c r="J243" s="72">
        <v>672.52682926829266</v>
      </c>
      <c r="K243" s="72">
        <v>0</v>
      </c>
      <c r="L243" s="73"/>
      <c r="M243" s="71">
        <v>3335.1414634146345</v>
      </c>
      <c r="N243" s="72">
        <v>995.04390243902458</v>
      </c>
      <c r="O243" s="72">
        <v>995.04390243902458</v>
      </c>
      <c r="P243" s="72">
        <v>1345.0536585365853</v>
      </c>
      <c r="Q243" s="72">
        <v>0</v>
      </c>
      <c r="R243" s="73"/>
      <c r="S243" s="71">
        <v>506.8</v>
      </c>
      <c r="T243" s="72">
        <v>521</v>
      </c>
      <c r="U243" s="72">
        <v>505</v>
      </c>
      <c r="V243" s="72">
        <v>523</v>
      </c>
      <c r="W243" s="72">
        <v>493</v>
      </c>
      <c r="X243" s="73">
        <v>492</v>
      </c>
      <c r="Y243" s="71">
        <v>507.8</v>
      </c>
      <c r="Z243" s="72">
        <v>507</v>
      </c>
      <c r="AA243" s="72">
        <v>526</v>
      </c>
      <c r="AB243" s="72">
        <v>529</v>
      </c>
      <c r="AC243" s="72">
        <v>493</v>
      </c>
      <c r="AD243" s="73">
        <v>484</v>
      </c>
      <c r="AE243" s="71">
        <v>676</v>
      </c>
      <c r="AF243" s="72">
        <v>668</v>
      </c>
      <c r="AG243" s="72">
        <v>706</v>
      </c>
      <c r="AH243" s="72">
        <v>663</v>
      </c>
      <c r="AI243" s="72">
        <v>699</v>
      </c>
      <c r="AJ243" s="73">
        <v>644</v>
      </c>
      <c r="AK243" s="71">
        <v>0</v>
      </c>
      <c r="AL243" s="72">
        <v>0</v>
      </c>
      <c r="AM243" s="72">
        <v>0</v>
      </c>
      <c r="AN243" s="72">
        <v>0</v>
      </c>
      <c r="AO243" s="72">
        <v>0</v>
      </c>
      <c r="AP243" s="73">
        <v>0</v>
      </c>
      <c r="AQ243" s="71"/>
      <c r="AR243" s="72"/>
      <c r="AS243" s="72"/>
      <c r="AT243" s="72"/>
      <c r="AU243" s="72"/>
      <c r="AV243" s="73"/>
      <c r="AW243" s="75">
        <v>1.3810069854790719</v>
      </c>
      <c r="AX243" s="76">
        <v>1.7048313305172869</v>
      </c>
      <c r="AY243" s="76">
        <v>4.1634976539554946</v>
      </c>
      <c r="AZ243" s="76">
        <v>2.8442132852813495</v>
      </c>
      <c r="BA243" s="76">
        <v>1.0451891461802143</v>
      </c>
      <c r="BB243" s="77">
        <v>-2.8526964885389083</v>
      </c>
      <c r="BC243" s="71">
        <v>983.6</v>
      </c>
      <c r="BD243" s="72">
        <v>1099</v>
      </c>
      <c r="BE243" s="72">
        <v>979</v>
      </c>
      <c r="BF243" s="72">
        <v>948</v>
      </c>
      <c r="BG243" s="72">
        <v>948</v>
      </c>
      <c r="BH243" s="73">
        <v>944</v>
      </c>
      <c r="BI243" s="71">
        <v>994.6</v>
      </c>
      <c r="BJ243" s="72">
        <v>1006</v>
      </c>
      <c r="BK243" s="72">
        <v>1051</v>
      </c>
      <c r="BL243" s="72">
        <v>947</v>
      </c>
      <c r="BM243" s="72">
        <v>1003</v>
      </c>
      <c r="BN243" s="73">
        <v>966</v>
      </c>
      <c r="BO243" s="71">
        <v>1302</v>
      </c>
      <c r="BP243" s="72">
        <v>1267</v>
      </c>
      <c r="BQ243" s="72">
        <v>1379</v>
      </c>
      <c r="BR243" s="72">
        <v>1252</v>
      </c>
      <c r="BS243" s="72">
        <v>1299</v>
      </c>
      <c r="BT243" s="73">
        <v>1313</v>
      </c>
      <c r="BU243" s="71"/>
      <c r="BV243" s="72"/>
      <c r="BW243" s="72"/>
      <c r="BX243" s="72"/>
      <c r="BY243" s="72"/>
      <c r="BZ243" s="73"/>
      <c r="CA243" s="110">
        <v>-1.6473503153411562</v>
      </c>
      <c r="CB243" s="76">
        <v>1.1051566174835825</v>
      </c>
      <c r="CC243" s="76">
        <v>2.2145548365959389</v>
      </c>
      <c r="CD243" s="76">
        <v>-5.6411839041456631</v>
      </c>
      <c r="CE243" s="76">
        <v>-2.5528591320220562</v>
      </c>
      <c r="CF243" s="77">
        <v>-3.3624199946175604</v>
      </c>
    </row>
    <row r="244" spans="1:84" ht="12" customHeight="1">
      <c r="A244" s="1"/>
      <c r="B244" s="64">
        <v>232</v>
      </c>
      <c r="C244" s="65">
        <v>10</v>
      </c>
      <c r="D244" s="66" t="s">
        <v>14</v>
      </c>
      <c r="E244" s="69" t="s">
        <v>79</v>
      </c>
      <c r="F244" s="70" t="s">
        <v>80</v>
      </c>
      <c r="G244" s="71">
        <v>1667.5707317073172</v>
      </c>
      <c r="H244" s="72">
        <v>497.52195121951229</v>
      </c>
      <c r="I244" s="72">
        <v>497.52195121951229</v>
      </c>
      <c r="J244" s="72">
        <v>672.52682926829266</v>
      </c>
      <c r="K244" s="72">
        <v>0</v>
      </c>
      <c r="L244" s="73"/>
      <c r="M244" s="71">
        <v>3335.1414634146345</v>
      </c>
      <c r="N244" s="72">
        <v>995.04390243902458</v>
      </c>
      <c r="O244" s="72">
        <v>995.04390243902458</v>
      </c>
      <c r="P244" s="72">
        <v>1345.0536585365853</v>
      </c>
      <c r="Q244" s="72">
        <v>0</v>
      </c>
      <c r="R244" s="73"/>
      <c r="S244" s="71">
        <v>506.8</v>
      </c>
      <c r="T244" s="72">
        <v>521</v>
      </c>
      <c r="U244" s="72">
        <v>505</v>
      </c>
      <c r="V244" s="72">
        <v>523</v>
      </c>
      <c r="W244" s="72">
        <v>493</v>
      </c>
      <c r="X244" s="73">
        <v>492</v>
      </c>
      <c r="Y244" s="71">
        <v>507.8</v>
      </c>
      <c r="Z244" s="72">
        <v>507</v>
      </c>
      <c r="AA244" s="72">
        <v>526</v>
      </c>
      <c r="AB244" s="72">
        <v>529</v>
      </c>
      <c r="AC244" s="72">
        <v>493</v>
      </c>
      <c r="AD244" s="73">
        <v>484</v>
      </c>
      <c r="AE244" s="71">
        <v>676</v>
      </c>
      <c r="AF244" s="72">
        <v>668</v>
      </c>
      <c r="AG244" s="72">
        <v>706</v>
      </c>
      <c r="AH244" s="72">
        <v>663</v>
      </c>
      <c r="AI244" s="72">
        <v>699</v>
      </c>
      <c r="AJ244" s="73">
        <v>644</v>
      </c>
      <c r="AK244" s="71">
        <v>0</v>
      </c>
      <c r="AL244" s="72">
        <v>0</v>
      </c>
      <c r="AM244" s="72">
        <v>0</v>
      </c>
      <c r="AN244" s="72">
        <v>0</v>
      </c>
      <c r="AO244" s="72">
        <v>0</v>
      </c>
      <c r="AP244" s="73">
        <v>0</v>
      </c>
      <c r="AQ244" s="71"/>
      <c r="AR244" s="72"/>
      <c r="AS244" s="72"/>
      <c r="AT244" s="72"/>
      <c r="AU244" s="72"/>
      <c r="AV244" s="73"/>
      <c r="AW244" s="75">
        <v>1.3810069854790719</v>
      </c>
      <c r="AX244" s="76">
        <v>1.7048313305172869</v>
      </c>
      <c r="AY244" s="76">
        <v>4.1634976539554946</v>
      </c>
      <c r="AZ244" s="76">
        <v>2.8442132852813495</v>
      </c>
      <c r="BA244" s="76">
        <v>1.0451891461802143</v>
      </c>
      <c r="BB244" s="77">
        <v>-2.8526964885389083</v>
      </c>
      <c r="BC244" s="71"/>
      <c r="BD244" s="72"/>
      <c r="BE244" s="72"/>
      <c r="BF244" s="72"/>
      <c r="BG244" s="72"/>
      <c r="BH244" s="73"/>
      <c r="BI244" s="71"/>
      <c r="BJ244" s="72"/>
      <c r="BK244" s="72"/>
      <c r="BL244" s="72"/>
      <c r="BM244" s="72"/>
      <c r="BN244" s="73"/>
      <c r="BO244" s="71"/>
      <c r="BP244" s="72"/>
      <c r="BQ244" s="72"/>
      <c r="BR244" s="72"/>
      <c r="BS244" s="72"/>
      <c r="BT244" s="73"/>
      <c r="BU244" s="71"/>
      <c r="BV244" s="72"/>
      <c r="BW244" s="72"/>
      <c r="BX244" s="72"/>
      <c r="BY244" s="72"/>
      <c r="BZ244" s="73"/>
      <c r="CA244" s="110"/>
      <c r="CB244" s="76"/>
      <c r="CC244" s="76"/>
      <c r="CD244" s="76"/>
      <c r="CE244" s="76"/>
      <c r="CF244" s="77"/>
    </row>
    <row r="245" spans="1:84" ht="12" customHeight="1">
      <c r="A245" s="1"/>
      <c r="B245" s="64">
        <v>233</v>
      </c>
      <c r="C245" s="65">
        <v>10</v>
      </c>
      <c r="D245" s="66" t="s">
        <v>14</v>
      </c>
      <c r="E245" s="69" t="s">
        <v>136</v>
      </c>
      <c r="F245" s="70" t="s">
        <v>80</v>
      </c>
      <c r="G245" s="71">
        <v>1667.5707317073172</v>
      </c>
      <c r="H245" s="72">
        <v>497.52195121951229</v>
      </c>
      <c r="I245" s="72">
        <v>497.52195121951229</v>
      </c>
      <c r="J245" s="72">
        <v>672.52682926829266</v>
      </c>
      <c r="K245" s="72">
        <v>0</v>
      </c>
      <c r="L245" s="73"/>
      <c r="M245" s="71">
        <v>3335.1414634146345</v>
      </c>
      <c r="N245" s="72">
        <v>995.04390243902458</v>
      </c>
      <c r="O245" s="72">
        <v>995.04390243902458</v>
      </c>
      <c r="P245" s="72">
        <v>1345.0536585365853</v>
      </c>
      <c r="Q245" s="72">
        <v>0</v>
      </c>
      <c r="R245" s="73"/>
      <c r="S245" s="71">
        <v>506.8</v>
      </c>
      <c r="T245" s="72">
        <v>521</v>
      </c>
      <c r="U245" s="72">
        <v>505</v>
      </c>
      <c r="V245" s="72">
        <v>523</v>
      </c>
      <c r="W245" s="72">
        <v>493</v>
      </c>
      <c r="X245" s="73">
        <v>492</v>
      </c>
      <c r="Y245" s="71">
        <v>507.8</v>
      </c>
      <c r="Z245" s="72">
        <v>507</v>
      </c>
      <c r="AA245" s="72">
        <v>526</v>
      </c>
      <c r="AB245" s="72">
        <v>529</v>
      </c>
      <c r="AC245" s="72">
        <v>493</v>
      </c>
      <c r="AD245" s="73">
        <v>484</v>
      </c>
      <c r="AE245" s="71">
        <v>676</v>
      </c>
      <c r="AF245" s="72">
        <v>668</v>
      </c>
      <c r="AG245" s="72">
        <v>706</v>
      </c>
      <c r="AH245" s="72">
        <v>663</v>
      </c>
      <c r="AI245" s="72">
        <v>699</v>
      </c>
      <c r="AJ245" s="73">
        <v>644</v>
      </c>
      <c r="AK245" s="71">
        <v>0</v>
      </c>
      <c r="AL245" s="72">
        <v>0</v>
      </c>
      <c r="AM245" s="72">
        <v>0</v>
      </c>
      <c r="AN245" s="72">
        <v>0</v>
      </c>
      <c r="AO245" s="72">
        <v>0</v>
      </c>
      <c r="AP245" s="73">
        <v>0</v>
      </c>
      <c r="AQ245" s="71"/>
      <c r="AR245" s="72"/>
      <c r="AS245" s="72"/>
      <c r="AT245" s="72"/>
      <c r="AU245" s="72"/>
      <c r="AV245" s="73"/>
      <c r="AW245" s="75">
        <v>1.3810069854790719</v>
      </c>
      <c r="AX245" s="76">
        <v>1.7048313305172869</v>
      </c>
      <c r="AY245" s="76">
        <v>4.1634976539554946</v>
      </c>
      <c r="AZ245" s="76">
        <v>2.8442132852813495</v>
      </c>
      <c r="BA245" s="76">
        <v>1.0451891461802143</v>
      </c>
      <c r="BB245" s="77">
        <v>-2.8526964885389083</v>
      </c>
      <c r="BC245" s="71"/>
      <c r="BD245" s="72"/>
      <c r="BE245" s="72"/>
      <c r="BF245" s="72"/>
      <c r="BG245" s="72"/>
      <c r="BH245" s="73"/>
      <c r="BI245" s="71"/>
      <c r="BJ245" s="72"/>
      <c r="BK245" s="72"/>
      <c r="BL245" s="72"/>
      <c r="BM245" s="72"/>
      <c r="BN245" s="73"/>
      <c r="BO245" s="71"/>
      <c r="BP245" s="72"/>
      <c r="BQ245" s="72"/>
      <c r="BR245" s="72"/>
      <c r="BS245" s="72"/>
      <c r="BT245" s="73"/>
      <c r="BU245" s="71"/>
      <c r="BV245" s="72"/>
      <c r="BW245" s="72"/>
      <c r="BX245" s="72"/>
      <c r="BY245" s="72"/>
      <c r="BZ245" s="73"/>
      <c r="CA245" s="110"/>
      <c r="CB245" s="76"/>
      <c r="CC245" s="76"/>
      <c r="CD245" s="76"/>
      <c r="CE245" s="76"/>
      <c r="CF245" s="77"/>
    </row>
    <row r="246" spans="1:84" ht="12" customHeight="1">
      <c r="A246" s="1"/>
      <c r="B246" s="64">
        <v>234</v>
      </c>
      <c r="C246" s="65">
        <v>10</v>
      </c>
      <c r="D246" s="66" t="s">
        <v>14</v>
      </c>
      <c r="E246" s="69" t="s">
        <v>91</v>
      </c>
      <c r="F246" s="70" t="s">
        <v>80</v>
      </c>
      <c r="G246" s="71">
        <v>1667.5707317073172</v>
      </c>
      <c r="H246" s="72">
        <v>497.52195121951229</v>
      </c>
      <c r="I246" s="72">
        <v>497.52195121951229</v>
      </c>
      <c r="J246" s="72">
        <v>672.52682926829266</v>
      </c>
      <c r="K246" s="72">
        <v>0</v>
      </c>
      <c r="L246" s="73"/>
      <c r="M246" s="71">
        <v>3819.3607804878056</v>
      </c>
      <c r="N246" s="72">
        <v>995.04390243902458</v>
      </c>
      <c r="O246" s="72">
        <v>995.04390243902458</v>
      </c>
      <c r="P246" s="72">
        <v>1829.2729756097563</v>
      </c>
      <c r="Q246" s="72">
        <v>0</v>
      </c>
      <c r="R246" s="73"/>
      <c r="S246" s="71">
        <v>506.8</v>
      </c>
      <c r="T246" s="72">
        <v>521</v>
      </c>
      <c r="U246" s="72">
        <v>505</v>
      </c>
      <c r="V246" s="72">
        <v>523</v>
      </c>
      <c r="W246" s="72">
        <v>493</v>
      </c>
      <c r="X246" s="73">
        <v>492</v>
      </c>
      <c r="Y246" s="71">
        <v>507.8</v>
      </c>
      <c r="Z246" s="72">
        <v>507</v>
      </c>
      <c r="AA246" s="72">
        <v>526</v>
      </c>
      <c r="AB246" s="72">
        <v>529</v>
      </c>
      <c r="AC246" s="72">
        <v>493</v>
      </c>
      <c r="AD246" s="73">
        <v>484</v>
      </c>
      <c r="AE246" s="71">
        <v>676</v>
      </c>
      <c r="AF246" s="72">
        <v>668</v>
      </c>
      <c r="AG246" s="72">
        <v>706</v>
      </c>
      <c r="AH246" s="72">
        <v>663</v>
      </c>
      <c r="AI246" s="72">
        <v>699</v>
      </c>
      <c r="AJ246" s="73">
        <v>644</v>
      </c>
      <c r="AK246" s="71">
        <v>0</v>
      </c>
      <c r="AL246" s="72">
        <v>0</v>
      </c>
      <c r="AM246" s="72">
        <v>0</v>
      </c>
      <c r="AN246" s="72">
        <v>0</v>
      </c>
      <c r="AO246" s="72">
        <v>0</v>
      </c>
      <c r="AP246" s="73">
        <v>0</v>
      </c>
      <c r="AQ246" s="71"/>
      <c r="AR246" s="72"/>
      <c r="AS246" s="72"/>
      <c r="AT246" s="72"/>
      <c r="AU246" s="72"/>
      <c r="AV246" s="73"/>
      <c r="AW246" s="75">
        <v>1.3810069854790719</v>
      </c>
      <c r="AX246" s="76">
        <v>1.7048313305172869</v>
      </c>
      <c r="AY246" s="76">
        <v>4.1634976539554946</v>
      </c>
      <c r="AZ246" s="76">
        <v>2.8442132852813495</v>
      </c>
      <c r="BA246" s="76">
        <v>1.0451891461802143</v>
      </c>
      <c r="BB246" s="77">
        <v>-2.8526964885389083</v>
      </c>
      <c r="BC246" s="71">
        <v>1001</v>
      </c>
      <c r="BD246" s="72">
        <v>952</v>
      </c>
      <c r="BE246" s="72">
        <v>974</v>
      </c>
      <c r="BF246" s="72">
        <v>1039</v>
      </c>
      <c r="BG246" s="72">
        <v>1027</v>
      </c>
      <c r="BH246" s="73">
        <v>1013</v>
      </c>
      <c r="BI246" s="71">
        <v>1030</v>
      </c>
      <c r="BJ246" s="72">
        <v>1034</v>
      </c>
      <c r="BK246" s="72">
        <v>1014</v>
      </c>
      <c r="BL246" s="72">
        <v>1028</v>
      </c>
      <c r="BM246" s="72">
        <v>1044</v>
      </c>
      <c r="BN246" s="73">
        <v>1030</v>
      </c>
      <c r="BO246" s="71">
        <v>1878.4</v>
      </c>
      <c r="BP246" s="72">
        <v>1886</v>
      </c>
      <c r="BQ246" s="72">
        <v>1802</v>
      </c>
      <c r="BR246" s="72">
        <v>1849</v>
      </c>
      <c r="BS246" s="72">
        <v>1866</v>
      </c>
      <c r="BT246" s="73">
        <v>1989</v>
      </c>
      <c r="BU246" s="71"/>
      <c r="BV246" s="72"/>
      <c r="BW246" s="72"/>
      <c r="BX246" s="72"/>
      <c r="BY246" s="72"/>
      <c r="BZ246" s="73"/>
      <c r="CA246" s="110">
        <v>2.3574421136694612</v>
      </c>
      <c r="CB246" s="76">
        <v>1.378220664073293</v>
      </c>
      <c r="CC246" s="76">
        <v>-0.76873545536213506</v>
      </c>
      <c r="CD246" s="76">
        <v>2.5302458988923249</v>
      </c>
      <c r="CE246" s="76">
        <v>3.0800761246013941</v>
      </c>
      <c r="CF246" s="77">
        <v>5.5674033361424513</v>
      </c>
    </row>
    <row r="247" spans="1:84" ht="12" customHeight="1">
      <c r="A247" s="1"/>
      <c r="B247" s="64">
        <v>235</v>
      </c>
      <c r="C247" s="65">
        <v>10</v>
      </c>
      <c r="D247" s="66" t="s">
        <v>14</v>
      </c>
      <c r="E247" s="69" t="s">
        <v>144</v>
      </c>
      <c r="F247" s="70" t="s">
        <v>80</v>
      </c>
      <c r="G247" s="71">
        <v>2668.1131707317077</v>
      </c>
      <c r="H247" s="72">
        <v>497.52195121951229</v>
      </c>
      <c r="I247" s="72">
        <v>497.52195121951229</v>
      </c>
      <c r="J247" s="72">
        <v>672.52682926829266</v>
      </c>
      <c r="K247" s="72">
        <v>1000.5424390243903</v>
      </c>
      <c r="L247" s="73"/>
      <c r="M247" s="71">
        <v>5336.2263414634153</v>
      </c>
      <c r="N247" s="72">
        <v>995.04390243902458</v>
      </c>
      <c r="O247" s="72">
        <v>995.04390243902458</v>
      </c>
      <c r="P247" s="72">
        <v>1345.0536585365853</v>
      </c>
      <c r="Q247" s="72">
        <v>2001.0848780487806</v>
      </c>
      <c r="R247" s="73"/>
      <c r="S247" s="71">
        <v>497</v>
      </c>
      <c r="T247" s="72">
        <v>487</v>
      </c>
      <c r="U247" s="72">
        <v>478</v>
      </c>
      <c r="V247" s="72">
        <v>527</v>
      </c>
      <c r="W247" s="72">
        <v>490</v>
      </c>
      <c r="X247" s="73">
        <v>503</v>
      </c>
      <c r="Y247" s="71">
        <v>507.4</v>
      </c>
      <c r="Z247" s="72">
        <v>523</v>
      </c>
      <c r="AA247" s="72">
        <v>482</v>
      </c>
      <c r="AB247" s="72">
        <v>513</v>
      </c>
      <c r="AC247" s="72">
        <v>524</v>
      </c>
      <c r="AD247" s="73">
        <v>495</v>
      </c>
      <c r="AE247" s="71">
        <v>684.6</v>
      </c>
      <c r="AF247" s="72">
        <v>633</v>
      </c>
      <c r="AG247" s="72">
        <v>705</v>
      </c>
      <c r="AH247" s="72">
        <v>683</v>
      </c>
      <c r="AI247" s="72">
        <v>701</v>
      </c>
      <c r="AJ247" s="73">
        <v>701</v>
      </c>
      <c r="AK247" s="71">
        <v>991</v>
      </c>
      <c r="AL247" s="72">
        <v>975</v>
      </c>
      <c r="AM247" s="72">
        <v>1009</v>
      </c>
      <c r="AN247" s="72">
        <v>948</v>
      </c>
      <c r="AO247" s="72">
        <v>1012</v>
      </c>
      <c r="AP247" s="73">
        <v>1000</v>
      </c>
      <c r="AQ247" s="71"/>
      <c r="AR247" s="72"/>
      <c r="AS247" s="72"/>
      <c r="AT247" s="72"/>
      <c r="AU247" s="72"/>
      <c r="AV247" s="73"/>
      <c r="AW247" s="75">
        <v>0.44551443314648775</v>
      </c>
      <c r="AX247" s="76">
        <v>-1.8782250798591305</v>
      </c>
      <c r="AY247" s="76">
        <v>0.22063641575884585</v>
      </c>
      <c r="AZ247" s="76">
        <v>0.1081974070650249</v>
      </c>
      <c r="BA247" s="76">
        <v>2.2070589026830234</v>
      </c>
      <c r="BB247" s="77">
        <v>1.1576281548740353</v>
      </c>
      <c r="BC247" s="71"/>
      <c r="BD247" s="72"/>
      <c r="BE247" s="72"/>
      <c r="BF247" s="72"/>
      <c r="BG247" s="72"/>
      <c r="BH247" s="73"/>
      <c r="BI247" s="71"/>
      <c r="BJ247" s="72"/>
      <c r="BK247" s="72"/>
      <c r="BL247" s="72"/>
      <c r="BM247" s="72"/>
      <c r="BN247" s="73"/>
      <c r="BO247" s="71"/>
      <c r="BP247" s="72"/>
      <c r="BQ247" s="72"/>
      <c r="BR247" s="72"/>
      <c r="BS247" s="72"/>
      <c r="BT247" s="73"/>
      <c r="BU247" s="71"/>
      <c r="BV247" s="72"/>
      <c r="BW247" s="72"/>
      <c r="BX247" s="72"/>
      <c r="BY247" s="72"/>
      <c r="BZ247" s="73"/>
      <c r="CA247" s="110"/>
      <c r="CB247" s="76"/>
      <c r="CC247" s="76"/>
      <c r="CD247" s="76"/>
      <c r="CE247" s="76"/>
      <c r="CF247" s="77"/>
    </row>
    <row r="248" spans="1:84" ht="12" customHeight="1">
      <c r="A248" s="1"/>
      <c r="B248" s="64">
        <v>236</v>
      </c>
      <c r="C248" s="65">
        <v>10</v>
      </c>
      <c r="D248" s="66" t="s">
        <v>14</v>
      </c>
      <c r="E248" s="69" t="s">
        <v>92</v>
      </c>
      <c r="F248" s="70" t="s">
        <v>80</v>
      </c>
      <c r="G248" s="71">
        <v>2001.0848780487806</v>
      </c>
      <c r="H248" s="72">
        <v>597.02634146341472</v>
      </c>
      <c r="I248" s="72">
        <v>597.02634146341472</v>
      </c>
      <c r="J248" s="72">
        <v>807.03219512195119</v>
      </c>
      <c r="K248" s="72">
        <v>0</v>
      </c>
      <c r="L248" s="73"/>
      <c r="M248" s="71">
        <v>5002.7121951219515</v>
      </c>
      <c r="N248" s="72">
        <v>1492.5658536585368</v>
      </c>
      <c r="O248" s="72">
        <v>1492.5658536585368</v>
      </c>
      <c r="P248" s="72">
        <v>2017.580487804878</v>
      </c>
      <c r="Q248" s="72">
        <v>0</v>
      </c>
      <c r="R248" s="73"/>
      <c r="S248" s="71">
        <v>585.6</v>
      </c>
      <c r="T248" s="114">
        <v>554</v>
      </c>
      <c r="U248" s="114">
        <v>621</v>
      </c>
      <c r="V248" s="114">
        <v>602</v>
      </c>
      <c r="W248" s="114">
        <v>561</v>
      </c>
      <c r="X248" s="115">
        <v>590</v>
      </c>
      <c r="Y248" s="71">
        <v>583.4</v>
      </c>
      <c r="Z248" s="114">
        <v>564</v>
      </c>
      <c r="AA248" s="114">
        <v>574</v>
      </c>
      <c r="AB248" s="114">
        <v>612</v>
      </c>
      <c r="AC248" s="114">
        <v>582</v>
      </c>
      <c r="AD248" s="115">
        <v>585</v>
      </c>
      <c r="AE248" s="71">
        <v>800.6</v>
      </c>
      <c r="AF248" s="114">
        <v>765</v>
      </c>
      <c r="AG248" s="114">
        <v>862</v>
      </c>
      <c r="AH248" s="114">
        <v>774</v>
      </c>
      <c r="AI248" s="114">
        <v>761</v>
      </c>
      <c r="AJ248" s="115">
        <v>841</v>
      </c>
      <c r="AK248" s="71">
        <v>0</v>
      </c>
      <c r="AL248" s="72">
        <v>0</v>
      </c>
      <c r="AM248" s="72">
        <v>0</v>
      </c>
      <c r="AN248" s="72">
        <v>0</v>
      </c>
      <c r="AO248" s="72">
        <v>0</v>
      </c>
      <c r="AP248" s="73">
        <v>0</v>
      </c>
      <c r="AQ248" s="71"/>
      <c r="AR248" s="72"/>
      <c r="AS248" s="72"/>
      <c r="AT248" s="72"/>
      <c r="AU248" s="72"/>
      <c r="AV248" s="73"/>
      <c r="AW248" s="75">
        <v>-1.5733904340670013</v>
      </c>
      <c r="AX248" s="76">
        <v>-5.9010429464602669</v>
      </c>
      <c r="AY248" s="76">
        <v>2.7942403925285353</v>
      </c>
      <c r="AZ248" s="76">
        <v>-0.65388920741530354</v>
      </c>
      <c r="BA248" s="76">
        <v>-4.8516121986512779</v>
      </c>
      <c r="BB248" s="77">
        <v>0.74535178966335103</v>
      </c>
      <c r="BC248" s="71">
        <v>1491.4</v>
      </c>
      <c r="BD248" s="72">
        <v>1443</v>
      </c>
      <c r="BE248" s="72">
        <v>1476</v>
      </c>
      <c r="BF248" s="72">
        <v>1501</v>
      </c>
      <c r="BG248" s="72">
        <v>1525</v>
      </c>
      <c r="BH248" s="73">
        <v>1512</v>
      </c>
      <c r="BI248" s="71">
        <v>1490.8</v>
      </c>
      <c r="BJ248" s="72">
        <v>1470</v>
      </c>
      <c r="BK248" s="72">
        <v>1539</v>
      </c>
      <c r="BL248" s="72">
        <v>1477</v>
      </c>
      <c r="BM248" s="72">
        <v>1509</v>
      </c>
      <c r="BN248" s="73">
        <v>1459</v>
      </c>
      <c r="BO248" s="71">
        <v>1985.4</v>
      </c>
      <c r="BP248" s="72">
        <v>1953</v>
      </c>
      <c r="BQ248" s="72">
        <v>1940</v>
      </c>
      <c r="BR248" s="72">
        <v>1900</v>
      </c>
      <c r="BS248" s="72">
        <v>2042</v>
      </c>
      <c r="BT248" s="73">
        <v>2092</v>
      </c>
      <c r="BU248" s="71"/>
      <c r="BV248" s="72"/>
      <c r="BW248" s="72"/>
      <c r="BX248" s="72"/>
      <c r="BY248" s="72"/>
      <c r="BZ248" s="73"/>
      <c r="CA248" s="110">
        <v>-0.70186318445798479</v>
      </c>
      <c r="CB248" s="76">
        <v>-2.7327615459321608</v>
      </c>
      <c r="CC248" s="76">
        <v>-0.95372656393215571</v>
      </c>
      <c r="CD248" s="76">
        <v>-2.4928916607186768</v>
      </c>
      <c r="CE248" s="76">
        <v>1.464961445303814</v>
      </c>
      <c r="CF248" s="77">
        <v>1.205102402989211</v>
      </c>
    </row>
    <row r="249" spans="1:84" ht="12" customHeight="1">
      <c r="A249" s="1"/>
      <c r="B249" s="64">
        <v>237</v>
      </c>
      <c r="C249" s="65">
        <v>10</v>
      </c>
      <c r="D249" s="66" t="s">
        <v>14</v>
      </c>
      <c r="E249" s="69" t="s">
        <v>138</v>
      </c>
      <c r="F249" s="70" t="s">
        <v>80</v>
      </c>
      <c r="G249" s="71">
        <v>2668.1131707317077</v>
      </c>
      <c r="H249" s="72">
        <v>497.52195121951229</v>
      </c>
      <c r="I249" s="72">
        <v>497.52195121951229</v>
      </c>
      <c r="J249" s="72">
        <v>672.52682926829266</v>
      </c>
      <c r="K249" s="72">
        <v>1000.5424390243903</v>
      </c>
      <c r="L249" s="73"/>
      <c r="M249" s="71">
        <v>5336.2263414634153</v>
      </c>
      <c r="N249" s="72">
        <v>995.04390243902458</v>
      </c>
      <c r="O249" s="72">
        <v>995.04390243902458</v>
      </c>
      <c r="P249" s="72">
        <v>1345.0536585365853</v>
      </c>
      <c r="Q249" s="72">
        <v>2001.0848780487806</v>
      </c>
      <c r="R249" s="73"/>
      <c r="S249" s="71">
        <v>497</v>
      </c>
      <c r="T249" s="72">
        <v>487</v>
      </c>
      <c r="U249" s="72">
        <v>478</v>
      </c>
      <c r="V249" s="72">
        <v>527</v>
      </c>
      <c r="W249" s="72">
        <v>490</v>
      </c>
      <c r="X249" s="73">
        <v>503</v>
      </c>
      <c r="Y249" s="71">
        <v>507.4</v>
      </c>
      <c r="Z249" s="72">
        <v>523</v>
      </c>
      <c r="AA249" s="72">
        <v>482</v>
      </c>
      <c r="AB249" s="72">
        <v>513</v>
      </c>
      <c r="AC249" s="72">
        <v>524</v>
      </c>
      <c r="AD249" s="73">
        <v>495</v>
      </c>
      <c r="AE249" s="71">
        <v>684.6</v>
      </c>
      <c r="AF249" s="72">
        <v>633</v>
      </c>
      <c r="AG249" s="72">
        <v>705</v>
      </c>
      <c r="AH249" s="72">
        <v>683</v>
      </c>
      <c r="AI249" s="72">
        <v>701</v>
      </c>
      <c r="AJ249" s="73">
        <v>701</v>
      </c>
      <c r="AK249" s="71">
        <v>991</v>
      </c>
      <c r="AL249" s="72">
        <v>975</v>
      </c>
      <c r="AM249" s="72">
        <v>1009</v>
      </c>
      <c r="AN249" s="72">
        <v>948</v>
      </c>
      <c r="AO249" s="72">
        <v>1012</v>
      </c>
      <c r="AP249" s="73">
        <v>1000</v>
      </c>
      <c r="AQ249" s="71"/>
      <c r="AR249" s="72"/>
      <c r="AS249" s="72"/>
      <c r="AT249" s="72"/>
      <c r="AU249" s="72"/>
      <c r="AV249" s="73"/>
      <c r="AW249" s="75">
        <v>0.44551443314648775</v>
      </c>
      <c r="AX249" s="76">
        <v>-1.8782250798591305</v>
      </c>
      <c r="AY249" s="76">
        <v>0.22063641575884585</v>
      </c>
      <c r="AZ249" s="76">
        <v>0.1081974070650249</v>
      </c>
      <c r="BA249" s="76">
        <v>2.2070589026830234</v>
      </c>
      <c r="BB249" s="77">
        <v>1.1576281548740353</v>
      </c>
      <c r="BC249" s="71"/>
      <c r="BD249" s="72"/>
      <c r="BE249" s="72"/>
      <c r="BF249" s="72"/>
      <c r="BG249" s="72"/>
      <c r="BH249" s="73"/>
      <c r="BI249" s="71"/>
      <c r="BJ249" s="72"/>
      <c r="BK249" s="72"/>
      <c r="BL249" s="72"/>
      <c r="BM249" s="72"/>
      <c r="BN249" s="73"/>
      <c r="BO249" s="71"/>
      <c r="BP249" s="72"/>
      <c r="BQ249" s="72"/>
      <c r="BR249" s="72"/>
      <c r="BS249" s="72"/>
      <c r="BT249" s="73"/>
      <c r="BU249" s="71"/>
      <c r="BV249" s="72"/>
      <c r="BW249" s="72"/>
      <c r="BX249" s="72"/>
      <c r="BY249" s="72"/>
      <c r="BZ249" s="73"/>
      <c r="CA249" s="110"/>
      <c r="CB249" s="76"/>
      <c r="CC249" s="76"/>
      <c r="CD249" s="76"/>
      <c r="CE249" s="76"/>
      <c r="CF249" s="77"/>
    </row>
    <row r="250" spans="1:84" ht="12" customHeight="1">
      <c r="A250" s="1"/>
      <c r="B250" s="64">
        <v>238</v>
      </c>
      <c r="C250" s="65">
        <v>10</v>
      </c>
      <c r="D250" s="66" t="s">
        <v>14</v>
      </c>
      <c r="E250" s="69" t="s">
        <v>139</v>
      </c>
      <c r="F250" s="70" t="s">
        <v>80</v>
      </c>
      <c r="G250" s="71">
        <v>2001.0848780487806</v>
      </c>
      <c r="H250" s="72">
        <v>597.02634146341472</v>
      </c>
      <c r="I250" s="72">
        <v>597.02634146341472</v>
      </c>
      <c r="J250" s="72">
        <v>807.03219512195119</v>
      </c>
      <c r="K250" s="72">
        <v>0</v>
      </c>
      <c r="L250" s="73"/>
      <c r="M250" s="71">
        <v>5002.7121951219515</v>
      </c>
      <c r="N250" s="72">
        <v>1492.5658536585368</v>
      </c>
      <c r="O250" s="72">
        <v>1492.5658536585368</v>
      </c>
      <c r="P250" s="72">
        <v>2017.580487804878</v>
      </c>
      <c r="Q250" s="72">
        <v>0</v>
      </c>
      <c r="R250" s="73"/>
      <c r="S250" s="71">
        <v>585.6</v>
      </c>
      <c r="T250" s="114">
        <v>554</v>
      </c>
      <c r="U250" s="114">
        <v>621</v>
      </c>
      <c r="V250" s="114">
        <v>602</v>
      </c>
      <c r="W250" s="114">
        <v>561</v>
      </c>
      <c r="X250" s="115">
        <v>590</v>
      </c>
      <c r="Y250" s="71">
        <v>583.4</v>
      </c>
      <c r="Z250" s="114">
        <v>564</v>
      </c>
      <c r="AA250" s="114">
        <v>574</v>
      </c>
      <c r="AB250" s="114">
        <v>612</v>
      </c>
      <c r="AC250" s="114">
        <v>582</v>
      </c>
      <c r="AD250" s="115">
        <v>585</v>
      </c>
      <c r="AE250" s="71">
        <v>800.6</v>
      </c>
      <c r="AF250" s="114">
        <v>765</v>
      </c>
      <c r="AG250" s="114">
        <v>862</v>
      </c>
      <c r="AH250" s="114">
        <v>774</v>
      </c>
      <c r="AI250" s="114">
        <v>761</v>
      </c>
      <c r="AJ250" s="115">
        <v>841</v>
      </c>
      <c r="AK250" s="71">
        <v>0</v>
      </c>
      <c r="AL250" s="72">
        <v>0</v>
      </c>
      <c r="AM250" s="72">
        <v>0</v>
      </c>
      <c r="AN250" s="72">
        <v>0</v>
      </c>
      <c r="AO250" s="72">
        <v>0</v>
      </c>
      <c r="AP250" s="73">
        <v>0</v>
      </c>
      <c r="AQ250" s="71"/>
      <c r="AR250" s="72"/>
      <c r="AS250" s="72"/>
      <c r="AT250" s="72"/>
      <c r="AU250" s="72"/>
      <c r="AV250" s="73"/>
      <c r="AW250" s="75">
        <v>-1.5733904340670013</v>
      </c>
      <c r="AX250" s="76">
        <v>-5.9010429464602669</v>
      </c>
      <c r="AY250" s="76">
        <v>2.7942403925285353</v>
      </c>
      <c r="AZ250" s="76">
        <v>-0.65388920741530354</v>
      </c>
      <c r="BA250" s="76">
        <v>-4.8516121986512779</v>
      </c>
      <c r="BB250" s="77">
        <v>0.74535178966335103</v>
      </c>
      <c r="BC250" s="71">
        <v>1491.4</v>
      </c>
      <c r="BD250" s="72">
        <v>1443</v>
      </c>
      <c r="BE250" s="72">
        <v>1476</v>
      </c>
      <c r="BF250" s="72">
        <v>1501</v>
      </c>
      <c r="BG250" s="72">
        <v>1525</v>
      </c>
      <c r="BH250" s="73">
        <v>1512</v>
      </c>
      <c r="BI250" s="71">
        <v>1490.8</v>
      </c>
      <c r="BJ250" s="72">
        <v>1470</v>
      </c>
      <c r="BK250" s="72">
        <v>1539</v>
      </c>
      <c r="BL250" s="72">
        <v>1477</v>
      </c>
      <c r="BM250" s="72">
        <v>1509</v>
      </c>
      <c r="BN250" s="73">
        <v>1459</v>
      </c>
      <c r="BO250" s="71">
        <v>1985.4</v>
      </c>
      <c r="BP250" s="72">
        <v>1953</v>
      </c>
      <c r="BQ250" s="72">
        <v>1940</v>
      </c>
      <c r="BR250" s="72">
        <v>1900</v>
      </c>
      <c r="BS250" s="72">
        <v>2042</v>
      </c>
      <c r="BT250" s="73">
        <v>2092</v>
      </c>
      <c r="BU250" s="71"/>
      <c r="BV250" s="72"/>
      <c r="BW250" s="72"/>
      <c r="BX250" s="72"/>
      <c r="BY250" s="72"/>
      <c r="BZ250" s="73"/>
      <c r="CA250" s="110">
        <v>-0.70186318445798479</v>
      </c>
      <c r="CB250" s="76">
        <v>-2.7327615459321608</v>
      </c>
      <c r="CC250" s="76">
        <v>-0.95372656393215571</v>
      </c>
      <c r="CD250" s="76">
        <v>-2.4928916607186768</v>
      </c>
      <c r="CE250" s="76">
        <v>1.464961445303814</v>
      </c>
      <c r="CF250" s="77">
        <v>1.205102402989211</v>
      </c>
    </row>
    <row r="251" spans="1:84" ht="12" customHeight="1">
      <c r="A251" s="1"/>
      <c r="B251" s="64">
        <v>239</v>
      </c>
      <c r="C251" s="65">
        <v>10</v>
      </c>
      <c r="D251" s="66" t="s">
        <v>14</v>
      </c>
      <c r="E251" s="69" t="s">
        <v>141</v>
      </c>
      <c r="F251" s="70" t="s">
        <v>80</v>
      </c>
      <c r="G251" s="71">
        <v>2668.1131707317077</v>
      </c>
      <c r="H251" s="72">
        <v>497.52195121951229</v>
      </c>
      <c r="I251" s="72">
        <v>497.52195121951229</v>
      </c>
      <c r="J251" s="72">
        <v>672.52682926829266</v>
      </c>
      <c r="K251" s="72">
        <v>1000.5424390243903</v>
      </c>
      <c r="L251" s="73"/>
      <c r="M251" s="71">
        <v>6056.6168975609762</v>
      </c>
      <c r="N251" s="72">
        <v>995.04390243902458</v>
      </c>
      <c r="O251" s="72">
        <v>995.04390243902458</v>
      </c>
      <c r="P251" s="72">
        <v>1345.0536585365853</v>
      </c>
      <c r="Q251" s="72">
        <v>2721.4754341463417</v>
      </c>
      <c r="R251" s="73"/>
      <c r="S251" s="71">
        <v>497</v>
      </c>
      <c r="T251" s="72">
        <v>487</v>
      </c>
      <c r="U251" s="72">
        <v>478</v>
      </c>
      <c r="V251" s="72">
        <v>527</v>
      </c>
      <c r="W251" s="72">
        <v>490</v>
      </c>
      <c r="X251" s="73">
        <v>503</v>
      </c>
      <c r="Y251" s="71">
        <v>507.4</v>
      </c>
      <c r="Z251" s="72">
        <v>523</v>
      </c>
      <c r="AA251" s="72">
        <v>482</v>
      </c>
      <c r="AB251" s="72">
        <v>513</v>
      </c>
      <c r="AC251" s="72">
        <v>524</v>
      </c>
      <c r="AD251" s="73">
        <v>495</v>
      </c>
      <c r="AE251" s="71">
        <v>684.6</v>
      </c>
      <c r="AF251" s="72">
        <v>633</v>
      </c>
      <c r="AG251" s="72">
        <v>705</v>
      </c>
      <c r="AH251" s="72">
        <v>683</v>
      </c>
      <c r="AI251" s="72">
        <v>701</v>
      </c>
      <c r="AJ251" s="73">
        <v>701</v>
      </c>
      <c r="AK251" s="71">
        <v>991</v>
      </c>
      <c r="AL251" s="72">
        <v>975</v>
      </c>
      <c r="AM251" s="72">
        <v>1009</v>
      </c>
      <c r="AN251" s="72">
        <v>948</v>
      </c>
      <c r="AO251" s="72">
        <v>1012</v>
      </c>
      <c r="AP251" s="73">
        <v>1000</v>
      </c>
      <c r="AQ251" s="71"/>
      <c r="AR251" s="72"/>
      <c r="AS251" s="72"/>
      <c r="AT251" s="72"/>
      <c r="AU251" s="72"/>
      <c r="AV251" s="73"/>
      <c r="AW251" s="75">
        <v>0.44551443314648775</v>
      </c>
      <c r="AX251" s="76">
        <v>-1.8782250798591305</v>
      </c>
      <c r="AY251" s="76">
        <v>0.22063641575884585</v>
      </c>
      <c r="AZ251" s="76">
        <v>0.1081974070650249</v>
      </c>
      <c r="BA251" s="76">
        <v>2.2070589026830234</v>
      </c>
      <c r="BB251" s="77">
        <v>1.1576281548740353</v>
      </c>
      <c r="BC251" s="71">
        <v>1011.2</v>
      </c>
      <c r="BD251" s="72">
        <v>1044</v>
      </c>
      <c r="BE251" s="72">
        <v>976</v>
      </c>
      <c r="BF251" s="72">
        <v>1039</v>
      </c>
      <c r="BG251" s="72">
        <v>1002</v>
      </c>
      <c r="BH251" s="73">
        <v>995</v>
      </c>
      <c r="BI251" s="71">
        <v>989.6</v>
      </c>
      <c r="BJ251" s="72">
        <v>1021</v>
      </c>
      <c r="BK251" s="72">
        <v>963</v>
      </c>
      <c r="BL251" s="72">
        <v>963</v>
      </c>
      <c r="BM251" s="72">
        <v>989</v>
      </c>
      <c r="BN251" s="73">
        <v>1012</v>
      </c>
      <c r="BO251" s="71">
        <v>1333.4</v>
      </c>
      <c r="BP251" s="72">
        <v>1285</v>
      </c>
      <c r="BQ251" s="72">
        <v>1358</v>
      </c>
      <c r="BR251" s="72">
        <v>1376</v>
      </c>
      <c r="BS251" s="72">
        <v>1352</v>
      </c>
      <c r="BT251" s="73">
        <v>1296</v>
      </c>
      <c r="BU251" s="71">
        <v>2770</v>
      </c>
      <c r="BV251" s="72">
        <v>2850</v>
      </c>
      <c r="BW251" s="72">
        <v>2655</v>
      </c>
      <c r="BX251" s="72">
        <v>2683</v>
      </c>
      <c r="BY251" s="72">
        <v>2793</v>
      </c>
      <c r="BZ251" s="73">
        <v>2869</v>
      </c>
      <c r="CA251" s="110">
        <v>0.78563830672839785</v>
      </c>
      <c r="CB251" s="76">
        <v>2.3673794275607118</v>
      </c>
      <c r="CC251" s="76">
        <v>-1.7273157495417246</v>
      </c>
      <c r="CD251" s="76">
        <v>7.2368824265378606E-2</v>
      </c>
      <c r="CE251" s="76">
        <v>1.3106838979858759</v>
      </c>
      <c r="CF251" s="77">
        <v>1.9050751333717253</v>
      </c>
    </row>
    <row r="252" spans="1:84" ht="12" customHeight="1">
      <c r="A252" s="1"/>
      <c r="B252" s="64">
        <v>240</v>
      </c>
      <c r="C252" s="65">
        <v>10</v>
      </c>
      <c r="D252" s="66" t="s">
        <v>14</v>
      </c>
      <c r="E252" s="69" t="s">
        <v>98</v>
      </c>
      <c r="F252" s="70" t="s">
        <v>80</v>
      </c>
      <c r="G252" s="71">
        <v>2001.0848780487806</v>
      </c>
      <c r="H252" s="72">
        <v>597.02634146341472</v>
      </c>
      <c r="I252" s="72">
        <v>597.02634146341472</v>
      </c>
      <c r="J252" s="72">
        <v>807.03219512195119</v>
      </c>
      <c r="K252" s="72">
        <v>0</v>
      </c>
      <c r="L252" s="73"/>
      <c r="M252" s="71">
        <v>5729.0411707317071</v>
      </c>
      <c r="N252" s="72">
        <v>1492.5658536585368</v>
      </c>
      <c r="O252" s="72">
        <v>1492.5658536585368</v>
      </c>
      <c r="P252" s="72">
        <v>2743.909463414634</v>
      </c>
      <c r="Q252" s="72">
        <v>0</v>
      </c>
      <c r="R252" s="73"/>
      <c r="S252" s="71">
        <v>585.6</v>
      </c>
      <c r="T252" s="114">
        <v>554</v>
      </c>
      <c r="U252" s="114">
        <v>621</v>
      </c>
      <c r="V252" s="114">
        <v>602</v>
      </c>
      <c r="W252" s="114">
        <v>561</v>
      </c>
      <c r="X252" s="115">
        <v>590</v>
      </c>
      <c r="Y252" s="71">
        <v>583.4</v>
      </c>
      <c r="Z252" s="114">
        <v>564</v>
      </c>
      <c r="AA252" s="114">
        <v>574</v>
      </c>
      <c r="AB252" s="114">
        <v>612</v>
      </c>
      <c r="AC252" s="114">
        <v>582</v>
      </c>
      <c r="AD252" s="115">
        <v>585</v>
      </c>
      <c r="AE252" s="71">
        <v>800.6</v>
      </c>
      <c r="AF252" s="114">
        <v>765</v>
      </c>
      <c r="AG252" s="114">
        <v>862</v>
      </c>
      <c r="AH252" s="114">
        <v>774</v>
      </c>
      <c r="AI252" s="114">
        <v>761</v>
      </c>
      <c r="AJ252" s="115">
        <v>841</v>
      </c>
      <c r="AK252" s="71">
        <v>0</v>
      </c>
      <c r="AL252" s="72">
        <v>0</v>
      </c>
      <c r="AM252" s="72">
        <v>0</v>
      </c>
      <c r="AN252" s="72">
        <v>0</v>
      </c>
      <c r="AO252" s="72">
        <v>0</v>
      </c>
      <c r="AP252" s="73">
        <v>0</v>
      </c>
      <c r="AQ252" s="71"/>
      <c r="AR252" s="72"/>
      <c r="AS252" s="72"/>
      <c r="AT252" s="72"/>
      <c r="AU252" s="72"/>
      <c r="AV252" s="73"/>
      <c r="AW252" s="75">
        <v>-1.5733904340670013</v>
      </c>
      <c r="AX252" s="76">
        <v>-5.9010429464602669</v>
      </c>
      <c r="AY252" s="76">
        <v>2.7942403925285353</v>
      </c>
      <c r="AZ252" s="76">
        <v>-0.65388920741530354</v>
      </c>
      <c r="BA252" s="76">
        <v>-4.8516121986512779</v>
      </c>
      <c r="BB252" s="77">
        <v>0.74535178966335103</v>
      </c>
      <c r="BC252" s="71">
        <v>1457.2</v>
      </c>
      <c r="BD252" s="72">
        <v>1426</v>
      </c>
      <c r="BE252" s="72">
        <v>1515</v>
      </c>
      <c r="BF252" s="72">
        <v>1470</v>
      </c>
      <c r="BG252" s="72">
        <v>1441</v>
      </c>
      <c r="BH252" s="73">
        <v>1434</v>
      </c>
      <c r="BI252" s="71">
        <v>1507.6</v>
      </c>
      <c r="BJ252" s="72">
        <v>1447</v>
      </c>
      <c r="BK252" s="72">
        <v>1530</v>
      </c>
      <c r="BL252" s="72">
        <v>1550</v>
      </c>
      <c r="BM252" s="72">
        <v>1465</v>
      </c>
      <c r="BN252" s="73">
        <v>1546</v>
      </c>
      <c r="BO252" s="71">
        <v>2798</v>
      </c>
      <c r="BP252" s="72">
        <v>2739</v>
      </c>
      <c r="BQ252" s="72">
        <v>2870</v>
      </c>
      <c r="BR252" s="72">
        <v>2876</v>
      </c>
      <c r="BS252" s="72">
        <v>2679</v>
      </c>
      <c r="BT252" s="73">
        <v>2826</v>
      </c>
      <c r="BU252" s="71"/>
      <c r="BV252" s="72"/>
      <c r="BW252" s="72"/>
      <c r="BX252" s="72"/>
      <c r="BY252" s="72"/>
      <c r="BZ252" s="73"/>
      <c r="CA252" s="110">
        <v>0.58925792750030848</v>
      </c>
      <c r="CB252" s="76">
        <v>-2.0429451847831404</v>
      </c>
      <c r="CC252" s="76">
        <v>3.2458979387041564</v>
      </c>
      <c r="CD252" s="76">
        <v>2.9142543104986762</v>
      </c>
      <c r="CE252" s="76">
        <v>-2.5142282353909251</v>
      </c>
      <c r="CF252" s="77">
        <v>1.3433108084727419</v>
      </c>
    </row>
    <row r="253" spans="1:84" ht="12" customHeight="1">
      <c r="A253" s="1"/>
      <c r="B253" s="64">
        <v>241</v>
      </c>
      <c r="C253" s="65">
        <v>10</v>
      </c>
      <c r="D253" s="66" t="s">
        <v>14</v>
      </c>
      <c r="E253" s="69" t="s">
        <v>150</v>
      </c>
      <c r="F253" s="70" t="s">
        <v>80</v>
      </c>
      <c r="G253" s="71">
        <v>2668.1131707317077</v>
      </c>
      <c r="H253" s="72">
        <v>497.52195121951229</v>
      </c>
      <c r="I253" s="72">
        <v>497.52195121951229</v>
      </c>
      <c r="J253" s="72">
        <v>672.52682926829266</v>
      </c>
      <c r="K253" s="72">
        <v>1000.5424390243903</v>
      </c>
      <c r="L253" s="73"/>
      <c r="M253" s="71">
        <v>5336.2263414634153</v>
      </c>
      <c r="N253" s="72">
        <v>995.04390243902458</v>
      </c>
      <c r="O253" s="72">
        <v>995.04390243902458</v>
      </c>
      <c r="P253" s="72">
        <v>1345.0536585365853</v>
      </c>
      <c r="Q253" s="72">
        <v>2001.0848780487806</v>
      </c>
      <c r="R253" s="73"/>
      <c r="S253" s="71">
        <v>497</v>
      </c>
      <c r="T253" s="72">
        <v>487</v>
      </c>
      <c r="U253" s="72">
        <v>478</v>
      </c>
      <c r="V253" s="72">
        <v>527</v>
      </c>
      <c r="W253" s="72">
        <v>490</v>
      </c>
      <c r="X253" s="73">
        <v>503</v>
      </c>
      <c r="Y253" s="71">
        <v>507.4</v>
      </c>
      <c r="Z253" s="72">
        <v>523</v>
      </c>
      <c r="AA253" s="72">
        <v>482</v>
      </c>
      <c r="AB253" s="72">
        <v>513</v>
      </c>
      <c r="AC253" s="72">
        <v>524</v>
      </c>
      <c r="AD253" s="73">
        <v>495</v>
      </c>
      <c r="AE253" s="71">
        <v>684.6</v>
      </c>
      <c r="AF253" s="72">
        <v>633</v>
      </c>
      <c r="AG253" s="72">
        <v>705</v>
      </c>
      <c r="AH253" s="72">
        <v>683</v>
      </c>
      <c r="AI253" s="72">
        <v>701</v>
      </c>
      <c r="AJ253" s="73">
        <v>701</v>
      </c>
      <c r="AK253" s="71">
        <v>991</v>
      </c>
      <c r="AL253" s="72">
        <v>975</v>
      </c>
      <c r="AM253" s="72">
        <v>1009</v>
      </c>
      <c r="AN253" s="72">
        <v>948</v>
      </c>
      <c r="AO253" s="72">
        <v>1012</v>
      </c>
      <c r="AP253" s="73">
        <v>1000</v>
      </c>
      <c r="AQ253" s="71"/>
      <c r="AR253" s="72"/>
      <c r="AS253" s="72"/>
      <c r="AT253" s="72"/>
      <c r="AU253" s="72"/>
      <c r="AV253" s="73"/>
      <c r="AW253" s="75">
        <v>0.44551443314648775</v>
      </c>
      <c r="AX253" s="76">
        <v>-1.8782250798591305</v>
      </c>
      <c r="AY253" s="76">
        <v>0.22063641575884585</v>
      </c>
      <c r="AZ253" s="76">
        <v>0.1081974070650249</v>
      </c>
      <c r="BA253" s="76">
        <v>2.2070589026830234</v>
      </c>
      <c r="BB253" s="77">
        <v>1.1576281548740353</v>
      </c>
      <c r="BC253" s="71">
        <v>1018.4</v>
      </c>
      <c r="BD253" s="72">
        <v>1034</v>
      </c>
      <c r="BE253" s="72">
        <v>1013</v>
      </c>
      <c r="BF253" s="72">
        <v>976</v>
      </c>
      <c r="BG253" s="72">
        <v>1041</v>
      </c>
      <c r="BH253" s="73">
        <v>1028</v>
      </c>
      <c r="BI253" s="71">
        <v>1005</v>
      </c>
      <c r="BJ253" s="72">
        <v>1029</v>
      </c>
      <c r="BK253" s="72">
        <v>1004</v>
      </c>
      <c r="BL253" s="72">
        <v>946</v>
      </c>
      <c r="BM253" s="72">
        <v>1073</v>
      </c>
      <c r="BN253" s="73">
        <v>973</v>
      </c>
      <c r="BO253" s="71">
        <v>1365</v>
      </c>
      <c r="BP253" s="72">
        <v>1402</v>
      </c>
      <c r="BQ253" s="72">
        <v>1296</v>
      </c>
      <c r="BR253" s="72">
        <v>1330</v>
      </c>
      <c r="BS253" s="72">
        <v>1389</v>
      </c>
      <c r="BT253" s="73">
        <v>1408</v>
      </c>
      <c r="BU253" s="71">
        <v>2007.6</v>
      </c>
      <c r="BV253" s="72">
        <v>1902</v>
      </c>
      <c r="BW253" s="72">
        <v>1967</v>
      </c>
      <c r="BX253" s="72">
        <v>2111</v>
      </c>
      <c r="BY253" s="72">
        <v>2069</v>
      </c>
      <c r="BZ253" s="73">
        <v>1989</v>
      </c>
      <c r="CA253" s="110">
        <v>1.1201484853094135</v>
      </c>
      <c r="CB253" s="76">
        <v>0.5766932766226196</v>
      </c>
      <c r="CC253" s="76">
        <v>-1.0536723494377842</v>
      </c>
      <c r="CD253" s="76">
        <v>0.50173393749339823</v>
      </c>
      <c r="CE253" s="76">
        <v>4.4183594069948207</v>
      </c>
      <c r="CF253" s="77">
        <v>1.1576281548740353</v>
      </c>
    </row>
    <row r="254" spans="1:84" ht="12" customHeight="1">
      <c r="A254" s="1"/>
      <c r="B254" s="64">
        <v>242</v>
      </c>
      <c r="C254" s="65">
        <v>10</v>
      </c>
      <c r="D254" s="66" t="s">
        <v>14</v>
      </c>
      <c r="E254" s="69" t="s">
        <v>151</v>
      </c>
      <c r="F254" s="70" t="s">
        <v>80</v>
      </c>
      <c r="G254" s="71">
        <v>2001.0848780487806</v>
      </c>
      <c r="H254" s="72">
        <v>597.02634146341472</v>
      </c>
      <c r="I254" s="72">
        <v>597.02634146341472</v>
      </c>
      <c r="J254" s="72">
        <v>807.03219512195119</v>
      </c>
      <c r="K254" s="72">
        <v>0</v>
      </c>
      <c r="L254" s="73"/>
      <c r="M254" s="71">
        <v>5002.7121951219515</v>
      </c>
      <c r="N254" s="72">
        <v>1492.5658536585368</v>
      </c>
      <c r="O254" s="72">
        <v>1492.5658536585368</v>
      </c>
      <c r="P254" s="72">
        <v>2017.580487804878</v>
      </c>
      <c r="Q254" s="72">
        <v>0</v>
      </c>
      <c r="R254" s="73"/>
      <c r="S254" s="71">
        <v>585.6</v>
      </c>
      <c r="T254" s="114">
        <v>554</v>
      </c>
      <c r="U254" s="114">
        <v>621</v>
      </c>
      <c r="V254" s="114">
        <v>602</v>
      </c>
      <c r="W254" s="114">
        <v>561</v>
      </c>
      <c r="X254" s="115">
        <v>590</v>
      </c>
      <c r="Y254" s="71">
        <v>583.4</v>
      </c>
      <c r="Z254" s="114">
        <v>564</v>
      </c>
      <c r="AA254" s="114">
        <v>574</v>
      </c>
      <c r="AB254" s="114">
        <v>612</v>
      </c>
      <c r="AC254" s="114">
        <v>582</v>
      </c>
      <c r="AD254" s="115">
        <v>585</v>
      </c>
      <c r="AE254" s="71">
        <v>800.6</v>
      </c>
      <c r="AF254" s="114">
        <v>765</v>
      </c>
      <c r="AG254" s="114">
        <v>862</v>
      </c>
      <c r="AH254" s="114">
        <v>774</v>
      </c>
      <c r="AI254" s="114">
        <v>761</v>
      </c>
      <c r="AJ254" s="115">
        <v>841</v>
      </c>
      <c r="AK254" s="71">
        <v>0</v>
      </c>
      <c r="AL254" s="72">
        <v>0</v>
      </c>
      <c r="AM254" s="72">
        <v>0</v>
      </c>
      <c r="AN254" s="72">
        <v>0</v>
      </c>
      <c r="AO254" s="72">
        <v>0</v>
      </c>
      <c r="AP254" s="73">
        <v>0</v>
      </c>
      <c r="AQ254" s="71"/>
      <c r="AR254" s="72"/>
      <c r="AS254" s="72"/>
      <c r="AT254" s="72"/>
      <c r="AU254" s="72"/>
      <c r="AV254" s="73"/>
      <c r="AW254" s="75">
        <v>-1.5733904340670013</v>
      </c>
      <c r="AX254" s="76">
        <v>-5.9010429464602669</v>
      </c>
      <c r="AY254" s="76">
        <v>2.7942403925285353</v>
      </c>
      <c r="AZ254" s="76">
        <v>-0.65388920741530354</v>
      </c>
      <c r="BA254" s="76">
        <v>-4.8516121986512779</v>
      </c>
      <c r="BB254" s="77">
        <v>0.74535178966335103</v>
      </c>
      <c r="BC254" s="71">
        <v>1534.6</v>
      </c>
      <c r="BD254" s="72">
        <v>1556</v>
      </c>
      <c r="BE254" s="72">
        <v>1489</v>
      </c>
      <c r="BF254" s="72">
        <v>1594</v>
      </c>
      <c r="BG254" s="72">
        <v>1473</v>
      </c>
      <c r="BH254" s="73">
        <v>1561</v>
      </c>
      <c r="BI254" s="71">
        <v>1521.4</v>
      </c>
      <c r="BJ254" s="72">
        <v>1542</v>
      </c>
      <c r="BK254" s="72">
        <v>1465</v>
      </c>
      <c r="BL254" s="72">
        <v>1490</v>
      </c>
      <c r="BM254" s="72">
        <v>1589</v>
      </c>
      <c r="BN254" s="73">
        <v>1521</v>
      </c>
      <c r="BO254" s="71">
        <v>2009.6</v>
      </c>
      <c r="BP254" s="72">
        <v>1918</v>
      </c>
      <c r="BQ254" s="72">
        <v>1992</v>
      </c>
      <c r="BR254" s="72">
        <v>2066</v>
      </c>
      <c r="BS254" s="72">
        <v>2056</v>
      </c>
      <c r="BT254" s="73">
        <v>2016</v>
      </c>
      <c r="BU254" s="71"/>
      <c r="BV254" s="72"/>
      <c r="BW254" s="72"/>
      <c r="BX254" s="72"/>
      <c r="BY254" s="72"/>
      <c r="BZ254" s="73"/>
      <c r="CA254" s="110">
        <v>1.257074211452136</v>
      </c>
      <c r="CB254" s="76">
        <v>0.26561201923638311</v>
      </c>
      <c r="CC254" s="76">
        <v>-1.1336289778422715</v>
      </c>
      <c r="CD254" s="76">
        <v>2.9441590707869558</v>
      </c>
      <c r="CE254" s="76">
        <v>2.3045060435510134</v>
      </c>
      <c r="CF254" s="77">
        <v>1.9047229015285216</v>
      </c>
    </row>
    <row r="255" spans="1:84" ht="12" customHeight="1">
      <c r="A255" s="1"/>
      <c r="B255" s="64">
        <v>243</v>
      </c>
      <c r="C255" s="65">
        <v>10</v>
      </c>
      <c r="D255" s="66" t="s">
        <v>14</v>
      </c>
      <c r="E255" s="69" t="s">
        <v>163</v>
      </c>
      <c r="F255" s="70" t="s">
        <v>80</v>
      </c>
      <c r="G255" s="71">
        <v>1667.5707317073172</v>
      </c>
      <c r="H255" s="72">
        <v>497.52195121951229</v>
      </c>
      <c r="I255" s="72">
        <v>497.52195121951229</v>
      </c>
      <c r="J255" s="72">
        <v>672.52682926829266</v>
      </c>
      <c r="K255" s="72">
        <v>0</v>
      </c>
      <c r="L255" s="73"/>
      <c r="M255" s="71">
        <v>3335.1414634146345</v>
      </c>
      <c r="N255" s="72">
        <v>995.04390243902458</v>
      </c>
      <c r="O255" s="72">
        <v>995.04390243902458</v>
      </c>
      <c r="P255" s="72">
        <v>1345.0536585365853</v>
      </c>
      <c r="Q255" s="72">
        <v>0</v>
      </c>
      <c r="R255" s="73"/>
      <c r="S255" s="71">
        <v>506.8</v>
      </c>
      <c r="T255" s="72">
        <v>521</v>
      </c>
      <c r="U255" s="72">
        <v>505</v>
      </c>
      <c r="V255" s="72">
        <v>523</v>
      </c>
      <c r="W255" s="72">
        <v>493</v>
      </c>
      <c r="X255" s="73">
        <v>492</v>
      </c>
      <c r="Y255" s="71">
        <v>507.8</v>
      </c>
      <c r="Z255" s="72">
        <v>507</v>
      </c>
      <c r="AA255" s="72">
        <v>526</v>
      </c>
      <c r="AB255" s="72">
        <v>529</v>
      </c>
      <c r="AC255" s="72">
        <v>493</v>
      </c>
      <c r="AD255" s="73">
        <v>484</v>
      </c>
      <c r="AE255" s="71">
        <v>676</v>
      </c>
      <c r="AF255" s="72">
        <v>668</v>
      </c>
      <c r="AG255" s="72">
        <v>706</v>
      </c>
      <c r="AH255" s="72">
        <v>663</v>
      </c>
      <c r="AI255" s="72">
        <v>699</v>
      </c>
      <c r="AJ255" s="73">
        <v>644</v>
      </c>
      <c r="AK255" s="71">
        <v>0</v>
      </c>
      <c r="AL255" s="72">
        <v>0</v>
      </c>
      <c r="AM255" s="72">
        <v>0</v>
      </c>
      <c r="AN255" s="72">
        <v>0</v>
      </c>
      <c r="AO255" s="72">
        <v>0</v>
      </c>
      <c r="AP255" s="73">
        <v>0</v>
      </c>
      <c r="AQ255" s="71"/>
      <c r="AR255" s="72"/>
      <c r="AS255" s="72"/>
      <c r="AT255" s="72"/>
      <c r="AU255" s="72"/>
      <c r="AV255" s="73"/>
      <c r="AW255" s="75">
        <v>1.3810069854790719</v>
      </c>
      <c r="AX255" s="76">
        <v>1.7048313305172869</v>
      </c>
      <c r="AY255" s="76">
        <v>4.1634976539554946</v>
      </c>
      <c r="AZ255" s="76">
        <v>2.8442132852813495</v>
      </c>
      <c r="BA255" s="76">
        <v>1.0451891461802143</v>
      </c>
      <c r="BB255" s="77">
        <v>-2.8526964885389083</v>
      </c>
      <c r="BC255" s="71">
        <v>983.6</v>
      </c>
      <c r="BD255" s="72">
        <v>1099</v>
      </c>
      <c r="BE255" s="72">
        <v>979</v>
      </c>
      <c r="BF255" s="72">
        <v>948</v>
      </c>
      <c r="BG255" s="72">
        <v>948</v>
      </c>
      <c r="BH255" s="73">
        <v>944</v>
      </c>
      <c r="BI255" s="71">
        <v>994.6</v>
      </c>
      <c r="BJ255" s="72">
        <v>1006</v>
      </c>
      <c r="BK255" s="72">
        <v>1051</v>
      </c>
      <c r="BL255" s="72">
        <v>947</v>
      </c>
      <c r="BM255" s="72">
        <v>1003</v>
      </c>
      <c r="BN255" s="73">
        <v>966</v>
      </c>
      <c r="BO255" s="71">
        <v>1302</v>
      </c>
      <c r="BP255" s="72">
        <v>1267</v>
      </c>
      <c r="BQ255" s="72">
        <v>1379</v>
      </c>
      <c r="BR255" s="72">
        <v>1252</v>
      </c>
      <c r="BS255" s="72">
        <v>1299</v>
      </c>
      <c r="BT255" s="73">
        <v>1313</v>
      </c>
      <c r="BU255" s="71"/>
      <c r="BV255" s="72"/>
      <c r="BW255" s="72"/>
      <c r="BX255" s="72"/>
      <c r="BY255" s="72"/>
      <c r="BZ255" s="73"/>
      <c r="CA255" s="110">
        <v>-1.6473503153411562</v>
      </c>
      <c r="CB255" s="76">
        <v>1.1051566174835825</v>
      </c>
      <c r="CC255" s="76">
        <v>2.2145548365959389</v>
      </c>
      <c r="CD255" s="76">
        <v>-5.6411839041456631</v>
      </c>
      <c r="CE255" s="76">
        <v>-2.5528591320220562</v>
      </c>
      <c r="CF255" s="77">
        <v>-3.3624199946175604</v>
      </c>
    </row>
    <row r="256" spans="1:84" ht="12" customHeight="1">
      <c r="A256" s="1"/>
      <c r="B256" s="64">
        <v>244</v>
      </c>
      <c r="C256" s="65">
        <v>10</v>
      </c>
      <c r="D256" s="66" t="s">
        <v>14</v>
      </c>
      <c r="E256" s="69" t="s">
        <v>164</v>
      </c>
      <c r="F256" s="70" t="s">
        <v>80</v>
      </c>
      <c r="G256" s="71">
        <v>2668.1131707317077</v>
      </c>
      <c r="H256" s="72">
        <v>497.52195121951229</v>
      </c>
      <c r="I256" s="72">
        <v>497.52195121951229</v>
      </c>
      <c r="J256" s="72">
        <v>672.52682926829266</v>
      </c>
      <c r="K256" s="72">
        <v>1000.5424390243903</v>
      </c>
      <c r="L256" s="73"/>
      <c r="M256" s="71">
        <v>5336.2263414634153</v>
      </c>
      <c r="N256" s="72">
        <v>995.04390243902458</v>
      </c>
      <c r="O256" s="72">
        <v>995.04390243902458</v>
      </c>
      <c r="P256" s="72">
        <v>1345.0536585365853</v>
      </c>
      <c r="Q256" s="72">
        <v>2001.0848780487806</v>
      </c>
      <c r="R256" s="73"/>
      <c r="S256" s="71">
        <v>497</v>
      </c>
      <c r="T256" s="72">
        <v>487</v>
      </c>
      <c r="U256" s="72">
        <v>478</v>
      </c>
      <c r="V256" s="72">
        <v>527</v>
      </c>
      <c r="W256" s="72">
        <v>490</v>
      </c>
      <c r="X256" s="73">
        <v>503</v>
      </c>
      <c r="Y256" s="71">
        <v>507.4</v>
      </c>
      <c r="Z256" s="72">
        <v>523</v>
      </c>
      <c r="AA256" s="72">
        <v>482</v>
      </c>
      <c r="AB256" s="72">
        <v>513</v>
      </c>
      <c r="AC256" s="72">
        <v>524</v>
      </c>
      <c r="AD256" s="73">
        <v>495</v>
      </c>
      <c r="AE256" s="71">
        <v>684.6</v>
      </c>
      <c r="AF256" s="72">
        <v>633</v>
      </c>
      <c r="AG256" s="72">
        <v>705</v>
      </c>
      <c r="AH256" s="72">
        <v>683</v>
      </c>
      <c r="AI256" s="72">
        <v>701</v>
      </c>
      <c r="AJ256" s="73">
        <v>701</v>
      </c>
      <c r="AK256" s="71">
        <v>991</v>
      </c>
      <c r="AL256" s="72">
        <v>975</v>
      </c>
      <c r="AM256" s="72">
        <v>1009</v>
      </c>
      <c r="AN256" s="72">
        <v>948</v>
      </c>
      <c r="AO256" s="72">
        <v>1012</v>
      </c>
      <c r="AP256" s="73">
        <v>1000</v>
      </c>
      <c r="AQ256" s="71"/>
      <c r="AR256" s="72"/>
      <c r="AS256" s="72"/>
      <c r="AT256" s="72"/>
      <c r="AU256" s="72"/>
      <c r="AV256" s="73"/>
      <c r="AW256" s="75">
        <v>0.44551443314648775</v>
      </c>
      <c r="AX256" s="76">
        <v>-1.8782250798591305</v>
      </c>
      <c r="AY256" s="76">
        <v>0.22063641575884585</v>
      </c>
      <c r="AZ256" s="76">
        <v>0.1081974070650249</v>
      </c>
      <c r="BA256" s="76">
        <v>2.2070589026830234</v>
      </c>
      <c r="BB256" s="77">
        <v>1.1576281548740353</v>
      </c>
      <c r="BC256" s="71">
        <v>1018.4</v>
      </c>
      <c r="BD256" s="72">
        <v>1034</v>
      </c>
      <c r="BE256" s="72">
        <v>1013</v>
      </c>
      <c r="BF256" s="72">
        <v>976</v>
      </c>
      <c r="BG256" s="72">
        <v>1041</v>
      </c>
      <c r="BH256" s="73">
        <v>1028</v>
      </c>
      <c r="BI256" s="71">
        <v>1005</v>
      </c>
      <c r="BJ256" s="72">
        <v>1029</v>
      </c>
      <c r="BK256" s="72">
        <v>1004</v>
      </c>
      <c r="BL256" s="72">
        <v>946</v>
      </c>
      <c r="BM256" s="72">
        <v>1073</v>
      </c>
      <c r="BN256" s="73">
        <v>973</v>
      </c>
      <c r="BO256" s="71">
        <v>1365</v>
      </c>
      <c r="BP256" s="72">
        <v>1402</v>
      </c>
      <c r="BQ256" s="72">
        <v>1296</v>
      </c>
      <c r="BR256" s="72">
        <v>1330</v>
      </c>
      <c r="BS256" s="72">
        <v>1389</v>
      </c>
      <c r="BT256" s="73">
        <v>1408</v>
      </c>
      <c r="BU256" s="71">
        <v>2007.6</v>
      </c>
      <c r="BV256" s="72">
        <v>1902</v>
      </c>
      <c r="BW256" s="72">
        <v>1967</v>
      </c>
      <c r="BX256" s="72">
        <v>2111</v>
      </c>
      <c r="BY256" s="72">
        <v>2069</v>
      </c>
      <c r="BZ256" s="73">
        <v>1989</v>
      </c>
      <c r="CA256" s="110">
        <v>1.1201484853094135</v>
      </c>
      <c r="CB256" s="76">
        <v>0.5766932766226196</v>
      </c>
      <c r="CC256" s="76">
        <v>-1.0536723494377842</v>
      </c>
      <c r="CD256" s="76">
        <v>0.50173393749339823</v>
      </c>
      <c r="CE256" s="76">
        <v>4.4183594069948207</v>
      </c>
      <c r="CF256" s="77">
        <v>1.1576281548740353</v>
      </c>
    </row>
    <row r="257" spans="1:84" ht="12" customHeight="1">
      <c r="A257" s="1"/>
      <c r="B257" s="64">
        <v>245</v>
      </c>
      <c r="C257" s="65">
        <v>10</v>
      </c>
      <c r="D257" s="66" t="s">
        <v>14</v>
      </c>
      <c r="E257" s="69" t="s">
        <v>165</v>
      </c>
      <c r="F257" s="70" t="s">
        <v>80</v>
      </c>
      <c r="G257" s="71">
        <v>2001.0848780487806</v>
      </c>
      <c r="H257" s="72">
        <v>597.02634146341472</v>
      </c>
      <c r="I257" s="72">
        <v>597.02634146341472</v>
      </c>
      <c r="J257" s="72">
        <v>807.03219512195119</v>
      </c>
      <c r="K257" s="72">
        <v>0</v>
      </c>
      <c r="L257" s="73"/>
      <c r="M257" s="71">
        <v>5002.7121951219515</v>
      </c>
      <c r="N257" s="72">
        <v>1492.5658536585368</v>
      </c>
      <c r="O257" s="72">
        <v>1492.5658536585368</v>
      </c>
      <c r="P257" s="72">
        <v>2017.580487804878</v>
      </c>
      <c r="Q257" s="72">
        <v>0</v>
      </c>
      <c r="R257" s="73"/>
      <c r="S257" s="71">
        <v>585.6</v>
      </c>
      <c r="T257" s="114">
        <v>554</v>
      </c>
      <c r="U257" s="114">
        <v>621</v>
      </c>
      <c r="V257" s="114">
        <v>602</v>
      </c>
      <c r="W257" s="114">
        <v>561</v>
      </c>
      <c r="X257" s="115">
        <v>590</v>
      </c>
      <c r="Y257" s="71">
        <v>583.4</v>
      </c>
      <c r="Z257" s="114">
        <v>564</v>
      </c>
      <c r="AA257" s="114">
        <v>574</v>
      </c>
      <c r="AB257" s="114">
        <v>612</v>
      </c>
      <c r="AC257" s="114">
        <v>582</v>
      </c>
      <c r="AD257" s="115">
        <v>585</v>
      </c>
      <c r="AE257" s="71">
        <v>800.6</v>
      </c>
      <c r="AF257" s="114">
        <v>765</v>
      </c>
      <c r="AG257" s="114">
        <v>862</v>
      </c>
      <c r="AH257" s="114">
        <v>774</v>
      </c>
      <c r="AI257" s="114">
        <v>761</v>
      </c>
      <c r="AJ257" s="115">
        <v>841</v>
      </c>
      <c r="AK257" s="71">
        <v>0</v>
      </c>
      <c r="AL257" s="72">
        <v>0</v>
      </c>
      <c r="AM257" s="72">
        <v>0</v>
      </c>
      <c r="AN257" s="72">
        <v>0</v>
      </c>
      <c r="AO257" s="72">
        <v>0</v>
      </c>
      <c r="AP257" s="73">
        <v>0</v>
      </c>
      <c r="AQ257" s="71"/>
      <c r="AR257" s="72"/>
      <c r="AS257" s="72"/>
      <c r="AT257" s="72"/>
      <c r="AU257" s="72"/>
      <c r="AV257" s="73"/>
      <c r="AW257" s="75">
        <v>-1.5733904340670013</v>
      </c>
      <c r="AX257" s="76">
        <v>-5.9010429464602669</v>
      </c>
      <c r="AY257" s="76">
        <v>2.7942403925285353</v>
      </c>
      <c r="AZ257" s="76">
        <v>-0.65388920741530354</v>
      </c>
      <c r="BA257" s="76">
        <v>-4.8516121986512779</v>
      </c>
      <c r="BB257" s="77">
        <v>0.74535178966335103</v>
      </c>
      <c r="BC257" s="71">
        <v>1534.6</v>
      </c>
      <c r="BD257" s="72">
        <v>1556</v>
      </c>
      <c r="BE257" s="72">
        <v>1489</v>
      </c>
      <c r="BF257" s="72">
        <v>1594</v>
      </c>
      <c r="BG257" s="72">
        <v>1473</v>
      </c>
      <c r="BH257" s="73">
        <v>1561</v>
      </c>
      <c r="BI257" s="71">
        <v>1521.4</v>
      </c>
      <c r="BJ257" s="72">
        <v>1542</v>
      </c>
      <c r="BK257" s="72">
        <v>1465</v>
      </c>
      <c r="BL257" s="72">
        <v>1490</v>
      </c>
      <c r="BM257" s="72">
        <v>1589</v>
      </c>
      <c r="BN257" s="73">
        <v>1521</v>
      </c>
      <c r="BO257" s="71">
        <v>2009.6</v>
      </c>
      <c r="BP257" s="72">
        <v>1918</v>
      </c>
      <c r="BQ257" s="72">
        <v>1992</v>
      </c>
      <c r="BR257" s="72">
        <v>2066</v>
      </c>
      <c r="BS257" s="72">
        <v>2056</v>
      </c>
      <c r="BT257" s="73">
        <v>2016</v>
      </c>
      <c r="BU257" s="71"/>
      <c r="BV257" s="72"/>
      <c r="BW257" s="72"/>
      <c r="BX257" s="72"/>
      <c r="BY257" s="72"/>
      <c r="BZ257" s="73"/>
      <c r="CA257" s="110">
        <v>1.257074211452136</v>
      </c>
      <c r="CB257" s="76">
        <v>0.26561201923638311</v>
      </c>
      <c r="CC257" s="76">
        <v>-1.1336289778422715</v>
      </c>
      <c r="CD257" s="76">
        <v>2.9441590707869558</v>
      </c>
      <c r="CE257" s="76">
        <v>2.3045060435510134</v>
      </c>
      <c r="CF257" s="77">
        <v>1.9047229015285216</v>
      </c>
    </row>
    <row r="258" spans="1:84" ht="12" customHeight="1">
      <c r="A258" s="1"/>
      <c r="B258" s="64">
        <v>246</v>
      </c>
      <c r="C258" s="65">
        <v>10</v>
      </c>
      <c r="D258" s="66" t="s">
        <v>14</v>
      </c>
      <c r="E258" s="69" t="s">
        <v>155</v>
      </c>
      <c r="F258" s="70" t="s">
        <v>80</v>
      </c>
      <c r="G258" s="71">
        <v>1667.5707317073172</v>
      </c>
      <c r="H258" s="72">
        <v>497.52195121951229</v>
      </c>
      <c r="I258" s="72">
        <v>497.52195121951229</v>
      </c>
      <c r="J258" s="72">
        <v>672.52682926829266</v>
      </c>
      <c r="K258" s="72">
        <v>0</v>
      </c>
      <c r="L258" s="73"/>
      <c r="M258" s="71">
        <v>3819.3607804878056</v>
      </c>
      <c r="N258" s="72">
        <v>995.04390243902458</v>
      </c>
      <c r="O258" s="72">
        <v>995.04390243902458</v>
      </c>
      <c r="P258" s="72">
        <v>1829.2729756097563</v>
      </c>
      <c r="Q258" s="72">
        <v>0</v>
      </c>
      <c r="R258" s="73"/>
      <c r="S258" s="71">
        <v>506.8</v>
      </c>
      <c r="T258" s="72">
        <v>521</v>
      </c>
      <c r="U258" s="72">
        <v>505</v>
      </c>
      <c r="V258" s="72">
        <v>523</v>
      </c>
      <c r="W258" s="72">
        <v>493</v>
      </c>
      <c r="X258" s="73">
        <v>492</v>
      </c>
      <c r="Y258" s="71">
        <v>507.8</v>
      </c>
      <c r="Z258" s="72">
        <v>507</v>
      </c>
      <c r="AA258" s="72">
        <v>526</v>
      </c>
      <c r="AB258" s="72">
        <v>529</v>
      </c>
      <c r="AC258" s="72">
        <v>493</v>
      </c>
      <c r="AD258" s="73">
        <v>484</v>
      </c>
      <c r="AE258" s="71">
        <v>676</v>
      </c>
      <c r="AF258" s="72">
        <v>668</v>
      </c>
      <c r="AG258" s="72">
        <v>706</v>
      </c>
      <c r="AH258" s="72">
        <v>663</v>
      </c>
      <c r="AI258" s="72">
        <v>699</v>
      </c>
      <c r="AJ258" s="73">
        <v>644</v>
      </c>
      <c r="AK258" s="71">
        <v>0</v>
      </c>
      <c r="AL258" s="72">
        <v>0</v>
      </c>
      <c r="AM258" s="72">
        <v>0</v>
      </c>
      <c r="AN258" s="72">
        <v>0</v>
      </c>
      <c r="AO258" s="72">
        <v>0</v>
      </c>
      <c r="AP258" s="73">
        <v>0</v>
      </c>
      <c r="AQ258" s="71"/>
      <c r="AR258" s="72"/>
      <c r="AS258" s="72"/>
      <c r="AT258" s="72"/>
      <c r="AU258" s="72"/>
      <c r="AV258" s="73"/>
      <c r="AW258" s="75">
        <v>1.3810069854790719</v>
      </c>
      <c r="AX258" s="76">
        <v>1.7048313305172869</v>
      </c>
      <c r="AY258" s="76">
        <v>4.1634976539554946</v>
      </c>
      <c r="AZ258" s="76">
        <v>2.8442132852813495</v>
      </c>
      <c r="BA258" s="76">
        <v>1.0451891461802143</v>
      </c>
      <c r="BB258" s="77">
        <v>-2.8526964885389083</v>
      </c>
      <c r="BC258" s="71">
        <v>997</v>
      </c>
      <c r="BD258" s="72">
        <v>967</v>
      </c>
      <c r="BE258" s="72">
        <v>1023</v>
      </c>
      <c r="BF258" s="72">
        <v>1023</v>
      </c>
      <c r="BG258" s="72">
        <v>1009</v>
      </c>
      <c r="BH258" s="73">
        <v>963</v>
      </c>
      <c r="BI258" s="71">
        <v>1035</v>
      </c>
      <c r="BJ258" s="72">
        <v>1049</v>
      </c>
      <c r="BK258" s="72">
        <v>1057</v>
      </c>
      <c r="BL258" s="72">
        <v>1026</v>
      </c>
      <c r="BM258" s="72">
        <v>1031</v>
      </c>
      <c r="BN258" s="73">
        <v>1012</v>
      </c>
      <c r="BO258" s="71">
        <v>1917.2</v>
      </c>
      <c r="BP258" s="72">
        <v>1950</v>
      </c>
      <c r="BQ258" s="72">
        <v>1837</v>
      </c>
      <c r="BR258" s="72">
        <v>2000</v>
      </c>
      <c r="BS258" s="72">
        <v>1983</v>
      </c>
      <c r="BT258" s="73">
        <v>1816</v>
      </c>
      <c r="BU258" s="71"/>
      <c r="BV258" s="72"/>
      <c r="BW258" s="72"/>
      <c r="BX258" s="72"/>
      <c r="BY258" s="72"/>
      <c r="BZ258" s="73"/>
      <c r="CA258" s="110">
        <v>3.3995013033466526</v>
      </c>
      <c r="CB258" s="76">
        <v>3.8393654839139257</v>
      </c>
      <c r="CC258" s="76">
        <v>2.5564282905927493</v>
      </c>
      <c r="CD258" s="76">
        <v>6.0125039950498005</v>
      </c>
      <c r="CE258" s="76">
        <v>5.3317618108385645</v>
      </c>
      <c r="CF258" s="77">
        <v>-0.74255306366169949</v>
      </c>
    </row>
    <row r="259" spans="1:84" ht="12" customHeight="1">
      <c r="A259" s="1"/>
      <c r="B259" s="64">
        <v>247</v>
      </c>
      <c r="C259" s="65">
        <v>10</v>
      </c>
      <c r="D259" s="66" t="s">
        <v>14</v>
      </c>
      <c r="E259" s="69" t="s">
        <v>156</v>
      </c>
      <c r="F259" s="70" t="s">
        <v>80</v>
      </c>
      <c r="G259" s="71">
        <v>2668.1131707317077</v>
      </c>
      <c r="H259" s="72">
        <v>497.52195121951229</v>
      </c>
      <c r="I259" s="72">
        <v>497.52195121951229</v>
      </c>
      <c r="J259" s="72">
        <v>672.52682926829266</v>
      </c>
      <c r="K259" s="72">
        <v>1000.5424390243903</v>
      </c>
      <c r="L259" s="73"/>
      <c r="M259" s="71">
        <v>6056.6168975609762</v>
      </c>
      <c r="N259" s="72">
        <v>995.04390243902458</v>
      </c>
      <c r="O259" s="72">
        <v>995.04390243902458</v>
      </c>
      <c r="P259" s="72">
        <v>1345.0536585365853</v>
      </c>
      <c r="Q259" s="72">
        <v>2721.4754341463417</v>
      </c>
      <c r="R259" s="73"/>
      <c r="S259" s="71">
        <v>497</v>
      </c>
      <c r="T259" s="72">
        <v>487</v>
      </c>
      <c r="U259" s="72">
        <v>478</v>
      </c>
      <c r="V259" s="72">
        <v>527</v>
      </c>
      <c r="W259" s="72">
        <v>490</v>
      </c>
      <c r="X259" s="73">
        <v>503</v>
      </c>
      <c r="Y259" s="71">
        <v>507.4</v>
      </c>
      <c r="Z259" s="72">
        <v>523</v>
      </c>
      <c r="AA259" s="72">
        <v>482</v>
      </c>
      <c r="AB259" s="72">
        <v>513</v>
      </c>
      <c r="AC259" s="72">
        <v>524</v>
      </c>
      <c r="AD259" s="73">
        <v>495</v>
      </c>
      <c r="AE259" s="71">
        <v>684.6</v>
      </c>
      <c r="AF259" s="72">
        <v>633</v>
      </c>
      <c r="AG259" s="72">
        <v>705</v>
      </c>
      <c r="AH259" s="72">
        <v>683</v>
      </c>
      <c r="AI259" s="72">
        <v>701</v>
      </c>
      <c r="AJ259" s="73">
        <v>701</v>
      </c>
      <c r="AK259" s="71">
        <v>991</v>
      </c>
      <c r="AL259" s="72">
        <v>975</v>
      </c>
      <c r="AM259" s="72">
        <v>1009</v>
      </c>
      <c r="AN259" s="72">
        <v>948</v>
      </c>
      <c r="AO259" s="72">
        <v>1012</v>
      </c>
      <c r="AP259" s="73">
        <v>1000</v>
      </c>
      <c r="AQ259" s="71"/>
      <c r="AR259" s="72"/>
      <c r="AS259" s="72"/>
      <c r="AT259" s="72"/>
      <c r="AU259" s="72"/>
      <c r="AV259" s="73"/>
      <c r="AW259" s="75">
        <v>0.44551443314648775</v>
      </c>
      <c r="AX259" s="76">
        <v>-1.8782250798591305</v>
      </c>
      <c r="AY259" s="76">
        <v>0.22063641575884585</v>
      </c>
      <c r="AZ259" s="76">
        <v>0.1081974070650249</v>
      </c>
      <c r="BA259" s="76">
        <v>2.2070589026830234</v>
      </c>
      <c r="BB259" s="77">
        <v>1.1576281548740353</v>
      </c>
      <c r="BC259" s="71">
        <v>977.2</v>
      </c>
      <c r="BD259" s="72">
        <v>990</v>
      </c>
      <c r="BE259" s="72">
        <v>994</v>
      </c>
      <c r="BF259" s="72">
        <v>1002</v>
      </c>
      <c r="BG259" s="72">
        <v>960</v>
      </c>
      <c r="BH259" s="73">
        <v>940</v>
      </c>
      <c r="BI259" s="71">
        <v>992.6</v>
      </c>
      <c r="BJ259" s="72">
        <v>922</v>
      </c>
      <c r="BK259" s="72">
        <v>1023</v>
      </c>
      <c r="BL259" s="72">
        <v>955</v>
      </c>
      <c r="BM259" s="72">
        <v>1060</v>
      </c>
      <c r="BN259" s="73">
        <v>1003</v>
      </c>
      <c r="BO259" s="71">
        <v>1379.4</v>
      </c>
      <c r="BP259" s="72">
        <v>1403</v>
      </c>
      <c r="BQ259" s="72">
        <v>1363</v>
      </c>
      <c r="BR259" s="72">
        <v>1403</v>
      </c>
      <c r="BS259" s="72">
        <v>1350</v>
      </c>
      <c r="BT259" s="73">
        <v>1378</v>
      </c>
      <c r="BU259" s="71">
        <v>2729.4</v>
      </c>
      <c r="BV259" s="72">
        <v>2674</v>
      </c>
      <c r="BW259" s="72">
        <v>2812</v>
      </c>
      <c r="BX259" s="72">
        <v>2699</v>
      </c>
      <c r="BY259" s="72">
        <v>2665</v>
      </c>
      <c r="BZ259" s="73">
        <v>2797</v>
      </c>
      <c r="CA259" s="110">
        <v>0.36296009489846792</v>
      </c>
      <c r="CB259" s="76">
        <v>-1.1164136465062868</v>
      </c>
      <c r="CC259" s="76">
        <v>2.235292486363849</v>
      </c>
      <c r="CD259" s="76">
        <v>3.9347088966179555E-2</v>
      </c>
      <c r="CE259" s="76">
        <v>-0.35691373462438669</v>
      </c>
      <c r="CF259" s="77">
        <v>1.0134882802929734</v>
      </c>
    </row>
    <row r="260" spans="1:84" ht="12" customHeight="1">
      <c r="A260" s="1"/>
      <c r="B260" s="64">
        <v>248</v>
      </c>
      <c r="C260" s="65">
        <v>10</v>
      </c>
      <c r="D260" s="66" t="s">
        <v>14</v>
      </c>
      <c r="E260" s="69" t="s">
        <v>157</v>
      </c>
      <c r="F260" s="70" t="s">
        <v>80</v>
      </c>
      <c r="G260" s="71">
        <v>2001.0848780487806</v>
      </c>
      <c r="H260" s="72">
        <v>597.02634146341472</v>
      </c>
      <c r="I260" s="72">
        <v>597.02634146341472</v>
      </c>
      <c r="J260" s="72">
        <v>807.03219512195119</v>
      </c>
      <c r="K260" s="72">
        <v>0</v>
      </c>
      <c r="L260" s="73"/>
      <c r="M260" s="71">
        <v>5729.0411707317071</v>
      </c>
      <c r="N260" s="72">
        <v>1492.5658536585368</v>
      </c>
      <c r="O260" s="72">
        <v>1492.5658536585368</v>
      </c>
      <c r="P260" s="72">
        <v>2743.909463414634</v>
      </c>
      <c r="Q260" s="72">
        <v>0</v>
      </c>
      <c r="R260" s="73"/>
      <c r="S260" s="71">
        <v>585.6</v>
      </c>
      <c r="T260" s="114">
        <v>554</v>
      </c>
      <c r="U260" s="114">
        <v>621</v>
      </c>
      <c r="V260" s="114">
        <v>602</v>
      </c>
      <c r="W260" s="114">
        <v>561</v>
      </c>
      <c r="X260" s="115">
        <v>590</v>
      </c>
      <c r="Y260" s="71">
        <v>583.4</v>
      </c>
      <c r="Z260" s="114">
        <v>564</v>
      </c>
      <c r="AA260" s="114">
        <v>574</v>
      </c>
      <c r="AB260" s="114">
        <v>612</v>
      </c>
      <c r="AC260" s="114">
        <v>582</v>
      </c>
      <c r="AD260" s="115">
        <v>585</v>
      </c>
      <c r="AE260" s="71">
        <v>800.6</v>
      </c>
      <c r="AF260" s="114">
        <v>765</v>
      </c>
      <c r="AG260" s="114">
        <v>862</v>
      </c>
      <c r="AH260" s="114">
        <v>774</v>
      </c>
      <c r="AI260" s="114">
        <v>761</v>
      </c>
      <c r="AJ260" s="115">
        <v>841</v>
      </c>
      <c r="AK260" s="71">
        <v>0</v>
      </c>
      <c r="AL260" s="72">
        <v>0</v>
      </c>
      <c r="AM260" s="72">
        <v>0</v>
      </c>
      <c r="AN260" s="72">
        <v>0</v>
      </c>
      <c r="AO260" s="72">
        <v>0</v>
      </c>
      <c r="AP260" s="73">
        <v>0</v>
      </c>
      <c r="AQ260" s="71"/>
      <c r="AR260" s="72"/>
      <c r="AS260" s="72"/>
      <c r="AT260" s="72"/>
      <c r="AU260" s="72"/>
      <c r="AV260" s="73"/>
      <c r="AW260" s="75">
        <v>-1.5733904340670013</v>
      </c>
      <c r="AX260" s="76">
        <v>-5.9010429464602669</v>
      </c>
      <c r="AY260" s="76">
        <v>2.7942403925285353</v>
      </c>
      <c r="AZ260" s="76">
        <v>-0.65388920741530354</v>
      </c>
      <c r="BA260" s="76">
        <v>-4.8516121986512779</v>
      </c>
      <c r="BB260" s="77">
        <v>0.74535178966335103</v>
      </c>
      <c r="BC260" s="71">
        <v>1492.6</v>
      </c>
      <c r="BD260" s="72">
        <v>1478</v>
      </c>
      <c r="BE260" s="72">
        <v>1494</v>
      </c>
      <c r="BF260" s="72">
        <v>1524</v>
      </c>
      <c r="BG260" s="72">
        <v>1482</v>
      </c>
      <c r="BH260" s="73">
        <v>1485</v>
      </c>
      <c r="BI260" s="71">
        <v>1486</v>
      </c>
      <c r="BJ260" s="72">
        <v>1536</v>
      </c>
      <c r="BK260" s="72">
        <v>1464</v>
      </c>
      <c r="BL260" s="72">
        <v>1513</v>
      </c>
      <c r="BM260" s="72">
        <v>1441</v>
      </c>
      <c r="BN260" s="73">
        <v>1476</v>
      </c>
      <c r="BO260" s="71">
        <v>2806.2</v>
      </c>
      <c r="BP260" s="72">
        <v>2842</v>
      </c>
      <c r="BQ260" s="72">
        <v>2703</v>
      </c>
      <c r="BR260" s="72">
        <v>2986</v>
      </c>
      <c r="BS260" s="72">
        <v>2708</v>
      </c>
      <c r="BT260" s="73">
        <v>2792</v>
      </c>
      <c r="BU260" s="71"/>
      <c r="BV260" s="72"/>
      <c r="BW260" s="72"/>
      <c r="BX260" s="72"/>
      <c r="BY260" s="72"/>
      <c r="BZ260" s="73"/>
      <c r="CA260" s="110">
        <v>0.97326633910663762</v>
      </c>
      <c r="CB260" s="76">
        <v>2.2160571984871646</v>
      </c>
      <c r="CC260" s="76">
        <v>-1.1876537225690265</v>
      </c>
      <c r="CD260" s="76">
        <v>5.1310301411352732</v>
      </c>
      <c r="CE260" s="76">
        <v>-1.7113015565776712</v>
      </c>
      <c r="CF260" s="77">
        <v>0.41819963505749236</v>
      </c>
    </row>
    <row r="261" spans="1:84" ht="12" customHeight="1">
      <c r="A261" s="1"/>
      <c r="B261" s="64">
        <v>249</v>
      </c>
      <c r="C261" s="65">
        <v>10</v>
      </c>
      <c r="D261" s="66" t="s">
        <v>14</v>
      </c>
      <c r="E261" s="69" t="s">
        <v>161</v>
      </c>
      <c r="F261" s="70" t="s">
        <v>80</v>
      </c>
      <c r="G261" s="71">
        <v>2668.1131707317077</v>
      </c>
      <c r="H261" s="72">
        <v>497.52195121951229</v>
      </c>
      <c r="I261" s="72">
        <v>497.52195121951229</v>
      </c>
      <c r="J261" s="72">
        <v>672.52682926829266</v>
      </c>
      <c r="K261" s="72">
        <v>1000.5424390243903</v>
      </c>
      <c r="L261" s="73"/>
      <c r="M261" s="71">
        <v>5336.2263414634153</v>
      </c>
      <c r="N261" s="72">
        <v>995.04390243902458</v>
      </c>
      <c r="O261" s="72">
        <v>995.04390243902458</v>
      </c>
      <c r="P261" s="72">
        <v>1345.0536585365853</v>
      </c>
      <c r="Q261" s="72">
        <v>2001.0848780487806</v>
      </c>
      <c r="R261" s="73"/>
      <c r="S261" s="71">
        <v>497</v>
      </c>
      <c r="T261" s="72">
        <v>487</v>
      </c>
      <c r="U261" s="72">
        <v>478</v>
      </c>
      <c r="V261" s="72">
        <v>527</v>
      </c>
      <c r="W261" s="72">
        <v>490</v>
      </c>
      <c r="X261" s="73">
        <v>503</v>
      </c>
      <c r="Y261" s="71">
        <v>507.4</v>
      </c>
      <c r="Z261" s="72">
        <v>523</v>
      </c>
      <c r="AA261" s="72">
        <v>482</v>
      </c>
      <c r="AB261" s="72">
        <v>513</v>
      </c>
      <c r="AC261" s="72">
        <v>524</v>
      </c>
      <c r="AD261" s="73">
        <v>495</v>
      </c>
      <c r="AE261" s="71">
        <v>684.6</v>
      </c>
      <c r="AF261" s="72">
        <v>633</v>
      </c>
      <c r="AG261" s="72">
        <v>705</v>
      </c>
      <c r="AH261" s="72">
        <v>683</v>
      </c>
      <c r="AI261" s="72">
        <v>701</v>
      </c>
      <c r="AJ261" s="73">
        <v>701</v>
      </c>
      <c r="AK261" s="71">
        <v>991</v>
      </c>
      <c r="AL261" s="72">
        <v>975</v>
      </c>
      <c r="AM261" s="72">
        <v>1009</v>
      </c>
      <c r="AN261" s="72">
        <v>948</v>
      </c>
      <c r="AO261" s="72">
        <v>1012</v>
      </c>
      <c r="AP261" s="73">
        <v>1000</v>
      </c>
      <c r="AQ261" s="71"/>
      <c r="AR261" s="72"/>
      <c r="AS261" s="72"/>
      <c r="AT261" s="72"/>
      <c r="AU261" s="72"/>
      <c r="AV261" s="73"/>
      <c r="AW261" s="75">
        <v>0.44551443314648775</v>
      </c>
      <c r="AX261" s="76">
        <v>-1.8782250798591305</v>
      </c>
      <c r="AY261" s="76">
        <v>0.22063641575884585</v>
      </c>
      <c r="AZ261" s="76">
        <v>0.1081974070650249</v>
      </c>
      <c r="BA261" s="76">
        <v>2.2070589026830234</v>
      </c>
      <c r="BB261" s="77">
        <v>1.1576281548740353</v>
      </c>
      <c r="BC261" s="71"/>
      <c r="BD261" s="72"/>
      <c r="BE261" s="72"/>
      <c r="BF261" s="72"/>
      <c r="BG261" s="72"/>
      <c r="BH261" s="73"/>
      <c r="BI261" s="71"/>
      <c r="BJ261" s="72"/>
      <c r="BK261" s="72"/>
      <c r="BL261" s="72"/>
      <c r="BM261" s="72"/>
      <c r="BN261" s="73"/>
      <c r="BO261" s="71"/>
      <c r="BP261" s="72"/>
      <c r="BQ261" s="72"/>
      <c r="BR261" s="72"/>
      <c r="BS261" s="72"/>
      <c r="BT261" s="73"/>
      <c r="BU261" s="71"/>
      <c r="BV261" s="72"/>
      <c r="BW261" s="72"/>
      <c r="BX261" s="72"/>
      <c r="BY261" s="72"/>
      <c r="BZ261" s="73"/>
      <c r="CA261" s="110"/>
      <c r="CB261" s="76"/>
      <c r="CC261" s="76"/>
      <c r="CD261" s="76"/>
      <c r="CE261" s="76"/>
      <c r="CF261" s="77"/>
    </row>
    <row r="262" spans="1:84" ht="12" customHeight="1">
      <c r="A262" s="1"/>
      <c r="B262" s="64">
        <v>250</v>
      </c>
      <c r="C262" s="65">
        <v>10</v>
      </c>
      <c r="D262" s="66" t="s">
        <v>14</v>
      </c>
      <c r="E262" s="69" t="s">
        <v>99</v>
      </c>
      <c r="F262" s="70" t="s">
        <v>80</v>
      </c>
      <c r="G262" s="71">
        <v>2001.0848780487806</v>
      </c>
      <c r="H262" s="72">
        <v>597.02634146341472</v>
      </c>
      <c r="I262" s="72">
        <v>597.02634146341472</v>
      </c>
      <c r="J262" s="72">
        <v>807.03219512195119</v>
      </c>
      <c r="K262" s="72">
        <v>0</v>
      </c>
      <c r="L262" s="73"/>
      <c r="M262" s="71">
        <v>5002.7121951219515</v>
      </c>
      <c r="N262" s="72">
        <v>1492.5658536585368</v>
      </c>
      <c r="O262" s="72">
        <v>1492.5658536585368</v>
      </c>
      <c r="P262" s="72">
        <v>2017.580487804878</v>
      </c>
      <c r="Q262" s="72">
        <v>0</v>
      </c>
      <c r="R262" s="73"/>
      <c r="S262" s="71">
        <v>585.6</v>
      </c>
      <c r="T262" s="114">
        <v>554</v>
      </c>
      <c r="U262" s="114">
        <v>621</v>
      </c>
      <c r="V262" s="114">
        <v>602</v>
      </c>
      <c r="W262" s="114">
        <v>561</v>
      </c>
      <c r="X262" s="115">
        <v>590</v>
      </c>
      <c r="Y262" s="71">
        <v>583.4</v>
      </c>
      <c r="Z262" s="114">
        <v>564</v>
      </c>
      <c r="AA262" s="114">
        <v>574</v>
      </c>
      <c r="AB262" s="114">
        <v>612</v>
      </c>
      <c r="AC262" s="114">
        <v>582</v>
      </c>
      <c r="AD262" s="115">
        <v>585</v>
      </c>
      <c r="AE262" s="71">
        <v>800.6</v>
      </c>
      <c r="AF262" s="114">
        <v>765</v>
      </c>
      <c r="AG262" s="114">
        <v>862</v>
      </c>
      <c r="AH262" s="114">
        <v>774</v>
      </c>
      <c r="AI262" s="114">
        <v>761</v>
      </c>
      <c r="AJ262" s="115">
        <v>841</v>
      </c>
      <c r="AK262" s="71">
        <v>0</v>
      </c>
      <c r="AL262" s="72">
        <v>0</v>
      </c>
      <c r="AM262" s="72">
        <v>0</v>
      </c>
      <c r="AN262" s="72">
        <v>0</v>
      </c>
      <c r="AO262" s="72">
        <v>0</v>
      </c>
      <c r="AP262" s="73">
        <v>0</v>
      </c>
      <c r="AQ262" s="71"/>
      <c r="AR262" s="72"/>
      <c r="AS262" s="72"/>
      <c r="AT262" s="72"/>
      <c r="AU262" s="72"/>
      <c r="AV262" s="73"/>
      <c r="AW262" s="75">
        <v>-1.5733904340670013</v>
      </c>
      <c r="AX262" s="76">
        <v>-5.9010429464602669</v>
      </c>
      <c r="AY262" s="76">
        <v>2.7942403925285353</v>
      </c>
      <c r="AZ262" s="76">
        <v>-0.65388920741530354</v>
      </c>
      <c r="BA262" s="76">
        <v>-4.8516121986512779</v>
      </c>
      <c r="BB262" s="77">
        <v>0.74535178966335103</v>
      </c>
      <c r="BC262" s="71">
        <v>1491.4</v>
      </c>
      <c r="BD262" s="72">
        <v>1443</v>
      </c>
      <c r="BE262" s="72">
        <v>1476</v>
      </c>
      <c r="BF262" s="72">
        <v>1501</v>
      </c>
      <c r="BG262" s="72">
        <v>1525</v>
      </c>
      <c r="BH262" s="73">
        <v>1512</v>
      </c>
      <c r="BI262" s="71">
        <v>1490.8</v>
      </c>
      <c r="BJ262" s="72">
        <v>1470</v>
      </c>
      <c r="BK262" s="72">
        <v>1539</v>
      </c>
      <c r="BL262" s="72">
        <v>1477</v>
      </c>
      <c r="BM262" s="72">
        <v>1509</v>
      </c>
      <c r="BN262" s="73">
        <v>1459</v>
      </c>
      <c r="BO262" s="71">
        <v>1985.4</v>
      </c>
      <c r="BP262" s="72">
        <v>1953</v>
      </c>
      <c r="BQ262" s="72">
        <v>1940</v>
      </c>
      <c r="BR262" s="72">
        <v>1900</v>
      </c>
      <c r="BS262" s="72">
        <v>2042</v>
      </c>
      <c r="BT262" s="73">
        <v>2092</v>
      </c>
      <c r="BU262" s="71"/>
      <c r="BV262" s="72"/>
      <c r="BW262" s="72"/>
      <c r="BX262" s="72"/>
      <c r="BY262" s="72"/>
      <c r="BZ262" s="73"/>
      <c r="CA262" s="110">
        <v>-0.70186318445798479</v>
      </c>
      <c r="CB262" s="76">
        <v>-2.7327615459321608</v>
      </c>
      <c r="CC262" s="76">
        <v>-0.95372656393215571</v>
      </c>
      <c r="CD262" s="76">
        <v>-2.4928916607186768</v>
      </c>
      <c r="CE262" s="76">
        <v>1.464961445303814</v>
      </c>
      <c r="CF262" s="77">
        <v>1.205102402989211</v>
      </c>
    </row>
    <row r="263" spans="1:84" ht="12" customHeight="1">
      <c r="A263" s="1"/>
      <c r="B263" s="64">
        <v>251</v>
      </c>
      <c r="C263" s="65">
        <v>10</v>
      </c>
      <c r="D263" s="66" t="s">
        <v>14</v>
      </c>
      <c r="E263" s="69" t="s">
        <v>168</v>
      </c>
      <c r="F263" s="70" t="s">
        <v>80</v>
      </c>
      <c r="G263" s="71">
        <v>1667.5707317073172</v>
      </c>
      <c r="H263" s="72">
        <v>497.52195121951229</v>
      </c>
      <c r="I263" s="72">
        <v>497.52195121951229</v>
      </c>
      <c r="J263" s="72">
        <v>672.52682926829266</v>
      </c>
      <c r="K263" s="72">
        <v>0</v>
      </c>
      <c r="L263" s="73"/>
      <c r="M263" s="71">
        <v>3335.1414634146345</v>
      </c>
      <c r="N263" s="72">
        <v>995.04390243902458</v>
      </c>
      <c r="O263" s="72">
        <v>995.04390243902458</v>
      </c>
      <c r="P263" s="72">
        <v>1345.0536585365853</v>
      </c>
      <c r="Q263" s="72">
        <v>0</v>
      </c>
      <c r="R263" s="73"/>
      <c r="S263" s="71">
        <v>506.8</v>
      </c>
      <c r="T263" s="72">
        <v>521</v>
      </c>
      <c r="U263" s="72">
        <v>505</v>
      </c>
      <c r="V263" s="72">
        <v>523</v>
      </c>
      <c r="W263" s="72">
        <v>493</v>
      </c>
      <c r="X263" s="73">
        <v>492</v>
      </c>
      <c r="Y263" s="71">
        <v>507.8</v>
      </c>
      <c r="Z263" s="72">
        <v>507</v>
      </c>
      <c r="AA263" s="72">
        <v>526</v>
      </c>
      <c r="AB263" s="72">
        <v>529</v>
      </c>
      <c r="AC263" s="72">
        <v>493</v>
      </c>
      <c r="AD263" s="73">
        <v>484</v>
      </c>
      <c r="AE263" s="71">
        <v>676</v>
      </c>
      <c r="AF263" s="72">
        <v>668</v>
      </c>
      <c r="AG263" s="72">
        <v>706</v>
      </c>
      <c r="AH263" s="72">
        <v>663</v>
      </c>
      <c r="AI263" s="72">
        <v>699</v>
      </c>
      <c r="AJ263" s="73">
        <v>644</v>
      </c>
      <c r="AK263" s="71">
        <v>0</v>
      </c>
      <c r="AL263" s="72">
        <v>0</v>
      </c>
      <c r="AM263" s="72">
        <v>0</v>
      </c>
      <c r="AN263" s="72">
        <v>0</v>
      </c>
      <c r="AO263" s="72">
        <v>0</v>
      </c>
      <c r="AP263" s="73">
        <v>0</v>
      </c>
      <c r="AQ263" s="71"/>
      <c r="AR263" s="72"/>
      <c r="AS263" s="72"/>
      <c r="AT263" s="72"/>
      <c r="AU263" s="72"/>
      <c r="AV263" s="73"/>
      <c r="AW263" s="75">
        <v>1.3810069854790719</v>
      </c>
      <c r="AX263" s="76">
        <v>1.7048313305172869</v>
      </c>
      <c r="AY263" s="76">
        <v>4.1634976539554946</v>
      </c>
      <c r="AZ263" s="76">
        <v>2.8442132852813495</v>
      </c>
      <c r="BA263" s="76">
        <v>1.0451891461802143</v>
      </c>
      <c r="BB263" s="77">
        <v>-2.8526964885389083</v>
      </c>
      <c r="BC263" s="71"/>
      <c r="BD263" s="72"/>
      <c r="BE263" s="72"/>
      <c r="BF263" s="72"/>
      <c r="BG263" s="72"/>
      <c r="BH263" s="73"/>
      <c r="BI263" s="71"/>
      <c r="BJ263" s="72"/>
      <c r="BK263" s="72"/>
      <c r="BL263" s="72"/>
      <c r="BM263" s="72"/>
      <c r="BN263" s="73"/>
      <c r="BO263" s="71"/>
      <c r="BP263" s="72"/>
      <c r="BQ263" s="72"/>
      <c r="BR263" s="72"/>
      <c r="BS263" s="72"/>
      <c r="BT263" s="73"/>
      <c r="BU263" s="71"/>
      <c r="BV263" s="72"/>
      <c r="BW263" s="72"/>
      <c r="BX263" s="72"/>
      <c r="BY263" s="72"/>
      <c r="BZ263" s="73"/>
      <c r="CA263" s="110"/>
      <c r="CB263" s="76"/>
      <c r="CC263" s="76"/>
      <c r="CD263" s="76"/>
      <c r="CE263" s="76"/>
      <c r="CF263" s="77"/>
    </row>
    <row r="264" spans="1:84" ht="12" customHeight="1">
      <c r="A264" s="1"/>
      <c r="B264" s="64">
        <v>252</v>
      </c>
      <c r="C264" s="65">
        <v>10</v>
      </c>
      <c r="D264" s="66" t="s">
        <v>14</v>
      </c>
      <c r="E264" s="69" t="s">
        <v>169</v>
      </c>
      <c r="F264" s="70" t="s">
        <v>80</v>
      </c>
      <c r="G264" s="71">
        <v>2668.1131707317077</v>
      </c>
      <c r="H264" s="72">
        <v>497.52195121951229</v>
      </c>
      <c r="I264" s="72">
        <v>497.52195121951229</v>
      </c>
      <c r="J264" s="72">
        <v>672.52682926829266</v>
      </c>
      <c r="K264" s="72">
        <v>1000.5424390243903</v>
      </c>
      <c r="L264" s="73"/>
      <c r="M264" s="71">
        <v>5336.2263414634153</v>
      </c>
      <c r="N264" s="72">
        <v>995.04390243902458</v>
      </c>
      <c r="O264" s="72">
        <v>995.04390243902458</v>
      </c>
      <c r="P264" s="72">
        <v>1345.0536585365853</v>
      </c>
      <c r="Q264" s="72">
        <v>2001.0848780487806</v>
      </c>
      <c r="R264" s="73"/>
      <c r="S264" s="71">
        <v>497</v>
      </c>
      <c r="T264" s="72">
        <v>487</v>
      </c>
      <c r="U264" s="72">
        <v>478</v>
      </c>
      <c r="V264" s="72">
        <v>527</v>
      </c>
      <c r="W264" s="72">
        <v>490</v>
      </c>
      <c r="X264" s="73">
        <v>503</v>
      </c>
      <c r="Y264" s="71">
        <v>507.4</v>
      </c>
      <c r="Z264" s="72">
        <v>523</v>
      </c>
      <c r="AA264" s="72">
        <v>482</v>
      </c>
      <c r="AB264" s="72">
        <v>513</v>
      </c>
      <c r="AC264" s="72">
        <v>524</v>
      </c>
      <c r="AD264" s="73">
        <v>495</v>
      </c>
      <c r="AE264" s="71">
        <v>684.6</v>
      </c>
      <c r="AF264" s="72">
        <v>633</v>
      </c>
      <c r="AG264" s="72">
        <v>705</v>
      </c>
      <c r="AH264" s="72">
        <v>683</v>
      </c>
      <c r="AI264" s="72">
        <v>701</v>
      </c>
      <c r="AJ264" s="73">
        <v>701</v>
      </c>
      <c r="AK264" s="71">
        <v>991</v>
      </c>
      <c r="AL264" s="72">
        <v>975</v>
      </c>
      <c r="AM264" s="72">
        <v>1009</v>
      </c>
      <c r="AN264" s="72">
        <v>948</v>
      </c>
      <c r="AO264" s="72">
        <v>1012</v>
      </c>
      <c r="AP264" s="73">
        <v>1000</v>
      </c>
      <c r="AQ264" s="71"/>
      <c r="AR264" s="72"/>
      <c r="AS264" s="72"/>
      <c r="AT264" s="72"/>
      <c r="AU264" s="72"/>
      <c r="AV264" s="73"/>
      <c r="AW264" s="75">
        <v>0.44551443314648775</v>
      </c>
      <c r="AX264" s="76">
        <v>-1.8782250798591305</v>
      </c>
      <c r="AY264" s="76">
        <v>0.22063641575884585</v>
      </c>
      <c r="AZ264" s="76">
        <v>0.1081974070650249</v>
      </c>
      <c r="BA264" s="76">
        <v>2.2070589026830234</v>
      </c>
      <c r="BB264" s="77">
        <v>1.1576281548740353</v>
      </c>
      <c r="BC264" s="71"/>
      <c r="BD264" s="72"/>
      <c r="BE264" s="72"/>
      <c r="BF264" s="72"/>
      <c r="BG264" s="72"/>
      <c r="BH264" s="73"/>
      <c r="BI264" s="71"/>
      <c r="BJ264" s="72"/>
      <c r="BK264" s="72"/>
      <c r="BL264" s="72"/>
      <c r="BM264" s="72"/>
      <c r="BN264" s="73"/>
      <c r="BO264" s="71"/>
      <c r="BP264" s="72"/>
      <c r="BQ264" s="72"/>
      <c r="BR264" s="72"/>
      <c r="BS264" s="72"/>
      <c r="BT264" s="73"/>
      <c r="BU264" s="71"/>
      <c r="BV264" s="72"/>
      <c r="BW264" s="72"/>
      <c r="BX264" s="72"/>
      <c r="BY264" s="72"/>
      <c r="BZ264" s="73"/>
      <c r="CA264" s="110"/>
      <c r="CB264" s="76"/>
      <c r="CC264" s="76"/>
      <c r="CD264" s="76"/>
      <c r="CE264" s="76"/>
      <c r="CF264" s="77"/>
    </row>
    <row r="265" spans="1:84" ht="12" customHeight="1">
      <c r="A265" s="1"/>
      <c r="B265" s="64">
        <v>253</v>
      </c>
      <c r="C265" s="65">
        <v>10</v>
      </c>
      <c r="D265" s="66" t="s">
        <v>14</v>
      </c>
      <c r="E265" s="69" t="s">
        <v>170</v>
      </c>
      <c r="F265" s="70" t="s">
        <v>80</v>
      </c>
      <c r="G265" s="71">
        <v>2001.0848780487806</v>
      </c>
      <c r="H265" s="72">
        <v>597.02634146341472</v>
      </c>
      <c r="I265" s="72">
        <v>597.02634146341472</v>
      </c>
      <c r="J265" s="72">
        <v>807.03219512195119</v>
      </c>
      <c r="K265" s="72">
        <v>0</v>
      </c>
      <c r="L265" s="73"/>
      <c r="M265" s="71">
        <v>5002.7121951219515</v>
      </c>
      <c r="N265" s="72">
        <v>1492.5658536585368</v>
      </c>
      <c r="O265" s="72">
        <v>1492.5658536585368</v>
      </c>
      <c r="P265" s="72">
        <v>2017.580487804878</v>
      </c>
      <c r="Q265" s="72">
        <v>0</v>
      </c>
      <c r="R265" s="73"/>
      <c r="S265" s="71">
        <v>585.6</v>
      </c>
      <c r="T265" s="114">
        <v>554</v>
      </c>
      <c r="U265" s="114">
        <v>621</v>
      </c>
      <c r="V265" s="114">
        <v>602</v>
      </c>
      <c r="W265" s="114">
        <v>561</v>
      </c>
      <c r="X265" s="115">
        <v>590</v>
      </c>
      <c r="Y265" s="71">
        <v>583.4</v>
      </c>
      <c r="Z265" s="114">
        <v>564</v>
      </c>
      <c r="AA265" s="114">
        <v>574</v>
      </c>
      <c r="AB265" s="114">
        <v>612</v>
      </c>
      <c r="AC265" s="114">
        <v>582</v>
      </c>
      <c r="AD265" s="115">
        <v>585</v>
      </c>
      <c r="AE265" s="71">
        <v>800.6</v>
      </c>
      <c r="AF265" s="114">
        <v>765</v>
      </c>
      <c r="AG265" s="114">
        <v>862</v>
      </c>
      <c r="AH265" s="114">
        <v>774</v>
      </c>
      <c r="AI265" s="114">
        <v>761</v>
      </c>
      <c r="AJ265" s="115">
        <v>841</v>
      </c>
      <c r="AK265" s="71">
        <v>0</v>
      </c>
      <c r="AL265" s="72">
        <v>0</v>
      </c>
      <c r="AM265" s="72">
        <v>0</v>
      </c>
      <c r="AN265" s="72">
        <v>0</v>
      </c>
      <c r="AO265" s="72">
        <v>0</v>
      </c>
      <c r="AP265" s="73">
        <v>0</v>
      </c>
      <c r="AQ265" s="71"/>
      <c r="AR265" s="72"/>
      <c r="AS265" s="72"/>
      <c r="AT265" s="72"/>
      <c r="AU265" s="72"/>
      <c r="AV265" s="73"/>
      <c r="AW265" s="75">
        <v>-1.5733904340670013</v>
      </c>
      <c r="AX265" s="76">
        <v>-5.9010429464602669</v>
      </c>
      <c r="AY265" s="76">
        <v>2.7942403925285353</v>
      </c>
      <c r="AZ265" s="76">
        <v>-0.65388920741530354</v>
      </c>
      <c r="BA265" s="76">
        <v>-4.8516121986512779</v>
      </c>
      <c r="BB265" s="77">
        <v>0.74535178966335103</v>
      </c>
      <c r="BC265" s="71">
        <v>1491.4</v>
      </c>
      <c r="BD265" s="72">
        <v>1443</v>
      </c>
      <c r="BE265" s="72">
        <v>1476</v>
      </c>
      <c r="BF265" s="72">
        <v>1501</v>
      </c>
      <c r="BG265" s="72">
        <v>1525</v>
      </c>
      <c r="BH265" s="73">
        <v>1512</v>
      </c>
      <c r="BI265" s="71">
        <v>1490.8</v>
      </c>
      <c r="BJ265" s="72">
        <v>1470</v>
      </c>
      <c r="BK265" s="72">
        <v>1539</v>
      </c>
      <c r="BL265" s="72">
        <v>1477</v>
      </c>
      <c r="BM265" s="72">
        <v>1509</v>
      </c>
      <c r="BN265" s="73">
        <v>1459</v>
      </c>
      <c r="BO265" s="71">
        <v>1985.4</v>
      </c>
      <c r="BP265" s="72">
        <v>1953</v>
      </c>
      <c r="BQ265" s="72">
        <v>1940</v>
      </c>
      <c r="BR265" s="72">
        <v>1900</v>
      </c>
      <c r="BS265" s="72">
        <v>2042</v>
      </c>
      <c r="BT265" s="73">
        <v>2092</v>
      </c>
      <c r="BU265" s="71"/>
      <c r="BV265" s="72"/>
      <c r="BW265" s="72"/>
      <c r="BX265" s="72"/>
      <c r="BY265" s="72"/>
      <c r="BZ265" s="73"/>
      <c r="CA265" s="110">
        <v>-0.70186318445798479</v>
      </c>
      <c r="CB265" s="76">
        <v>-2.7327615459321608</v>
      </c>
      <c r="CC265" s="76">
        <v>-0.95372656393215571</v>
      </c>
      <c r="CD265" s="76">
        <v>-2.4928916607186768</v>
      </c>
      <c r="CE265" s="76">
        <v>1.464961445303814</v>
      </c>
      <c r="CF265" s="77">
        <v>1.205102402989211</v>
      </c>
    </row>
    <row r="266" spans="1:84" ht="12" customHeight="1">
      <c r="A266" s="1"/>
      <c r="B266" s="64">
        <v>254</v>
      </c>
      <c r="C266" s="65">
        <v>10</v>
      </c>
      <c r="D266" s="66" t="s">
        <v>14</v>
      </c>
      <c r="E266" s="69" t="s">
        <v>103</v>
      </c>
      <c r="F266" s="70" t="s">
        <v>80</v>
      </c>
      <c r="G266" s="71">
        <v>1667.5707317073172</v>
      </c>
      <c r="H266" s="72">
        <v>497.52195121951229</v>
      </c>
      <c r="I266" s="72">
        <v>497.52195121951229</v>
      </c>
      <c r="J266" s="72">
        <v>672.52682926829266</v>
      </c>
      <c r="K266" s="72">
        <v>0</v>
      </c>
      <c r="L266" s="73"/>
      <c r="M266" s="71">
        <v>3819.3607804878056</v>
      </c>
      <c r="N266" s="72">
        <v>995.04390243902458</v>
      </c>
      <c r="O266" s="72">
        <v>995.04390243902458</v>
      </c>
      <c r="P266" s="72">
        <v>1829.2729756097563</v>
      </c>
      <c r="Q266" s="72">
        <v>0</v>
      </c>
      <c r="R266" s="73"/>
      <c r="S266" s="71">
        <v>506.8</v>
      </c>
      <c r="T266" s="72">
        <v>521</v>
      </c>
      <c r="U266" s="72">
        <v>505</v>
      </c>
      <c r="V266" s="72">
        <v>523</v>
      </c>
      <c r="W266" s="72">
        <v>493</v>
      </c>
      <c r="X266" s="73">
        <v>492</v>
      </c>
      <c r="Y266" s="71">
        <v>507.8</v>
      </c>
      <c r="Z266" s="72">
        <v>507</v>
      </c>
      <c r="AA266" s="72">
        <v>526</v>
      </c>
      <c r="AB266" s="72">
        <v>529</v>
      </c>
      <c r="AC266" s="72">
        <v>493</v>
      </c>
      <c r="AD266" s="73">
        <v>484</v>
      </c>
      <c r="AE266" s="71">
        <v>676</v>
      </c>
      <c r="AF266" s="72">
        <v>668</v>
      </c>
      <c r="AG266" s="72">
        <v>706</v>
      </c>
      <c r="AH266" s="72">
        <v>663</v>
      </c>
      <c r="AI266" s="72">
        <v>699</v>
      </c>
      <c r="AJ266" s="73">
        <v>644</v>
      </c>
      <c r="AK266" s="71">
        <v>0</v>
      </c>
      <c r="AL266" s="72">
        <v>0</v>
      </c>
      <c r="AM266" s="72">
        <v>0</v>
      </c>
      <c r="AN266" s="72">
        <v>0</v>
      </c>
      <c r="AO266" s="72">
        <v>0</v>
      </c>
      <c r="AP266" s="73">
        <v>0</v>
      </c>
      <c r="AQ266" s="71"/>
      <c r="AR266" s="72"/>
      <c r="AS266" s="72"/>
      <c r="AT266" s="72"/>
      <c r="AU266" s="72"/>
      <c r="AV266" s="73"/>
      <c r="AW266" s="75">
        <v>1.3810069854790719</v>
      </c>
      <c r="AX266" s="76">
        <v>1.7048313305172869</v>
      </c>
      <c r="AY266" s="76">
        <v>4.1634976539554946</v>
      </c>
      <c r="AZ266" s="76">
        <v>2.8442132852813495</v>
      </c>
      <c r="BA266" s="76">
        <v>1.0451891461802143</v>
      </c>
      <c r="BB266" s="77">
        <v>-2.8526964885389083</v>
      </c>
      <c r="BC266" s="71">
        <v>1001</v>
      </c>
      <c r="BD266" s="72">
        <v>952</v>
      </c>
      <c r="BE266" s="72">
        <v>974</v>
      </c>
      <c r="BF266" s="72">
        <v>1039</v>
      </c>
      <c r="BG266" s="72">
        <v>1027</v>
      </c>
      <c r="BH266" s="73">
        <v>1013</v>
      </c>
      <c r="BI266" s="71">
        <v>1030</v>
      </c>
      <c r="BJ266" s="72">
        <v>1034</v>
      </c>
      <c r="BK266" s="72">
        <v>1014</v>
      </c>
      <c r="BL266" s="72">
        <v>1028</v>
      </c>
      <c r="BM266" s="72">
        <v>1044</v>
      </c>
      <c r="BN266" s="73">
        <v>1030</v>
      </c>
      <c r="BO266" s="71">
        <v>1878.4</v>
      </c>
      <c r="BP266" s="72">
        <v>1886</v>
      </c>
      <c r="BQ266" s="72">
        <v>1802</v>
      </c>
      <c r="BR266" s="72">
        <v>1849</v>
      </c>
      <c r="BS266" s="72">
        <v>1866</v>
      </c>
      <c r="BT266" s="73">
        <v>1989</v>
      </c>
      <c r="BU266" s="71"/>
      <c r="BV266" s="72"/>
      <c r="BW266" s="72"/>
      <c r="BX266" s="72"/>
      <c r="BY266" s="72"/>
      <c r="BZ266" s="73"/>
      <c r="CA266" s="110">
        <v>2.3574421136694612</v>
      </c>
      <c r="CB266" s="76">
        <v>1.378220664073293</v>
      </c>
      <c r="CC266" s="76">
        <v>-0.76873545536213506</v>
      </c>
      <c r="CD266" s="76">
        <v>2.5302458988923249</v>
      </c>
      <c r="CE266" s="76">
        <v>3.0800761246013941</v>
      </c>
      <c r="CF266" s="77">
        <v>5.5674033361424513</v>
      </c>
    </row>
    <row r="267" spans="1:84" ht="12" customHeight="1">
      <c r="A267" s="1"/>
      <c r="B267" s="64">
        <v>255</v>
      </c>
      <c r="C267" s="65">
        <v>10</v>
      </c>
      <c r="D267" s="66" t="s">
        <v>14</v>
      </c>
      <c r="E267" s="69" t="s">
        <v>171</v>
      </c>
      <c r="F267" s="70" t="s">
        <v>80</v>
      </c>
      <c r="G267" s="71">
        <v>2668.1131707317077</v>
      </c>
      <c r="H267" s="72">
        <v>497.52195121951229</v>
      </c>
      <c r="I267" s="72">
        <v>497.52195121951229</v>
      </c>
      <c r="J267" s="72">
        <v>672.52682926829266</v>
      </c>
      <c r="K267" s="72">
        <v>1000.5424390243903</v>
      </c>
      <c r="L267" s="73"/>
      <c r="M267" s="71">
        <v>6056.6168975609762</v>
      </c>
      <c r="N267" s="72">
        <v>995.04390243902458</v>
      </c>
      <c r="O267" s="72">
        <v>995.04390243902458</v>
      </c>
      <c r="P267" s="72">
        <v>1345.0536585365853</v>
      </c>
      <c r="Q267" s="72">
        <v>2721.4754341463417</v>
      </c>
      <c r="R267" s="73"/>
      <c r="S267" s="71">
        <v>497</v>
      </c>
      <c r="T267" s="72">
        <v>487</v>
      </c>
      <c r="U267" s="72">
        <v>478</v>
      </c>
      <c r="V267" s="72">
        <v>527</v>
      </c>
      <c r="W267" s="72">
        <v>490</v>
      </c>
      <c r="X267" s="73">
        <v>503</v>
      </c>
      <c r="Y267" s="71">
        <v>507.4</v>
      </c>
      <c r="Z267" s="72">
        <v>523</v>
      </c>
      <c r="AA267" s="72">
        <v>482</v>
      </c>
      <c r="AB267" s="72">
        <v>513</v>
      </c>
      <c r="AC267" s="72">
        <v>524</v>
      </c>
      <c r="AD267" s="73">
        <v>495</v>
      </c>
      <c r="AE267" s="71">
        <v>684.6</v>
      </c>
      <c r="AF267" s="72">
        <v>633</v>
      </c>
      <c r="AG267" s="72">
        <v>705</v>
      </c>
      <c r="AH267" s="72">
        <v>683</v>
      </c>
      <c r="AI267" s="72">
        <v>701</v>
      </c>
      <c r="AJ267" s="73">
        <v>701</v>
      </c>
      <c r="AK267" s="71">
        <v>991</v>
      </c>
      <c r="AL267" s="72">
        <v>975</v>
      </c>
      <c r="AM267" s="72">
        <v>1009</v>
      </c>
      <c r="AN267" s="72">
        <v>948</v>
      </c>
      <c r="AO267" s="72">
        <v>1012</v>
      </c>
      <c r="AP267" s="73">
        <v>1000</v>
      </c>
      <c r="AQ267" s="71"/>
      <c r="AR267" s="72"/>
      <c r="AS267" s="72"/>
      <c r="AT267" s="72"/>
      <c r="AU267" s="72"/>
      <c r="AV267" s="73"/>
      <c r="AW267" s="75">
        <v>0.44551443314648775</v>
      </c>
      <c r="AX267" s="76">
        <v>-1.8782250798591305</v>
      </c>
      <c r="AY267" s="76">
        <v>0.22063641575884585</v>
      </c>
      <c r="AZ267" s="76">
        <v>0.1081974070650249</v>
      </c>
      <c r="BA267" s="76">
        <v>2.2070589026830234</v>
      </c>
      <c r="BB267" s="77">
        <v>1.1576281548740353</v>
      </c>
      <c r="BC267" s="71">
        <v>1011.2</v>
      </c>
      <c r="BD267" s="72">
        <v>1044</v>
      </c>
      <c r="BE267" s="72">
        <v>976</v>
      </c>
      <c r="BF267" s="72">
        <v>1039</v>
      </c>
      <c r="BG267" s="72">
        <v>1002</v>
      </c>
      <c r="BH267" s="73">
        <v>995</v>
      </c>
      <c r="BI267" s="71">
        <v>989.6</v>
      </c>
      <c r="BJ267" s="72">
        <v>1021</v>
      </c>
      <c r="BK267" s="72">
        <v>963</v>
      </c>
      <c r="BL267" s="72">
        <v>963</v>
      </c>
      <c r="BM267" s="72">
        <v>989</v>
      </c>
      <c r="BN267" s="73">
        <v>1012</v>
      </c>
      <c r="BO267" s="71">
        <v>1333.4</v>
      </c>
      <c r="BP267" s="72">
        <v>1285</v>
      </c>
      <c r="BQ267" s="72">
        <v>1358</v>
      </c>
      <c r="BR267" s="72">
        <v>1376</v>
      </c>
      <c r="BS267" s="72">
        <v>1352</v>
      </c>
      <c r="BT267" s="73">
        <v>1296</v>
      </c>
      <c r="BU267" s="71">
        <v>2770</v>
      </c>
      <c r="BV267" s="72">
        <v>2850</v>
      </c>
      <c r="BW267" s="72">
        <v>2655</v>
      </c>
      <c r="BX267" s="72">
        <v>2683</v>
      </c>
      <c r="BY267" s="72">
        <v>2793</v>
      </c>
      <c r="BZ267" s="73">
        <v>2869</v>
      </c>
      <c r="CA267" s="110">
        <v>0.78563830672839785</v>
      </c>
      <c r="CB267" s="76">
        <v>2.3673794275607118</v>
      </c>
      <c r="CC267" s="76">
        <v>-1.7273157495417246</v>
      </c>
      <c r="CD267" s="76">
        <v>7.2368824265378606E-2</v>
      </c>
      <c r="CE267" s="76">
        <v>1.3106838979858759</v>
      </c>
      <c r="CF267" s="77">
        <v>1.9050751333717253</v>
      </c>
    </row>
    <row r="268" spans="1:84" ht="12" customHeight="1">
      <c r="A268" s="1"/>
      <c r="B268" s="64">
        <v>256</v>
      </c>
      <c r="C268" s="65">
        <v>10</v>
      </c>
      <c r="D268" s="66" t="s">
        <v>14</v>
      </c>
      <c r="E268" s="69" t="s">
        <v>108</v>
      </c>
      <c r="F268" s="70" t="s">
        <v>80</v>
      </c>
      <c r="G268" s="71">
        <v>2001.0848780487806</v>
      </c>
      <c r="H268" s="72">
        <v>597.02634146341472</v>
      </c>
      <c r="I268" s="72">
        <v>597.02634146341472</v>
      </c>
      <c r="J268" s="72">
        <v>807.03219512195119</v>
      </c>
      <c r="K268" s="72">
        <v>0</v>
      </c>
      <c r="L268" s="73"/>
      <c r="M268" s="71">
        <v>5729.0411707317071</v>
      </c>
      <c r="N268" s="72">
        <v>1492.5658536585368</v>
      </c>
      <c r="O268" s="72">
        <v>1492.5658536585368</v>
      </c>
      <c r="P268" s="72">
        <v>2743.909463414634</v>
      </c>
      <c r="Q268" s="72">
        <v>0</v>
      </c>
      <c r="R268" s="73"/>
      <c r="S268" s="71">
        <v>585.6</v>
      </c>
      <c r="T268" s="114">
        <v>554</v>
      </c>
      <c r="U268" s="114">
        <v>621</v>
      </c>
      <c r="V268" s="114">
        <v>602</v>
      </c>
      <c r="W268" s="114">
        <v>561</v>
      </c>
      <c r="X268" s="115">
        <v>590</v>
      </c>
      <c r="Y268" s="71">
        <v>583.4</v>
      </c>
      <c r="Z268" s="114">
        <v>564</v>
      </c>
      <c r="AA268" s="114">
        <v>574</v>
      </c>
      <c r="AB268" s="114">
        <v>612</v>
      </c>
      <c r="AC268" s="114">
        <v>582</v>
      </c>
      <c r="AD268" s="115">
        <v>585</v>
      </c>
      <c r="AE268" s="71">
        <v>800.6</v>
      </c>
      <c r="AF268" s="114">
        <v>765</v>
      </c>
      <c r="AG268" s="114">
        <v>862</v>
      </c>
      <c r="AH268" s="114">
        <v>774</v>
      </c>
      <c r="AI268" s="114">
        <v>761</v>
      </c>
      <c r="AJ268" s="115">
        <v>841</v>
      </c>
      <c r="AK268" s="71">
        <v>0</v>
      </c>
      <c r="AL268" s="72">
        <v>0</v>
      </c>
      <c r="AM268" s="72">
        <v>0</v>
      </c>
      <c r="AN268" s="72">
        <v>0</v>
      </c>
      <c r="AO268" s="72">
        <v>0</v>
      </c>
      <c r="AP268" s="73">
        <v>0</v>
      </c>
      <c r="AQ268" s="71"/>
      <c r="AR268" s="72"/>
      <c r="AS268" s="72"/>
      <c r="AT268" s="72"/>
      <c r="AU268" s="72"/>
      <c r="AV268" s="73"/>
      <c r="AW268" s="75">
        <v>-1.5733904340670013</v>
      </c>
      <c r="AX268" s="76">
        <v>-5.9010429464602669</v>
      </c>
      <c r="AY268" s="76">
        <v>2.7942403925285353</v>
      </c>
      <c r="AZ268" s="76">
        <v>-0.65388920741530354</v>
      </c>
      <c r="BA268" s="76">
        <v>-4.8516121986512779</v>
      </c>
      <c r="BB268" s="77">
        <v>0.74535178966335103</v>
      </c>
      <c r="BC268" s="71">
        <v>1457.2</v>
      </c>
      <c r="BD268" s="72">
        <v>1426</v>
      </c>
      <c r="BE268" s="72">
        <v>1515</v>
      </c>
      <c r="BF268" s="72">
        <v>1470</v>
      </c>
      <c r="BG268" s="72">
        <v>1441</v>
      </c>
      <c r="BH268" s="73">
        <v>1434</v>
      </c>
      <c r="BI268" s="71">
        <v>1507.6</v>
      </c>
      <c r="BJ268" s="72">
        <v>1447</v>
      </c>
      <c r="BK268" s="72">
        <v>1530</v>
      </c>
      <c r="BL268" s="72">
        <v>1550</v>
      </c>
      <c r="BM268" s="72">
        <v>1465</v>
      </c>
      <c r="BN268" s="73">
        <v>1546</v>
      </c>
      <c r="BO268" s="71">
        <v>2798</v>
      </c>
      <c r="BP268" s="72">
        <v>2739</v>
      </c>
      <c r="BQ268" s="72">
        <v>2870</v>
      </c>
      <c r="BR268" s="72">
        <v>2876</v>
      </c>
      <c r="BS268" s="72">
        <v>2679</v>
      </c>
      <c r="BT268" s="73">
        <v>2826</v>
      </c>
      <c r="BU268" s="71"/>
      <c r="BV268" s="72"/>
      <c r="BW268" s="72"/>
      <c r="BX268" s="72"/>
      <c r="BY268" s="72"/>
      <c r="BZ268" s="73"/>
      <c r="CA268" s="110">
        <v>0.58925792750030848</v>
      </c>
      <c r="CB268" s="76">
        <v>-2.0429451847831404</v>
      </c>
      <c r="CC268" s="76">
        <v>3.2458979387041564</v>
      </c>
      <c r="CD268" s="76">
        <v>2.9142543104986762</v>
      </c>
      <c r="CE268" s="76">
        <v>-2.5142282353909251</v>
      </c>
      <c r="CF268" s="77">
        <v>1.3433108084727419</v>
      </c>
    </row>
    <row r="269" spans="1:84" ht="12" customHeight="1">
      <c r="A269" s="1"/>
      <c r="B269" s="64">
        <v>257</v>
      </c>
      <c r="C269" s="65">
        <v>10</v>
      </c>
      <c r="D269" s="66" t="s">
        <v>15</v>
      </c>
      <c r="E269" s="69" t="s">
        <v>67</v>
      </c>
      <c r="F269" s="70">
        <v>3</v>
      </c>
      <c r="G269" s="71">
        <v>1399.6390243902442</v>
      </c>
      <c r="H269" s="72">
        <v>466.54634146341471</v>
      </c>
      <c r="I269" s="72">
        <v>466.54634146341471</v>
      </c>
      <c r="J269" s="72">
        <v>466.54634146341471</v>
      </c>
      <c r="K269" s="72">
        <v>0</v>
      </c>
      <c r="L269" s="73">
        <v>0</v>
      </c>
      <c r="M269" s="71">
        <v>2799.2780487804885</v>
      </c>
      <c r="N269" s="72">
        <v>933.09268292682941</v>
      </c>
      <c r="O269" s="72">
        <v>933.09268292682941</v>
      </c>
      <c r="P269" s="72">
        <v>933.09268292682941</v>
      </c>
      <c r="Q269" s="72">
        <v>0</v>
      </c>
      <c r="R269" s="73">
        <v>0</v>
      </c>
      <c r="S269" s="71">
        <v>458.4</v>
      </c>
      <c r="T269" s="72">
        <v>467</v>
      </c>
      <c r="U269" s="72">
        <v>471</v>
      </c>
      <c r="V269" s="72">
        <v>446</v>
      </c>
      <c r="W269" s="72">
        <v>453</v>
      </c>
      <c r="X269" s="73">
        <v>455</v>
      </c>
      <c r="Y269" s="71">
        <v>468.6</v>
      </c>
      <c r="Z269" s="72">
        <v>448</v>
      </c>
      <c r="AA269" s="72">
        <v>498</v>
      </c>
      <c r="AB269" s="72">
        <v>466</v>
      </c>
      <c r="AC269" s="72">
        <v>478</v>
      </c>
      <c r="AD269" s="73">
        <v>453</v>
      </c>
      <c r="AE269" s="71">
        <v>457</v>
      </c>
      <c r="AF269" s="72">
        <v>465</v>
      </c>
      <c r="AG269" s="72">
        <v>474</v>
      </c>
      <c r="AH269" s="72">
        <v>446</v>
      </c>
      <c r="AI269" s="72">
        <v>464</v>
      </c>
      <c r="AJ269" s="73">
        <v>436</v>
      </c>
      <c r="AK269" s="71"/>
      <c r="AL269" s="72"/>
      <c r="AM269" s="72"/>
      <c r="AN269" s="72"/>
      <c r="AO269" s="72"/>
      <c r="AP269" s="73"/>
      <c r="AQ269" s="71"/>
      <c r="AR269" s="72"/>
      <c r="AS269" s="72"/>
      <c r="AT269" s="72"/>
      <c r="AU269" s="72"/>
      <c r="AV269" s="73"/>
      <c r="AW269" s="75">
        <v>-1.1173612708503478</v>
      </c>
      <c r="AX269" s="76">
        <v>-1.403149244055979</v>
      </c>
      <c r="AY269" s="76">
        <v>3.0980113339327708</v>
      </c>
      <c r="AZ269" s="76">
        <v>-2.9749830966869784</v>
      </c>
      <c r="BA269" s="76">
        <v>-0.33144434453484806</v>
      </c>
      <c r="BB269" s="77">
        <v>-3.9752410029066931</v>
      </c>
      <c r="BC269" s="71"/>
      <c r="BD269" s="72"/>
      <c r="BE269" s="72"/>
      <c r="BF269" s="72"/>
      <c r="BG269" s="72"/>
      <c r="BH269" s="73"/>
      <c r="BI269" s="71"/>
      <c r="BJ269" s="72"/>
      <c r="BK269" s="72"/>
      <c r="BL269" s="72"/>
      <c r="BM269" s="72"/>
      <c r="BN269" s="73"/>
      <c r="BO269" s="71"/>
      <c r="BP269" s="72"/>
      <c r="BQ269" s="72"/>
      <c r="BR269" s="72"/>
      <c r="BS269" s="72"/>
      <c r="BT269" s="73"/>
      <c r="BU269" s="71"/>
      <c r="BV269" s="72"/>
      <c r="BW269" s="72"/>
      <c r="BX269" s="72"/>
      <c r="BY269" s="72"/>
      <c r="BZ269" s="73"/>
      <c r="CA269" s="80"/>
      <c r="CB269" s="78"/>
      <c r="CC269" s="78"/>
      <c r="CD269" s="78"/>
      <c r="CE269" s="78"/>
      <c r="CF269" s="70"/>
    </row>
    <row r="270" spans="1:84" ht="12" customHeight="1">
      <c r="A270" s="1" t="s">
        <v>174</v>
      </c>
      <c r="B270" s="64">
        <v>258</v>
      </c>
      <c r="C270" s="65">
        <v>10</v>
      </c>
      <c r="D270" s="66" t="s">
        <v>15</v>
      </c>
      <c r="E270" s="69" t="s">
        <v>79</v>
      </c>
      <c r="F270" s="70">
        <v>3</v>
      </c>
      <c r="G270" s="71">
        <v>1749.5487804878051</v>
      </c>
      <c r="H270" s="72">
        <v>583.18292682926835</v>
      </c>
      <c r="I270" s="72">
        <v>583.18292682926835</v>
      </c>
      <c r="J270" s="72">
        <v>583.18292682926835</v>
      </c>
      <c r="K270" s="72">
        <v>0</v>
      </c>
      <c r="L270" s="73">
        <v>0</v>
      </c>
      <c r="M270" s="71">
        <v>3499.0975609756101</v>
      </c>
      <c r="N270" s="72">
        <v>1166.3658536585367</v>
      </c>
      <c r="O270" s="72">
        <v>1166.3658536585367</v>
      </c>
      <c r="P270" s="72">
        <v>1166.3658536585367</v>
      </c>
      <c r="Q270" s="72">
        <v>0</v>
      </c>
      <c r="R270" s="73">
        <v>0</v>
      </c>
      <c r="S270" s="71">
        <v>592.79999999999995</v>
      </c>
      <c r="T270" s="72">
        <v>596</v>
      </c>
      <c r="U270" s="72">
        <v>562</v>
      </c>
      <c r="V270" s="72">
        <v>590</v>
      </c>
      <c r="W270" s="72">
        <v>615</v>
      </c>
      <c r="X270" s="73">
        <v>601</v>
      </c>
      <c r="Y270" s="71">
        <v>565.6</v>
      </c>
      <c r="Z270" s="72">
        <v>585</v>
      </c>
      <c r="AA270" s="72">
        <v>558</v>
      </c>
      <c r="AB270" s="72">
        <v>571</v>
      </c>
      <c r="AC270" s="72">
        <v>562</v>
      </c>
      <c r="AD270" s="73">
        <v>552</v>
      </c>
      <c r="AE270" s="71">
        <v>584.4</v>
      </c>
      <c r="AF270" s="72">
        <v>596</v>
      </c>
      <c r="AG270" s="72">
        <v>572</v>
      </c>
      <c r="AH270" s="72">
        <v>604</v>
      </c>
      <c r="AI270" s="72">
        <v>570</v>
      </c>
      <c r="AJ270" s="73">
        <v>580</v>
      </c>
      <c r="AK270" s="71"/>
      <c r="AL270" s="72"/>
      <c r="AM270" s="72"/>
      <c r="AN270" s="72"/>
      <c r="AO270" s="72"/>
      <c r="AP270" s="73"/>
      <c r="AQ270" s="71"/>
      <c r="AR270" s="72"/>
      <c r="AS270" s="72"/>
      <c r="AT270" s="72"/>
      <c r="AU270" s="72"/>
      <c r="AV270" s="73"/>
      <c r="AW270" s="75">
        <v>-0.38574405944389323</v>
      </c>
      <c r="AX270" s="76">
        <v>1.5690456772826433</v>
      </c>
      <c r="AY270" s="76">
        <v>-3.2893498672131538</v>
      </c>
      <c r="AZ270" s="76">
        <v>0.88315454158911511</v>
      </c>
      <c r="BA270" s="76">
        <v>-0.14568216195117722</v>
      </c>
      <c r="BB270" s="77">
        <v>-0.94588848692694905</v>
      </c>
      <c r="BC270" s="65"/>
      <c r="BD270" s="78"/>
      <c r="BE270" s="78"/>
      <c r="BF270" s="78"/>
      <c r="BG270" s="78"/>
      <c r="BH270" s="70"/>
      <c r="BI270" s="65"/>
      <c r="BJ270" s="78"/>
      <c r="BK270" s="78"/>
      <c r="BL270" s="78"/>
      <c r="BM270" s="78"/>
      <c r="BN270" s="70"/>
      <c r="BO270" s="65"/>
      <c r="BP270" s="78"/>
      <c r="BQ270" s="78"/>
      <c r="BR270" s="78"/>
      <c r="BS270" s="78"/>
      <c r="BT270" s="70"/>
      <c r="BU270" s="65"/>
      <c r="BV270" s="78"/>
      <c r="BW270" s="78"/>
      <c r="BX270" s="78"/>
      <c r="BY270" s="78"/>
      <c r="BZ270" s="70"/>
      <c r="CA270" s="80"/>
      <c r="CB270" s="78"/>
      <c r="CC270" s="78"/>
      <c r="CD270" s="78"/>
      <c r="CE270" s="78"/>
      <c r="CF270" s="70"/>
    </row>
    <row r="271" spans="1:84" ht="12" customHeight="1">
      <c r="A271" s="2"/>
      <c r="B271" s="64">
        <v>259</v>
      </c>
      <c r="C271" s="65">
        <v>10</v>
      </c>
      <c r="D271" s="66" t="s">
        <v>15</v>
      </c>
      <c r="E271" s="69" t="s">
        <v>87</v>
      </c>
      <c r="F271" s="70">
        <v>4</v>
      </c>
      <c r="G271" s="71">
        <v>1866.1853658536588</v>
      </c>
      <c r="H271" s="72">
        <v>466.54634146341471</v>
      </c>
      <c r="I271" s="72">
        <v>466.54634146341471</v>
      </c>
      <c r="J271" s="72">
        <v>466.54634146341471</v>
      </c>
      <c r="K271" s="72">
        <v>466.54634146341471</v>
      </c>
      <c r="L271" s="73">
        <v>0</v>
      </c>
      <c r="M271" s="71">
        <v>3732.3707317073176</v>
      </c>
      <c r="N271" s="72">
        <v>933.09268292682941</v>
      </c>
      <c r="O271" s="72">
        <v>933.09268292682941</v>
      </c>
      <c r="P271" s="72">
        <v>933.09268292682941</v>
      </c>
      <c r="Q271" s="72">
        <v>933.09268292682941</v>
      </c>
      <c r="R271" s="73">
        <v>0</v>
      </c>
      <c r="S271" s="71">
        <v>470</v>
      </c>
      <c r="T271" s="72">
        <v>445</v>
      </c>
      <c r="U271" s="72">
        <v>490</v>
      </c>
      <c r="V271" s="72">
        <v>479</v>
      </c>
      <c r="W271" s="72">
        <v>474</v>
      </c>
      <c r="X271" s="73">
        <v>462</v>
      </c>
      <c r="Y271" s="71">
        <v>471.8</v>
      </c>
      <c r="Z271" s="72">
        <v>489</v>
      </c>
      <c r="AA271" s="72">
        <v>473</v>
      </c>
      <c r="AB271" s="72">
        <v>458</v>
      </c>
      <c r="AC271" s="72">
        <v>497</v>
      </c>
      <c r="AD271" s="73">
        <v>442</v>
      </c>
      <c r="AE271" s="71">
        <v>474</v>
      </c>
      <c r="AF271" s="72">
        <v>466</v>
      </c>
      <c r="AG271" s="72">
        <v>449</v>
      </c>
      <c r="AH271" s="72">
        <v>479</v>
      </c>
      <c r="AI271" s="72">
        <v>484</v>
      </c>
      <c r="AJ271" s="73">
        <v>492</v>
      </c>
      <c r="AK271" s="71">
        <v>474.2</v>
      </c>
      <c r="AL271" s="72">
        <v>466</v>
      </c>
      <c r="AM271" s="72">
        <v>476</v>
      </c>
      <c r="AN271" s="72">
        <v>466</v>
      </c>
      <c r="AO271" s="72">
        <v>482</v>
      </c>
      <c r="AP271" s="73">
        <v>481</v>
      </c>
      <c r="AQ271" s="71"/>
      <c r="AR271" s="72"/>
      <c r="AS271" s="72"/>
      <c r="AT271" s="72"/>
      <c r="AU271" s="72"/>
      <c r="AV271" s="73"/>
      <c r="AW271" s="75">
        <v>1.2761130047468594</v>
      </c>
      <c r="AX271" s="76">
        <v>-9.9328746785087851E-3</v>
      </c>
      <c r="AY271" s="76">
        <v>1.1689425147947352</v>
      </c>
      <c r="AZ271" s="76">
        <v>0.84743104493840704</v>
      </c>
      <c r="BA271" s="76">
        <v>3.7946195186215004</v>
      </c>
      <c r="BB271" s="77">
        <v>0.57950482005810766</v>
      </c>
      <c r="BC271" s="65"/>
      <c r="BD271" s="78"/>
      <c r="BE271" s="78"/>
      <c r="BF271" s="78"/>
      <c r="BG271" s="78"/>
      <c r="BH271" s="70"/>
      <c r="BI271" s="65"/>
      <c r="BJ271" s="78"/>
      <c r="BK271" s="78"/>
      <c r="BL271" s="78"/>
      <c r="BM271" s="78"/>
      <c r="BN271" s="70"/>
      <c r="BO271" s="65"/>
      <c r="BP271" s="78"/>
      <c r="BQ271" s="78"/>
      <c r="BR271" s="78"/>
      <c r="BS271" s="78"/>
      <c r="BT271" s="70"/>
      <c r="BU271" s="65"/>
      <c r="BV271" s="78"/>
      <c r="BW271" s="78"/>
      <c r="BX271" s="78"/>
      <c r="BY271" s="78"/>
      <c r="BZ271" s="70"/>
      <c r="CA271" s="80"/>
      <c r="CB271" s="78"/>
      <c r="CC271" s="78"/>
      <c r="CD271" s="78"/>
      <c r="CE271" s="78"/>
      <c r="CF271" s="70"/>
    </row>
    <row r="272" spans="1:84" ht="12" customHeight="1">
      <c r="A272" s="1"/>
      <c r="B272" s="64">
        <v>260</v>
      </c>
      <c r="C272" s="65">
        <v>10</v>
      </c>
      <c r="D272" s="66" t="s">
        <v>15</v>
      </c>
      <c r="E272" s="69" t="s">
        <v>91</v>
      </c>
      <c r="F272" s="70">
        <v>3</v>
      </c>
      <c r="G272" s="71">
        <v>2426.040975609757</v>
      </c>
      <c r="H272" s="72">
        <v>466.54634146341471</v>
      </c>
      <c r="I272" s="72">
        <v>466.54634146341471</v>
      </c>
      <c r="J272" s="72">
        <v>466.54634146341471</v>
      </c>
      <c r="K272" s="72">
        <v>0</v>
      </c>
      <c r="L272" s="73">
        <v>1026.4019512195125</v>
      </c>
      <c r="M272" s="71">
        <v>4852.0819512195139</v>
      </c>
      <c r="N272" s="72">
        <v>933.09268292682941</v>
      </c>
      <c r="O272" s="72">
        <v>933.09268292682941</v>
      </c>
      <c r="P272" s="72">
        <v>933.09268292682941</v>
      </c>
      <c r="Q272" s="72">
        <v>0</v>
      </c>
      <c r="R272" s="73">
        <v>2052.803902439025</v>
      </c>
      <c r="S272" s="71">
        <v>458.4</v>
      </c>
      <c r="T272" s="72">
        <v>467</v>
      </c>
      <c r="U272" s="72">
        <v>471</v>
      </c>
      <c r="V272" s="72">
        <v>446</v>
      </c>
      <c r="W272" s="72">
        <v>453</v>
      </c>
      <c r="X272" s="73">
        <v>455</v>
      </c>
      <c r="Y272" s="71">
        <v>468.6</v>
      </c>
      <c r="Z272" s="72">
        <v>448</v>
      </c>
      <c r="AA272" s="72">
        <v>498</v>
      </c>
      <c r="AB272" s="72">
        <v>466</v>
      </c>
      <c r="AC272" s="72">
        <v>478</v>
      </c>
      <c r="AD272" s="73">
        <v>453</v>
      </c>
      <c r="AE272" s="71">
        <v>457</v>
      </c>
      <c r="AF272" s="72">
        <v>465</v>
      </c>
      <c r="AG272" s="72">
        <v>474</v>
      </c>
      <c r="AH272" s="72">
        <v>446</v>
      </c>
      <c r="AI272" s="72">
        <v>464</v>
      </c>
      <c r="AJ272" s="73">
        <v>436</v>
      </c>
      <c r="AK272" s="71"/>
      <c r="AL272" s="72"/>
      <c r="AM272" s="72"/>
      <c r="AN272" s="72"/>
      <c r="AO272" s="72"/>
      <c r="AP272" s="73"/>
      <c r="AQ272" s="71">
        <v>1034</v>
      </c>
      <c r="AR272" s="72">
        <v>1012</v>
      </c>
      <c r="AS272" s="72">
        <v>1023</v>
      </c>
      <c r="AT272" s="72">
        <v>1045</v>
      </c>
      <c r="AU272" s="72">
        <v>1078</v>
      </c>
      <c r="AV272" s="73">
        <v>1012</v>
      </c>
      <c r="AW272" s="75">
        <v>-0.33144434453485916</v>
      </c>
      <c r="AX272" s="76">
        <v>-1.4031492440559901</v>
      </c>
      <c r="AY272" s="76">
        <v>1.6470877776579851</v>
      </c>
      <c r="AZ272" s="76">
        <v>-0.94973563272012784</v>
      </c>
      <c r="BA272" s="76">
        <v>1.9356237121444408</v>
      </c>
      <c r="BB272" s="77">
        <v>-2.8870483357006371</v>
      </c>
      <c r="BC272" s="65"/>
      <c r="BD272" s="78"/>
      <c r="BE272" s="78"/>
      <c r="BF272" s="78"/>
      <c r="BG272" s="78"/>
      <c r="BH272" s="70"/>
      <c r="BI272" s="65"/>
      <c r="BJ272" s="78"/>
      <c r="BK272" s="78"/>
      <c r="BL272" s="78"/>
      <c r="BM272" s="78"/>
      <c r="BN272" s="70"/>
      <c r="BO272" s="65"/>
      <c r="BP272" s="78"/>
      <c r="BQ272" s="78"/>
      <c r="BR272" s="78"/>
      <c r="BS272" s="78"/>
      <c r="BT272" s="70"/>
      <c r="BU272" s="65"/>
      <c r="BV272" s="78"/>
      <c r="BW272" s="78"/>
      <c r="BX272" s="78"/>
      <c r="BY272" s="78"/>
      <c r="BZ272" s="70"/>
      <c r="CA272" s="126"/>
      <c r="CB272" s="78"/>
      <c r="CC272" s="78"/>
      <c r="CD272" s="78"/>
      <c r="CE272" s="78"/>
      <c r="CF272" s="70"/>
    </row>
    <row r="273" spans="1:84" ht="12" customHeight="1">
      <c r="A273" s="1" t="s">
        <v>174</v>
      </c>
      <c r="B273" s="64">
        <v>261</v>
      </c>
      <c r="C273" s="65">
        <v>10</v>
      </c>
      <c r="D273" s="66" t="s">
        <v>15</v>
      </c>
      <c r="E273" s="69" t="s">
        <v>144</v>
      </c>
      <c r="F273" s="70">
        <v>4</v>
      </c>
      <c r="G273" s="71">
        <v>1866.1853658536588</v>
      </c>
      <c r="H273" s="72">
        <v>466.54634146341471</v>
      </c>
      <c r="I273" s="72">
        <v>466.54634146341471</v>
      </c>
      <c r="J273" s="72">
        <v>466.54634146341471</v>
      </c>
      <c r="K273" s="72">
        <v>466.54634146341471</v>
      </c>
      <c r="L273" s="73">
        <v>0</v>
      </c>
      <c r="M273" s="71">
        <v>3732.3707317073176</v>
      </c>
      <c r="N273" s="72">
        <v>933.09268292682941</v>
      </c>
      <c r="O273" s="72">
        <v>933.09268292682941</v>
      </c>
      <c r="P273" s="72">
        <v>933.09268292682941</v>
      </c>
      <c r="Q273" s="72">
        <v>933.09268292682941</v>
      </c>
      <c r="R273" s="73">
        <v>0</v>
      </c>
      <c r="S273" s="71">
        <v>470.8</v>
      </c>
      <c r="T273" s="72">
        <v>446</v>
      </c>
      <c r="U273" s="72">
        <v>456</v>
      </c>
      <c r="V273" s="72">
        <v>483</v>
      </c>
      <c r="W273" s="72">
        <v>482</v>
      </c>
      <c r="X273" s="73">
        <v>487</v>
      </c>
      <c r="Y273" s="71">
        <v>472.4</v>
      </c>
      <c r="Z273" s="72">
        <v>447</v>
      </c>
      <c r="AA273" s="72">
        <v>484</v>
      </c>
      <c r="AB273" s="72">
        <v>474</v>
      </c>
      <c r="AC273" s="72">
        <v>478</v>
      </c>
      <c r="AD273" s="73">
        <v>479</v>
      </c>
      <c r="AE273" s="71">
        <v>468.2</v>
      </c>
      <c r="AF273" s="72">
        <v>478</v>
      </c>
      <c r="AG273" s="72">
        <v>452</v>
      </c>
      <c r="AH273" s="72">
        <v>482</v>
      </c>
      <c r="AI273" s="72">
        <v>455</v>
      </c>
      <c r="AJ273" s="73">
        <v>474</v>
      </c>
      <c r="AK273" s="71">
        <v>465.8</v>
      </c>
      <c r="AL273" s="72">
        <v>481</v>
      </c>
      <c r="AM273" s="72">
        <v>460</v>
      </c>
      <c r="AN273" s="72">
        <v>471</v>
      </c>
      <c r="AO273" s="72">
        <v>478</v>
      </c>
      <c r="AP273" s="73">
        <v>439</v>
      </c>
      <c r="AQ273" s="71"/>
      <c r="AR273" s="72"/>
      <c r="AS273" s="72"/>
      <c r="AT273" s="72"/>
      <c r="AU273" s="72"/>
      <c r="AV273" s="73"/>
      <c r="AW273" s="75">
        <v>0.59022186905333118</v>
      </c>
      <c r="AX273" s="76">
        <v>-0.76012630434330042</v>
      </c>
      <c r="AY273" s="76">
        <v>-0.76012630434330042</v>
      </c>
      <c r="AZ273" s="76">
        <v>2.3478179042679903</v>
      </c>
      <c r="BA273" s="76">
        <v>1.4368687396750124</v>
      </c>
      <c r="BB273" s="77">
        <v>0.68667531001023185</v>
      </c>
      <c r="BC273" s="65"/>
      <c r="BD273" s="78"/>
      <c r="BE273" s="78"/>
      <c r="BF273" s="78"/>
      <c r="BG273" s="78"/>
      <c r="BH273" s="70"/>
      <c r="BI273" s="65"/>
      <c r="BJ273" s="78"/>
      <c r="BK273" s="78"/>
      <c r="BL273" s="78"/>
      <c r="BM273" s="78"/>
      <c r="BN273" s="70"/>
      <c r="BO273" s="65"/>
      <c r="BP273" s="78"/>
      <c r="BQ273" s="78"/>
      <c r="BR273" s="78"/>
      <c r="BS273" s="78"/>
      <c r="BT273" s="70"/>
      <c r="BU273" s="65"/>
      <c r="BV273" s="78"/>
      <c r="BW273" s="78"/>
      <c r="BX273" s="78"/>
      <c r="BY273" s="78"/>
      <c r="BZ273" s="70"/>
      <c r="CA273" s="126"/>
      <c r="CB273" s="78"/>
      <c r="CC273" s="78"/>
      <c r="CD273" s="78"/>
      <c r="CE273" s="78"/>
      <c r="CF273" s="70"/>
    </row>
    <row r="274" spans="1:84" ht="12" customHeight="1">
      <c r="A274" s="2"/>
      <c r="B274" s="64">
        <v>262</v>
      </c>
      <c r="C274" s="65">
        <v>10</v>
      </c>
      <c r="D274" s="66" t="s">
        <v>15</v>
      </c>
      <c r="E274" s="69" t="s">
        <v>92</v>
      </c>
      <c r="F274" s="70">
        <v>3</v>
      </c>
      <c r="G274" s="71">
        <v>1819.5307317073175</v>
      </c>
      <c r="H274" s="72">
        <v>606.51024390243913</v>
      </c>
      <c r="I274" s="72">
        <v>606.51024390243913</v>
      </c>
      <c r="J274" s="72">
        <v>606.51024390243913</v>
      </c>
      <c r="K274" s="72">
        <v>0</v>
      </c>
      <c r="L274" s="73">
        <v>0</v>
      </c>
      <c r="M274" s="71">
        <v>3639.061463414635</v>
      </c>
      <c r="N274" s="72">
        <v>1213.0204878048783</v>
      </c>
      <c r="O274" s="72">
        <v>1213.0204878048783</v>
      </c>
      <c r="P274" s="72">
        <v>1213.0204878048783</v>
      </c>
      <c r="Q274" s="72">
        <v>0</v>
      </c>
      <c r="R274" s="73">
        <v>0</v>
      </c>
      <c r="S274" s="71">
        <v>605.6</v>
      </c>
      <c r="T274" s="72">
        <v>621</v>
      </c>
      <c r="U274" s="72">
        <v>617</v>
      </c>
      <c r="V274" s="72">
        <v>601</v>
      </c>
      <c r="W274" s="72">
        <v>588</v>
      </c>
      <c r="X274" s="73">
        <v>601</v>
      </c>
      <c r="Y274" s="71">
        <v>605.20000000000005</v>
      </c>
      <c r="Z274" s="72">
        <v>627</v>
      </c>
      <c r="AA274" s="72">
        <v>590</v>
      </c>
      <c r="AB274" s="72">
        <v>604</v>
      </c>
      <c r="AC274" s="72">
        <v>600</v>
      </c>
      <c r="AD274" s="73">
        <v>605</v>
      </c>
      <c r="AE274" s="71">
        <v>612.4</v>
      </c>
      <c r="AF274" s="72">
        <v>598</v>
      </c>
      <c r="AG274" s="72">
        <v>611</v>
      </c>
      <c r="AH274" s="72">
        <v>621</v>
      </c>
      <c r="AI274" s="72">
        <v>614</v>
      </c>
      <c r="AJ274" s="73">
        <v>618</v>
      </c>
      <c r="AK274" s="71"/>
      <c r="AL274" s="72"/>
      <c r="AM274" s="72"/>
      <c r="AN274" s="72"/>
      <c r="AO274" s="72"/>
      <c r="AP274" s="73"/>
      <c r="AQ274" s="71"/>
      <c r="AR274" s="72"/>
      <c r="AS274" s="72"/>
      <c r="AT274" s="72"/>
      <c r="AU274" s="72"/>
      <c r="AV274" s="73"/>
      <c r="AW274" s="75">
        <v>0.20166014394491505</v>
      </c>
      <c r="AX274" s="76">
        <v>1.4547304880003775</v>
      </c>
      <c r="AY274" s="76">
        <v>-8.4127829260749465E-2</v>
      </c>
      <c r="AZ274" s="76">
        <v>0.3555459756710011</v>
      </c>
      <c r="BA274" s="76">
        <v>-0.9634754391242395</v>
      </c>
      <c r="BB274" s="77">
        <v>0.24562752443806346</v>
      </c>
      <c r="BC274" s="65"/>
      <c r="BD274" s="78"/>
      <c r="BE274" s="78"/>
      <c r="BF274" s="78"/>
      <c r="BG274" s="78"/>
      <c r="BH274" s="70"/>
      <c r="BI274" s="65"/>
      <c r="BJ274" s="78"/>
      <c r="BK274" s="78"/>
      <c r="BL274" s="78"/>
      <c r="BM274" s="78"/>
      <c r="BN274" s="70"/>
      <c r="BO274" s="65"/>
      <c r="BP274" s="78"/>
      <c r="BQ274" s="78"/>
      <c r="BR274" s="78"/>
      <c r="BS274" s="78"/>
      <c r="BT274" s="70"/>
      <c r="BU274" s="65"/>
      <c r="BV274" s="78"/>
      <c r="BW274" s="78"/>
      <c r="BX274" s="78"/>
      <c r="BY274" s="78"/>
      <c r="BZ274" s="70"/>
      <c r="CA274" s="126"/>
      <c r="CB274" s="78"/>
      <c r="CC274" s="78"/>
      <c r="CD274" s="78"/>
      <c r="CE274" s="78"/>
      <c r="CF274" s="70"/>
    </row>
    <row r="275" spans="1:84" ht="12" customHeight="1">
      <c r="A275" s="1" t="s">
        <v>174</v>
      </c>
      <c r="B275" s="64">
        <v>263</v>
      </c>
      <c r="C275" s="65">
        <v>10</v>
      </c>
      <c r="D275" s="66" t="s">
        <v>15</v>
      </c>
      <c r="E275" s="69" t="s">
        <v>141</v>
      </c>
      <c r="F275" s="70">
        <v>4</v>
      </c>
      <c r="G275" s="71">
        <v>3079.2058536585373</v>
      </c>
      <c r="H275" s="72">
        <v>466.54634146341471</v>
      </c>
      <c r="I275" s="72">
        <v>466.54634146341471</v>
      </c>
      <c r="J275" s="72">
        <v>466.54634146341471</v>
      </c>
      <c r="K275" s="72">
        <v>466.54634146341471</v>
      </c>
      <c r="L275" s="73">
        <v>1213.0204878048783</v>
      </c>
      <c r="M275" s="71">
        <v>6158.4117073170746</v>
      </c>
      <c r="N275" s="72">
        <v>933.09268292682941</v>
      </c>
      <c r="O275" s="72">
        <v>933.09268292682941</v>
      </c>
      <c r="P275" s="72">
        <v>933.09268292682941</v>
      </c>
      <c r="Q275" s="72">
        <v>933.09268292682941</v>
      </c>
      <c r="R275" s="73">
        <v>2426.0409756097565</v>
      </c>
      <c r="S275" s="71">
        <v>470.8</v>
      </c>
      <c r="T275" s="72">
        <v>446</v>
      </c>
      <c r="U275" s="72">
        <v>456</v>
      </c>
      <c r="V275" s="72">
        <v>483</v>
      </c>
      <c r="W275" s="72">
        <v>482</v>
      </c>
      <c r="X275" s="73">
        <v>487</v>
      </c>
      <c r="Y275" s="71">
        <v>472.4</v>
      </c>
      <c r="Z275" s="72">
        <v>447</v>
      </c>
      <c r="AA275" s="72">
        <v>484</v>
      </c>
      <c r="AB275" s="72">
        <v>474</v>
      </c>
      <c r="AC275" s="72">
        <v>478</v>
      </c>
      <c r="AD275" s="73">
        <v>479</v>
      </c>
      <c r="AE275" s="71">
        <v>468.2</v>
      </c>
      <c r="AF275" s="72">
        <v>478</v>
      </c>
      <c r="AG275" s="72">
        <v>452</v>
      </c>
      <c r="AH275" s="72">
        <v>482</v>
      </c>
      <c r="AI275" s="72">
        <v>455</v>
      </c>
      <c r="AJ275" s="73">
        <v>474</v>
      </c>
      <c r="AK275" s="71">
        <v>465.8</v>
      </c>
      <c r="AL275" s="72">
        <v>481</v>
      </c>
      <c r="AM275" s="72">
        <v>460</v>
      </c>
      <c r="AN275" s="72">
        <v>471</v>
      </c>
      <c r="AO275" s="72">
        <v>478</v>
      </c>
      <c r="AP275" s="73">
        <v>439</v>
      </c>
      <c r="AQ275" s="71">
        <v>1229.8</v>
      </c>
      <c r="AR275" s="72">
        <v>1248</v>
      </c>
      <c r="AS275" s="72">
        <v>1235</v>
      </c>
      <c r="AT275" s="72">
        <v>1209</v>
      </c>
      <c r="AU275" s="72">
        <v>1261</v>
      </c>
      <c r="AV275" s="73">
        <v>1196</v>
      </c>
      <c r="AW275" s="75">
        <v>0.90264008521674377</v>
      </c>
      <c r="AX275" s="76">
        <v>0.67530874289409848</v>
      </c>
      <c r="AY275" s="76">
        <v>0.25312196429485567</v>
      </c>
      <c r="AZ275" s="76">
        <v>1.2923509577698944</v>
      </c>
      <c r="BA275" s="76">
        <v>2.4290076693832097</v>
      </c>
      <c r="BB275" s="77">
        <v>-0.13658890825828385</v>
      </c>
      <c r="BC275" s="65"/>
      <c r="BD275" s="78"/>
      <c r="BE275" s="78"/>
      <c r="BF275" s="78"/>
      <c r="BG275" s="78"/>
      <c r="BH275" s="70"/>
      <c r="BI275" s="65"/>
      <c r="BJ275" s="78"/>
      <c r="BK275" s="78"/>
      <c r="BL275" s="78"/>
      <c r="BM275" s="78"/>
      <c r="BN275" s="70"/>
      <c r="BO275" s="65"/>
      <c r="BP275" s="78"/>
      <c r="BQ275" s="78"/>
      <c r="BR275" s="78"/>
      <c r="BS275" s="78"/>
      <c r="BT275" s="70"/>
      <c r="BU275" s="65"/>
      <c r="BV275" s="78"/>
      <c r="BW275" s="78"/>
      <c r="BX275" s="78"/>
      <c r="BY275" s="78"/>
      <c r="BZ275" s="70"/>
      <c r="CA275" s="126"/>
      <c r="CB275" s="78"/>
      <c r="CC275" s="78"/>
      <c r="CD275" s="78"/>
      <c r="CE275" s="78"/>
      <c r="CF275" s="70"/>
    </row>
    <row r="276" spans="1:84" ht="12" customHeight="1">
      <c r="A276" s="2"/>
      <c r="B276" s="64">
        <v>264</v>
      </c>
      <c r="C276" s="65">
        <v>10</v>
      </c>
      <c r="D276" s="66" t="s">
        <v>15</v>
      </c>
      <c r="E276" s="69" t="s">
        <v>98</v>
      </c>
      <c r="F276" s="70">
        <v>3</v>
      </c>
      <c r="G276" s="71">
        <v>2845.9326829268302</v>
      </c>
      <c r="H276" s="72">
        <v>606.51024390243913</v>
      </c>
      <c r="I276" s="72">
        <v>606.51024390243913</v>
      </c>
      <c r="J276" s="72">
        <v>606.51024390243913</v>
      </c>
      <c r="K276" s="72">
        <v>0</v>
      </c>
      <c r="L276" s="73">
        <v>1026.4019512195125</v>
      </c>
      <c r="M276" s="71">
        <v>5691.8653658536605</v>
      </c>
      <c r="N276" s="72">
        <v>1213.0204878048783</v>
      </c>
      <c r="O276" s="72">
        <v>1213.0204878048783</v>
      </c>
      <c r="P276" s="72">
        <v>1213.0204878048783</v>
      </c>
      <c r="Q276" s="72">
        <v>0</v>
      </c>
      <c r="R276" s="73">
        <v>2052.803902439025</v>
      </c>
      <c r="S276" s="71">
        <v>605.6</v>
      </c>
      <c r="T276" s="72">
        <v>621</v>
      </c>
      <c r="U276" s="72">
        <v>617</v>
      </c>
      <c r="V276" s="72">
        <v>601</v>
      </c>
      <c r="W276" s="72">
        <v>588</v>
      </c>
      <c r="X276" s="73">
        <v>601</v>
      </c>
      <c r="Y276" s="71">
        <v>605.20000000000005</v>
      </c>
      <c r="Z276" s="72">
        <v>627</v>
      </c>
      <c r="AA276" s="72">
        <v>590</v>
      </c>
      <c r="AB276" s="72">
        <v>604</v>
      </c>
      <c r="AC276" s="72">
        <v>600</v>
      </c>
      <c r="AD276" s="73">
        <v>605</v>
      </c>
      <c r="AE276" s="71">
        <v>612.4</v>
      </c>
      <c r="AF276" s="72">
        <v>598</v>
      </c>
      <c r="AG276" s="72">
        <v>611</v>
      </c>
      <c r="AH276" s="72">
        <v>621</v>
      </c>
      <c r="AI276" s="72">
        <v>614</v>
      </c>
      <c r="AJ276" s="73">
        <v>618</v>
      </c>
      <c r="AK276" s="71"/>
      <c r="AL276" s="72"/>
      <c r="AM276" s="72"/>
      <c r="AN276" s="72"/>
      <c r="AO276" s="72"/>
      <c r="AP276" s="73"/>
      <c r="AQ276" s="71">
        <v>1031.8</v>
      </c>
      <c r="AR276" s="72">
        <v>1012</v>
      </c>
      <c r="AS276" s="72">
        <v>1023</v>
      </c>
      <c r="AT276" s="72">
        <v>1056</v>
      </c>
      <c r="AU276" s="72">
        <v>1056</v>
      </c>
      <c r="AV276" s="73">
        <v>1012</v>
      </c>
      <c r="AW276" s="75">
        <v>0.3186061682894259</v>
      </c>
      <c r="AX276" s="76">
        <v>0.42401976496364568</v>
      </c>
      <c r="AY276" s="76">
        <v>-0.17332394952355168</v>
      </c>
      <c r="AZ276" s="76">
        <v>1.2673285383573152</v>
      </c>
      <c r="BA276" s="76">
        <v>0.42401976496364568</v>
      </c>
      <c r="BB276" s="77">
        <v>-0.34901327731389209</v>
      </c>
      <c r="BC276" s="65"/>
      <c r="BD276" s="78"/>
      <c r="BE276" s="78"/>
      <c r="BF276" s="78"/>
      <c r="BG276" s="78"/>
      <c r="BH276" s="70"/>
      <c r="BI276" s="65"/>
      <c r="BJ276" s="78"/>
      <c r="BK276" s="78"/>
      <c r="BL276" s="78"/>
      <c r="BM276" s="78"/>
      <c r="BN276" s="70"/>
      <c r="BO276" s="65"/>
      <c r="BP276" s="78"/>
      <c r="BQ276" s="78"/>
      <c r="BR276" s="78"/>
      <c r="BS276" s="78"/>
      <c r="BT276" s="70"/>
      <c r="BU276" s="65"/>
      <c r="BV276" s="78"/>
      <c r="BW276" s="78"/>
      <c r="BX276" s="78"/>
      <c r="BY276" s="78"/>
      <c r="BZ276" s="70"/>
      <c r="CA276" s="126"/>
      <c r="CB276" s="78"/>
      <c r="CC276" s="78"/>
      <c r="CD276" s="78"/>
      <c r="CE276" s="78"/>
      <c r="CF276" s="70"/>
    </row>
    <row r="277" spans="1:84" ht="12" customHeight="1">
      <c r="A277" s="1" t="s">
        <v>174</v>
      </c>
      <c r="B277" s="64">
        <v>265</v>
      </c>
      <c r="C277" s="65">
        <v>10</v>
      </c>
      <c r="D277" s="66" t="s">
        <v>15</v>
      </c>
      <c r="E277" s="69" t="s">
        <v>161</v>
      </c>
      <c r="F277" s="70">
        <v>4</v>
      </c>
      <c r="G277" s="71">
        <v>2332.7317073170734</v>
      </c>
      <c r="H277" s="72">
        <v>583.18292682926835</v>
      </c>
      <c r="I277" s="72">
        <v>583.18292682926835</v>
      </c>
      <c r="J277" s="72">
        <v>583.18292682926835</v>
      </c>
      <c r="K277" s="72">
        <v>583.18292682926835</v>
      </c>
      <c r="L277" s="73">
        <v>0</v>
      </c>
      <c r="M277" s="71">
        <v>4665.4634146341468</v>
      </c>
      <c r="N277" s="72">
        <v>1166.3658536585367</v>
      </c>
      <c r="O277" s="72">
        <v>1166.3658536585367</v>
      </c>
      <c r="P277" s="72">
        <v>1166.3658536585367</v>
      </c>
      <c r="Q277" s="72">
        <v>1166.3658536585367</v>
      </c>
      <c r="R277" s="73">
        <v>0</v>
      </c>
      <c r="S277" s="71">
        <v>585.79999999999995</v>
      </c>
      <c r="T277" s="72">
        <v>567</v>
      </c>
      <c r="U277" s="72">
        <v>600</v>
      </c>
      <c r="V277" s="72">
        <v>597</v>
      </c>
      <c r="W277" s="72">
        <v>598</v>
      </c>
      <c r="X277" s="73">
        <v>567</v>
      </c>
      <c r="Y277" s="71">
        <v>586.6</v>
      </c>
      <c r="Z277" s="72">
        <v>603</v>
      </c>
      <c r="AA277" s="72">
        <v>567</v>
      </c>
      <c r="AB277" s="72">
        <v>595</v>
      </c>
      <c r="AC277" s="72">
        <v>588</v>
      </c>
      <c r="AD277" s="73">
        <v>580</v>
      </c>
      <c r="AE277" s="71">
        <v>591.79999999999995</v>
      </c>
      <c r="AF277" s="72">
        <v>603</v>
      </c>
      <c r="AG277" s="72">
        <v>593</v>
      </c>
      <c r="AH277" s="72">
        <v>545</v>
      </c>
      <c r="AI277" s="72">
        <v>603</v>
      </c>
      <c r="AJ277" s="73">
        <v>615</v>
      </c>
      <c r="AK277" s="71">
        <v>584.79999999999995</v>
      </c>
      <c r="AL277" s="72">
        <v>547</v>
      </c>
      <c r="AM277" s="72">
        <v>579</v>
      </c>
      <c r="AN277" s="72">
        <v>615</v>
      </c>
      <c r="AO277" s="72">
        <v>582</v>
      </c>
      <c r="AP277" s="73">
        <v>601</v>
      </c>
      <c r="AQ277" s="71"/>
      <c r="AR277" s="72"/>
      <c r="AS277" s="72"/>
      <c r="AT277" s="72"/>
      <c r="AU277" s="72"/>
      <c r="AV277" s="73"/>
      <c r="AW277" s="75">
        <v>0.69739235900545538</v>
      </c>
      <c r="AX277" s="76">
        <v>-0.54578532443906314</v>
      </c>
      <c r="AY277" s="76">
        <v>0.26871039919700301</v>
      </c>
      <c r="AZ277" s="76">
        <v>0.8259969469479822</v>
      </c>
      <c r="BA277" s="76">
        <v>1.6404926705840372</v>
      </c>
      <c r="BB277" s="77">
        <v>1.2975471027372842</v>
      </c>
      <c r="BC277" s="65"/>
      <c r="BD277" s="78"/>
      <c r="BE277" s="78"/>
      <c r="BF277" s="78"/>
      <c r="BG277" s="78"/>
      <c r="BH277" s="70"/>
      <c r="BI277" s="65"/>
      <c r="BJ277" s="78"/>
      <c r="BK277" s="78"/>
      <c r="BL277" s="78"/>
      <c r="BM277" s="78"/>
      <c r="BN277" s="70"/>
      <c r="BO277" s="65"/>
      <c r="BP277" s="78"/>
      <c r="BQ277" s="78"/>
      <c r="BR277" s="78"/>
      <c r="BS277" s="78"/>
      <c r="BT277" s="70"/>
      <c r="BU277" s="65"/>
      <c r="BV277" s="78"/>
      <c r="BW277" s="78"/>
      <c r="BX277" s="78"/>
      <c r="BY277" s="78"/>
      <c r="BZ277" s="70"/>
      <c r="CA277" s="126"/>
      <c r="CB277" s="78"/>
      <c r="CC277" s="78"/>
      <c r="CD277" s="78"/>
      <c r="CE277" s="78"/>
      <c r="CF277" s="70"/>
    </row>
    <row r="278" spans="1:84" ht="12" customHeight="1">
      <c r="A278" s="1" t="s">
        <v>174</v>
      </c>
      <c r="B278" s="64">
        <v>266</v>
      </c>
      <c r="C278" s="65">
        <v>10</v>
      </c>
      <c r="D278" s="66" t="s">
        <v>15</v>
      </c>
      <c r="E278" s="69" t="s">
        <v>99</v>
      </c>
      <c r="F278" s="70">
        <v>3</v>
      </c>
      <c r="G278" s="71">
        <v>2274.4134146341466</v>
      </c>
      <c r="H278" s="72">
        <v>758.13780487804888</v>
      </c>
      <c r="I278" s="72">
        <v>758.13780487804888</v>
      </c>
      <c r="J278" s="72">
        <v>758.13780487804888</v>
      </c>
      <c r="K278" s="72">
        <v>0</v>
      </c>
      <c r="L278" s="73">
        <v>0</v>
      </c>
      <c r="M278" s="71">
        <v>4548.8268292682933</v>
      </c>
      <c r="N278" s="72">
        <v>1516.2756097560978</v>
      </c>
      <c r="O278" s="72">
        <v>1516.2756097560978</v>
      </c>
      <c r="P278" s="72">
        <v>1516.2756097560978</v>
      </c>
      <c r="Q278" s="72">
        <v>0</v>
      </c>
      <c r="R278" s="73">
        <v>0</v>
      </c>
      <c r="S278" s="71">
        <v>753.4</v>
      </c>
      <c r="T278" s="72">
        <v>776</v>
      </c>
      <c r="U278" s="72">
        <v>737</v>
      </c>
      <c r="V278" s="72">
        <v>737</v>
      </c>
      <c r="W278" s="72">
        <v>737</v>
      </c>
      <c r="X278" s="73">
        <v>780</v>
      </c>
      <c r="Y278" s="71">
        <v>753</v>
      </c>
      <c r="Z278" s="72">
        <v>705</v>
      </c>
      <c r="AA278" s="72">
        <v>754</v>
      </c>
      <c r="AB278" s="72">
        <v>744</v>
      </c>
      <c r="AC278" s="72">
        <v>763</v>
      </c>
      <c r="AD278" s="73">
        <v>799</v>
      </c>
      <c r="AE278" s="71">
        <v>738.6</v>
      </c>
      <c r="AF278" s="72">
        <v>704</v>
      </c>
      <c r="AG278" s="72">
        <v>781</v>
      </c>
      <c r="AH278" s="72">
        <v>708</v>
      </c>
      <c r="AI278" s="72">
        <v>770</v>
      </c>
      <c r="AJ278" s="73">
        <v>730</v>
      </c>
      <c r="AK278" s="71"/>
      <c r="AL278" s="72"/>
      <c r="AM278" s="72"/>
      <c r="AN278" s="72"/>
      <c r="AO278" s="72"/>
      <c r="AP278" s="73"/>
      <c r="AQ278" s="71"/>
      <c r="AR278" s="72"/>
      <c r="AS278" s="72"/>
      <c r="AT278" s="72"/>
      <c r="AU278" s="72"/>
      <c r="AV278" s="73"/>
      <c r="AW278" s="75">
        <v>-1.2932307928230302</v>
      </c>
      <c r="AX278" s="76">
        <v>-3.9312736224135114</v>
      </c>
      <c r="AY278" s="76">
        <v>-0.10611151950732367</v>
      </c>
      <c r="AZ278" s="76">
        <v>-3.7554041004408178</v>
      </c>
      <c r="BA278" s="76">
        <v>-0.194046280493676</v>
      </c>
      <c r="BB278" s="77">
        <v>1.5206815587401445</v>
      </c>
      <c r="BC278" s="65"/>
      <c r="BD278" s="78"/>
      <c r="BE278" s="78"/>
      <c r="BF278" s="78"/>
      <c r="BG278" s="78"/>
      <c r="BH278" s="70"/>
      <c r="BI278" s="65"/>
      <c r="BJ278" s="78"/>
      <c r="BK278" s="78"/>
      <c r="BL278" s="78"/>
      <c r="BM278" s="78"/>
      <c r="BN278" s="70"/>
      <c r="BO278" s="65"/>
      <c r="BP278" s="78"/>
      <c r="BQ278" s="78"/>
      <c r="BR278" s="78"/>
      <c r="BS278" s="78"/>
      <c r="BT278" s="70"/>
      <c r="BU278" s="65"/>
      <c r="BV278" s="78"/>
      <c r="BW278" s="78"/>
      <c r="BX278" s="78"/>
      <c r="BY278" s="78"/>
      <c r="BZ278" s="70"/>
      <c r="CA278" s="126"/>
      <c r="CB278" s="78"/>
      <c r="CC278" s="78"/>
      <c r="CD278" s="78"/>
      <c r="CE278" s="78"/>
      <c r="CF278" s="70"/>
    </row>
    <row r="279" spans="1:84" ht="12" customHeight="1">
      <c r="A279" s="1" t="s">
        <v>174</v>
      </c>
      <c r="B279" s="64">
        <v>267</v>
      </c>
      <c r="C279" s="65">
        <v>10</v>
      </c>
      <c r="D279" s="66" t="s">
        <v>15</v>
      </c>
      <c r="E279" s="69" t="s">
        <v>103</v>
      </c>
      <c r="F279" s="70">
        <v>3</v>
      </c>
      <c r="G279" s="71">
        <v>2775.9507317073176</v>
      </c>
      <c r="H279" s="72">
        <v>583.18292682926835</v>
      </c>
      <c r="I279" s="72">
        <v>583.18292682926835</v>
      </c>
      <c r="J279" s="72">
        <v>583.18292682926835</v>
      </c>
      <c r="K279" s="72">
        <v>0</v>
      </c>
      <c r="L279" s="73">
        <v>1026.4019512195125</v>
      </c>
      <c r="M279" s="71">
        <v>5551.9014634146351</v>
      </c>
      <c r="N279" s="72">
        <v>1166.3658536585367</v>
      </c>
      <c r="O279" s="72">
        <v>1166.3658536585367</v>
      </c>
      <c r="P279" s="72">
        <v>1166.3658536585367</v>
      </c>
      <c r="Q279" s="72">
        <v>0</v>
      </c>
      <c r="R279" s="73">
        <v>2052.803902439025</v>
      </c>
      <c r="S279" s="71">
        <v>592.79999999999995</v>
      </c>
      <c r="T279" s="72">
        <v>596</v>
      </c>
      <c r="U279" s="72">
        <v>562</v>
      </c>
      <c r="V279" s="72">
        <v>590</v>
      </c>
      <c r="W279" s="72">
        <v>615</v>
      </c>
      <c r="X279" s="73">
        <v>601</v>
      </c>
      <c r="Y279" s="71">
        <v>565.6</v>
      </c>
      <c r="Z279" s="72">
        <v>585</v>
      </c>
      <c r="AA279" s="72">
        <v>558</v>
      </c>
      <c r="AB279" s="72">
        <v>571</v>
      </c>
      <c r="AC279" s="72">
        <v>562</v>
      </c>
      <c r="AD279" s="73">
        <v>552</v>
      </c>
      <c r="AE279" s="71">
        <v>584.4</v>
      </c>
      <c r="AF279" s="72">
        <v>596</v>
      </c>
      <c r="AG279" s="72">
        <v>572</v>
      </c>
      <c r="AH279" s="72">
        <v>604</v>
      </c>
      <c r="AI279" s="72">
        <v>570</v>
      </c>
      <c r="AJ279" s="73">
        <v>580</v>
      </c>
      <c r="AK279" s="71"/>
      <c r="AL279" s="72"/>
      <c r="AM279" s="72"/>
      <c r="AN279" s="72"/>
      <c r="AO279" s="72"/>
      <c r="AP279" s="73"/>
      <c r="AQ279" s="71">
        <v>1038.4000000000001</v>
      </c>
      <c r="AR279" s="72">
        <v>1067</v>
      </c>
      <c r="AS279" s="72">
        <v>1012</v>
      </c>
      <c r="AT279" s="72">
        <v>1023</v>
      </c>
      <c r="AU279" s="72">
        <v>1045</v>
      </c>
      <c r="AV279" s="73">
        <v>1045</v>
      </c>
      <c r="AW279" s="75">
        <v>0.18909803523257107</v>
      </c>
      <c r="AX279" s="76">
        <v>2.4513860248099428</v>
      </c>
      <c r="AY279" s="76">
        <v>-2.5919311494071451</v>
      </c>
      <c r="AZ279" s="76">
        <v>0.43405915512311211</v>
      </c>
      <c r="BA279" s="76">
        <v>0.57815393152931271</v>
      </c>
      <c r="BB279" s="77">
        <v>7.382221410758838E-2</v>
      </c>
      <c r="BC279" s="65"/>
      <c r="BD279" s="78"/>
      <c r="BE279" s="78"/>
      <c r="BF279" s="78"/>
      <c r="BG279" s="78"/>
      <c r="BH279" s="70"/>
      <c r="BI279" s="65"/>
      <c r="BJ279" s="78"/>
      <c r="BK279" s="78"/>
      <c r="BL279" s="78"/>
      <c r="BM279" s="78"/>
      <c r="BN279" s="70"/>
      <c r="BO279" s="65"/>
      <c r="BP279" s="78"/>
      <c r="BQ279" s="78"/>
      <c r="BR279" s="78"/>
      <c r="BS279" s="78"/>
      <c r="BT279" s="70"/>
      <c r="BU279" s="65"/>
      <c r="BV279" s="78"/>
      <c r="BW279" s="78"/>
      <c r="BX279" s="78"/>
      <c r="BY279" s="78"/>
      <c r="BZ279" s="70"/>
      <c r="CA279" s="126"/>
      <c r="CB279" s="78"/>
      <c r="CC279" s="78"/>
      <c r="CD279" s="78"/>
      <c r="CE279" s="78"/>
      <c r="CF279" s="70"/>
    </row>
    <row r="280" spans="1:84" ht="12" customHeight="1">
      <c r="A280" s="1" t="s">
        <v>174</v>
      </c>
      <c r="B280" s="64">
        <v>268</v>
      </c>
      <c r="C280" s="65">
        <v>10</v>
      </c>
      <c r="D280" s="66" t="s">
        <v>15</v>
      </c>
      <c r="E280" s="69" t="s">
        <v>171</v>
      </c>
      <c r="F280" s="70">
        <v>4</v>
      </c>
      <c r="G280" s="71">
        <v>3545.7521951219514</v>
      </c>
      <c r="H280" s="72">
        <v>583.18292682926835</v>
      </c>
      <c r="I280" s="72">
        <v>583.18292682926835</v>
      </c>
      <c r="J280" s="72">
        <v>583.18292682926835</v>
      </c>
      <c r="K280" s="72">
        <v>583.18292682926835</v>
      </c>
      <c r="L280" s="73">
        <v>1213.0204878048783</v>
      </c>
      <c r="M280" s="71">
        <v>7091.5043902439029</v>
      </c>
      <c r="N280" s="72">
        <v>1166.3658536585367</v>
      </c>
      <c r="O280" s="72">
        <v>1166.3658536585367</v>
      </c>
      <c r="P280" s="72">
        <v>1166.3658536585367</v>
      </c>
      <c r="Q280" s="72">
        <v>1166.3658536585367</v>
      </c>
      <c r="R280" s="73">
        <v>2426.0409756097565</v>
      </c>
      <c r="S280" s="71">
        <v>585.79999999999995</v>
      </c>
      <c r="T280" s="72">
        <v>567</v>
      </c>
      <c r="U280" s="72">
        <v>600</v>
      </c>
      <c r="V280" s="72">
        <v>597</v>
      </c>
      <c r="W280" s="72">
        <v>598</v>
      </c>
      <c r="X280" s="73">
        <v>567</v>
      </c>
      <c r="Y280" s="71">
        <v>586.6</v>
      </c>
      <c r="Z280" s="72">
        <v>603</v>
      </c>
      <c r="AA280" s="72">
        <v>567</v>
      </c>
      <c r="AB280" s="72">
        <v>595</v>
      </c>
      <c r="AC280" s="72">
        <v>588</v>
      </c>
      <c r="AD280" s="73">
        <v>580</v>
      </c>
      <c r="AE280" s="71">
        <v>591.79999999999995</v>
      </c>
      <c r="AF280" s="72">
        <v>603</v>
      </c>
      <c r="AG280" s="72">
        <v>593</v>
      </c>
      <c r="AH280" s="72">
        <v>545</v>
      </c>
      <c r="AI280" s="72">
        <v>603</v>
      </c>
      <c r="AJ280" s="73">
        <v>615</v>
      </c>
      <c r="AK280" s="71">
        <v>584.79999999999995</v>
      </c>
      <c r="AL280" s="72">
        <v>547</v>
      </c>
      <c r="AM280" s="72">
        <v>579</v>
      </c>
      <c r="AN280" s="72">
        <v>615</v>
      </c>
      <c r="AO280" s="72">
        <v>582</v>
      </c>
      <c r="AP280" s="73">
        <v>601</v>
      </c>
      <c r="AQ280" s="71">
        <v>1227.2</v>
      </c>
      <c r="AR280" s="72">
        <v>1235</v>
      </c>
      <c r="AS280" s="72">
        <v>1248</v>
      </c>
      <c r="AT280" s="72">
        <v>1183</v>
      </c>
      <c r="AU280" s="72">
        <v>1261</v>
      </c>
      <c r="AV280" s="73">
        <v>1209</v>
      </c>
      <c r="AW280" s="75">
        <v>0.85871214914388094</v>
      </c>
      <c r="AX280" s="76">
        <v>0.26081362625316462</v>
      </c>
      <c r="AY280" s="76">
        <v>1.1633019626920094</v>
      </c>
      <c r="AZ280" s="76">
        <v>-0.30324158402111889</v>
      </c>
      <c r="BA280" s="76">
        <v>2.4324261858091445</v>
      </c>
      <c r="BB280" s="77">
        <v>0.74026055498630505</v>
      </c>
      <c r="BC280" s="65"/>
      <c r="BD280" s="78"/>
      <c r="BE280" s="78"/>
      <c r="BF280" s="78"/>
      <c r="BG280" s="78"/>
      <c r="BH280" s="70"/>
      <c r="BI280" s="65"/>
      <c r="BJ280" s="78"/>
      <c r="BK280" s="78"/>
      <c r="BL280" s="78"/>
      <c r="BM280" s="78"/>
      <c r="BN280" s="70"/>
      <c r="BO280" s="65"/>
      <c r="BP280" s="78"/>
      <c r="BQ280" s="78"/>
      <c r="BR280" s="78"/>
      <c r="BS280" s="78"/>
      <c r="BT280" s="70"/>
      <c r="BU280" s="65"/>
      <c r="BV280" s="78"/>
      <c r="BW280" s="78"/>
      <c r="BX280" s="78"/>
      <c r="BY280" s="78"/>
      <c r="BZ280" s="70"/>
      <c r="CA280" s="126"/>
      <c r="CB280" s="78"/>
      <c r="CC280" s="78"/>
      <c r="CD280" s="78"/>
      <c r="CE280" s="78"/>
      <c r="CF280" s="70"/>
    </row>
    <row r="281" spans="1:84" ht="12" customHeight="1">
      <c r="A281" s="1" t="s">
        <v>174</v>
      </c>
      <c r="B281" s="64">
        <v>269</v>
      </c>
      <c r="C281" s="65">
        <v>10</v>
      </c>
      <c r="D281" s="66" t="s">
        <v>15</v>
      </c>
      <c r="E281" s="69" t="s">
        <v>108</v>
      </c>
      <c r="F281" s="70">
        <v>3</v>
      </c>
      <c r="G281" s="71">
        <v>3300.8153658536594</v>
      </c>
      <c r="H281" s="72">
        <v>758.13780487804888</v>
      </c>
      <c r="I281" s="72">
        <v>758.13780487804888</v>
      </c>
      <c r="J281" s="72">
        <v>758.13780487804888</v>
      </c>
      <c r="K281" s="72">
        <v>0</v>
      </c>
      <c r="L281" s="73">
        <v>1026.4019512195125</v>
      </c>
      <c r="M281" s="71">
        <v>6601.6307317073188</v>
      </c>
      <c r="N281" s="72">
        <v>1516.2756097560978</v>
      </c>
      <c r="O281" s="72">
        <v>1516.2756097560978</v>
      </c>
      <c r="P281" s="72">
        <v>1516.2756097560978</v>
      </c>
      <c r="Q281" s="72">
        <v>0</v>
      </c>
      <c r="R281" s="73">
        <v>2052.803902439025</v>
      </c>
      <c r="S281" s="71">
        <v>753.4</v>
      </c>
      <c r="T281" s="72">
        <v>776</v>
      </c>
      <c r="U281" s="72">
        <v>737</v>
      </c>
      <c r="V281" s="72">
        <v>737</v>
      </c>
      <c r="W281" s="72">
        <v>737</v>
      </c>
      <c r="X281" s="73">
        <v>780</v>
      </c>
      <c r="Y281" s="71">
        <v>753</v>
      </c>
      <c r="Z281" s="72">
        <v>705</v>
      </c>
      <c r="AA281" s="72">
        <v>754</v>
      </c>
      <c r="AB281" s="72">
        <v>744</v>
      </c>
      <c r="AC281" s="72">
        <v>763</v>
      </c>
      <c r="AD281" s="73">
        <v>799</v>
      </c>
      <c r="AE281" s="71">
        <v>738.6</v>
      </c>
      <c r="AF281" s="72">
        <v>704</v>
      </c>
      <c r="AG281" s="72">
        <v>781</v>
      </c>
      <c r="AH281" s="72">
        <v>708</v>
      </c>
      <c r="AI281" s="72">
        <v>770</v>
      </c>
      <c r="AJ281" s="73">
        <v>730</v>
      </c>
      <c r="AK281" s="71"/>
      <c r="AL281" s="72"/>
      <c r="AM281" s="72"/>
      <c r="AN281" s="72"/>
      <c r="AO281" s="72"/>
      <c r="AP281" s="73"/>
      <c r="AQ281" s="71">
        <v>1016.4</v>
      </c>
      <c r="AR281" s="72">
        <v>990</v>
      </c>
      <c r="AS281" s="72">
        <v>1001</v>
      </c>
      <c r="AT281" s="72">
        <v>1023</v>
      </c>
      <c r="AU281" s="72">
        <v>1012</v>
      </c>
      <c r="AV281" s="73">
        <v>1056</v>
      </c>
      <c r="AW281" s="75">
        <v>-1.1941099845027447</v>
      </c>
      <c r="AX281" s="76">
        <v>-3.8116450606476393</v>
      </c>
      <c r="AY281" s="76">
        <v>-0.84268166409440237</v>
      </c>
      <c r="AZ281" s="76">
        <v>-2.690709900724475</v>
      </c>
      <c r="BA281" s="76">
        <v>-0.57002176032930896</v>
      </c>
      <c r="BB281" s="77">
        <v>1.944508463282113</v>
      </c>
      <c r="BC281" s="65"/>
      <c r="BD281" s="78"/>
      <c r="BE281" s="78"/>
      <c r="BF281" s="78"/>
      <c r="BG281" s="78"/>
      <c r="BH281" s="70"/>
      <c r="BI281" s="65"/>
      <c r="BJ281" s="78"/>
      <c r="BK281" s="78"/>
      <c r="BL281" s="78"/>
      <c r="BM281" s="78"/>
      <c r="BN281" s="70"/>
      <c r="BO281" s="65"/>
      <c r="BP281" s="78"/>
      <c r="BQ281" s="78"/>
      <c r="BR281" s="78"/>
      <c r="BS281" s="78"/>
      <c r="BT281" s="70"/>
      <c r="BU281" s="65"/>
      <c r="BV281" s="78"/>
      <c r="BW281" s="78"/>
      <c r="BX281" s="78"/>
      <c r="BY281" s="78"/>
      <c r="BZ281" s="70"/>
      <c r="CA281" s="126"/>
      <c r="CB281" s="78"/>
      <c r="CC281" s="78"/>
      <c r="CD281" s="78"/>
      <c r="CE281" s="78"/>
      <c r="CF281" s="70"/>
    </row>
    <row r="282" spans="1:84" ht="12" customHeight="1">
      <c r="A282" s="1" t="s">
        <v>174</v>
      </c>
      <c r="B282" s="64">
        <v>270</v>
      </c>
      <c r="C282" s="65">
        <v>10</v>
      </c>
      <c r="D282" s="66" t="s">
        <v>15</v>
      </c>
      <c r="E282" s="69" t="s">
        <v>146</v>
      </c>
      <c r="F282" s="70">
        <v>4</v>
      </c>
      <c r="G282" s="71">
        <v>1866.1853658536588</v>
      </c>
      <c r="H282" s="72">
        <v>466.54634146341471</v>
      </c>
      <c r="I282" s="72">
        <v>466.54634146341471</v>
      </c>
      <c r="J282" s="72">
        <v>466.54634146341471</v>
      </c>
      <c r="K282" s="72">
        <v>466.54634146341471</v>
      </c>
      <c r="L282" s="73">
        <v>0</v>
      </c>
      <c r="M282" s="71">
        <v>3732.3707317073176</v>
      </c>
      <c r="N282" s="72">
        <v>933.09268292682941</v>
      </c>
      <c r="O282" s="72">
        <v>933.09268292682941</v>
      </c>
      <c r="P282" s="72">
        <v>933.09268292682941</v>
      </c>
      <c r="Q282" s="72">
        <v>933.09268292682941</v>
      </c>
      <c r="R282" s="73">
        <v>0</v>
      </c>
      <c r="S282" s="71">
        <v>460.2</v>
      </c>
      <c r="T282" s="72">
        <v>439</v>
      </c>
      <c r="U282" s="72">
        <v>442</v>
      </c>
      <c r="V282" s="72">
        <v>465</v>
      </c>
      <c r="W282" s="72">
        <v>478</v>
      </c>
      <c r="X282" s="73">
        <v>477</v>
      </c>
      <c r="Y282" s="71">
        <v>472.6</v>
      </c>
      <c r="Z282" s="72">
        <v>456</v>
      </c>
      <c r="AA282" s="72">
        <v>456</v>
      </c>
      <c r="AB282" s="72">
        <v>486</v>
      </c>
      <c r="AC282" s="72">
        <v>477</v>
      </c>
      <c r="AD282" s="73">
        <v>488</v>
      </c>
      <c r="AE282" s="71">
        <v>464.8</v>
      </c>
      <c r="AF282" s="72">
        <v>489</v>
      </c>
      <c r="AG282" s="72">
        <v>434</v>
      </c>
      <c r="AH282" s="72">
        <v>465</v>
      </c>
      <c r="AI282" s="72">
        <v>463</v>
      </c>
      <c r="AJ282" s="73">
        <v>473</v>
      </c>
      <c r="AK282" s="71">
        <v>470.8</v>
      </c>
      <c r="AL282" s="72">
        <v>474</v>
      </c>
      <c r="AM282" s="72">
        <v>474</v>
      </c>
      <c r="AN282" s="72">
        <v>478</v>
      </c>
      <c r="AO282" s="72">
        <v>472</v>
      </c>
      <c r="AP282" s="73">
        <v>456</v>
      </c>
      <c r="AQ282" s="71"/>
      <c r="AR282" s="72"/>
      <c r="AS282" s="72"/>
      <c r="AT282" s="72"/>
      <c r="AU282" s="72"/>
      <c r="AV282" s="73"/>
      <c r="AW282" s="75">
        <v>0.11867171326402914</v>
      </c>
      <c r="AX282" s="76">
        <v>-0.43861483448696115</v>
      </c>
      <c r="AY282" s="76">
        <v>-3.2250475732419015</v>
      </c>
      <c r="AZ282" s="76">
        <v>1.4904539846510856</v>
      </c>
      <c r="BA282" s="76">
        <v>1.2761130047468594</v>
      </c>
      <c r="BB282" s="77">
        <v>1.4904539846510856</v>
      </c>
      <c r="BC282" s="65"/>
      <c r="BD282" s="78"/>
      <c r="BE282" s="78"/>
      <c r="BF282" s="78"/>
      <c r="BG282" s="78"/>
      <c r="BH282" s="70"/>
      <c r="BI282" s="65"/>
      <c r="BJ282" s="78"/>
      <c r="BK282" s="78"/>
      <c r="BL282" s="78"/>
      <c r="BM282" s="78"/>
      <c r="BN282" s="70"/>
      <c r="BO282" s="65"/>
      <c r="BP282" s="78"/>
      <c r="BQ282" s="78"/>
      <c r="BR282" s="78"/>
      <c r="BS282" s="78"/>
      <c r="BT282" s="70"/>
      <c r="BU282" s="65"/>
      <c r="BV282" s="78"/>
      <c r="BW282" s="78"/>
      <c r="BX282" s="78"/>
      <c r="BY282" s="78"/>
      <c r="BZ282" s="70"/>
      <c r="CA282" s="126"/>
      <c r="CB282" s="78"/>
      <c r="CC282" s="78"/>
      <c r="CD282" s="78"/>
      <c r="CE282" s="78"/>
      <c r="CF282" s="70"/>
    </row>
    <row r="283" spans="1:84" ht="12" customHeight="1">
      <c r="A283" s="2"/>
      <c r="B283" s="64">
        <v>271</v>
      </c>
      <c r="C283" s="65">
        <v>10</v>
      </c>
      <c r="D283" s="66" t="s">
        <v>15</v>
      </c>
      <c r="E283" s="69" t="s">
        <v>111</v>
      </c>
      <c r="F283" s="70">
        <v>4</v>
      </c>
      <c r="G283" s="71">
        <v>2286.0770731707321</v>
      </c>
      <c r="H283" s="72">
        <v>606.51024390243913</v>
      </c>
      <c r="I283" s="72">
        <v>606.51024390243913</v>
      </c>
      <c r="J283" s="72">
        <v>606.51024390243913</v>
      </c>
      <c r="K283" s="72">
        <v>466.54634146341471</v>
      </c>
      <c r="L283" s="73">
        <v>0</v>
      </c>
      <c r="M283" s="71">
        <v>4572.1541463414642</v>
      </c>
      <c r="N283" s="72">
        <v>1213.0204878048783</v>
      </c>
      <c r="O283" s="72">
        <v>1213.0204878048783</v>
      </c>
      <c r="P283" s="72">
        <v>1213.0204878048783</v>
      </c>
      <c r="Q283" s="72">
        <v>933.09268292682941</v>
      </c>
      <c r="R283" s="73">
        <v>0</v>
      </c>
      <c r="S283" s="71">
        <v>602.6</v>
      </c>
      <c r="T283" s="72">
        <v>601</v>
      </c>
      <c r="U283" s="72">
        <v>577</v>
      </c>
      <c r="V283" s="72">
        <v>640</v>
      </c>
      <c r="W283" s="72">
        <v>616</v>
      </c>
      <c r="X283" s="73">
        <v>579</v>
      </c>
      <c r="Y283" s="71">
        <v>618.4</v>
      </c>
      <c r="Z283" s="72">
        <v>609</v>
      </c>
      <c r="AA283" s="72">
        <v>642</v>
      </c>
      <c r="AB283" s="72">
        <v>592</v>
      </c>
      <c r="AC283" s="72">
        <v>635</v>
      </c>
      <c r="AD283" s="73">
        <v>614</v>
      </c>
      <c r="AE283" s="71">
        <v>610.4</v>
      </c>
      <c r="AF283" s="72">
        <v>605</v>
      </c>
      <c r="AG283" s="72">
        <v>590</v>
      </c>
      <c r="AH283" s="72">
        <v>637</v>
      </c>
      <c r="AI283" s="72">
        <v>634</v>
      </c>
      <c r="AJ283" s="73">
        <v>586</v>
      </c>
      <c r="AK283" s="71">
        <v>459.4</v>
      </c>
      <c r="AL283" s="72">
        <v>468</v>
      </c>
      <c r="AM283" s="72">
        <v>469</v>
      </c>
      <c r="AN283" s="72">
        <v>437</v>
      </c>
      <c r="AO283" s="72">
        <v>461</v>
      </c>
      <c r="AP283" s="73">
        <v>462</v>
      </c>
      <c r="AQ283" s="71"/>
      <c r="AR283" s="72"/>
      <c r="AS283" s="72"/>
      <c r="AT283" s="72"/>
      <c r="AU283" s="72"/>
      <c r="AV283" s="73"/>
      <c r="AW283" s="75">
        <v>0.2065952580818875</v>
      </c>
      <c r="AX283" s="76">
        <v>-0.13460058747993831</v>
      </c>
      <c r="AY283" s="76">
        <v>-0.3533158730965047</v>
      </c>
      <c r="AZ283" s="76">
        <v>0.87148972635622268</v>
      </c>
      <c r="BA283" s="76">
        <v>2.6212120112886872</v>
      </c>
      <c r="BB283" s="77">
        <v>-1.9718089866590294</v>
      </c>
      <c r="BC283" s="65"/>
      <c r="BD283" s="78"/>
      <c r="BE283" s="78"/>
      <c r="BF283" s="78"/>
      <c r="BG283" s="78"/>
      <c r="BH283" s="70"/>
      <c r="BI283" s="65"/>
      <c r="BJ283" s="78"/>
      <c r="BK283" s="78"/>
      <c r="BL283" s="78"/>
      <c r="BM283" s="78"/>
      <c r="BN283" s="70"/>
      <c r="BO283" s="65"/>
      <c r="BP283" s="78"/>
      <c r="BQ283" s="78"/>
      <c r="BR283" s="78"/>
      <c r="BS283" s="78"/>
      <c r="BT283" s="70"/>
      <c r="BU283" s="65"/>
      <c r="BV283" s="78"/>
      <c r="BW283" s="78"/>
      <c r="BX283" s="78"/>
      <c r="BY283" s="78"/>
      <c r="BZ283" s="70"/>
      <c r="CA283" s="126"/>
      <c r="CB283" s="78"/>
      <c r="CC283" s="78"/>
      <c r="CD283" s="78"/>
      <c r="CE283" s="78"/>
      <c r="CF283" s="70"/>
    </row>
    <row r="284" spans="1:84" ht="12" customHeight="1">
      <c r="A284" s="2"/>
      <c r="B284" s="64">
        <v>272</v>
      </c>
      <c r="C284" s="65">
        <v>10</v>
      </c>
      <c r="D284" s="66" t="s">
        <v>15</v>
      </c>
      <c r="E284" s="69" t="s">
        <v>134</v>
      </c>
      <c r="F284" s="70">
        <v>4</v>
      </c>
      <c r="G284" s="71">
        <v>3265.8243902439031</v>
      </c>
      <c r="H284" s="72">
        <v>466.54634146341471</v>
      </c>
      <c r="I284" s="72">
        <v>466.54634146341471</v>
      </c>
      <c r="J284" s="72">
        <v>466.54634146341471</v>
      </c>
      <c r="K284" s="72">
        <v>466.54634146341471</v>
      </c>
      <c r="L284" s="73">
        <v>1399.6390243902442</v>
      </c>
      <c r="M284" s="71">
        <v>6531.6487804878061</v>
      </c>
      <c r="N284" s="72">
        <v>933.09268292682941</v>
      </c>
      <c r="O284" s="72">
        <v>933.09268292682941</v>
      </c>
      <c r="P284" s="72">
        <v>933.09268292682941</v>
      </c>
      <c r="Q284" s="72">
        <v>933.09268292682941</v>
      </c>
      <c r="R284" s="73">
        <v>2799.2780487804885</v>
      </c>
      <c r="S284" s="71">
        <v>470</v>
      </c>
      <c r="T284" s="72">
        <v>445</v>
      </c>
      <c r="U284" s="72">
        <v>490</v>
      </c>
      <c r="V284" s="72">
        <v>479</v>
      </c>
      <c r="W284" s="72">
        <v>474</v>
      </c>
      <c r="X284" s="73">
        <v>462</v>
      </c>
      <c r="Y284" s="71">
        <v>471.8</v>
      </c>
      <c r="Z284" s="72">
        <v>489</v>
      </c>
      <c r="AA284" s="72">
        <v>473</v>
      </c>
      <c r="AB284" s="72">
        <v>458</v>
      </c>
      <c r="AC284" s="72">
        <v>497</v>
      </c>
      <c r="AD284" s="73">
        <v>442</v>
      </c>
      <c r="AE284" s="71">
        <v>474</v>
      </c>
      <c r="AF284" s="72">
        <v>466</v>
      </c>
      <c r="AG284" s="72">
        <v>449</v>
      </c>
      <c r="AH284" s="72">
        <v>479</v>
      </c>
      <c r="AI284" s="72">
        <v>484</v>
      </c>
      <c r="AJ284" s="73">
        <v>492</v>
      </c>
      <c r="AK284" s="71">
        <v>474.2</v>
      </c>
      <c r="AL284" s="72">
        <v>466</v>
      </c>
      <c r="AM284" s="72">
        <v>476</v>
      </c>
      <c r="AN284" s="72">
        <v>466</v>
      </c>
      <c r="AO284" s="72">
        <v>482</v>
      </c>
      <c r="AP284" s="73">
        <v>481</v>
      </c>
      <c r="AQ284" s="71">
        <v>1407</v>
      </c>
      <c r="AR284" s="72">
        <v>1425</v>
      </c>
      <c r="AS284" s="72">
        <v>1380</v>
      </c>
      <c r="AT284" s="72">
        <v>1410</v>
      </c>
      <c r="AU284" s="72">
        <v>1395</v>
      </c>
      <c r="AV284" s="73">
        <v>1425</v>
      </c>
      <c r="AW284" s="75">
        <v>0.95460153489050903</v>
      </c>
      <c r="AX284" s="76">
        <v>0.7708806949725977</v>
      </c>
      <c r="AY284" s="76">
        <v>6.6617475287289452E-2</v>
      </c>
      <c r="AZ284" s="76">
        <v>0.80150083495891256</v>
      </c>
      <c r="BA284" s="76">
        <v>2.0263064344116399</v>
      </c>
      <c r="BB284" s="77">
        <v>1.1077022348221055</v>
      </c>
      <c r="BC284" s="65"/>
      <c r="BD284" s="78"/>
      <c r="BE284" s="78"/>
      <c r="BF284" s="78"/>
      <c r="BG284" s="78"/>
      <c r="BH284" s="70"/>
      <c r="BI284" s="65"/>
      <c r="BJ284" s="78"/>
      <c r="BK284" s="78"/>
      <c r="BL284" s="78"/>
      <c r="BM284" s="78"/>
      <c r="BN284" s="70"/>
      <c r="BO284" s="65"/>
      <c r="BP284" s="78"/>
      <c r="BQ284" s="78"/>
      <c r="BR284" s="78"/>
      <c r="BS284" s="78"/>
      <c r="BT284" s="70"/>
      <c r="BU284" s="65"/>
      <c r="BV284" s="78"/>
      <c r="BW284" s="78"/>
      <c r="BX284" s="78"/>
      <c r="BY284" s="78"/>
      <c r="BZ284" s="70"/>
      <c r="CA284" s="126"/>
      <c r="CB284" s="78"/>
      <c r="CC284" s="78"/>
      <c r="CD284" s="78"/>
      <c r="CE284" s="78"/>
      <c r="CF284" s="70"/>
    </row>
    <row r="285" spans="1:84" ht="12" customHeight="1">
      <c r="A285" s="1" t="s">
        <v>174</v>
      </c>
      <c r="B285" s="64">
        <v>273</v>
      </c>
      <c r="C285" s="65">
        <v>10</v>
      </c>
      <c r="D285" s="66" t="s">
        <v>15</v>
      </c>
      <c r="E285" s="69" t="s">
        <v>147</v>
      </c>
      <c r="F285" s="70">
        <v>4</v>
      </c>
      <c r="G285" s="71">
        <v>3265.8243902439031</v>
      </c>
      <c r="H285" s="72">
        <v>466.54634146341471</v>
      </c>
      <c r="I285" s="72">
        <v>466.54634146341471</v>
      </c>
      <c r="J285" s="72">
        <v>466.54634146341471</v>
      </c>
      <c r="K285" s="72">
        <v>466.54634146341471</v>
      </c>
      <c r="L285" s="73">
        <v>1399.6390243902442</v>
      </c>
      <c r="M285" s="71">
        <v>6531.6487804878061</v>
      </c>
      <c r="N285" s="72">
        <v>933.09268292682941</v>
      </c>
      <c r="O285" s="72">
        <v>933.09268292682941</v>
      </c>
      <c r="P285" s="72">
        <v>933.09268292682941</v>
      </c>
      <c r="Q285" s="72">
        <v>933.09268292682941</v>
      </c>
      <c r="R285" s="73">
        <v>2799.2780487804885</v>
      </c>
      <c r="S285" s="71">
        <v>460.2</v>
      </c>
      <c r="T285" s="72">
        <v>439</v>
      </c>
      <c r="U285" s="72">
        <v>442</v>
      </c>
      <c r="V285" s="72">
        <v>465</v>
      </c>
      <c r="W285" s="72">
        <v>478</v>
      </c>
      <c r="X285" s="73">
        <v>477</v>
      </c>
      <c r="Y285" s="71">
        <v>472.6</v>
      </c>
      <c r="Z285" s="72">
        <v>456</v>
      </c>
      <c r="AA285" s="72">
        <v>456</v>
      </c>
      <c r="AB285" s="72">
        <v>486</v>
      </c>
      <c r="AC285" s="72">
        <v>477</v>
      </c>
      <c r="AD285" s="73">
        <v>488</v>
      </c>
      <c r="AE285" s="71">
        <v>464.8</v>
      </c>
      <c r="AF285" s="72">
        <v>489</v>
      </c>
      <c r="AG285" s="72">
        <v>434</v>
      </c>
      <c r="AH285" s="72">
        <v>465</v>
      </c>
      <c r="AI285" s="72">
        <v>463</v>
      </c>
      <c r="AJ285" s="73">
        <v>473</v>
      </c>
      <c r="AK285" s="71">
        <v>470.8</v>
      </c>
      <c r="AL285" s="72">
        <v>474</v>
      </c>
      <c r="AM285" s="72">
        <v>474</v>
      </c>
      <c r="AN285" s="72">
        <v>478</v>
      </c>
      <c r="AO285" s="72">
        <v>472</v>
      </c>
      <c r="AP285" s="73">
        <v>456</v>
      </c>
      <c r="AQ285" s="71">
        <v>1380</v>
      </c>
      <c r="AR285" s="72">
        <v>1320</v>
      </c>
      <c r="AS285" s="72">
        <v>1350</v>
      </c>
      <c r="AT285" s="72">
        <v>1365</v>
      </c>
      <c r="AU285" s="72">
        <v>1395</v>
      </c>
      <c r="AV285" s="73">
        <v>1470</v>
      </c>
      <c r="AW285" s="75">
        <v>-0.53353726844456162</v>
      </c>
      <c r="AX285" s="76">
        <v>-2.689195123481336</v>
      </c>
      <c r="AY285" s="76">
        <v>-3.3628382031803294</v>
      </c>
      <c r="AZ285" s="76">
        <v>-0.20896378458957754</v>
      </c>
      <c r="BA285" s="76">
        <v>0.58715985505468637</v>
      </c>
      <c r="BB285" s="77">
        <v>3.0061509139738263</v>
      </c>
      <c r="BC285" s="65"/>
      <c r="BD285" s="78"/>
      <c r="BE285" s="78"/>
      <c r="BF285" s="78"/>
      <c r="BG285" s="78"/>
      <c r="BH285" s="70"/>
      <c r="BI285" s="65"/>
      <c r="BJ285" s="78"/>
      <c r="BK285" s="78"/>
      <c r="BL285" s="78"/>
      <c r="BM285" s="78"/>
      <c r="BN285" s="70"/>
      <c r="BO285" s="65"/>
      <c r="BP285" s="78"/>
      <c r="BQ285" s="78"/>
      <c r="BR285" s="78"/>
      <c r="BS285" s="78"/>
      <c r="BT285" s="70"/>
      <c r="BU285" s="65"/>
      <c r="BV285" s="78"/>
      <c r="BW285" s="78"/>
      <c r="BX285" s="78"/>
      <c r="BY285" s="78"/>
      <c r="BZ285" s="70"/>
      <c r="CA285" s="126"/>
      <c r="CB285" s="78"/>
      <c r="CC285" s="78"/>
      <c r="CD285" s="78"/>
      <c r="CE285" s="78"/>
      <c r="CF285" s="70"/>
    </row>
    <row r="286" spans="1:84" ht="12" customHeight="1">
      <c r="A286" s="2"/>
      <c r="B286" s="64">
        <v>274</v>
      </c>
      <c r="C286" s="65">
        <v>10</v>
      </c>
      <c r="D286" s="66" t="s">
        <v>15</v>
      </c>
      <c r="E286" s="69" t="s">
        <v>135</v>
      </c>
      <c r="F286" s="70">
        <v>4</v>
      </c>
      <c r="G286" s="71">
        <v>3685.7160975609763</v>
      </c>
      <c r="H286" s="72">
        <v>606.51024390243913</v>
      </c>
      <c r="I286" s="72">
        <v>606.51024390243913</v>
      </c>
      <c r="J286" s="72">
        <v>606.51024390243913</v>
      </c>
      <c r="K286" s="72">
        <v>466.54634146341471</v>
      </c>
      <c r="L286" s="73">
        <v>1399.6390243902442</v>
      </c>
      <c r="M286" s="71">
        <v>7371.4321951219526</v>
      </c>
      <c r="N286" s="72">
        <v>1213.0204878048783</v>
      </c>
      <c r="O286" s="72">
        <v>1213.0204878048783</v>
      </c>
      <c r="P286" s="72">
        <v>1213.0204878048783</v>
      </c>
      <c r="Q286" s="72">
        <v>933.09268292682941</v>
      </c>
      <c r="R286" s="73">
        <v>2799.2780487804885</v>
      </c>
      <c r="S286" s="71">
        <v>602.6</v>
      </c>
      <c r="T286" s="72">
        <v>601</v>
      </c>
      <c r="U286" s="72">
        <v>577</v>
      </c>
      <c r="V286" s="72">
        <v>640</v>
      </c>
      <c r="W286" s="72">
        <v>616</v>
      </c>
      <c r="X286" s="73">
        <v>579</v>
      </c>
      <c r="Y286" s="71">
        <v>618.4</v>
      </c>
      <c r="Z286" s="72">
        <v>609</v>
      </c>
      <c r="AA286" s="72">
        <v>642</v>
      </c>
      <c r="AB286" s="72">
        <v>592</v>
      </c>
      <c r="AC286" s="72">
        <v>635</v>
      </c>
      <c r="AD286" s="73">
        <v>614</v>
      </c>
      <c r="AE286" s="71">
        <v>610.4</v>
      </c>
      <c r="AF286" s="72">
        <v>605</v>
      </c>
      <c r="AG286" s="72">
        <v>590</v>
      </c>
      <c r="AH286" s="72">
        <v>637</v>
      </c>
      <c r="AI286" s="72">
        <v>634</v>
      </c>
      <c r="AJ286" s="73">
        <v>586</v>
      </c>
      <c r="AK286" s="71">
        <v>459.4</v>
      </c>
      <c r="AL286" s="72">
        <v>468</v>
      </c>
      <c r="AM286" s="72">
        <v>469</v>
      </c>
      <c r="AN286" s="72">
        <v>437</v>
      </c>
      <c r="AO286" s="72">
        <v>461</v>
      </c>
      <c r="AP286" s="73">
        <v>462</v>
      </c>
      <c r="AQ286" s="71">
        <v>1377</v>
      </c>
      <c r="AR286" s="72">
        <v>1380</v>
      </c>
      <c r="AS286" s="72">
        <v>1350</v>
      </c>
      <c r="AT286" s="72">
        <v>1410</v>
      </c>
      <c r="AU286" s="72">
        <v>1380</v>
      </c>
      <c r="AV286" s="73">
        <v>1365</v>
      </c>
      <c r="AW286" s="75">
        <v>-0.48609543130118116</v>
      </c>
      <c r="AX286" s="76">
        <v>-0.61632792542021253</v>
      </c>
      <c r="AY286" s="76">
        <v>-1.5659398617047571</v>
      </c>
      <c r="AZ286" s="76">
        <v>0.82165586381066635</v>
      </c>
      <c r="BA286" s="76">
        <v>1.0929735598919743</v>
      </c>
      <c r="BB286" s="77">
        <v>-2.1628387930836102</v>
      </c>
      <c r="BC286" s="65"/>
      <c r="BD286" s="78"/>
      <c r="BE286" s="78"/>
      <c r="BF286" s="78"/>
      <c r="BG286" s="78"/>
      <c r="BH286" s="70"/>
      <c r="BI286" s="65"/>
      <c r="BJ286" s="78"/>
      <c r="BK286" s="78"/>
      <c r="BL286" s="78"/>
      <c r="BM286" s="78"/>
      <c r="BN286" s="70"/>
      <c r="BO286" s="65"/>
      <c r="BP286" s="78"/>
      <c r="BQ286" s="78"/>
      <c r="BR286" s="78"/>
      <c r="BS286" s="78"/>
      <c r="BT286" s="70"/>
      <c r="BU286" s="65"/>
      <c r="BV286" s="78"/>
      <c r="BW286" s="78"/>
      <c r="BX286" s="78"/>
      <c r="BY286" s="78"/>
      <c r="BZ286" s="70"/>
      <c r="CA286" s="126"/>
      <c r="CB286" s="78"/>
      <c r="CC286" s="78"/>
      <c r="CD286" s="78"/>
      <c r="CE286" s="78"/>
      <c r="CF286" s="70"/>
    </row>
    <row r="287" spans="1:84" ht="12" customHeight="1">
      <c r="A287" s="2"/>
      <c r="B287" s="64">
        <v>275</v>
      </c>
      <c r="C287" s="65">
        <v>10</v>
      </c>
      <c r="D287" s="66" t="s">
        <v>16</v>
      </c>
      <c r="E287" s="69" t="s">
        <v>67</v>
      </c>
      <c r="F287" s="70">
        <v>2</v>
      </c>
      <c r="G287" s="71">
        <v>420.01951219512193</v>
      </c>
      <c r="H287" s="72">
        <v>210.00975609756097</v>
      </c>
      <c r="I287" s="72"/>
      <c r="J287" s="72"/>
      <c r="K287" s="72"/>
      <c r="L287" s="73"/>
      <c r="M287" s="71">
        <v>420.01951219512193</v>
      </c>
      <c r="N287" s="72">
        <v>420.01951219512193</v>
      </c>
      <c r="O287" s="72"/>
      <c r="P287" s="72"/>
      <c r="Q287" s="72"/>
      <c r="R287" s="73"/>
      <c r="S287" s="71">
        <v>422</v>
      </c>
      <c r="T287" s="72">
        <v>211</v>
      </c>
      <c r="U287" s="72">
        <v>217</v>
      </c>
      <c r="V287" s="72">
        <v>210</v>
      </c>
      <c r="W287" s="72">
        <v>214</v>
      </c>
      <c r="X287" s="73">
        <v>203</v>
      </c>
      <c r="Y287" s="71"/>
      <c r="Z287" s="72"/>
      <c r="AA287" s="72"/>
      <c r="AB287" s="72"/>
      <c r="AC287" s="72"/>
      <c r="AD287" s="73"/>
      <c r="AE287" s="71"/>
      <c r="AF287" s="72"/>
      <c r="AG287" s="72"/>
      <c r="AH287" s="72"/>
      <c r="AI287" s="72"/>
      <c r="AJ287" s="73"/>
      <c r="AK287" s="71"/>
      <c r="AL287" s="72"/>
      <c r="AM287" s="72"/>
      <c r="AN287" s="72"/>
      <c r="AO287" s="72"/>
      <c r="AP287" s="73"/>
      <c r="AQ287" s="71"/>
      <c r="AR287" s="72"/>
      <c r="AS287" s="72"/>
      <c r="AT287" s="72"/>
      <c r="AU287" s="72"/>
      <c r="AV287" s="73"/>
      <c r="AW287" s="75">
        <v>0.47152280962556858</v>
      </c>
      <c r="AX287" s="76">
        <v>0.47152280962556858</v>
      </c>
      <c r="AY287" s="76">
        <v>3.3285329369135086</v>
      </c>
      <c r="AZ287" s="76">
        <v>-4.6455449224103162E-3</v>
      </c>
      <c r="BA287" s="76">
        <v>1.9000278732695497</v>
      </c>
      <c r="BB287" s="77">
        <v>-3.3378240267583292</v>
      </c>
      <c r="BC287" s="65"/>
      <c r="BD287" s="78"/>
      <c r="BE287" s="78"/>
      <c r="BF287" s="78"/>
      <c r="BG287" s="78"/>
      <c r="BH287" s="70"/>
      <c r="BI287" s="65"/>
      <c r="BJ287" s="78"/>
      <c r="BK287" s="78"/>
      <c r="BL287" s="78"/>
      <c r="BM287" s="78"/>
      <c r="BN287" s="70"/>
      <c r="BO287" s="65"/>
      <c r="BP287" s="78"/>
      <c r="BQ287" s="78"/>
      <c r="BR287" s="78"/>
      <c r="BS287" s="78"/>
      <c r="BT287" s="70"/>
      <c r="BU287" s="65"/>
      <c r="BV287" s="78"/>
      <c r="BW287" s="78"/>
      <c r="BX287" s="78"/>
      <c r="BY287" s="78"/>
      <c r="BZ287" s="70"/>
      <c r="CA287" s="80"/>
      <c r="CB287" s="78"/>
      <c r="CC287" s="78"/>
      <c r="CD287" s="78"/>
      <c r="CE287" s="78"/>
      <c r="CF287" s="70"/>
    </row>
    <row r="288" spans="1:84" ht="12" customHeight="1">
      <c r="A288" s="2"/>
      <c r="B288" s="64">
        <v>276</v>
      </c>
      <c r="C288" s="65">
        <v>10</v>
      </c>
      <c r="D288" s="66" t="s">
        <v>16</v>
      </c>
      <c r="E288" s="69" t="s">
        <v>148</v>
      </c>
      <c r="F288" s="70">
        <v>2</v>
      </c>
      <c r="G288" s="71">
        <v>420.01951219512193</v>
      </c>
      <c r="H288" s="72">
        <v>210.00975609756097</v>
      </c>
      <c r="I288" s="72"/>
      <c r="J288" s="72"/>
      <c r="K288" s="72"/>
      <c r="L288" s="73"/>
      <c r="M288" s="71">
        <v>420.01951219512193</v>
      </c>
      <c r="N288" s="72">
        <v>420.01951219512193</v>
      </c>
      <c r="O288" s="72"/>
      <c r="P288" s="72"/>
      <c r="Q288" s="72"/>
      <c r="R288" s="73"/>
      <c r="S288" s="71">
        <v>422</v>
      </c>
      <c r="T288" s="72">
        <v>211</v>
      </c>
      <c r="U288" s="72">
        <v>217</v>
      </c>
      <c r="V288" s="72">
        <v>210</v>
      </c>
      <c r="W288" s="72">
        <v>214</v>
      </c>
      <c r="X288" s="73">
        <v>203</v>
      </c>
      <c r="Y288" s="71"/>
      <c r="Z288" s="72"/>
      <c r="AA288" s="72"/>
      <c r="AB288" s="72"/>
      <c r="AC288" s="72"/>
      <c r="AD288" s="73"/>
      <c r="AE288" s="71"/>
      <c r="AF288" s="72"/>
      <c r="AG288" s="72"/>
      <c r="AH288" s="72"/>
      <c r="AI288" s="72"/>
      <c r="AJ288" s="73"/>
      <c r="AK288" s="71"/>
      <c r="AL288" s="72"/>
      <c r="AM288" s="72"/>
      <c r="AN288" s="72"/>
      <c r="AO288" s="72"/>
      <c r="AP288" s="73"/>
      <c r="AQ288" s="71"/>
      <c r="AR288" s="72"/>
      <c r="AS288" s="72"/>
      <c r="AT288" s="72"/>
      <c r="AU288" s="72"/>
      <c r="AV288" s="73"/>
      <c r="AW288" s="75">
        <v>0.47152280962556858</v>
      </c>
      <c r="AX288" s="76">
        <v>0.47152280962556858</v>
      </c>
      <c r="AY288" s="76">
        <v>3.3285329369135086</v>
      </c>
      <c r="AZ288" s="76">
        <v>-4.6455449224103162E-3</v>
      </c>
      <c r="BA288" s="76">
        <v>1.9000278732695497</v>
      </c>
      <c r="BB288" s="77">
        <v>-3.3378240267583292</v>
      </c>
      <c r="BC288" s="65"/>
      <c r="BD288" s="78"/>
      <c r="BE288" s="78"/>
      <c r="BF288" s="78"/>
      <c r="BG288" s="78"/>
      <c r="BH288" s="70"/>
      <c r="BI288" s="65"/>
      <c r="BJ288" s="78"/>
      <c r="BK288" s="78"/>
      <c r="BL288" s="78"/>
      <c r="BM288" s="78"/>
      <c r="BN288" s="70"/>
      <c r="BO288" s="65"/>
      <c r="BP288" s="78"/>
      <c r="BQ288" s="78"/>
      <c r="BR288" s="78"/>
      <c r="BS288" s="78"/>
      <c r="BT288" s="70"/>
      <c r="BU288" s="65"/>
      <c r="BV288" s="78"/>
      <c r="BW288" s="78"/>
      <c r="BX288" s="78"/>
      <c r="BY288" s="78"/>
      <c r="BZ288" s="70"/>
      <c r="CA288" s="80"/>
      <c r="CB288" s="78"/>
      <c r="CC288" s="78"/>
      <c r="CD288" s="78"/>
      <c r="CE288" s="78"/>
      <c r="CF288" s="70"/>
    </row>
    <row r="289" spans="1:84" ht="12" customHeight="1">
      <c r="A289" s="2"/>
      <c r="B289" s="64">
        <v>277</v>
      </c>
      <c r="C289" s="65">
        <v>10</v>
      </c>
      <c r="D289" s="66" t="s">
        <v>16</v>
      </c>
      <c r="E289" s="69" t="s">
        <v>87</v>
      </c>
      <c r="F289" s="70">
        <v>2</v>
      </c>
      <c r="G289" s="71">
        <v>420.01951219512193</v>
      </c>
      <c r="H289" s="72">
        <v>210.00975609756097</v>
      </c>
      <c r="I289" s="72"/>
      <c r="J289" s="72"/>
      <c r="K289" s="72"/>
      <c r="L289" s="73"/>
      <c r="M289" s="71">
        <v>420.01951219512193</v>
      </c>
      <c r="N289" s="72">
        <v>420.01951219512193</v>
      </c>
      <c r="O289" s="72"/>
      <c r="P289" s="72"/>
      <c r="Q289" s="72"/>
      <c r="R289" s="73"/>
      <c r="S289" s="71">
        <v>422</v>
      </c>
      <c r="T289" s="72">
        <v>211</v>
      </c>
      <c r="U289" s="72">
        <v>217</v>
      </c>
      <c r="V289" s="72">
        <v>210</v>
      </c>
      <c r="W289" s="72">
        <v>214</v>
      </c>
      <c r="X289" s="73">
        <v>203</v>
      </c>
      <c r="Y289" s="71"/>
      <c r="Z289" s="72"/>
      <c r="AA289" s="72"/>
      <c r="AB289" s="72"/>
      <c r="AC289" s="72"/>
      <c r="AD289" s="73"/>
      <c r="AE289" s="71"/>
      <c r="AF289" s="72"/>
      <c r="AG289" s="72"/>
      <c r="AH289" s="72"/>
      <c r="AI289" s="72"/>
      <c r="AJ289" s="73"/>
      <c r="AK289" s="71"/>
      <c r="AL289" s="72"/>
      <c r="AM289" s="72"/>
      <c r="AN289" s="72"/>
      <c r="AO289" s="72"/>
      <c r="AP289" s="73"/>
      <c r="AQ289" s="71"/>
      <c r="AR289" s="72"/>
      <c r="AS289" s="72"/>
      <c r="AT289" s="72"/>
      <c r="AU289" s="72"/>
      <c r="AV289" s="73"/>
      <c r="AW289" s="75">
        <v>0.47152280962556858</v>
      </c>
      <c r="AX289" s="76">
        <v>0.47152280962556858</v>
      </c>
      <c r="AY289" s="76">
        <v>3.3285329369135086</v>
      </c>
      <c r="AZ289" s="76">
        <v>-4.6455449224103162E-3</v>
      </c>
      <c r="BA289" s="76">
        <v>1.9000278732695497</v>
      </c>
      <c r="BB289" s="77">
        <v>-3.3378240267583292</v>
      </c>
      <c r="BC289" s="65"/>
      <c r="BD289" s="78"/>
      <c r="BE289" s="78"/>
      <c r="BF289" s="78"/>
      <c r="BG289" s="78"/>
      <c r="BH289" s="70"/>
      <c r="BI289" s="65"/>
      <c r="BJ289" s="78"/>
      <c r="BK289" s="78"/>
      <c r="BL289" s="78"/>
      <c r="BM289" s="78"/>
      <c r="BN289" s="70"/>
      <c r="BO289" s="65"/>
      <c r="BP289" s="78"/>
      <c r="BQ289" s="78"/>
      <c r="BR289" s="78"/>
      <c r="BS289" s="78"/>
      <c r="BT289" s="70"/>
      <c r="BU289" s="65"/>
      <c r="BV289" s="78"/>
      <c r="BW289" s="78"/>
      <c r="BX289" s="78"/>
      <c r="BY289" s="78"/>
      <c r="BZ289" s="70"/>
      <c r="CA289" s="80"/>
      <c r="CB289" s="78"/>
      <c r="CC289" s="78"/>
      <c r="CD289" s="78"/>
      <c r="CE289" s="78"/>
      <c r="CF289" s="70"/>
    </row>
    <row r="290" spans="1:84" ht="12" customHeight="1">
      <c r="A290" s="2"/>
      <c r="B290" s="64">
        <v>278</v>
      </c>
      <c r="C290" s="65">
        <v>10</v>
      </c>
      <c r="D290" s="66" t="s">
        <v>16</v>
      </c>
      <c r="E290" s="69" t="s">
        <v>136</v>
      </c>
      <c r="F290" s="70">
        <v>2</v>
      </c>
      <c r="G290" s="71">
        <v>588.02731707317071</v>
      </c>
      <c r="H290" s="72">
        <v>294.01365853658535</v>
      </c>
      <c r="I290" s="72"/>
      <c r="J290" s="72"/>
      <c r="K290" s="72"/>
      <c r="L290" s="73"/>
      <c r="M290" s="71">
        <v>588.02731707317071</v>
      </c>
      <c r="N290" s="72">
        <v>588.02731707317071</v>
      </c>
      <c r="O290" s="72"/>
      <c r="P290" s="72"/>
      <c r="Q290" s="72"/>
      <c r="R290" s="73"/>
      <c r="S290" s="71">
        <v>590.4</v>
      </c>
      <c r="T290" s="72">
        <v>294</v>
      </c>
      <c r="U290" s="72">
        <v>289</v>
      </c>
      <c r="V290" s="72">
        <v>303</v>
      </c>
      <c r="W290" s="72">
        <v>300</v>
      </c>
      <c r="X290" s="73">
        <v>290</v>
      </c>
      <c r="Y290" s="71"/>
      <c r="Z290" s="72"/>
      <c r="AA290" s="72"/>
      <c r="AB290" s="72"/>
      <c r="AC290" s="72"/>
      <c r="AD290" s="73"/>
      <c r="AE290" s="71"/>
      <c r="AF290" s="72"/>
      <c r="AG290" s="72"/>
      <c r="AH290" s="72"/>
      <c r="AI290" s="72"/>
      <c r="AJ290" s="73"/>
      <c r="AK290" s="71"/>
      <c r="AL290" s="72"/>
      <c r="AM290" s="72"/>
      <c r="AN290" s="72"/>
      <c r="AO290" s="72"/>
      <c r="AP290" s="73"/>
      <c r="AQ290" s="71"/>
      <c r="AR290" s="72"/>
      <c r="AS290" s="72"/>
      <c r="AT290" s="72"/>
      <c r="AU290" s="72"/>
      <c r="AV290" s="73"/>
      <c r="AW290" s="75">
        <v>0.40349875897585097</v>
      </c>
      <c r="AX290" s="76">
        <v>-4.6455449224103162E-3</v>
      </c>
      <c r="AY290" s="76">
        <v>-1.7052468111652286</v>
      </c>
      <c r="AZ290" s="76">
        <v>3.0564367343146603</v>
      </c>
      <c r="BA290" s="76">
        <v>2.0360759745689627</v>
      </c>
      <c r="BB290" s="77">
        <v>-1.3651265579166627</v>
      </c>
      <c r="BC290" s="65"/>
      <c r="BD290" s="78"/>
      <c r="BE290" s="78"/>
      <c r="BF290" s="78"/>
      <c r="BG290" s="78"/>
      <c r="BH290" s="70"/>
      <c r="BI290" s="65"/>
      <c r="BJ290" s="78"/>
      <c r="BK290" s="78"/>
      <c r="BL290" s="78"/>
      <c r="BM290" s="78"/>
      <c r="BN290" s="70"/>
      <c r="BO290" s="65"/>
      <c r="BP290" s="78"/>
      <c r="BQ290" s="78"/>
      <c r="BR290" s="78"/>
      <c r="BS290" s="78"/>
      <c r="BT290" s="70"/>
      <c r="BU290" s="65"/>
      <c r="BV290" s="78"/>
      <c r="BW290" s="78"/>
      <c r="BX290" s="78"/>
      <c r="BY290" s="78"/>
      <c r="BZ290" s="70"/>
      <c r="CA290" s="80"/>
      <c r="CB290" s="78"/>
      <c r="CC290" s="78"/>
      <c r="CD290" s="78"/>
      <c r="CE290" s="78"/>
      <c r="CF290" s="70"/>
    </row>
    <row r="291" spans="1:84" ht="12" customHeight="1">
      <c r="A291" s="2"/>
      <c r="B291" s="64">
        <v>279</v>
      </c>
      <c r="C291" s="65">
        <v>10</v>
      </c>
      <c r="D291" s="66" t="s">
        <v>16</v>
      </c>
      <c r="E291" s="69" t="s">
        <v>144</v>
      </c>
      <c r="F291" s="70">
        <v>3</v>
      </c>
      <c r="G291" s="71">
        <v>630.0292682926829</v>
      </c>
      <c r="H291" s="72">
        <v>210.00975609756097</v>
      </c>
      <c r="I291" s="72"/>
      <c r="J291" s="72"/>
      <c r="K291" s="72"/>
      <c r="L291" s="73"/>
      <c r="M291" s="71">
        <v>420.01951219512193</v>
      </c>
      <c r="N291" s="72">
        <v>420.01951219512193</v>
      </c>
      <c r="O291" s="72"/>
      <c r="P291" s="72"/>
      <c r="Q291" s="72"/>
      <c r="R291" s="73"/>
      <c r="S291" s="71">
        <v>633</v>
      </c>
      <c r="T291" s="72">
        <v>203</v>
      </c>
      <c r="U291" s="72">
        <v>216</v>
      </c>
      <c r="V291" s="72">
        <v>217</v>
      </c>
      <c r="W291" s="72">
        <v>209</v>
      </c>
      <c r="X291" s="73">
        <v>210</v>
      </c>
      <c r="Y291" s="71"/>
      <c r="Z291" s="72"/>
      <c r="AA291" s="72"/>
      <c r="AB291" s="72"/>
      <c r="AC291" s="72"/>
      <c r="AD291" s="73"/>
      <c r="AE291" s="71"/>
      <c r="AF291" s="72"/>
      <c r="AG291" s="72"/>
      <c r="AH291" s="72"/>
      <c r="AI291" s="72"/>
      <c r="AJ291" s="73"/>
      <c r="AK291" s="71"/>
      <c r="AL291" s="72"/>
      <c r="AM291" s="72"/>
      <c r="AN291" s="72"/>
      <c r="AO291" s="72"/>
      <c r="AP291" s="73"/>
      <c r="AQ291" s="71"/>
      <c r="AR291" s="72"/>
      <c r="AS291" s="72"/>
      <c r="AT291" s="72"/>
      <c r="AU291" s="72"/>
      <c r="AV291" s="73"/>
      <c r="AW291" s="75">
        <v>0.47152280962556858</v>
      </c>
      <c r="AX291" s="76">
        <v>-3.3378240267583292</v>
      </c>
      <c r="AY291" s="76">
        <v>2.8523645823655075</v>
      </c>
      <c r="AZ291" s="76">
        <v>3.3285329369135086</v>
      </c>
      <c r="BA291" s="76">
        <v>-0.48081389947040032</v>
      </c>
      <c r="BB291" s="77">
        <v>-4.6455449224103162E-3</v>
      </c>
      <c r="BC291" s="65"/>
      <c r="BD291" s="78"/>
      <c r="BE291" s="78"/>
      <c r="BF291" s="78"/>
      <c r="BG291" s="78"/>
      <c r="BH291" s="70"/>
      <c r="BI291" s="65"/>
      <c r="BJ291" s="78"/>
      <c r="BK291" s="78"/>
      <c r="BL291" s="78"/>
      <c r="BM291" s="78"/>
      <c r="BN291" s="70"/>
      <c r="BO291" s="65"/>
      <c r="BP291" s="78"/>
      <c r="BQ291" s="78"/>
      <c r="BR291" s="78"/>
      <c r="BS291" s="78"/>
      <c r="BT291" s="70"/>
      <c r="BU291" s="65"/>
      <c r="BV291" s="78"/>
      <c r="BW291" s="78"/>
      <c r="BX291" s="78"/>
      <c r="BY291" s="78"/>
      <c r="BZ291" s="70"/>
      <c r="CA291" s="80"/>
      <c r="CB291" s="78"/>
      <c r="CC291" s="78"/>
      <c r="CD291" s="78"/>
      <c r="CE291" s="78"/>
      <c r="CF291" s="70"/>
    </row>
    <row r="292" spans="1:84" ht="12" customHeight="1">
      <c r="A292" s="2"/>
      <c r="B292" s="64">
        <v>280</v>
      </c>
      <c r="C292" s="65">
        <v>10</v>
      </c>
      <c r="D292" s="66" t="s">
        <v>16</v>
      </c>
      <c r="E292" s="69" t="s">
        <v>92</v>
      </c>
      <c r="F292" s="70">
        <v>2</v>
      </c>
      <c r="G292" s="71">
        <v>630.0292682926829</v>
      </c>
      <c r="H292" s="72">
        <v>315.01463414634145</v>
      </c>
      <c r="I292" s="72"/>
      <c r="J292" s="72"/>
      <c r="K292" s="72"/>
      <c r="L292" s="73"/>
      <c r="M292" s="71">
        <v>630.0292682926829</v>
      </c>
      <c r="N292" s="72">
        <v>630.0292682926829</v>
      </c>
      <c r="O292" s="72"/>
      <c r="P292" s="72"/>
      <c r="Q292" s="72"/>
      <c r="R292" s="73"/>
      <c r="S292" s="71">
        <v>614.4</v>
      </c>
      <c r="T292" s="72">
        <v>306</v>
      </c>
      <c r="U292" s="72">
        <v>315</v>
      </c>
      <c r="V292" s="72">
        <v>303</v>
      </c>
      <c r="W292" s="72">
        <v>307</v>
      </c>
      <c r="X292" s="73">
        <v>305</v>
      </c>
      <c r="Y292" s="71"/>
      <c r="Z292" s="72"/>
      <c r="AA292" s="72"/>
      <c r="AB292" s="72"/>
      <c r="AC292" s="72"/>
      <c r="AD292" s="73"/>
      <c r="AE292" s="71"/>
      <c r="AF292" s="72"/>
      <c r="AG292" s="72"/>
      <c r="AH292" s="72"/>
      <c r="AI292" s="72"/>
      <c r="AJ292" s="73"/>
      <c r="AK292" s="71"/>
      <c r="AL292" s="72"/>
      <c r="AM292" s="72"/>
      <c r="AN292" s="72"/>
      <c r="AO292" s="72"/>
      <c r="AP292" s="73"/>
      <c r="AQ292" s="71"/>
      <c r="AR292" s="72"/>
      <c r="AS292" s="72"/>
      <c r="AT292" s="72"/>
      <c r="AU292" s="72"/>
      <c r="AV292" s="73"/>
      <c r="AW292" s="75">
        <v>-2.4807209885719606</v>
      </c>
      <c r="AX292" s="76">
        <v>-2.8616556722103503</v>
      </c>
      <c r="AY292" s="76">
        <v>-4.6455449224103162E-3</v>
      </c>
      <c r="AZ292" s="76">
        <v>-3.8139923813063192</v>
      </c>
      <c r="BA292" s="76">
        <v>-2.5442101025116903</v>
      </c>
      <c r="BB292" s="77">
        <v>-3.1791012419090103</v>
      </c>
      <c r="BC292" s="65"/>
      <c r="BD292" s="78"/>
      <c r="BE292" s="78"/>
      <c r="BF292" s="78"/>
      <c r="BG292" s="78"/>
      <c r="BH292" s="70"/>
      <c r="BI292" s="65"/>
      <c r="BJ292" s="78"/>
      <c r="BK292" s="78"/>
      <c r="BL292" s="78"/>
      <c r="BM292" s="78"/>
      <c r="BN292" s="70"/>
      <c r="BO292" s="65"/>
      <c r="BP292" s="78"/>
      <c r="BQ292" s="78"/>
      <c r="BR292" s="78"/>
      <c r="BS292" s="78"/>
      <c r="BT292" s="70"/>
      <c r="BU292" s="65"/>
      <c r="BV292" s="78"/>
      <c r="BW292" s="78"/>
      <c r="BX292" s="78"/>
      <c r="BY292" s="78"/>
      <c r="BZ292" s="70"/>
      <c r="CA292" s="80"/>
      <c r="CB292" s="78"/>
      <c r="CC292" s="78"/>
      <c r="CD292" s="78"/>
      <c r="CE292" s="78"/>
      <c r="CF292" s="70"/>
    </row>
    <row r="293" spans="1:84" ht="12" customHeight="1">
      <c r="A293" s="2"/>
      <c r="B293" s="64">
        <v>281</v>
      </c>
      <c r="C293" s="65">
        <v>10</v>
      </c>
      <c r="D293" s="66" t="s">
        <v>16</v>
      </c>
      <c r="E293" s="69" t="s">
        <v>138</v>
      </c>
      <c r="F293" s="70">
        <v>3</v>
      </c>
      <c r="G293" s="71">
        <v>882.04097560975606</v>
      </c>
      <c r="H293" s="72">
        <v>294.01365853658535</v>
      </c>
      <c r="I293" s="72"/>
      <c r="J293" s="72"/>
      <c r="K293" s="72"/>
      <c r="L293" s="73"/>
      <c r="M293" s="71">
        <v>588.02731707317071</v>
      </c>
      <c r="N293" s="72">
        <v>588.02731707317071</v>
      </c>
      <c r="O293" s="72"/>
      <c r="P293" s="72"/>
      <c r="Q293" s="72"/>
      <c r="R293" s="73"/>
      <c r="S293" s="71">
        <v>878.40000000000009</v>
      </c>
      <c r="T293" s="72">
        <v>306</v>
      </c>
      <c r="U293" s="72">
        <v>289</v>
      </c>
      <c r="V293" s="72">
        <v>286</v>
      </c>
      <c r="W293" s="72">
        <v>301</v>
      </c>
      <c r="X293" s="73">
        <v>282</v>
      </c>
      <c r="Y293" s="71"/>
      <c r="Z293" s="72"/>
      <c r="AA293" s="72"/>
      <c r="AB293" s="72"/>
      <c r="AC293" s="72"/>
      <c r="AD293" s="73"/>
      <c r="AE293" s="71"/>
      <c r="AF293" s="72"/>
      <c r="AG293" s="72"/>
      <c r="AH293" s="72"/>
      <c r="AI293" s="72"/>
      <c r="AJ293" s="73"/>
      <c r="AK293" s="71"/>
      <c r="AL293" s="72"/>
      <c r="AM293" s="72"/>
      <c r="AN293" s="72"/>
      <c r="AO293" s="72"/>
      <c r="AP293" s="73"/>
      <c r="AQ293" s="71"/>
      <c r="AR293" s="72"/>
      <c r="AS293" s="72"/>
      <c r="AT293" s="72"/>
      <c r="AU293" s="72"/>
      <c r="AV293" s="73"/>
      <c r="AW293" s="75">
        <v>-0.4127898488206827</v>
      </c>
      <c r="AX293" s="76">
        <v>4.0767974940603358</v>
      </c>
      <c r="AY293" s="76">
        <v>-1.7052468111652286</v>
      </c>
      <c r="AZ293" s="76">
        <v>-2.7256075709109262</v>
      </c>
      <c r="BA293" s="76">
        <v>2.3761962278175286</v>
      </c>
      <c r="BB293" s="77">
        <v>-4.0860885839051786</v>
      </c>
      <c r="BC293" s="65"/>
      <c r="BD293" s="78"/>
      <c r="BE293" s="78"/>
      <c r="BF293" s="78"/>
      <c r="BG293" s="78"/>
      <c r="BH293" s="70"/>
      <c r="BI293" s="65"/>
      <c r="BJ293" s="78"/>
      <c r="BK293" s="78"/>
      <c r="BL293" s="78"/>
      <c r="BM293" s="78"/>
      <c r="BN293" s="70"/>
      <c r="BO293" s="65"/>
      <c r="BP293" s="78"/>
      <c r="BQ293" s="78"/>
      <c r="BR293" s="78"/>
      <c r="BS293" s="78"/>
      <c r="BT293" s="70"/>
      <c r="BU293" s="65"/>
      <c r="BV293" s="78"/>
      <c r="BW293" s="78"/>
      <c r="BX293" s="78"/>
      <c r="BY293" s="78"/>
      <c r="BZ293" s="70"/>
      <c r="CA293" s="80"/>
      <c r="CB293" s="78"/>
      <c r="CC293" s="78"/>
      <c r="CD293" s="78"/>
      <c r="CE293" s="78"/>
      <c r="CF293" s="70"/>
    </row>
    <row r="294" spans="1:84" ht="12" customHeight="1">
      <c r="A294" s="2"/>
      <c r="B294" s="64">
        <v>282</v>
      </c>
      <c r="C294" s="65">
        <v>10</v>
      </c>
      <c r="D294" s="66" t="s">
        <v>16</v>
      </c>
      <c r="E294" s="69" t="s">
        <v>139</v>
      </c>
      <c r="F294" s="70">
        <v>2</v>
      </c>
      <c r="G294" s="71">
        <v>882.04097560975606</v>
      </c>
      <c r="H294" s="72">
        <v>441.02048780487803</v>
      </c>
      <c r="I294" s="72"/>
      <c r="J294" s="72"/>
      <c r="K294" s="72"/>
      <c r="L294" s="73"/>
      <c r="M294" s="71">
        <v>882.04097560975617</v>
      </c>
      <c r="N294" s="72">
        <v>882.04097560975617</v>
      </c>
      <c r="O294" s="72"/>
      <c r="P294" s="72"/>
      <c r="Q294" s="72"/>
      <c r="R294" s="73"/>
      <c r="S294" s="71">
        <v>870.4</v>
      </c>
      <c r="T294" s="72">
        <v>451</v>
      </c>
      <c r="U294" s="72">
        <v>420</v>
      </c>
      <c r="V294" s="72">
        <v>444</v>
      </c>
      <c r="W294" s="72">
        <v>439</v>
      </c>
      <c r="X294" s="73">
        <v>422</v>
      </c>
      <c r="Y294" s="71"/>
      <c r="Z294" s="72"/>
      <c r="AA294" s="72"/>
      <c r="AB294" s="72"/>
      <c r="AC294" s="72"/>
      <c r="AD294" s="73"/>
      <c r="AE294" s="71"/>
      <c r="AF294" s="72"/>
      <c r="AG294" s="72"/>
      <c r="AH294" s="72"/>
      <c r="AI294" s="72"/>
      <c r="AJ294" s="73"/>
      <c r="AK294" s="71"/>
      <c r="AL294" s="72"/>
      <c r="AM294" s="72"/>
      <c r="AN294" s="72"/>
      <c r="AO294" s="72"/>
      <c r="AP294" s="73"/>
      <c r="AQ294" s="71"/>
      <c r="AR294" s="72"/>
      <c r="AS294" s="72"/>
      <c r="AT294" s="72"/>
      <c r="AU294" s="72"/>
      <c r="AV294" s="73"/>
      <c r="AW294" s="75">
        <v>-1.3197771908168621</v>
      </c>
      <c r="AX294" s="76">
        <v>2.2628228100679992</v>
      </c>
      <c r="AY294" s="76">
        <v>-4.7663290904022997</v>
      </c>
      <c r="AZ294" s="76">
        <v>0.67559496157472143</v>
      </c>
      <c r="BA294" s="76">
        <v>-0.45813921592049445</v>
      </c>
      <c r="BB294" s="77">
        <v>-4.3128354194042151</v>
      </c>
      <c r="BC294" s="65"/>
      <c r="BD294" s="78"/>
      <c r="BE294" s="78"/>
      <c r="BF294" s="78"/>
      <c r="BG294" s="78"/>
      <c r="BH294" s="70"/>
      <c r="BI294" s="65"/>
      <c r="BJ294" s="78"/>
      <c r="BK294" s="78"/>
      <c r="BL294" s="78"/>
      <c r="BM294" s="78"/>
      <c r="BN294" s="70"/>
      <c r="BO294" s="65"/>
      <c r="BP294" s="78"/>
      <c r="BQ294" s="78"/>
      <c r="BR294" s="78"/>
      <c r="BS294" s="78"/>
      <c r="BT294" s="70"/>
      <c r="BU294" s="65"/>
      <c r="BV294" s="78"/>
      <c r="BW294" s="78"/>
      <c r="BX294" s="78"/>
      <c r="BY294" s="78"/>
      <c r="BZ294" s="70"/>
      <c r="CA294" s="80"/>
      <c r="CB294" s="78"/>
      <c r="CC294" s="78"/>
      <c r="CD294" s="78"/>
      <c r="CE294" s="78"/>
      <c r="CF294" s="70"/>
    </row>
    <row r="295" spans="1:84" ht="12" customHeight="1">
      <c r="A295" s="2"/>
      <c r="B295" s="64">
        <v>283</v>
      </c>
      <c r="C295" s="65">
        <v>10</v>
      </c>
      <c r="D295" s="66" t="s">
        <v>16</v>
      </c>
      <c r="E295" s="69" t="s">
        <v>150</v>
      </c>
      <c r="F295" s="70">
        <v>3</v>
      </c>
      <c r="G295" s="71">
        <v>630.0292682926829</v>
      </c>
      <c r="H295" s="72">
        <v>210.00975609756097</v>
      </c>
      <c r="I295" s="72"/>
      <c r="J295" s="72"/>
      <c r="K295" s="72"/>
      <c r="L295" s="73"/>
      <c r="M295" s="71">
        <v>420.01951219512193</v>
      </c>
      <c r="N295" s="72">
        <v>420.01951219512193</v>
      </c>
      <c r="O295" s="72"/>
      <c r="P295" s="72"/>
      <c r="Q295" s="72"/>
      <c r="R295" s="73"/>
      <c r="S295" s="71">
        <v>633</v>
      </c>
      <c r="T295" s="72">
        <v>203</v>
      </c>
      <c r="U295" s="72">
        <v>216</v>
      </c>
      <c r="V295" s="72">
        <v>217</v>
      </c>
      <c r="W295" s="72">
        <v>209</v>
      </c>
      <c r="X295" s="73">
        <v>210</v>
      </c>
      <c r="Y295" s="71"/>
      <c r="Z295" s="72"/>
      <c r="AA295" s="72"/>
      <c r="AB295" s="72"/>
      <c r="AC295" s="72"/>
      <c r="AD295" s="73"/>
      <c r="AE295" s="71"/>
      <c r="AF295" s="72"/>
      <c r="AG295" s="72"/>
      <c r="AH295" s="72"/>
      <c r="AI295" s="72"/>
      <c r="AJ295" s="73"/>
      <c r="AK295" s="71"/>
      <c r="AL295" s="72"/>
      <c r="AM295" s="72"/>
      <c r="AN295" s="72"/>
      <c r="AO295" s="72"/>
      <c r="AP295" s="73"/>
      <c r="AQ295" s="71"/>
      <c r="AR295" s="72"/>
      <c r="AS295" s="72"/>
      <c r="AT295" s="72"/>
      <c r="AU295" s="72"/>
      <c r="AV295" s="73"/>
      <c r="AW295" s="75">
        <v>0.47152280962556858</v>
      </c>
      <c r="AX295" s="76">
        <v>-3.3378240267583292</v>
      </c>
      <c r="AY295" s="76">
        <v>2.8523645823655075</v>
      </c>
      <c r="AZ295" s="76">
        <v>3.3285329369135086</v>
      </c>
      <c r="BA295" s="76">
        <v>-0.48081389947040032</v>
      </c>
      <c r="BB295" s="77">
        <v>-4.6455449224103162E-3</v>
      </c>
      <c r="BC295" s="65"/>
      <c r="BD295" s="78"/>
      <c r="BE295" s="78"/>
      <c r="BF295" s="78"/>
      <c r="BG295" s="78"/>
      <c r="BH295" s="70"/>
      <c r="BI295" s="65"/>
      <c r="BJ295" s="78"/>
      <c r="BK295" s="78"/>
      <c r="BL295" s="78"/>
      <c r="BM295" s="78"/>
      <c r="BN295" s="70"/>
      <c r="BO295" s="65"/>
      <c r="BP295" s="78"/>
      <c r="BQ295" s="78"/>
      <c r="BR295" s="78"/>
      <c r="BS295" s="78"/>
      <c r="BT295" s="70"/>
      <c r="BU295" s="65"/>
      <c r="BV295" s="78"/>
      <c r="BW295" s="78"/>
      <c r="BX295" s="78"/>
      <c r="BY295" s="78"/>
      <c r="BZ295" s="70"/>
      <c r="CA295" s="80"/>
      <c r="CB295" s="78"/>
      <c r="CC295" s="78"/>
      <c r="CD295" s="78"/>
      <c r="CE295" s="78"/>
      <c r="CF295" s="70"/>
    </row>
    <row r="296" spans="1:84" ht="12" customHeight="1">
      <c r="A296" s="2"/>
      <c r="B296" s="64">
        <v>284</v>
      </c>
      <c r="C296" s="65">
        <v>10</v>
      </c>
      <c r="D296" s="66" t="s">
        <v>16</v>
      </c>
      <c r="E296" s="69" t="s">
        <v>151</v>
      </c>
      <c r="F296" s="70">
        <v>2</v>
      </c>
      <c r="G296" s="71">
        <v>630.0292682926829</v>
      </c>
      <c r="H296" s="72">
        <v>315.01463414634145</v>
      </c>
      <c r="I296" s="72"/>
      <c r="J296" s="72"/>
      <c r="K296" s="72"/>
      <c r="L296" s="73"/>
      <c r="M296" s="71">
        <v>630.0292682926829</v>
      </c>
      <c r="N296" s="72">
        <v>630.0292682926829</v>
      </c>
      <c r="O296" s="72"/>
      <c r="P296" s="72"/>
      <c r="Q296" s="72"/>
      <c r="R296" s="73"/>
      <c r="S296" s="71">
        <v>614.4</v>
      </c>
      <c r="T296" s="72">
        <v>306</v>
      </c>
      <c r="U296" s="72">
        <v>315</v>
      </c>
      <c r="V296" s="72">
        <v>303</v>
      </c>
      <c r="W296" s="72">
        <v>307</v>
      </c>
      <c r="X296" s="73">
        <v>305</v>
      </c>
      <c r="Y296" s="71"/>
      <c r="Z296" s="72"/>
      <c r="AA296" s="72"/>
      <c r="AB296" s="72"/>
      <c r="AC296" s="72"/>
      <c r="AD296" s="73"/>
      <c r="AE296" s="71"/>
      <c r="AF296" s="72"/>
      <c r="AG296" s="72"/>
      <c r="AH296" s="72"/>
      <c r="AI296" s="72"/>
      <c r="AJ296" s="73"/>
      <c r="AK296" s="71"/>
      <c r="AL296" s="72"/>
      <c r="AM296" s="72"/>
      <c r="AN296" s="72"/>
      <c r="AO296" s="72"/>
      <c r="AP296" s="73"/>
      <c r="AQ296" s="71"/>
      <c r="AR296" s="72"/>
      <c r="AS296" s="72"/>
      <c r="AT296" s="72"/>
      <c r="AU296" s="72"/>
      <c r="AV296" s="73"/>
      <c r="AW296" s="75">
        <v>-2.4807209885719606</v>
      </c>
      <c r="AX296" s="76">
        <v>-2.8616556722103503</v>
      </c>
      <c r="AY296" s="76">
        <v>-4.6455449224103162E-3</v>
      </c>
      <c r="AZ296" s="76">
        <v>-3.8139923813063192</v>
      </c>
      <c r="BA296" s="76">
        <v>-2.5442101025116903</v>
      </c>
      <c r="BB296" s="77">
        <v>-3.1791012419090103</v>
      </c>
      <c r="BC296" s="65"/>
      <c r="BD296" s="78"/>
      <c r="BE296" s="78"/>
      <c r="BF296" s="78"/>
      <c r="BG296" s="78"/>
      <c r="BH296" s="70"/>
      <c r="BI296" s="65"/>
      <c r="BJ296" s="78"/>
      <c r="BK296" s="78"/>
      <c r="BL296" s="78"/>
      <c r="BM296" s="78"/>
      <c r="BN296" s="70"/>
      <c r="BO296" s="65"/>
      <c r="BP296" s="78"/>
      <c r="BQ296" s="78"/>
      <c r="BR296" s="78"/>
      <c r="BS296" s="78"/>
      <c r="BT296" s="70"/>
      <c r="BU296" s="65"/>
      <c r="BV296" s="78"/>
      <c r="BW296" s="78"/>
      <c r="BX296" s="78"/>
      <c r="BY296" s="78"/>
      <c r="BZ296" s="70"/>
      <c r="CA296" s="80"/>
      <c r="CB296" s="78"/>
      <c r="CC296" s="78"/>
      <c r="CD296" s="78"/>
      <c r="CE296" s="78"/>
      <c r="CF296" s="70"/>
    </row>
    <row r="297" spans="1:84" ht="12" customHeight="1">
      <c r="A297" s="2"/>
      <c r="B297" s="64">
        <v>285</v>
      </c>
      <c r="C297" s="65">
        <v>10</v>
      </c>
      <c r="D297" s="66" t="s">
        <v>16</v>
      </c>
      <c r="E297" s="69" t="s">
        <v>163</v>
      </c>
      <c r="F297" s="70">
        <v>2</v>
      </c>
      <c r="G297" s="71">
        <v>588.02731707317071</v>
      </c>
      <c r="H297" s="72">
        <v>294.01365853658535</v>
      </c>
      <c r="I297" s="72"/>
      <c r="J297" s="72"/>
      <c r="K297" s="72"/>
      <c r="L297" s="73"/>
      <c r="M297" s="71">
        <v>588.02731707317071</v>
      </c>
      <c r="N297" s="72">
        <v>588.02731707317071</v>
      </c>
      <c r="O297" s="72"/>
      <c r="P297" s="72"/>
      <c r="Q297" s="72"/>
      <c r="R297" s="73"/>
      <c r="S297" s="71">
        <v>590.4</v>
      </c>
      <c r="T297" s="72">
        <v>294</v>
      </c>
      <c r="U297" s="72">
        <v>289</v>
      </c>
      <c r="V297" s="72">
        <v>303</v>
      </c>
      <c r="W297" s="72">
        <v>300</v>
      </c>
      <c r="X297" s="73">
        <v>290</v>
      </c>
      <c r="Y297" s="71"/>
      <c r="Z297" s="72"/>
      <c r="AA297" s="72"/>
      <c r="AB297" s="72"/>
      <c r="AC297" s="72"/>
      <c r="AD297" s="73"/>
      <c r="AE297" s="71"/>
      <c r="AF297" s="72"/>
      <c r="AG297" s="72"/>
      <c r="AH297" s="72"/>
      <c r="AI297" s="72"/>
      <c r="AJ297" s="73"/>
      <c r="AK297" s="71"/>
      <c r="AL297" s="72"/>
      <c r="AM297" s="72"/>
      <c r="AN297" s="72"/>
      <c r="AO297" s="72"/>
      <c r="AP297" s="73"/>
      <c r="AQ297" s="71"/>
      <c r="AR297" s="72"/>
      <c r="AS297" s="72"/>
      <c r="AT297" s="72"/>
      <c r="AU297" s="72"/>
      <c r="AV297" s="73"/>
      <c r="AW297" s="75">
        <v>0.40349875897585097</v>
      </c>
      <c r="AX297" s="76">
        <v>-4.6455449224103162E-3</v>
      </c>
      <c r="AY297" s="76">
        <v>-1.7052468111652286</v>
      </c>
      <c r="AZ297" s="76">
        <v>3.0564367343146603</v>
      </c>
      <c r="BA297" s="76">
        <v>2.0360759745689627</v>
      </c>
      <c r="BB297" s="77">
        <v>-1.3651265579166627</v>
      </c>
      <c r="BC297" s="65"/>
      <c r="BD297" s="78"/>
      <c r="BE297" s="78"/>
      <c r="BF297" s="78"/>
      <c r="BG297" s="78"/>
      <c r="BH297" s="70"/>
      <c r="BI297" s="65"/>
      <c r="BJ297" s="78"/>
      <c r="BK297" s="78"/>
      <c r="BL297" s="78"/>
      <c r="BM297" s="78"/>
      <c r="BN297" s="70"/>
      <c r="BO297" s="65"/>
      <c r="BP297" s="78"/>
      <c r="BQ297" s="78"/>
      <c r="BR297" s="78"/>
      <c r="BS297" s="78"/>
      <c r="BT297" s="70"/>
      <c r="BU297" s="65"/>
      <c r="BV297" s="78"/>
      <c r="BW297" s="78"/>
      <c r="BX297" s="78"/>
      <c r="BY297" s="78"/>
      <c r="BZ297" s="70"/>
      <c r="CA297" s="80"/>
      <c r="CB297" s="78"/>
      <c r="CC297" s="78"/>
      <c r="CD297" s="78"/>
      <c r="CE297" s="78"/>
      <c r="CF297" s="70"/>
    </row>
    <row r="298" spans="1:84" ht="12" customHeight="1">
      <c r="A298" s="2"/>
      <c r="B298" s="64">
        <v>286</v>
      </c>
      <c r="C298" s="65">
        <v>10</v>
      </c>
      <c r="D298" s="66" t="s">
        <v>16</v>
      </c>
      <c r="E298" s="69" t="s">
        <v>164</v>
      </c>
      <c r="F298" s="70">
        <v>3</v>
      </c>
      <c r="G298" s="71">
        <v>882.04097560975606</v>
      </c>
      <c r="H298" s="72">
        <v>294.01365853658535</v>
      </c>
      <c r="I298" s="72"/>
      <c r="J298" s="72"/>
      <c r="K298" s="72"/>
      <c r="L298" s="73"/>
      <c r="M298" s="71">
        <v>588.02731707317071</v>
      </c>
      <c r="N298" s="72">
        <v>588.02731707317071</v>
      </c>
      <c r="O298" s="72"/>
      <c r="P298" s="72"/>
      <c r="Q298" s="72"/>
      <c r="R298" s="73"/>
      <c r="S298" s="71">
        <v>878.40000000000009</v>
      </c>
      <c r="T298" s="72">
        <v>306</v>
      </c>
      <c r="U298" s="72">
        <v>289</v>
      </c>
      <c r="V298" s="72">
        <v>286</v>
      </c>
      <c r="W298" s="72">
        <v>301</v>
      </c>
      <c r="X298" s="73">
        <v>282</v>
      </c>
      <c r="Y298" s="71"/>
      <c r="Z298" s="72"/>
      <c r="AA298" s="72"/>
      <c r="AB298" s="72"/>
      <c r="AC298" s="72"/>
      <c r="AD298" s="73"/>
      <c r="AE298" s="71"/>
      <c r="AF298" s="72"/>
      <c r="AG298" s="72"/>
      <c r="AH298" s="72"/>
      <c r="AI298" s="72"/>
      <c r="AJ298" s="73"/>
      <c r="AK298" s="71"/>
      <c r="AL298" s="72"/>
      <c r="AM298" s="72"/>
      <c r="AN298" s="72"/>
      <c r="AO298" s="72"/>
      <c r="AP298" s="73"/>
      <c r="AQ298" s="71"/>
      <c r="AR298" s="72"/>
      <c r="AS298" s="72"/>
      <c r="AT298" s="72"/>
      <c r="AU298" s="72"/>
      <c r="AV298" s="73"/>
      <c r="AW298" s="75">
        <v>-0.4127898488206827</v>
      </c>
      <c r="AX298" s="76">
        <v>4.0767974940603358</v>
      </c>
      <c r="AY298" s="76">
        <v>-1.7052468111652286</v>
      </c>
      <c r="AZ298" s="76">
        <v>-2.7256075709109262</v>
      </c>
      <c r="BA298" s="76">
        <v>2.3761962278175286</v>
      </c>
      <c r="BB298" s="77">
        <v>-4.0860885839051786</v>
      </c>
      <c r="BC298" s="65"/>
      <c r="BD298" s="78"/>
      <c r="BE298" s="78"/>
      <c r="BF298" s="78"/>
      <c r="BG298" s="78"/>
      <c r="BH298" s="70"/>
      <c r="BI298" s="65"/>
      <c r="BJ298" s="78"/>
      <c r="BK298" s="78"/>
      <c r="BL298" s="78"/>
      <c r="BM298" s="78"/>
      <c r="BN298" s="70"/>
      <c r="BO298" s="65"/>
      <c r="BP298" s="78"/>
      <c r="BQ298" s="78"/>
      <c r="BR298" s="78"/>
      <c r="BS298" s="78"/>
      <c r="BT298" s="70"/>
      <c r="BU298" s="65"/>
      <c r="BV298" s="78"/>
      <c r="BW298" s="78"/>
      <c r="BX298" s="78"/>
      <c r="BY298" s="78"/>
      <c r="BZ298" s="70"/>
      <c r="CA298" s="80"/>
      <c r="CB298" s="78"/>
      <c r="CC298" s="78"/>
      <c r="CD298" s="78"/>
      <c r="CE298" s="78"/>
      <c r="CF298" s="70"/>
    </row>
    <row r="299" spans="1:84" ht="12" customHeight="1">
      <c r="A299" s="2"/>
      <c r="B299" s="64">
        <v>287</v>
      </c>
      <c r="C299" s="65">
        <v>10</v>
      </c>
      <c r="D299" s="66" t="s">
        <v>16</v>
      </c>
      <c r="E299" s="69" t="s">
        <v>165</v>
      </c>
      <c r="F299" s="70">
        <v>2</v>
      </c>
      <c r="G299" s="71">
        <v>882.04097560975606</v>
      </c>
      <c r="H299" s="72">
        <v>441.02048780487803</v>
      </c>
      <c r="I299" s="72"/>
      <c r="J299" s="72"/>
      <c r="K299" s="72"/>
      <c r="L299" s="73"/>
      <c r="M299" s="71">
        <v>882.04097560975617</v>
      </c>
      <c r="N299" s="72">
        <v>882.04097560975617</v>
      </c>
      <c r="O299" s="72"/>
      <c r="P299" s="72"/>
      <c r="Q299" s="72"/>
      <c r="R299" s="73"/>
      <c r="S299" s="71">
        <v>870.4</v>
      </c>
      <c r="T299" s="72">
        <v>451</v>
      </c>
      <c r="U299" s="72">
        <v>420</v>
      </c>
      <c r="V299" s="72">
        <v>444</v>
      </c>
      <c r="W299" s="72">
        <v>439</v>
      </c>
      <c r="X299" s="73">
        <v>422</v>
      </c>
      <c r="Y299" s="71"/>
      <c r="Z299" s="72"/>
      <c r="AA299" s="72"/>
      <c r="AB299" s="72"/>
      <c r="AC299" s="72"/>
      <c r="AD299" s="73"/>
      <c r="AE299" s="71"/>
      <c r="AF299" s="72"/>
      <c r="AG299" s="72"/>
      <c r="AH299" s="72"/>
      <c r="AI299" s="72"/>
      <c r="AJ299" s="73"/>
      <c r="AK299" s="71"/>
      <c r="AL299" s="72"/>
      <c r="AM299" s="72"/>
      <c r="AN299" s="72"/>
      <c r="AO299" s="72"/>
      <c r="AP299" s="73"/>
      <c r="AQ299" s="71"/>
      <c r="AR299" s="72"/>
      <c r="AS299" s="72"/>
      <c r="AT299" s="72"/>
      <c r="AU299" s="72"/>
      <c r="AV299" s="73"/>
      <c r="AW299" s="75">
        <v>-1.3197771908168621</v>
      </c>
      <c r="AX299" s="76">
        <v>2.2628228100679992</v>
      </c>
      <c r="AY299" s="76">
        <v>-4.7663290904022997</v>
      </c>
      <c r="AZ299" s="76">
        <v>0.67559496157472143</v>
      </c>
      <c r="BA299" s="76">
        <v>-0.45813921592049445</v>
      </c>
      <c r="BB299" s="77">
        <v>-4.3128354194042151</v>
      </c>
      <c r="BC299" s="65"/>
      <c r="BD299" s="78"/>
      <c r="BE299" s="78"/>
      <c r="BF299" s="78"/>
      <c r="BG299" s="78"/>
      <c r="BH299" s="70"/>
      <c r="BI299" s="65"/>
      <c r="BJ299" s="78"/>
      <c r="BK299" s="78"/>
      <c r="BL299" s="78"/>
      <c r="BM299" s="78"/>
      <c r="BN299" s="70"/>
      <c r="BO299" s="65"/>
      <c r="BP299" s="78"/>
      <c r="BQ299" s="78"/>
      <c r="BR299" s="78"/>
      <c r="BS299" s="78"/>
      <c r="BT299" s="70"/>
      <c r="BU299" s="65"/>
      <c r="BV299" s="78"/>
      <c r="BW299" s="78"/>
      <c r="BX299" s="78"/>
      <c r="BY299" s="78"/>
      <c r="BZ299" s="70"/>
      <c r="CA299" s="80"/>
      <c r="CB299" s="78"/>
      <c r="CC299" s="78"/>
      <c r="CD299" s="78"/>
      <c r="CE299" s="78"/>
      <c r="CF299" s="70"/>
    </row>
    <row r="300" spans="1:84" ht="12" customHeight="1">
      <c r="A300" s="2"/>
      <c r="B300" s="64">
        <v>288</v>
      </c>
      <c r="C300" s="65">
        <v>10</v>
      </c>
      <c r="D300" s="66" t="s">
        <v>16</v>
      </c>
      <c r="E300" s="69" t="s">
        <v>146</v>
      </c>
      <c r="F300" s="70">
        <v>3</v>
      </c>
      <c r="G300" s="71">
        <v>630.0292682926829</v>
      </c>
      <c r="H300" s="72">
        <v>210.00975609756097</v>
      </c>
      <c r="I300" s="72"/>
      <c r="J300" s="72"/>
      <c r="K300" s="72"/>
      <c r="L300" s="73"/>
      <c r="M300" s="71">
        <v>420.01951219512193</v>
      </c>
      <c r="N300" s="72">
        <v>420.01951219512193</v>
      </c>
      <c r="O300" s="72"/>
      <c r="P300" s="72"/>
      <c r="Q300" s="72"/>
      <c r="R300" s="73"/>
      <c r="S300" s="71">
        <v>633</v>
      </c>
      <c r="T300" s="72">
        <v>203</v>
      </c>
      <c r="U300" s="72">
        <v>216</v>
      </c>
      <c r="V300" s="72">
        <v>217</v>
      </c>
      <c r="W300" s="72">
        <v>209</v>
      </c>
      <c r="X300" s="73">
        <v>210</v>
      </c>
      <c r="Y300" s="71"/>
      <c r="Z300" s="72"/>
      <c r="AA300" s="72"/>
      <c r="AB300" s="72"/>
      <c r="AC300" s="72"/>
      <c r="AD300" s="73"/>
      <c r="AE300" s="71"/>
      <c r="AF300" s="72"/>
      <c r="AG300" s="72"/>
      <c r="AH300" s="72"/>
      <c r="AI300" s="72"/>
      <c r="AJ300" s="73"/>
      <c r="AK300" s="71"/>
      <c r="AL300" s="72"/>
      <c r="AM300" s="72"/>
      <c r="AN300" s="72"/>
      <c r="AO300" s="72"/>
      <c r="AP300" s="73"/>
      <c r="AQ300" s="71"/>
      <c r="AR300" s="72"/>
      <c r="AS300" s="72"/>
      <c r="AT300" s="72"/>
      <c r="AU300" s="72"/>
      <c r="AV300" s="73"/>
      <c r="AW300" s="75">
        <v>0.47152280962556858</v>
      </c>
      <c r="AX300" s="76">
        <v>-3.3378240267583292</v>
      </c>
      <c r="AY300" s="76">
        <v>2.8523645823655075</v>
      </c>
      <c r="AZ300" s="76">
        <v>3.3285329369135086</v>
      </c>
      <c r="BA300" s="76">
        <v>-0.48081389947040032</v>
      </c>
      <c r="BB300" s="77">
        <v>-4.6455449224103162E-3</v>
      </c>
      <c r="BC300" s="65"/>
      <c r="BD300" s="78"/>
      <c r="BE300" s="78"/>
      <c r="BF300" s="78"/>
      <c r="BG300" s="78"/>
      <c r="BH300" s="70"/>
      <c r="BI300" s="65"/>
      <c r="BJ300" s="78"/>
      <c r="BK300" s="78"/>
      <c r="BL300" s="78"/>
      <c r="BM300" s="78"/>
      <c r="BN300" s="70"/>
      <c r="BO300" s="65"/>
      <c r="BP300" s="78"/>
      <c r="BQ300" s="78"/>
      <c r="BR300" s="78"/>
      <c r="BS300" s="78"/>
      <c r="BT300" s="70"/>
      <c r="BU300" s="65"/>
      <c r="BV300" s="78"/>
      <c r="BW300" s="78"/>
      <c r="BX300" s="78"/>
      <c r="BY300" s="78"/>
      <c r="BZ300" s="70"/>
      <c r="CA300" s="80"/>
      <c r="CB300" s="78"/>
      <c r="CC300" s="78"/>
      <c r="CD300" s="78"/>
      <c r="CE300" s="78"/>
      <c r="CF300" s="70"/>
    </row>
    <row r="301" spans="1:84" ht="12" customHeight="1">
      <c r="A301" s="2"/>
      <c r="B301" s="64">
        <v>289</v>
      </c>
      <c r="C301" s="65">
        <v>10</v>
      </c>
      <c r="D301" s="66" t="s">
        <v>16</v>
      </c>
      <c r="E301" s="69" t="s">
        <v>111</v>
      </c>
      <c r="F301" s="70">
        <v>2</v>
      </c>
      <c r="G301" s="71">
        <v>630.0292682926829</v>
      </c>
      <c r="H301" s="72">
        <v>315.01463414634145</v>
      </c>
      <c r="I301" s="72"/>
      <c r="J301" s="72"/>
      <c r="K301" s="72"/>
      <c r="L301" s="73"/>
      <c r="M301" s="71">
        <v>630.0292682926829</v>
      </c>
      <c r="N301" s="72">
        <v>630.0292682926829</v>
      </c>
      <c r="O301" s="72"/>
      <c r="P301" s="72"/>
      <c r="Q301" s="72"/>
      <c r="R301" s="73"/>
      <c r="S301" s="71">
        <v>614.4</v>
      </c>
      <c r="T301" s="72">
        <v>306</v>
      </c>
      <c r="U301" s="72">
        <v>315</v>
      </c>
      <c r="V301" s="72">
        <v>303</v>
      </c>
      <c r="W301" s="72">
        <v>307</v>
      </c>
      <c r="X301" s="73">
        <v>305</v>
      </c>
      <c r="Y301" s="71"/>
      <c r="Z301" s="72"/>
      <c r="AA301" s="72"/>
      <c r="AB301" s="72"/>
      <c r="AC301" s="72"/>
      <c r="AD301" s="73"/>
      <c r="AE301" s="71"/>
      <c r="AF301" s="72"/>
      <c r="AG301" s="72"/>
      <c r="AH301" s="72"/>
      <c r="AI301" s="72"/>
      <c r="AJ301" s="73"/>
      <c r="AK301" s="71"/>
      <c r="AL301" s="72"/>
      <c r="AM301" s="72"/>
      <c r="AN301" s="72"/>
      <c r="AO301" s="72"/>
      <c r="AP301" s="73"/>
      <c r="AQ301" s="71"/>
      <c r="AR301" s="72"/>
      <c r="AS301" s="72"/>
      <c r="AT301" s="72"/>
      <c r="AU301" s="72"/>
      <c r="AV301" s="73"/>
      <c r="AW301" s="75">
        <v>-2.4807209885719606</v>
      </c>
      <c r="AX301" s="76">
        <v>-2.8616556722103503</v>
      </c>
      <c r="AY301" s="76">
        <v>-4.6455449224103162E-3</v>
      </c>
      <c r="AZ301" s="76">
        <v>-3.8139923813063192</v>
      </c>
      <c r="BA301" s="76">
        <v>-2.5442101025116903</v>
      </c>
      <c r="BB301" s="77">
        <v>-3.1791012419090103</v>
      </c>
      <c r="BC301" s="65"/>
      <c r="BD301" s="78"/>
      <c r="BE301" s="78"/>
      <c r="BF301" s="78"/>
      <c r="BG301" s="78"/>
      <c r="BH301" s="70"/>
      <c r="BI301" s="65"/>
      <c r="BJ301" s="78"/>
      <c r="BK301" s="78"/>
      <c r="BL301" s="78"/>
      <c r="BM301" s="78"/>
      <c r="BN301" s="70"/>
      <c r="BO301" s="65"/>
      <c r="BP301" s="78"/>
      <c r="BQ301" s="78"/>
      <c r="BR301" s="78"/>
      <c r="BS301" s="78"/>
      <c r="BT301" s="70"/>
      <c r="BU301" s="65"/>
      <c r="BV301" s="78"/>
      <c r="BW301" s="78"/>
      <c r="BX301" s="78"/>
      <c r="BY301" s="78"/>
      <c r="BZ301" s="70"/>
      <c r="CA301" s="80"/>
      <c r="CB301" s="78"/>
      <c r="CC301" s="78"/>
      <c r="CD301" s="78"/>
      <c r="CE301" s="78"/>
      <c r="CF301" s="70"/>
    </row>
    <row r="302" spans="1:84" ht="12" customHeight="1">
      <c r="A302" s="2"/>
      <c r="B302" s="64">
        <v>290</v>
      </c>
      <c r="C302" s="65">
        <v>10</v>
      </c>
      <c r="D302" s="66" t="s">
        <v>16</v>
      </c>
      <c r="E302" s="69" t="s">
        <v>179</v>
      </c>
      <c r="F302" s="70">
        <v>2</v>
      </c>
      <c r="G302" s="71">
        <v>588.02731707317071</v>
      </c>
      <c r="H302" s="72">
        <v>294.01365853658535</v>
      </c>
      <c r="I302" s="72"/>
      <c r="J302" s="72"/>
      <c r="K302" s="72"/>
      <c r="L302" s="73"/>
      <c r="M302" s="71">
        <v>588.02731707317071</v>
      </c>
      <c r="N302" s="72">
        <v>588.02731707317071</v>
      </c>
      <c r="O302" s="72"/>
      <c r="P302" s="72"/>
      <c r="Q302" s="72"/>
      <c r="R302" s="73"/>
      <c r="S302" s="71">
        <v>590.4</v>
      </c>
      <c r="T302" s="72">
        <v>294</v>
      </c>
      <c r="U302" s="72">
        <v>289</v>
      </c>
      <c r="V302" s="72">
        <v>303</v>
      </c>
      <c r="W302" s="72">
        <v>300</v>
      </c>
      <c r="X302" s="73">
        <v>290</v>
      </c>
      <c r="Y302" s="71"/>
      <c r="Z302" s="72"/>
      <c r="AA302" s="72"/>
      <c r="AB302" s="72"/>
      <c r="AC302" s="72"/>
      <c r="AD302" s="73"/>
      <c r="AE302" s="71"/>
      <c r="AF302" s="72"/>
      <c r="AG302" s="72"/>
      <c r="AH302" s="72"/>
      <c r="AI302" s="72"/>
      <c r="AJ302" s="73"/>
      <c r="AK302" s="71"/>
      <c r="AL302" s="72"/>
      <c r="AM302" s="72"/>
      <c r="AN302" s="72"/>
      <c r="AO302" s="72"/>
      <c r="AP302" s="73"/>
      <c r="AQ302" s="71"/>
      <c r="AR302" s="72"/>
      <c r="AS302" s="72"/>
      <c r="AT302" s="72"/>
      <c r="AU302" s="72"/>
      <c r="AV302" s="73"/>
      <c r="AW302" s="75">
        <v>0.40349875897585097</v>
      </c>
      <c r="AX302" s="76">
        <v>-4.6455449224103162E-3</v>
      </c>
      <c r="AY302" s="76">
        <v>-1.7052468111652286</v>
      </c>
      <c r="AZ302" s="76">
        <v>3.0564367343146603</v>
      </c>
      <c r="BA302" s="76">
        <v>2.0360759745689627</v>
      </c>
      <c r="BB302" s="77">
        <v>-1.3651265579166627</v>
      </c>
      <c r="BC302" s="65"/>
      <c r="BD302" s="78"/>
      <c r="BE302" s="78"/>
      <c r="BF302" s="78"/>
      <c r="BG302" s="78"/>
      <c r="BH302" s="70"/>
      <c r="BI302" s="65"/>
      <c r="BJ302" s="78"/>
      <c r="BK302" s="78"/>
      <c r="BL302" s="78"/>
      <c r="BM302" s="78"/>
      <c r="BN302" s="70"/>
      <c r="BO302" s="65"/>
      <c r="BP302" s="78"/>
      <c r="BQ302" s="78"/>
      <c r="BR302" s="78"/>
      <c r="BS302" s="78"/>
      <c r="BT302" s="70"/>
      <c r="BU302" s="65"/>
      <c r="BV302" s="78"/>
      <c r="BW302" s="78"/>
      <c r="BX302" s="78"/>
      <c r="BY302" s="78"/>
      <c r="BZ302" s="70"/>
      <c r="CA302" s="80"/>
      <c r="CB302" s="78"/>
      <c r="CC302" s="78"/>
      <c r="CD302" s="78"/>
      <c r="CE302" s="78"/>
      <c r="CF302" s="70"/>
    </row>
    <row r="303" spans="1:84" ht="12" customHeight="1">
      <c r="A303" s="2"/>
      <c r="B303" s="64">
        <v>291</v>
      </c>
      <c r="C303" s="65">
        <v>10</v>
      </c>
      <c r="D303" s="66" t="s">
        <v>16</v>
      </c>
      <c r="E303" s="69" t="s">
        <v>182</v>
      </c>
      <c r="F303" s="70">
        <v>3</v>
      </c>
      <c r="G303" s="71">
        <v>882.04097560975606</v>
      </c>
      <c r="H303" s="72">
        <v>294.01365853658535</v>
      </c>
      <c r="I303" s="72"/>
      <c r="J303" s="72"/>
      <c r="K303" s="72"/>
      <c r="L303" s="73"/>
      <c r="M303" s="71">
        <v>588.02731707317071</v>
      </c>
      <c r="N303" s="72">
        <v>588.02731707317071</v>
      </c>
      <c r="O303" s="72"/>
      <c r="P303" s="72"/>
      <c r="Q303" s="72"/>
      <c r="R303" s="73"/>
      <c r="S303" s="71">
        <v>878.40000000000009</v>
      </c>
      <c r="T303" s="72">
        <v>306</v>
      </c>
      <c r="U303" s="72">
        <v>289</v>
      </c>
      <c r="V303" s="72">
        <v>286</v>
      </c>
      <c r="W303" s="72">
        <v>301</v>
      </c>
      <c r="X303" s="73">
        <v>282</v>
      </c>
      <c r="Y303" s="71"/>
      <c r="Z303" s="72"/>
      <c r="AA303" s="72"/>
      <c r="AB303" s="72"/>
      <c r="AC303" s="72"/>
      <c r="AD303" s="73"/>
      <c r="AE303" s="71"/>
      <c r="AF303" s="72"/>
      <c r="AG303" s="72"/>
      <c r="AH303" s="72"/>
      <c r="AI303" s="72"/>
      <c r="AJ303" s="73"/>
      <c r="AK303" s="71"/>
      <c r="AL303" s="72"/>
      <c r="AM303" s="72"/>
      <c r="AN303" s="72"/>
      <c r="AO303" s="72"/>
      <c r="AP303" s="73"/>
      <c r="AQ303" s="71"/>
      <c r="AR303" s="72"/>
      <c r="AS303" s="72"/>
      <c r="AT303" s="72"/>
      <c r="AU303" s="72"/>
      <c r="AV303" s="73"/>
      <c r="AW303" s="75">
        <v>-0.4127898488206827</v>
      </c>
      <c r="AX303" s="76">
        <v>4.0767974940603358</v>
      </c>
      <c r="AY303" s="76">
        <v>-1.7052468111652286</v>
      </c>
      <c r="AZ303" s="76">
        <v>-2.7256075709109262</v>
      </c>
      <c r="BA303" s="76">
        <v>2.3761962278175286</v>
      </c>
      <c r="BB303" s="77">
        <v>-4.0860885839051786</v>
      </c>
      <c r="BC303" s="65"/>
      <c r="BD303" s="78"/>
      <c r="BE303" s="78"/>
      <c r="BF303" s="78"/>
      <c r="BG303" s="78"/>
      <c r="BH303" s="70"/>
      <c r="BI303" s="65"/>
      <c r="BJ303" s="78"/>
      <c r="BK303" s="78"/>
      <c r="BL303" s="78"/>
      <c r="BM303" s="78"/>
      <c r="BN303" s="70"/>
      <c r="BO303" s="65"/>
      <c r="BP303" s="78"/>
      <c r="BQ303" s="78"/>
      <c r="BR303" s="78"/>
      <c r="BS303" s="78"/>
      <c r="BT303" s="70"/>
      <c r="BU303" s="65"/>
      <c r="BV303" s="78"/>
      <c r="BW303" s="78"/>
      <c r="BX303" s="78"/>
      <c r="BY303" s="78"/>
      <c r="BZ303" s="70"/>
      <c r="CA303" s="80"/>
      <c r="CB303" s="78"/>
      <c r="CC303" s="78"/>
      <c r="CD303" s="78"/>
      <c r="CE303" s="78"/>
      <c r="CF303" s="70"/>
    </row>
    <row r="304" spans="1:84" ht="12" customHeight="1">
      <c r="A304" s="2"/>
      <c r="B304" s="64">
        <v>292</v>
      </c>
      <c r="C304" s="65">
        <v>10</v>
      </c>
      <c r="D304" s="66" t="s">
        <v>16</v>
      </c>
      <c r="E304" s="69" t="s">
        <v>145</v>
      </c>
      <c r="F304" s="70">
        <v>2</v>
      </c>
      <c r="G304" s="71">
        <v>882.04097560975606</v>
      </c>
      <c r="H304" s="72">
        <v>441.02048780487803</v>
      </c>
      <c r="I304" s="72"/>
      <c r="J304" s="72"/>
      <c r="K304" s="72"/>
      <c r="L304" s="73"/>
      <c r="M304" s="71">
        <v>882.04097560975617</v>
      </c>
      <c r="N304" s="72">
        <v>882.04097560975617</v>
      </c>
      <c r="O304" s="72"/>
      <c r="P304" s="72"/>
      <c r="Q304" s="72"/>
      <c r="R304" s="73"/>
      <c r="S304" s="71">
        <v>870.4</v>
      </c>
      <c r="T304" s="72">
        <v>451</v>
      </c>
      <c r="U304" s="72">
        <v>420</v>
      </c>
      <c r="V304" s="72">
        <v>444</v>
      </c>
      <c r="W304" s="72">
        <v>439</v>
      </c>
      <c r="X304" s="73">
        <v>422</v>
      </c>
      <c r="Y304" s="71"/>
      <c r="Z304" s="72"/>
      <c r="AA304" s="72"/>
      <c r="AB304" s="72"/>
      <c r="AC304" s="72"/>
      <c r="AD304" s="73"/>
      <c r="AE304" s="71"/>
      <c r="AF304" s="72"/>
      <c r="AG304" s="72"/>
      <c r="AH304" s="72"/>
      <c r="AI304" s="72"/>
      <c r="AJ304" s="73"/>
      <c r="AK304" s="71"/>
      <c r="AL304" s="72"/>
      <c r="AM304" s="72"/>
      <c r="AN304" s="72"/>
      <c r="AO304" s="72"/>
      <c r="AP304" s="73"/>
      <c r="AQ304" s="71"/>
      <c r="AR304" s="72"/>
      <c r="AS304" s="72"/>
      <c r="AT304" s="72"/>
      <c r="AU304" s="72"/>
      <c r="AV304" s="73"/>
      <c r="AW304" s="75">
        <v>-1.3197771908168621</v>
      </c>
      <c r="AX304" s="76">
        <v>2.2628228100679992</v>
      </c>
      <c r="AY304" s="76">
        <v>-4.7663290904022997</v>
      </c>
      <c r="AZ304" s="76">
        <v>0.67559496157472143</v>
      </c>
      <c r="BA304" s="76">
        <v>-0.45813921592049445</v>
      </c>
      <c r="BB304" s="77">
        <v>-4.3128354194042151</v>
      </c>
      <c r="BC304" s="65"/>
      <c r="BD304" s="78"/>
      <c r="BE304" s="78"/>
      <c r="BF304" s="78"/>
      <c r="BG304" s="78"/>
      <c r="BH304" s="70"/>
      <c r="BI304" s="65"/>
      <c r="BJ304" s="78"/>
      <c r="BK304" s="78"/>
      <c r="BL304" s="78"/>
      <c r="BM304" s="78"/>
      <c r="BN304" s="70"/>
      <c r="BO304" s="65"/>
      <c r="BP304" s="78"/>
      <c r="BQ304" s="78"/>
      <c r="BR304" s="78"/>
      <c r="BS304" s="78"/>
      <c r="BT304" s="70"/>
      <c r="BU304" s="65"/>
      <c r="BV304" s="78"/>
      <c r="BW304" s="78"/>
      <c r="BX304" s="78"/>
      <c r="BY304" s="78"/>
      <c r="BZ304" s="70"/>
      <c r="CA304" s="80"/>
      <c r="CB304" s="78"/>
      <c r="CC304" s="78"/>
      <c r="CD304" s="78"/>
      <c r="CE304" s="78"/>
      <c r="CF304" s="70"/>
    </row>
    <row r="305" spans="1:84" ht="12" customHeight="1">
      <c r="A305" s="2"/>
      <c r="B305" s="64">
        <v>293</v>
      </c>
      <c r="C305" s="65">
        <v>10</v>
      </c>
      <c r="D305" s="66" t="s">
        <v>17</v>
      </c>
      <c r="E305" s="69" t="s">
        <v>67</v>
      </c>
      <c r="F305" s="70">
        <v>2</v>
      </c>
      <c r="G305" s="71">
        <v>387.31707317073165</v>
      </c>
      <c r="H305" s="72">
        <v>193.65853658536582</v>
      </c>
      <c r="I305" s="72">
        <v>193.65853658536582</v>
      </c>
      <c r="J305" s="72">
        <v>0</v>
      </c>
      <c r="K305" s="72"/>
      <c r="L305" s="73"/>
      <c r="M305" s="71">
        <v>774.63414634146329</v>
      </c>
      <c r="N305" s="72">
        <v>387.31707317073165</v>
      </c>
      <c r="O305" s="72">
        <v>387.31707317073165</v>
      </c>
      <c r="P305" s="72">
        <v>0</v>
      </c>
      <c r="Q305" s="72"/>
      <c r="R305" s="73"/>
      <c r="S305" s="71">
        <v>198</v>
      </c>
      <c r="T305" s="72">
        <v>186</v>
      </c>
      <c r="U305" s="72">
        <v>224</v>
      </c>
      <c r="V305" s="72">
        <v>199</v>
      </c>
      <c r="W305" s="72">
        <v>190</v>
      </c>
      <c r="X305" s="73">
        <v>191</v>
      </c>
      <c r="Y305" s="71">
        <v>191.2</v>
      </c>
      <c r="Z305" s="72">
        <v>193</v>
      </c>
      <c r="AA305" s="72">
        <v>199</v>
      </c>
      <c r="AB305" s="72">
        <v>197</v>
      </c>
      <c r="AC305" s="72">
        <v>184</v>
      </c>
      <c r="AD305" s="73">
        <v>183</v>
      </c>
      <c r="AE305" s="71"/>
      <c r="AF305" s="72"/>
      <c r="AG305" s="72"/>
      <c r="AH305" s="72"/>
      <c r="AI305" s="72"/>
      <c r="AJ305" s="73"/>
      <c r="AK305" s="71"/>
      <c r="AL305" s="72"/>
      <c r="AM305" s="72"/>
      <c r="AN305" s="72"/>
      <c r="AO305" s="72"/>
      <c r="AP305" s="73"/>
      <c r="AQ305" s="71"/>
      <c r="AR305" s="72"/>
      <c r="AS305" s="72"/>
      <c r="AT305" s="72"/>
      <c r="AU305" s="72"/>
      <c r="AV305" s="73"/>
      <c r="AW305" s="75">
        <v>0.48614609571788758</v>
      </c>
      <c r="AX305" s="76">
        <v>-2.1473551637279487</v>
      </c>
      <c r="AY305" s="76">
        <v>9.2128463476070621</v>
      </c>
      <c r="AZ305" s="76">
        <v>2.2418136020151191</v>
      </c>
      <c r="BA305" s="76">
        <v>-3.4382871536523751</v>
      </c>
      <c r="BB305" s="77">
        <v>-3.4382871536523751</v>
      </c>
      <c r="BC305" s="65"/>
      <c r="BD305" s="78"/>
      <c r="BE305" s="78"/>
      <c r="BF305" s="78"/>
      <c r="BG305" s="78"/>
      <c r="BH305" s="70"/>
      <c r="BI305" s="65"/>
      <c r="BJ305" s="78"/>
      <c r="BK305" s="78"/>
      <c r="BL305" s="78"/>
      <c r="BM305" s="78"/>
      <c r="BN305" s="70"/>
      <c r="BO305" s="65"/>
      <c r="BP305" s="78"/>
      <c r="BQ305" s="78"/>
      <c r="BR305" s="78"/>
      <c r="BS305" s="78"/>
      <c r="BT305" s="70"/>
      <c r="BU305" s="65"/>
      <c r="BV305" s="78"/>
      <c r="BW305" s="78"/>
      <c r="BX305" s="78"/>
      <c r="BY305" s="78"/>
      <c r="BZ305" s="70"/>
      <c r="CA305" s="80"/>
      <c r="CB305" s="78"/>
      <c r="CC305" s="78"/>
      <c r="CD305" s="78"/>
      <c r="CE305" s="78"/>
      <c r="CF305" s="70"/>
    </row>
    <row r="306" spans="1:84" ht="12" customHeight="1">
      <c r="A306" s="2"/>
      <c r="B306" s="64">
        <v>294</v>
      </c>
      <c r="C306" s="65">
        <v>10</v>
      </c>
      <c r="D306" s="66" t="s">
        <v>17</v>
      </c>
      <c r="E306" s="69" t="s">
        <v>87</v>
      </c>
      <c r="F306" s="70">
        <v>3</v>
      </c>
      <c r="G306" s="71">
        <v>580.97560975609747</v>
      </c>
      <c r="H306" s="72">
        <v>193.65853658536582</v>
      </c>
      <c r="I306" s="72">
        <v>193.65853658536582</v>
      </c>
      <c r="J306" s="72">
        <v>193.65853658536582</v>
      </c>
      <c r="K306" s="72"/>
      <c r="L306" s="73"/>
      <c r="M306" s="71">
        <v>1161.9512195121949</v>
      </c>
      <c r="N306" s="72">
        <v>387.31707317073165</v>
      </c>
      <c r="O306" s="72">
        <v>387.31707317073165</v>
      </c>
      <c r="P306" s="72">
        <v>387.31707317073165</v>
      </c>
      <c r="Q306" s="72"/>
      <c r="R306" s="73"/>
      <c r="S306" s="71">
        <v>198</v>
      </c>
      <c r="T306" s="72">
        <v>186</v>
      </c>
      <c r="U306" s="72">
        <v>224</v>
      </c>
      <c r="V306" s="72">
        <v>199</v>
      </c>
      <c r="W306" s="72">
        <v>190</v>
      </c>
      <c r="X306" s="73">
        <v>191</v>
      </c>
      <c r="Y306" s="71">
        <v>191.2</v>
      </c>
      <c r="Z306" s="72">
        <v>193</v>
      </c>
      <c r="AA306" s="72">
        <v>199</v>
      </c>
      <c r="AB306" s="72">
        <v>197</v>
      </c>
      <c r="AC306" s="72">
        <v>184</v>
      </c>
      <c r="AD306" s="73">
        <v>183</v>
      </c>
      <c r="AE306" s="71">
        <v>190.2</v>
      </c>
      <c r="AF306" s="72">
        <v>183</v>
      </c>
      <c r="AG306" s="72">
        <v>195</v>
      </c>
      <c r="AH306" s="72">
        <v>194</v>
      </c>
      <c r="AI306" s="72">
        <v>194</v>
      </c>
      <c r="AJ306" s="73">
        <v>185</v>
      </c>
      <c r="AK306" s="71"/>
      <c r="AL306" s="72"/>
      <c r="AM306" s="72"/>
      <c r="AN306" s="72"/>
      <c r="AO306" s="72"/>
      <c r="AP306" s="73"/>
      <c r="AQ306" s="71"/>
      <c r="AR306" s="72"/>
      <c r="AS306" s="72"/>
      <c r="AT306" s="72"/>
      <c r="AU306" s="72"/>
      <c r="AV306" s="73"/>
      <c r="AW306" s="75">
        <v>-0.27120067170444129</v>
      </c>
      <c r="AX306" s="76">
        <v>-3.2661628883291161</v>
      </c>
      <c r="AY306" s="76">
        <v>6.372795969773315</v>
      </c>
      <c r="AZ306" s="76">
        <v>1.553316540722105</v>
      </c>
      <c r="BA306" s="76">
        <v>-2.2334172963895726</v>
      </c>
      <c r="BB306" s="77">
        <v>-3.7825356842988933</v>
      </c>
      <c r="BC306" s="65"/>
      <c r="BD306" s="78"/>
      <c r="BE306" s="78"/>
      <c r="BF306" s="78"/>
      <c r="BG306" s="78"/>
      <c r="BH306" s="70"/>
      <c r="BI306" s="65"/>
      <c r="BJ306" s="78"/>
      <c r="BK306" s="78"/>
      <c r="BL306" s="78"/>
      <c r="BM306" s="78"/>
      <c r="BN306" s="70"/>
      <c r="BO306" s="65"/>
      <c r="BP306" s="78"/>
      <c r="BQ306" s="78"/>
      <c r="BR306" s="78"/>
      <c r="BS306" s="78"/>
      <c r="BT306" s="70"/>
      <c r="BU306" s="65"/>
      <c r="BV306" s="78"/>
      <c r="BW306" s="78"/>
      <c r="BX306" s="78"/>
      <c r="BY306" s="78"/>
      <c r="BZ306" s="70"/>
      <c r="CA306" s="80"/>
      <c r="CB306" s="78"/>
      <c r="CC306" s="78"/>
      <c r="CD306" s="78"/>
      <c r="CE306" s="78"/>
      <c r="CF306" s="70"/>
    </row>
    <row r="307" spans="1:84" ht="12" customHeight="1">
      <c r="A307" s="2"/>
      <c r="B307" s="64">
        <v>295</v>
      </c>
      <c r="C307" s="65">
        <v>10</v>
      </c>
      <c r="D307" s="66" t="s">
        <v>17</v>
      </c>
      <c r="E307" s="69" t="s">
        <v>89</v>
      </c>
      <c r="F307" s="70">
        <v>2</v>
      </c>
      <c r="G307" s="71">
        <v>484.14634146341456</v>
      </c>
      <c r="H307" s="72">
        <v>290.48780487804873</v>
      </c>
      <c r="I307" s="72">
        <v>193.65853658536582</v>
      </c>
      <c r="J307" s="72">
        <v>0</v>
      </c>
      <c r="K307" s="72"/>
      <c r="L307" s="73"/>
      <c r="M307" s="71">
        <v>968.29268292682912</v>
      </c>
      <c r="N307" s="72">
        <v>580.97560975609747</v>
      </c>
      <c r="O307" s="72">
        <v>387.31707317073165</v>
      </c>
      <c r="P307" s="72">
        <v>0</v>
      </c>
      <c r="Q307" s="72"/>
      <c r="R307" s="73"/>
      <c r="S307" s="71">
        <v>278.2</v>
      </c>
      <c r="T307" s="72">
        <v>279</v>
      </c>
      <c r="U307" s="72">
        <v>276</v>
      </c>
      <c r="V307" s="72">
        <v>294</v>
      </c>
      <c r="W307" s="72">
        <v>271</v>
      </c>
      <c r="X307" s="73">
        <v>271</v>
      </c>
      <c r="Y307" s="71">
        <v>187.6</v>
      </c>
      <c r="Z307" s="72">
        <v>185</v>
      </c>
      <c r="AA307" s="72">
        <v>191</v>
      </c>
      <c r="AB307" s="72">
        <v>181</v>
      </c>
      <c r="AC307" s="72">
        <v>186</v>
      </c>
      <c r="AD307" s="73">
        <v>195</v>
      </c>
      <c r="AE307" s="71"/>
      <c r="AF307" s="72"/>
      <c r="AG307" s="72"/>
      <c r="AH307" s="72"/>
      <c r="AI307" s="72"/>
      <c r="AJ307" s="73"/>
      <c r="AK307" s="71"/>
      <c r="AL307" s="72"/>
      <c r="AM307" s="72"/>
      <c r="AN307" s="72"/>
      <c r="AO307" s="72"/>
      <c r="AP307" s="73"/>
      <c r="AQ307" s="71"/>
      <c r="AR307" s="72"/>
      <c r="AS307" s="72"/>
      <c r="AT307" s="72"/>
      <c r="AU307" s="72"/>
      <c r="AV307" s="73"/>
      <c r="AW307" s="75">
        <v>-3.7894206549118348</v>
      </c>
      <c r="AX307" s="76">
        <v>-4.1612090680100629</v>
      </c>
      <c r="AY307" s="76">
        <v>-3.5415617128463306</v>
      </c>
      <c r="AZ307" s="76">
        <v>-1.8891687657430545</v>
      </c>
      <c r="BA307" s="76">
        <v>-5.6070528967254285</v>
      </c>
      <c r="BB307" s="77">
        <v>-3.7481108312342415</v>
      </c>
      <c r="BC307" s="65"/>
      <c r="BD307" s="78"/>
      <c r="BE307" s="78"/>
      <c r="BF307" s="78"/>
      <c r="BG307" s="78"/>
      <c r="BH307" s="70"/>
      <c r="BI307" s="65"/>
      <c r="BJ307" s="78"/>
      <c r="BK307" s="78"/>
      <c r="BL307" s="78"/>
      <c r="BM307" s="78"/>
      <c r="BN307" s="70"/>
      <c r="BO307" s="65"/>
      <c r="BP307" s="78"/>
      <c r="BQ307" s="78"/>
      <c r="BR307" s="78"/>
      <c r="BS307" s="78"/>
      <c r="BT307" s="70"/>
      <c r="BU307" s="65"/>
      <c r="BV307" s="78"/>
      <c r="BW307" s="78"/>
      <c r="BX307" s="78"/>
      <c r="BY307" s="78"/>
      <c r="BZ307" s="70"/>
      <c r="CA307" s="80"/>
      <c r="CB307" s="78"/>
      <c r="CC307" s="78"/>
      <c r="CD307" s="78"/>
      <c r="CE307" s="78"/>
      <c r="CF307" s="70"/>
    </row>
    <row r="308" spans="1:84" ht="12" customHeight="1">
      <c r="A308" s="2"/>
      <c r="B308" s="64">
        <v>296</v>
      </c>
      <c r="C308" s="65">
        <v>10</v>
      </c>
      <c r="D308" s="66" t="s">
        <v>17</v>
      </c>
      <c r="E308" s="69" t="s">
        <v>91</v>
      </c>
      <c r="F308" s="70">
        <v>2</v>
      </c>
      <c r="G308" s="71">
        <v>464.78048780487796</v>
      </c>
      <c r="H308" s="72">
        <v>193.65853658536582</v>
      </c>
      <c r="I308" s="72">
        <v>271.12195121951214</v>
      </c>
      <c r="J308" s="72">
        <v>0</v>
      </c>
      <c r="K308" s="72"/>
      <c r="L308" s="73"/>
      <c r="M308" s="71">
        <v>929.56097560975593</v>
      </c>
      <c r="N308" s="72">
        <v>387.31707317073165</v>
      </c>
      <c r="O308" s="72">
        <v>542.24390243902428</v>
      </c>
      <c r="P308" s="72">
        <v>0</v>
      </c>
      <c r="Q308" s="72"/>
      <c r="R308" s="73"/>
      <c r="S308" s="71">
        <v>195</v>
      </c>
      <c r="T308" s="72">
        <v>200</v>
      </c>
      <c r="U308" s="72">
        <v>200</v>
      </c>
      <c r="V308" s="72">
        <v>193</v>
      </c>
      <c r="W308" s="72">
        <v>190</v>
      </c>
      <c r="X308" s="73">
        <v>192</v>
      </c>
      <c r="Y308" s="71">
        <v>278.8</v>
      </c>
      <c r="Z308" s="72">
        <v>287</v>
      </c>
      <c r="AA308" s="72">
        <v>273</v>
      </c>
      <c r="AB308" s="72">
        <v>287</v>
      </c>
      <c r="AC308" s="72">
        <v>277</v>
      </c>
      <c r="AD308" s="73">
        <v>270</v>
      </c>
      <c r="AE308" s="71"/>
      <c r="AF308" s="72"/>
      <c r="AG308" s="72"/>
      <c r="AH308" s="72"/>
      <c r="AI308" s="72"/>
      <c r="AJ308" s="73"/>
      <c r="AK308" s="71"/>
      <c r="AL308" s="72"/>
      <c r="AM308" s="72"/>
      <c r="AN308" s="72"/>
      <c r="AO308" s="72"/>
      <c r="AP308" s="73"/>
      <c r="AQ308" s="71"/>
      <c r="AR308" s="72"/>
      <c r="AS308" s="72"/>
      <c r="AT308" s="72"/>
      <c r="AU308" s="72"/>
      <c r="AV308" s="73"/>
      <c r="AW308" s="75">
        <v>1.9405961376994352</v>
      </c>
      <c r="AX308" s="76">
        <v>4.7806465155331823</v>
      </c>
      <c r="AY308" s="76">
        <v>1.768471872376165</v>
      </c>
      <c r="AZ308" s="76">
        <v>3.2745591939546737</v>
      </c>
      <c r="BA308" s="76">
        <v>0.47753988245173851</v>
      </c>
      <c r="BB308" s="77">
        <v>-0.59823677581861689</v>
      </c>
      <c r="BC308" s="65"/>
      <c r="BD308" s="78"/>
      <c r="BE308" s="78"/>
      <c r="BF308" s="78"/>
      <c r="BG308" s="78"/>
      <c r="BH308" s="70"/>
      <c r="BI308" s="65"/>
      <c r="BJ308" s="78"/>
      <c r="BK308" s="78"/>
      <c r="BL308" s="78"/>
      <c r="BM308" s="78"/>
      <c r="BN308" s="70"/>
      <c r="BO308" s="65"/>
      <c r="BP308" s="78"/>
      <c r="BQ308" s="78"/>
      <c r="BR308" s="78"/>
      <c r="BS308" s="78"/>
      <c r="BT308" s="70"/>
      <c r="BU308" s="65"/>
      <c r="BV308" s="78"/>
      <c r="BW308" s="78"/>
      <c r="BX308" s="78"/>
      <c r="BY308" s="78"/>
      <c r="BZ308" s="70"/>
      <c r="CA308" s="80"/>
      <c r="CB308" s="78"/>
      <c r="CC308" s="78"/>
      <c r="CD308" s="78"/>
      <c r="CE308" s="78"/>
      <c r="CF308" s="70"/>
    </row>
    <row r="309" spans="1:84" ht="12" customHeight="1">
      <c r="A309" s="2"/>
      <c r="B309" s="64">
        <v>297</v>
      </c>
      <c r="C309" s="65">
        <v>10</v>
      </c>
      <c r="D309" s="66" t="s">
        <v>17</v>
      </c>
      <c r="E309" s="69" t="s">
        <v>144</v>
      </c>
      <c r="F309" s="70">
        <v>2</v>
      </c>
      <c r="G309" s="71">
        <v>387.31707317073165</v>
      </c>
      <c r="H309" s="72">
        <v>193.65853658536582</v>
      </c>
      <c r="I309" s="72">
        <v>193.65853658536582</v>
      </c>
      <c r="J309" s="72">
        <v>0</v>
      </c>
      <c r="K309" s="72"/>
      <c r="L309" s="73"/>
      <c r="M309" s="71">
        <v>1355.6097560975606</v>
      </c>
      <c r="N309" s="72">
        <v>677.80487804878032</v>
      </c>
      <c r="O309" s="72">
        <v>677.80487804878032</v>
      </c>
      <c r="P309" s="72">
        <v>0</v>
      </c>
      <c r="Q309" s="72"/>
      <c r="R309" s="73"/>
      <c r="S309" s="71">
        <v>198</v>
      </c>
      <c r="T309" s="72">
        <v>186</v>
      </c>
      <c r="U309" s="72">
        <v>224</v>
      </c>
      <c r="V309" s="72">
        <v>199</v>
      </c>
      <c r="W309" s="72">
        <v>190</v>
      </c>
      <c r="X309" s="73">
        <v>191</v>
      </c>
      <c r="Y309" s="71">
        <v>191.2</v>
      </c>
      <c r="Z309" s="72">
        <v>193</v>
      </c>
      <c r="AA309" s="72">
        <v>199</v>
      </c>
      <c r="AB309" s="72">
        <v>197</v>
      </c>
      <c r="AC309" s="72">
        <v>184</v>
      </c>
      <c r="AD309" s="73">
        <v>183</v>
      </c>
      <c r="AE309" s="71"/>
      <c r="AF309" s="72"/>
      <c r="AG309" s="72"/>
      <c r="AH309" s="72"/>
      <c r="AI309" s="72"/>
      <c r="AJ309" s="73"/>
      <c r="AK309" s="71"/>
      <c r="AL309" s="72"/>
      <c r="AM309" s="72"/>
      <c r="AN309" s="72"/>
      <c r="AO309" s="72"/>
      <c r="AP309" s="73"/>
      <c r="AQ309" s="71"/>
      <c r="AR309" s="72"/>
      <c r="AS309" s="72"/>
      <c r="AT309" s="72"/>
      <c r="AU309" s="72"/>
      <c r="AV309" s="73"/>
      <c r="AW309" s="75">
        <v>0.48614609571788758</v>
      </c>
      <c r="AX309" s="76">
        <v>-2.1473551637279487</v>
      </c>
      <c r="AY309" s="76">
        <v>9.2128463476070621</v>
      </c>
      <c r="AZ309" s="76">
        <v>2.2418136020151191</v>
      </c>
      <c r="BA309" s="76">
        <v>-3.4382871536523751</v>
      </c>
      <c r="BB309" s="77">
        <v>-3.4382871536523751</v>
      </c>
      <c r="BC309" s="65">
        <v>685.2</v>
      </c>
      <c r="BD309" s="78">
        <v>699</v>
      </c>
      <c r="BE309" s="78">
        <v>668</v>
      </c>
      <c r="BF309" s="78">
        <v>709</v>
      </c>
      <c r="BG309" s="78">
        <v>662</v>
      </c>
      <c r="BH309" s="70">
        <v>688</v>
      </c>
      <c r="BI309" s="65">
        <v>685.2</v>
      </c>
      <c r="BJ309" s="78">
        <v>699</v>
      </c>
      <c r="BK309" s="78">
        <v>668</v>
      </c>
      <c r="BL309" s="78">
        <v>709</v>
      </c>
      <c r="BM309" s="78">
        <v>662</v>
      </c>
      <c r="BN309" s="70">
        <v>688</v>
      </c>
      <c r="BO309" s="65"/>
      <c r="BP309" s="78"/>
      <c r="BQ309" s="78"/>
      <c r="BR309" s="78"/>
      <c r="BS309" s="78"/>
      <c r="BT309" s="70"/>
      <c r="BU309" s="65"/>
      <c r="BV309" s="78"/>
      <c r="BW309" s="78"/>
      <c r="BX309" s="78"/>
      <c r="BY309" s="78"/>
      <c r="BZ309" s="70"/>
      <c r="CA309" s="110">
        <v>1.0910399424253647</v>
      </c>
      <c r="CB309" s="76">
        <v>3.127024109391896</v>
      </c>
      <c r="CC309" s="76">
        <v>-1.4465635120546771</v>
      </c>
      <c r="CD309" s="76">
        <v>4.6023749550198056</v>
      </c>
      <c r="CE309" s="76">
        <v>-2.3317740194314318</v>
      </c>
      <c r="CF309" s="77">
        <v>1.5041381792011865</v>
      </c>
    </row>
    <row r="310" spans="1:84" ht="12" customHeight="1">
      <c r="A310" s="2"/>
      <c r="B310" s="64">
        <v>298</v>
      </c>
      <c r="C310" s="65">
        <v>10</v>
      </c>
      <c r="D310" s="66" t="s">
        <v>17</v>
      </c>
      <c r="E310" s="69" t="s">
        <v>140</v>
      </c>
      <c r="F310" s="70">
        <v>2</v>
      </c>
      <c r="G310" s="71">
        <v>484.14634146341456</v>
      </c>
      <c r="H310" s="72">
        <v>290.48780487804873</v>
      </c>
      <c r="I310" s="72">
        <v>193.65853658536582</v>
      </c>
      <c r="J310" s="72">
        <v>0</v>
      </c>
      <c r="K310" s="72"/>
      <c r="L310" s="73"/>
      <c r="M310" s="71">
        <v>1694.5121951219508</v>
      </c>
      <c r="N310" s="72">
        <v>1016.7073170731705</v>
      </c>
      <c r="O310" s="72">
        <v>677.80487804878032</v>
      </c>
      <c r="P310" s="72">
        <v>0</v>
      </c>
      <c r="Q310" s="72"/>
      <c r="R310" s="73"/>
      <c r="S310" s="71">
        <v>278.2</v>
      </c>
      <c r="T310" s="72">
        <v>279</v>
      </c>
      <c r="U310" s="72">
        <v>276</v>
      </c>
      <c r="V310" s="72">
        <v>294</v>
      </c>
      <c r="W310" s="72">
        <v>271</v>
      </c>
      <c r="X310" s="73">
        <v>271</v>
      </c>
      <c r="Y310" s="71">
        <v>187.6</v>
      </c>
      <c r="Z310" s="72">
        <v>185</v>
      </c>
      <c r="AA310" s="72">
        <v>191</v>
      </c>
      <c r="AB310" s="72">
        <v>181</v>
      </c>
      <c r="AC310" s="72">
        <v>186</v>
      </c>
      <c r="AD310" s="73">
        <v>195</v>
      </c>
      <c r="AE310" s="71"/>
      <c r="AF310" s="72"/>
      <c r="AG310" s="72"/>
      <c r="AH310" s="72"/>
      <c r="AI310" s="72"/>
      <c r="AJ310" s="73"/>
      <c r="AK310" s="71"/>
      <c r="AL310" s="72"/>
      <c r="AM310" s="72"/>
      <c r="AN310" s="72"/>
      <c r="AO310" s="72"/>
      <c r="AP310" s="73"/>
      <c r="AQ310" s="71"/>
      <c r="AR310" s="72"/>
      <c r="AS310" s="72"/>
      <c r="AT310" s="72"/>
      <c r="AU310" s="72"/>
      <c r="AV310" s="73"/>
      <c r="AW310" s="75">
        <v>-3.7894206549118348</v>
      </c>
      <c r="AX310" s="76">
        <v>-4.1612090680100629</v>
      </c>
      <c r="AY310" s="76">
        <v>-3.5415617128463306</v>
      </c>
      <c r="AZ310" s="76">
        <v>-1.8891687657430545</v>
      </c>
      <c r="BA310" s="76">
        <v>-5.6070528967254285</v>
      </c>
      <c r="BB310" s="77">
        <v>-3.7481108312342415</v>
      </c>
      <c r="BC310" s="65">
        <v>1070.2</v>
      </c>
      <c r="BD310" s="78">
        <v>1012</v>
      </c>
      <c r="BE310" s="78">
        <v>1287</v>
      </c>
      <c r="BF310" s="78">
        <v>990</v>
      </c>
      <c r="BG310" s="78">
        <v>993</v>
      </c>
      <c r="BH310" s="70">
        <v>1069</v>
      </c>
      <c r="BI310" s="65">
        <v>664.2</v>
      </c>
      <c r="BJ310" s="78">
        <v>656</v>
      </c>
      <c r="BK310" s="78">
        <v>637</v>
      </c>
      <c r="BL310" s="78">
        <v>650</v>
      </c>
      <c r="BM310" s="78">
        <v>668</v>
      </c>
      <c r="BN310" s="70">
        <v>710</v>
      </c>
      <c r="BO310" s="65"/>
      <c r="BP310" s="78"/>
      <c r="BQ310" s="78"/>
      <c r="BR310" s="78"/>
      <c r="BS310" s="78"/>
      <c r="BT310" s="70"/>
      <c r="BU310" s="65"/>
      <c r="BV310" s="78"/>
      <c r="BW310" s="78"/>
      <c r="BX310" s="78"/>
      <c r="BY310" s="78"/>
      <c r="BZ310" s="70"/>
      <c r="CA310" s="110">
        <v>2.3539402662828612</v>
      </c>
      <c r="CB310" s="76">
        <v>-1.5645915797048993</v>
      </c>
      <c r="CC310" s="76">
        <v>13.543001079525041</v>
      </c>
      <c r="CD310" s="76">
        <v>-3.2169845268081754</v>
      </c>
      <c r="CE310" s="76">
        <v>-1.9776898164807211</v>
      </c>
      <c r="CF310" s="77">
        <v>4.9859661748830719</v>
      </c>
    </row>
    <row r="311" spans="1:84" ht="12" customHeight="1">
      <c r="A311" s="2"/>
      <c r="B311" s="64">
        <v>299</v>
      </c>
      <c r="C311" s="65">
        <v>10</v>
      </c>
      <c r="D311" s="66" t="s">
        <v>17</v>
      </c>
      <c r="E311" s="69" t="s">
        <v>141</v>
      </c>
      <c r="F311" s="70">
        <v>2</v>
      </c>
      <c r="G311" s="71">
        <v>464.78048780487796</v>
      </c>
      <c r="H311" s="72">
        <v>193.65853658536582</v>
      </c>
      <c r="I311" s="72">
        <v>271.12195121951214</v>
      </c>
      <c r="J311" s="72">
        <v>0</v>
      </c>
      <c r="K311" s="72"/>
      <c r="L311" s="73"/>
      <c r="M311" s="71">
        <v>1626.731707317073</v>
      </c>
      <c r="N311" s="72">
        <v>677.80487804878032</v>
      </c>
      <c r="O311" s="72">
        <v>948.92682926829252</v>
      </c>
      <c r="P311" s="72">
        <v>0</v>
      </c>
      <c r="Q311" s="72"/>
      <c r="R311" s="73"/>
      <c r="S311" s="71">
        <v>195</v>
      </c>
      <c r="T311" s="72">
        <v>200</v>
      </c>
      <c r="U311" s="72">
        <v>200</v>
      </c>
      <c r="V311" s="72">
        <v>193</v>
      </c>
      <c r="W311" s="72">
        <v>190</v>
      </c>
      <c r="X311" s="73">
        <v>192</v>
      </c>
      <c r="Y311" s="71">
        <v>278.8</v>
      </c>
      <c r="Z311" s="72">
        <v>287</v>
      </c>
      <c r="AA311" s="72">
        <v>273</v>
      </c>
      <c r="AB311" s="72">
        <v>287</v>
      </c>
      <c r="AC311" s="72">
        <v>277</v>
      </c>
      <c r="AD311" s="73">
        <v>270</v>
      </c>
      <c r="AE311" s="71"/>
      <c r="AF311" s="72"/>
      <c r="AG311" s="72"/>
      <c r="AH311" s="72"/>
      <c r="AI311" s="72"/>
      <c r="AJ311" s="73"/>
      <c r="AK311" s="71"/>
      <c r="AL311" s="72"/>
      <c r="AM311" s="72"/>
      <c r="AN311" s="72"/>
      <c r="AO311" s="72"/>
      <c r="AP311" s="73"/>
      <c r="AQ311" s="71"/>
      <c r="AR311" s="72"/>
      <c r="AS311" s="72"/>
      <c r="AT311" s="72"/>
      <c r="AU311" s="72"/>
      <c r="AV311" s="73"/>
      <c r="AW311" s="75">
        <v>1.9405961376994352</v>
      </c>
      <c r="AX311" s="76">
        <v>4.7806465155331823</v>
      </c>
      <c r="AY311" s="76">
        <v>1.768471872376165</v>
      </c>
      <c r="AZ311" s="76">
        <v>3.2745591939546737</v>
      </c>
      <c r="BA311" s="76">
        <v>0.47753988245173851</v>
      </c>
      <c r="BB311" s="77">
        <v>-0.59823677581861689</v>
      </c>
      <c r="BC311" s="65">
        <v>675.8</v>
      </c>
      <c r="BD311" s="78">
        <v>654</v>
      </c>
      <c r="BE311" s="78">
        <v>675</v>
      </c>
      <c r="BF311" s="78">
        <v>658</v>
      </c>
      <c r="BG311" s="78">
        <v>679</v>
      </c>
      <c r="BH311" s="70">
        <v>713</v>
      </c>
      <c r="BI311" s="65">
        <v>964.2</v>
      </c>
      <c r="BJ311" s="78">
        <v>988</v>
      </c>
      <c r="BK311" s="78">
        <v>919</v>
      </c>
      <c r="BL311" s="78">
        <v>1008</v>
      </c>
      <c r="BM311" s="78">
        <v>929</v>
      </c>
      <c r="BN311" s="70">
        <v>977</v>
      </c>
      <c r="BO311" s="65"/>
      <c r="BP311" s="78"/>
      <c r="BQ311" s="78"/>
      <c r="BR311" s="78"/>
      <c r="BS311" s="78"/>
      <c r="BT311" s="70"/>
      <c r="BU311" s="65"/>
      <c r="BV311" s="78"/>
      <c r="BW311" s="78"/>
      <c r="BX311" s="78"/>
      <c r="BY311" s="78"/>
      <c r="BZ311" s="70"/>
      <c r="CA311" s="110">
        <v>0.81564111790812799</v>
      </c>
      <c r="CB311" s="76">
        <v>0.93858702171045749</v>
      </c>
      <c r="CC311" s="76">
        <v>-2.012114669545384</v>
      </c>
      <c r="CD311" s="76">
        <v>2.4139378673383893</v>
      </c>
      <c r="CE311" s="76">
        <v>-1.1514933429290997</v>
      </c>
      <c r="CF311" s="77">
        <v>3.889288712966299</v>
      </c>
    </row>
    <row r="312" spans="1:84" ht="12" customHeight="1">
      <c r="A312" s="2"/>
      <c r="B312" s="64">
        <v>300</v>
      </c>
      <c r="C312" s="65">
        <v>10</v>
      </c>
      <c r="D312" s="66" t="s">
        <v>17</v>
      </c>
      <c r="E312" s="69" t="s">
        <v>146</v>
      </c>
      <c r="F312" s="70">
        <v>3</v>
      </c>
      <c r="G312" s="71">
        <v>580.97560975609747</v>
      </c>
      <c r="H312" s="72">
        <v>193.65853658536582</v>
      </c>
      <c r="I312" s="72">
        <v>193.65853658536582</v>
      </c>
      <c r="J312" s="72">
        <v>193.65853658536582</v>
      </c>
      <c r="K312" s="72"/>
      <c r="L312" s="73"/>
      <c r="M312" s="71">
        <v>2033.4146341463411</v>
      </c>
      <c r="N312" s="72">
        <v>677.80487804878032</v>
      </c>
      <c r="O312" s="72">
        <v>677.80487804878032</v>
      </c>
      <c r="P312" s="72">
        <v>677.80487804878032</v>
      </c>
      <c r="Q312" s="72"/>
      <c r="R312" s="73"/>
      <c r="S312" s="71">
        <v>198</v>
      </c>
      <c r="T312" s="72">
        <v>186</v>
      </c>
      <c r="U312" s="72">
        <v>224</v>
      </c>
      <c r="V312" s="72">
        <v>199</v>
      </c>
      <c r="W312" s="72">
        <v>190</v>
      </c>
      <c r="X312" s="73">
        <v>191</v>
      </c>
      <c r="Y312" s="71">
        <v>191.2</v>
      </c>
      <c r="Z312" s="72">
        <v>193</v>
      </c>
      <c r="AA312" s="72">
        <v>199</v>
      </c>
      <c r="AB312" s="72">
        <v>197</v>
      </c>
      <c r="AC312" s="72">
        <v>184</v>
      </c>
      <c r="AD312" s="73">
        <v>183</v>
      </c>
      <c r="AE312" s="71">
        <v>190.2</v>
      </c>
      <c r="AF312" s="72">
        <v>183</v>
      </c>
      <c r="AG312" s="72">
        <v>195</v>
      </c>
      <c r="AH312" s="72">
        <v>194</v>
      </c>
      <c r="AI312" s="72">
        <v>194</v>
      </c>
      <c r="AJ312" s="73">
        <v>185</v>
      </c>
      <c r="AK312" s="71"/>
      <c r="AL312" s="72"/>
      <c r="AM312" s="72"/>
      <c r="AN312" s="72"/>
      <c r="AO312" s="72"/>
      <c r="AP312" s="73"/>
      <c r="AQ312" s="71"/>
      <c r="AR312" s="72"/>
      <c r="AS312" s="72"/>
      <c r="AT312" s="72"/>
      <c r="AU312" s="72"/>
      <c r="AV312" s="73"/>
      <c r="AW312" s="75">
        <v>-0.27120067170444129</v>
      </c>
      <c r="AX312" s="76">
        <v>-3.2661628883291161</v>
      </c>
      <c r="AY312" s="76">
        <v>6.372795969773315</v>
      </c>
      <c r="AZ312" s="76">
        <v>1.553316540722105</v>
      </c>
      <c r="BA312" s="76">
        <v>-2.2334172963895726</v>
      </c>
      <c r="BB312" s="77">
        <v>-3.7825356842988933</v>
      </c>
      <c r="BC312" s="65">
        <v>685.2</v>
      </c>
      <c r="BD312" s="78">
        <v>699</v>
      </c>
      <c r="BE312" s="78">
        <v>668</v>
      </c>
      <c r="BF312" s="78">
        <v>709</v>
      </c>
      <c r="BG312" s="78">
        <v>662</v>
      </c>
      <c r="BH312" s="70">
        <v>688</v>
      </c>
      <c r="BI312" s="65">
        <v>685.2</v>
      </c>
      <c r="BJ312" s="78">
        <v>699</v>
      </c>
      <c r="BK312" s="78">
        <v>668</v>
      </c>
      <c r="BL312" s="78">
        <v>709</v>
      </c>
      <c r="BM312" s="78">
        <v>662</v>
      </c>
      <c r="BN312" s="70">
        <v>688</v>
      </c>
      <c r="BO312" s="65">
        <v>685.2</v>
      </c>
      <c r="BP312" s="78">
        <v>699</v>
      </c>
      <c r="BQ312" s="78">
        <v>668</v>
      </c>
      <c r="BR312" s="78">
        <v>709</v>
      </c>
      <c r="BS312" s="78">
        <v>662</v>
      </c>
      <c r="BT312" s="70">
        <v>688</v>
      </c>
      <c r="BU312" s="65"/>
      <c r="BV312" s="78"/>
      <c r="BW312" s="78"/>
      <c r="BX312" s="78"/>
      <c r="BY312" s="78"/>
      <c r="BZ312" s="70"/>
      <c r="CA312" s="110">
        <v>1.0910399424253647</v>
      </c>
      <c r="CB312" s="76">
        <v>3.127024109391896</v>
      </c>
      <c r="CC312" s="76">
        <v>-1.4465635120546771</v>
      </c>
      <c r="CD312" s="76">
        <v>4.6023749550198056</v>
      </c>
      <c r="CE312" s="76">
        <v>-2.3317740194314318</v>
      </c>
      <c r="CF312" s="77">
        <v>1.5041381792011643</v>
      </c>
    </row>
    <row r="313" spans="1:84" ht="12" customHeight="1">
      <c r="A313" s="2"/>
      <c r="B313" s="64">
        <v>301</v>
      </c>
      <c r="C313" s="65">
        <v>10</v>
      </c>
      <c r="D313" s="66" t="s">
        <v>17</v>
      </c>
      <c r="E313" s="69" t="s">
        <v>117</v>
      </c>
      <c r="F313" s="70">
        <v>3</v>
      </c>
      <c r="G313" s="71">
        <v>677.80487804878044</v>
      </c>
      <c r="H313" s="72">
        <v>290.48780487804873</v>
      </c>
      <c r="I313" s="72">
        <v>193.65853658536582</v>
      </c>
      <c r="J313" s="72">
        <v>193.65853658536582</v>
      </c>
      <c r="K313" s="72"/>
      <c r="L313" s="73"/>
      <c r="M313" s="71">
        <v>1355.6097560975609</v>
      </c>
      <c r="N313" s="72">
        <v>580.97560975609747</v>
      </c>
      <c r="O313" s="72">
        <v>387.31707317073165</v>
      </c>
      <c r="P313" s="72">
        <v>387.31707317073165</v>
      </c>
      <c r="Q313" s="72"/>
      <c r="R313" s="73"/>
      <c r="S313" s="71">
        <v>295.39999999999998</v>
      </c>
      <c r="T313" s="72">
        <v>294</v>
      </c>
      <c r="U313" s="72">
        <v>300</v>
      </c>
      <c r="V313" s="72">
        <v>277</v>
      </c>
      <c r="W313" s="72">
        <v>300</v>
      </c>
      <c r="X313" s="73">
        <v>306</v>
      </c>
      <c r="Y313" s="71">
        <v>201.4</v>
      </c>
      <c r="Z313" s="72">
        <v>204</v>
      </c>
      <c r="AA313" s="72">
        <v>203</v>
      </c>
      <c r="AB313" s="72">
        <v>190</v>
      </c>
      <c r="AC313" s="72">
        <v>204</v>
      </c>
      <c r="AD313" s="73">
        <v>206</v>
      </c>
      <c r="AE313" s="71">
        <v>195.8</v>
      </c>
      <c r="AF313" s="72">
        <v>196</v>
      </c>
      <c r="AG313" s="72">
        <v>191</v>
      </c>
      <c r="AH313" s="72">
        <v>199</v>
      </c>
      <c r="AI313" s="72">
        <v>186</v>
      </c>
      <c r="AJ313" s="73">
        <v>207</v>
      </c>
      <c r="AK313" s="71"/>
      <c r="AL313" s="72"/>
      <c r="AM313" s="72"/>
      <c r="AN313" s="72"/>
      <c r="AO313" s="72"/>
      <c r="AP313" s="73"/>
      <c r="AQ313" s="71"/>
      <c r="AR313" s="72"/>
      <c r="AS313" s="72"/>
      <c r="AT313" s="72"/>
      <c r="AU313" s="72"/>
      <c r="AV313" s="73"/>
      <c r="AW313" s="75">
        <v>2.1827995681899859</v>
      </c>
      <c r="AX313" s="76">
        <v>2.389348686577919</v>
      </c>
      <c r="AY313" s="76">
        <v>2.389348686577919</v>
      </c>
      <c r="AZ313" s="76">
        <v>-1.7416336811802768</v>
      </c>
      <c r="BA313" s="76">
        <v>1.7992083483267418</v>
      </c>
      <c r="BB313" s="77">
        <v>6.0777258006477153</v>
      </c>
      <c r="BC313" s="65"/>
      <c r="BD313" s="78"/>
      <c r="BE313" s="78"/>
      <c r="BF313" s="78"/>
      <c r="BG313" s="78"/>
      <c r="BH313" s="70"/>
      <c r="BI313" s="65"/>
      <c r="BJ313" s="78"/>
      <c r="BK313" s="78"/>
      <c r="BL313" s="78"/>
      <c r="BM313" s="78"/>
      <c r="BN313" s="70"/>
      <c r="BO313" s="65"/>
      <c r="BP313" s="78"/>
      <c r="BQ313" s="78"/>
      <c r="BR313" s="78"/>
      <c r="BS313" s="78"/>
      <c r="BT313" s="70"/>
      <c r="BU313" s="65"/>
      <c r="BV313" s="78"/>
      <c r="BW313" s="78"/>
      <c r="BX313" s="78"/>
      <c r="BY313" s="78"/>
      <c r="BZ313" s="70"/>
      <c r="CA313" s="110"/>
      <c r="CB313" s="76"/>
      <c r="CC313" s="76"/>
      <c r="CD313" s="76"/>
      <c r="CE313" s="76"/>
      <c r="CF313" s="77"/>
    </row>
    <row r="314" spans="1:84" ht="12" customHeight="1">
      <c r="A314" s="2"/>
      <c r="B314" s="64">
        <v>302</v>
      </c>
      <c r="C314" s="65">
        <v>10</v>
      </c>
      <c r="D314" s="66" t="s">
        <v>17</v>
      </c>
      <c r="E314" s="69" t="s">
        <v>159</v>
      </c>
      <c r="F314" s="70">
        <v>3</v>
      </c>
      <c r="G314" s="71">
        <v>677.80487804878044</v>
      </c>
      <c r="H314" s="72">
        <v>290.48780487804873</v>
      </c>
      <c r="I314" s="72">
        <v>193.65853658536582</v>
      </c>
      <c r="J314" s="72">
        <v>193.65853658536582</v>
      </c>
      <c r="K314" s="72"/>
      <c r="L314" s="73"/>
      <c r="M314" s="71">
        <v>2372.317073170731</v>
      </c>
      <c r="N314" s="72">
        <v>1016.7073170731705</v>
      </c>
      <c r="O314" s="72">
        <v>677.80487804878032</v>
      </c>
      <c r="P314" s="72">
        <v>677.80487804878032</v>
      </c>
      <c r="Q314" s="72"/>
      <c r="R314" s="73"/>
      <c r="S314" s="71">
        <v>295.39999999999998</v>
      </c>
      <c r="T314" s="72">
        <v>294</v>
      </c>
      <c r="U314" s="72">
        <v>300</v>
      </c>
      <c r="V314" s="72">
        <v>277</v>
      </c>
      <c r="W314" s="72">
        <v>300</v>
      </c>
      <c r="X314" s="73">
        <v>306</v>
      </c>
      <c r="Y314" s="71">
        <v>201.4</v>
      </c>
      <c r="Z314" s="72">
        <v>204</v>
      </c>
      <c r="AA314" s="72">
        <v>203</v>
      </c>
      <c r="AB314" s="72">
        <v>190</v>
      </c>
      <c r="AC314" s="72">
        <v>204</v>
      </c>
      <c r="AD314" s="73">
        <v>206</v>
      </c>
      <c r="AE314" s="71">
        <v>195.8</v>
      </c>
      <c r="AF314" s="72">
        <v>196</v>
      </c>
      <c r="AG314" s="72">
        <v>191</v>
      </c>
      <c r="AH314" s="72">
        <v>199</v>
      </c>
      <c r="AI314" s="72">
        <v>186</v>
      </c>
      <c r="AJ314" s="73">
        <v>207</v>
      </c>
      <c r="AK314" s="71"/>
      <c r="AL314" s="72"/>
      <c r="AM314" s="72"/>
      <c r="AN314" s="72"/>
      <c r="AO314" s="72"/>
      <c r="AP314" s="73"/>
      <c r="AQ314" s="71"/>
      <c r="AR314" s="72"/>
      <c r="AS314" s="72"/>
      <c r="AT314" s="72"/>
      <c r="AU314" s="72"/>
      <c r="AV314" s="73"/>
      <c r="AW314" s="75">
        <v>2.1827995681899859</v>
      </c>
      <c r="AX314" s="76">
        <v>2.389348686577919</v>
      </c>
      <c r="AY314" s="76">
        <v>2.389348686577919</v>
      </c>
      <c r="AZ314" s="76">
        <v>-1.7416336811802768</v>
      </c>
      <c r="BA314" s="76">
        <v>1.7992083483267418</v>
      </c>
      <c r="BB314" s="77">
        <v>6.0777258006477153</v>
      </c>
      <c r="BC314" s="65">
        <v>1070.2</v>
      </c>
      <c r="BD314" s="78">
        <v>1012</v>
      </c>
      <c r="BE314" s="78">
        <v>1287</v>
      </c>
      <c r="BF314" s="78">
        <v>990</v>
      </c>
      <c r="BG314" s="78">
        <v>993</v>
      </c>
      <c r="BH314" s="70">
        <v>1069</v>
      </c>
      <c r="BI314" s="65">
        <v>664.2</v>
      </c>
      <c r="BJ314" s="78">
        <v>656</v>
      </c>
      <c r="BK314" s="78">
        <v>637</v>
      </c>
      <c r="BL314" s="78">
        <v>650</v>
      </c>
      <c r="BM314" s="78">
        <v>668</v>
      </c>
      <c r="BN314" s="70">
        <v>710</v>
      </c>
      <c r="BO314" s="65">
        <v>673.4</v>
      </c>
      <c r="BP314" s="78">
        <v>653</v>
      </c>
      <c r="BQ314" s="78">
        <v>678</v>
      </c>
      <c r="BR314" s="78">
        <v>652</v>
      </c>
      <c r="BS314" s="78">
        <v>686</v>
      </c>
      <c r="BT314" s="70">
        <v>698</v>
      </c>
      <c r="BU314" s="65"/>
      <c r="BV314" s="78"/>
      <c r="BW314" s="78"/>
      <c r="BX314" s="78"/>
      <c r="BY314" s="78"/>
      <c r="BZ314" s="70"/>
      <c r="CA314" s="110">
        <v>1.4957076029404659</v>
      </c>
      <c r="CB314" s="76">
        <v>-2.1631624942167971</v>
      </c>
      <c r="CC314" s="76">
        <v>9.6817971521102386</v>
      </c>
      <c r="CD314" s="76">
        <v>-3.385596052022799</v>
      </c>
      <c r="CE314" s="76">
        <v>-1.0671875803217712</v>
      </c>
      <c r="CF314" s="77">
        <v>4.4126869891533804</v>
      </c>
    </row>
    <row r="315" spans="1:84" ht="12" customHeight="1">
      <c r="A315" s="2"/>
      <c r="B315" s="64">
        <v>303</v>
      </c>
      <c r="C315" s="65">
        <v>10</v>
      </c>
      <c r="D315" s="66" t="s">
        <v>17</v>
      </c>
      <c r="E315" s="69" t="s">
        <v>134</v>
      </c>
      <c r="F315" s="70">
        <v>3</v>
      </c>
      <c r="G315" s="71">
        <v>813.36585365853648</v>
      </c>
      <c r="H315" s="72">
        <v>193.65853658536582</v>
      </c>
      <c r="I315" s="72">
        <v>271.12195121951214</v>
      </c>
      <c r="J315" s="72">
        <v>348.58536585365846</v>
      </c>
      <c r="K315" s="72"/>
      <c r="L315" s="73"/>
      <c r="M315" s="71">
        <v>1626.731707317073</v>
      </c>
      <c r="N315" s="72">
        <v>387.31707317073165</v>
      </c>
      <c r="O315" s="72">
        <v>542.24390243902428</v>
      </c>
      <c r="P315" s="72">
        <v>697.17073170731692</v>
      </c>
      <c r="Q315" s="72"/>
      <c r="R315" s="73"/>
      <c r="S315" s="71">
        <v>197.4</v>
      </c>
      <c r="T315" s="72">
        <v>199</v>
      </c>
      <c r="U315" s="72">
        <v>201</v>
      </c>
      <c r="V315" s="72">
        <v>203</v>
      </c>
      <c r="W315" s="72">
        <v>184</v>
      </c>
      <c r="X315" s="73">
        <v>200</v>
      </c>
      <c r="Y315" s="71">
        <v>268.2</v>
      </c>
      <c r="Z315" s="72">
        <v>261</v>
      </c>
      <c r="AA315" s="72">
        <v>264</v>
      </c>
      <c r="AB315" s="72">
        <v>270</v>
      </c>
      <c r="AC315" s="72">
        <v>261</v>
      </c>
      <c r="AD315" s="73">
        <v>285</v>
      </c>
      <c r="AE315" s="71">
        <v>336.6</v>
      </c>
      <c r="AF315" s="72">
        <v>306</v>
      </c>
      <c r="AG315" s="72">
        <v>345</v>
      </c>
      <c r="AH315" s="72">
        <v>343</v>
      </c>
      <c r="AI315" s="72">
        <v>331</v>
      </c>
      <c r="AJ315" s="73">
        <v>358</v>
      </c>
      <c r="AK315" s="71"/>
      <c r="AL315" s="72"/>
      <c r="AM315" s="72"/>
      <c r="AN315" s="72"/>
      <c r="AO315" s="72"/>
      <c r="AP315" s="73"/>
      <c r="AQ315" s="71"/>
      <c r="AR315" s="72"/>
      <c r="AS315" s="72"/>
      <c r="AT315" s="72"/>
      <c r="AU315" s="72"/>
      <c r="AV315" s="73"/>
      <c r="AW315" s="75">
        <v>-1.3727959697732772</v>
      </c>
      <c r="AX315" s="76">
        <v>-5.8234376874175204</v>
      </c>
      <c r="AY315" s="76">
        <v>-0.41381792011513374</v>
      </c>
      <c r="AZ315" s="76">
        <v>0.32385750269883218</v>
      </c>
      <c r="BA315" s="76">
        <v>-4.5939786493942592</v>
      </c>
      <c r="BB315" s="77">
        <v>3.6433969053616622</v>
      </c>
      <c r="BC315" s="65"/>
      <c r="BD315" s="78"/>
      <c r="BE315" s="78"/>
      <c r="BF315" s="78"/>
      <c r="BG315" s="78"/>
      <c r="BH315" s="70"/>
      <c r="BI315" s="65"/>
      <c r="BJ315" s="78"/>
      <c r="BK315" s="78"/>
      <c r="BL315" s="78"/>
      <c r="BM315" s="78"/>
      <c r="BN315" s="70"/>
      <c r="BO315" s="65"/>
      <c r="BP315" s="78"/>
      <c r="BQ315" s="78"/>
      <c r="BR315" s="78"/>
      <c r="BS315" s="78"/>
      <c r="BT315" s="70"/>
      <c r="BU315" s="65"/>
      <c r="BV315" s="78"/>
      <c r="BW315" s="78"/>
      <c r="BX315" s="78"/>
      <c r="BY315" s="78"/>
      <c r="BZ315" s="70"/>
      <c r="CA315" s="110"/>
      <c r="CB315" s="76"/>
      <c r="CC315" s="76"/>
      <c r="CD315" s="76"/>
      <c r="CE315" s="76"/>
      <c r="CF315" s="77"/>
    </row>
    <row r="316" spans="1:84" ht="12" customHeight="1">
      <c r="A316" s="2"/>
      <c r="B316" s="64">
        <v>304</v>
      </c>
      <c r="C316" s="65">
        <v>10</v>
      </c>
      <c r="D316" s="66" t="s">
        <v>17</v>
      </c>
      <c r="E316" s="69" t="s">
        <v>147</v>
      </c>
      <c r="F316" s="70">
        <v>3</v>
      </c>
      <c r="G316" s="71">
        <v>813.36585365853648</v>
      </c>
      <c r="H316" s="72">
        <v>193.65853658536582</v>
      </c>
      <c r="I316" s="72">
        <v>271.12195121951214</v>
      </c>
      <c r="J316" s="72">
        <v>348.58536585365846</v>
      </c>
      <c r="K316" s="72"/>
      <c r="L316" s="73"/>
      <c r="M316" s="71">
        <v>2846.7804878048773</v>
      </c>
      <c r="N316" s="72">
        <v>677.80487804878032</v>
      </c>
      <c r="O316" s="72">
        <v>948.92682926829252</v>
      </c>
      <c r="P316" s="72">
        <v>1220.0487804878046</v>
      </c>
      <c r="Q316" s="72"/>
      <c r="R316" s="73"/>
      <c r="S316" s="71">
        <v>197.4</v>
      </c>
      <c r="T316" s="72">
        <v>199</v>
      </c>
      <c r="U316" s="72">
        <v>201</v>
      </c>
      <c r="V316" s="72">
        <v>203</v>
      </c>
      <c r="W316" s="72">
        <v>184</v>
      </c>
      <c r="X316" s="73">
        <v>200</v>
      </c>
      <c r="Y316" s="71">
        <v>268.2</v>
      </c>
      <c r="Z316" s="72">
        <v>261</v>
      </c>
      <c r="AA316" s="72">
        <v>264</v>
      </c>
      <c r="AB316" s="72">
        <v>270</v>
      </c>
      <c r="AC316" s="72">
        <v>261</v>
      </c>
      <c r="AD316" s="73">
        <v>285</v>
      </c>
      <c r="AE316" s="71">
        <v>336.6</v>
      </c>
      <c r="AF316" s="72">
        <v>306</v>
      </c>
      <c r="AG316" s="72">
        <v>345</v>
      </c>
      <c r="AH316" s="72">
        <v>343</v>
      </c>
      <c r="AI316" s="72">
        <v>331</v>
      </c>
      <c r="AJ316" s="73">
        <v>358</v>
      </c>
      <c r="AK316" s="71"/>
      <c r="AL316" s="72"/>
      <c r="AM316" s="72"/>
      <c r="AN316" s="72"/>
      <c r="AO316" s="72"/>
      <c r="AP316" s="73"/>
      <c r="AQ316" s="71"/>
      <c r="AR316" s="72"/>
      <c r="AS316" s="72"/>
      <c r="AT316" s="72"/>
      <c r="AU316" s="72"/>
      <c r="AV316" s="73"/>
      <c r="AW316" s="75">
        <v>-1.3727959697732772</v>
      </c>
      <c r="AX316" s="76">
        <v>-5.8234376874175204</v>
      </c>
      <c r="AY316" s="76">
        <v>-0.41381792011513374</v>
      </c>
      <c r="AZ316" s="76">
        <v>0.32385750269883218</v>
      </c>
      <c r="BA316" s="76">
        <v>-4.5939786493942592</v>
      </c>
      <c r="BB316" s="77">
        <v>3.6433969053616622</v>
      </c>
      <c r="BC316" s="65">
        <v>675.8</v>
      </c>
      <c r="BD316" s="78">
        <v>654</v>
      </c>
      <c r="BE316" s="78">
        <v>675</v>
      </c>
      <c r="BF316" s="78">
        <v>658</v>
      </c>
      <c r="BG316" s="78">
        <v>679</v>
      </c>
      <c r="BH316" s="70">
        <v>713</v>
      </c>
      <c r="BI316" s="65">
        <v>964.2</v>
      </c>
      <c r="BJ316" s="78">
        <v>988</v>
      </c>
      <c r="BK316" s="78">
        <v>919</v>
      </c>
      <c r="BL316" s="78">
        <v>1008</v>
      </c>
      <c r="BM316" s="78">
        <v>929</v>
      </c>
      <c r="BN316" s="70">
        <v>977</v>
      </c>
      <c r="BO316" s="65">
        <v>1226</v>
      </c>
      <c r="BP316" s="78">
        <v>1205</v>
      </c>
      <c r="BQ316" s="78">
        <v>1180</v>
      </c>
      <c r="BR316" s="78">
        <v>1285</v>
      </c>
      <c r="BS316" s="78">
        <v>1207</v>
      </c>
      <c r="BT316" s="70">
        <v>1253</v>
      </c>
      <c r="BU316" s="65"/>
      <c r="BV316" s="78"/>
      <c r="BW316" s="78"/>
      <c r="BX316" s="78"/>
      <c r="BY316" s="78"/>
      <c r="BZ316" s="70"/>
      <c r="CA316" s="110">
        <v>0.67513151356262124</v>
      </c>
      <c r="CB316" s="76">
        <v>7.7108929214197985E-3</v>
      </c>
      <c r="CC316" s="76">
        <v>-2.5565893863842559</v>
      </c>
      <c r="CD316" s="76">
        <v>3.6609606059048616</v>
      </c>
      <c r="CE316" s="76">
        <v>-1.1163659418427119</v>
      </c>
      <c r="CF316" s="77">
        <v>3.3799413972138259</v>
      </c>
    </row>
    <row r="317" spans="1:84" ht="12" customHeight="1">
      <c r="A317" s="2"/>
      <c r="B317" s="64">
        <v>305</v>
      </c>
      <c r="C317" s="65">
        <v>10</v>
      </c>
      <c r="D317" s="66" t="s">
        <v>18</v>
      </c>
      <c r="E317" s="69" t="s">
        <v>67</v>
      </c>
      <c r="F317" s="70" t="s">
        <v>81</v>
      </c>
      <c r="G317" s="71">
        <v>1692.8341463414633</v>
      </c>
      <c r="H317" s="72">
        <v>1010.1804878048781</v>
      </c>
      <c r="I317" s="72">
        <v>682.65365853658523</v>
      </c>
      <c r="J317" s="72"/>
      <c r="K317" s="72"/>
      <c r="L317" s="73"/>
      <c r="M317" s="71">
        <v>3385.6682926829267</v>
      </c>
      <c r="N317" s="72">
        <v>2020.3609756097562</v>
      </c>
      <c r="O317" s="72">
        <v>1365.3073170731705</v>
      </c>
      <c r="P317" s="72"/>
      <c r="Q317" s="72"/>
      <c r="R317" s="73"/>
      <c r="S317" s="71">
        <v>1016</v>
      </c>
      <c r="T317" s="72">
        <v>1026</v>
      </c>
      <c r="U317" s="72">
        <v>1013</v>
      </c>
      <c r="V317" s="72">
        <v>1004</v>
      </c>
      <c r="W317" s="72">
        <v>1018</v>
      </c>
      <c r="X317" s="73">
        <v>1019</v>
      </c>
      <c r="Y317" s="71">
        <v>656</v>
      </c>
      <c r="Z317" s="72">
        <v>644</v>
      </c>
      <c r="AA317" s="72">
        <v>670</v>
      </c>
      <c r="AB317" s="72">
        <v>644</v>
      </c>
      <c r="AC317" s="72">
        <v>682</v>
      </c>
      <c r="AD317" s="73">
        <v>640</v>
      </c>
      <c r="AE317" s="71"/>
      <c r="AF317" s="72"/>
      <c r="AG317" s="72"/>
      <c r="AH317" s="72"/>
      <c r="AI317" s="72"/>
      <c r="AJ317" s="73"/>
      <c r="AK317" s="71"/>
      <c r="AL317" s="72"/>
      <c r="AM317" s="72"/>
      <c r="AN317" s="72"/>
      <c r="AO317" s="72"/>
      <c r="AP317" s="73"/>
      <c r="AQ317" s="71"/>
      <c r="AR317" s="72"/>
      <c r="AS317" s="72"/>
      <c r="AT317" s="72"/>
      <c r="AU317" s="72"/>
      <c r="AV317" s="73"/>
      <c r="AW317" s="75">
        <v>-1.2307257853044762</v>
      </c>
      <c r="AX317" s="76">
        <v>-1.3488708501545932</v>
      </c>
      <c r="AY317" s="76">
        <v>-0.58092792862884934</v>
      </c>
      <c r="AZ317" s="76">
        <v>-2.6484665635058469</v>
      </c>
      <c r="BA317" s="76">
        <v>0.42330512259711739</v>
      </c>
      <c r="BB317" s="77">
        <v>-1.99866870683022</v>
      </c>
      <c r="BC317" s="65"/>
      <c r="BD317" s="78"/>
      <c r="BE317" s="78"/>
      <c r="BF317" s="78"/>
      <c r="BG317" s="78"/>
      <c r="BH317" s="70"/>
      <c r="BI317" s="65"/>
      <c r="BJ317" s="78"/>
      <c r="BK317" s="78"/>
      <c r="BL317" s="78"/>
      <c r="BM317" s="78"/>
      <c r="BN317" s="70"/>
      <c r="BO317" s="65"/>
      <c r="BP317" s="78"/>
      <c r="BQ317" s="78"/>
      <c r="BR317" s="78"/>
      <c r="BS317" s="78"/>
      <c r="BT317" s="70"/>
      <c r="BU317" s="65"/>
      <c r="BV317" s="78"/>
      <c r="BW317" s="78"/>
      <c r="BX317" s="78"/>
      <c r="BY317" s="78"/>
      <c r="BZ317" s="70"/>
      <c r="CA317" s="80"/>
      <c r="CB317" s="78"/>
      <c r="CC317" s="78"/>
      <c r="CD317" s="78"/>
      <c r="CE317" s="78"/>
      <c r="CF317" s="70"/>
    </row>
    <row r="318" spans="1:84" ht="12" customHeight="1">
      <c r="A318" s="2"/>
      <c r="B318" s="64">
        <v>306</v>
      </c>
      <c r="C318" s="65">
        <v>10</v>
      </c>
      <c r="D318" s="66" t="s">
        <v>18</v>
      </c>
      <c r="E318" s="69" t="s">
        <v>148</v>
      </c>
      <c r="F318" s="70" t="s">
        <v>81</v>
      </c>
      <c r="G318" s="71">
        <v>1692.8341463414633</v>
      </c>
      <c r="H318" s="72">
        <v>1010.1804878048781</v>
      </c>
      <c r="I318" s="72">
        <v>682.65365853658523</v>
      </c>
      <c r="J318" s="72"/>
      <c r="K318" s="72"/>
      <c r="L318" s="73"/>
      <c r="M318" s="71">
        <v>3385.6682926829267</v>
      </c>
      <c r="N318" s="72">
        <v>2020.3609756097562</v>
      </c>
      <c r="O318" s="72">
        <v>1365.3073170731705</v>
      </c>
      <c r="P318" s="72"/>
      <c r="Q318" s="72"/>
      <c r="R318" s="73"/>
      <c r="S318" s="71">
        <v>1016</v>
      </c>
      <c r="T318" s="72">
        <v>1026</v>
      </c>
      <c r="U318" s="72">
        <v>1013</v>
      </c>
      <c r="V318" s="72">
        <v>1004</v>
      </c>
      <c r="W318" s="72">
        <v>1018</v>
      </c>
      <c r="X318" s="73">
        <v>1019</v>
      </c>
      <c r="Y318" s="71">
        <v>656</v>
      </c>
      <c r="Z318" s="72">
        <v>644</v>
      </c>
      <c r="AA318" s="72">
        <v>670</v>
      </c>
      <c r="AB318" s="72">
        <v>644</v>
      </c>
      <c r="AC318" s="72">
        <v>682</v>
      </c>
      <c r="AD318" s="73">
        <v>640</v>
      </c>
      <c r="AE318" s="71"/>
      <c r="AF318" s="72"/>
      <c r="AG318" s="72"/>
      <c r="AH318" s="72"/>
      <c r="AI318" s="72"/>
      <c r="AJ318" s="73"/>
      <c r="AK318" s="71"/>
      <c r="AL318" s="72"/>
      <c r="AM318" s="72"/>
      <c r="AN318" s="72"/>
      <c r="AO318" s="72"/>
      <c r="AP318" s="73"/>
      <c r="AQ318" s="71"/>
      <c r="AR318" s="72"/>
      <c r="AS318" s="72"/>
      <c r="AT318" s="72"/>
      <c r="AU318" s="72"/>
      <c r="AV318" s="73"/>
      <c r="AW318" s="75">
        <v>-1.2307257853044762</v>
      </c>
      <c r="AX318" s="76">
        <v>-1.3488708501545932</v>
      </c>
      <c r="AY318" s="76">
        <v>-0.58092792862884934</v>
      </c>
      <c r="AZ318" s="76">
        <v>-2.6484665635058469</v>
      </c>
      <c r="BA318" s="76">
        <v>0.42330512259711739</v>
      </c>
      <c r="BB318" s="77">
        <v>-1.99866870683022</v>
      </c>
      <c r="BC318" s="65"/>
      <c r="BD318" s="78"/>
      <c r="BE318" s="78"/>
      <c r="BF318" s="78"/>
      <c r="BG318" s="78"/>
      <c r="BH318" s="70"/>
      <c r="BI318" s="65"/>
      <c r="BJ318" s="78"/>
      <c r="BK318" s="78"/>
      <c r="BL318" s="78"/>
      <c r="BM318" s="78"/>
      <c r="BN318" s="70"/>
      <c r="BO318" s="65"/>
      <c r="BP318" s="78"/>
      <c r="BQ318" s="78"/>
      <c r="BR318" s="78"/>
      <c r="BS318" s="78"/>
      <c r="BT318" s="70"/>
      <c r="BU318" s="65"/>
      <c r="BV318" s="78"/>
      <c r="BW318" s="78"/>
      <c r="BX318" s="78"/>
      <c r="BY318" s="78"/>
      <c r="BZ318" s="70"/>
      <c r="CA318" s="80"/>
      <c r="CB318" s="78"/>
      <c r="CC318" s="78"/>
      <c r="CD318" s="78"/>
      <c r="CE318" s="78"/>
      <c r="CF318" s="70"/>
    </row>
    <row r="319" spans="1:84" ht="12" customHeight="1">
      <c r="A319" s="2"/>
      <c r="B319" s="64">
        <v>307</v>
      </c>
      <c r="C319" s="65">
        <v>10</v>
      </c>
      <c r="D319" s="66" t="s">
        <v>18</v>
      </c>
      <c r="E319" s="69" t="s">
        <v>87</v>
      </c>
      <c r="F319" s="70" t="s">
        <v>81</v>
      </c>
      <c r="G319" s="71">
        <v>2031.400975609756</v>
      </c>
      <c r="H319" s="72">
        <v>1212.2165853658537</v>
      </c>
      <c r="I319" s="72">
        <v>819.18439024390227</v>
      </c>
      <c r="J319" s="72"/>
      <c r="K319" s="72"/>
      <c r="L319" s="73"/>
      <c r="M319" s="71">
        <v>4062.8019512195119</v>
      </c>
      <c r="N319" s="72">
        <v>2424.4331707317074</v>
      </c>
      <c r="O319" s="72">
        <v>1638.3687804878045</v>
      </c>
      <c r="P319" s="72"/>
      <c r="Q319" s="72"/>
      <c r="R319" s="73"/>
      <c r="S319" s="71">
        <v>1215</v>
      </c>
      <c r="T319" s="72">
        <v>1212</v>
      </c>
      <c r="U319" s="72">
        <v>1177</v>
      </c>
      <c r="V319" s="72">
        <v>1249</v>
      </c>
      <c r="W319" s="72">
        <v>1208</v>
      </c>
      <c r="X319" s="73">
        <v>1229</v>
      </c>
      <c r="Y319" s="71">
        <v>791.4</v>
      </c>
      <c r="Z319" s="72">
        <v>808</v>
      </c>
      <c r="AA319" s="72">
        <v>776</v>
      </c>
      <c r="AB319" s="72">
        <v>792</v>
      </c>
      <c r="AC319" s="72">
        <v>806</v>
      </c>
      <c r="AD319" s="73">
        <v>775</v>
      </c>
      <c r="AE319" s="71"/>
      <c r="AF319" s="72"/>
      <c r="AG319" s="72"/>
      <c r="AH319" s="72"/>
      <c r="AI319" s="72"/>
      <c r="AJ319" s="73"/>
      <c r="AK319" s="71"/>
      <c r="AL319" s="72"/>
      <c r="AM319" s="72"/>
      <c r="AN319" s="72"/>
      <c r="AO319" s="72"/>
      <c r="AP319" s="73"/>
      <c r="AQ319" s="71"/>
      <c r="AR319" s="72"/>
      <c r="AS319" s="72"/>
      <c r="AT319" s="72"/>
      <c r="AU319" s="72"/>
      <c r="AV319" s="73"/>
      <c r="AW319" s="75">
        <v>-1.2307257853044762</v>
      </c>
      <c r="AX319" s="76">
        <v>-0.56123708448716503</v>
      </c>
      <c r="AY319" s="76">
        <v>-3.8594534782195211</v>
      </c>
      <c r="AZ319" s="76">
        <v>0.47253223295133928</v>
      </c>
      <c r="BA319" s="76">
        <v>-0.85659974661245197</v>
      </c>
      <c r="BB319" s="77">
        <v>-1.3488708501545932</v>
      </c>
      <c r="BC319" s="65"/>
      <c r="BD319" s="78"/>
      <c r="BE319" s="78"/>
      <c r="BF319" s="78"/>
      <c r="BG319" s="78"/>
      <c r="BH319" s="70"/>
      <c r="BI319" s="65"/>
      <c r="BJ319" s="78"/>
      <c r="BK319" s="78"/>
      <c r="BL319" s="78"/>
      <c r="BM319" s="78"/>
      <c r="BN319" s="70"/>
      <c r="BO319" s="65"/>
      <c r="BP319" s="78"/>
      <c r="BQ319" s="78"/>
      <c r="BR319" s="78"/>
      <c r="BS319" s="78"/>
      <c r="BT319" s="70"/>
      <c r="BU319" s="65"/>
      <c r="BV319" s="78"/>
      <c r="BW319" s="78"/>
      <c r="BX319" s="78"/>
      <c r="BY319" s="78"/>
      <c r="BZ319" s="70"/>
      <c r="CA319" s="80"/>
      <c r="CB319" s="78"/>
      <c r="CC319" s="78"/>
      <c r="CD319" s="78"/>
      <c r="CE319" s="78"/>
      <c r="CF319" s="70"/>
    </row>
    <row r="320" spans="1:84" ht="12" customHeight="1">
      <c r="A320" s="2"/>
      <c r="B320" s="64">
        <v>308</v>
      </c>
      <c r="C320" s="65">
        <v>10</v>
      </c>
      <c r="D320" s="66" t="s">
        <v>18</v>
      </c>
      <c r="E320" s="69" t="s">
        <v>136</v>
      </c>
      <c r="F320" s="70" t="s">
        <v>81</v>
      </c>
      <c r="G320" s="71">
        <v>1692.8341463414633</v>
      </c>
      <c r="H320" s="72">
        <v>1010.1804878048781</v>
      </c>
      <c r="I320" s="72">
        <v>682.65365853658523</v>
      </c>
      <c r="J320" s="72"/>
      <c r="K320" s="72"/>
      <c r="L320" s="73"/>
      <c r="M320" s="71">
        <v>3385.6682926829267</v>
      </c>
      <c r="N320" s="72">
        <v>2020.3609756097562</v>
      </c>
      <c r="O320" s="72">
        <v>1365.3073170731705</v>
      </c>
      <c r="P320" s="72"/>
      <c r="Q320" s="72"/>
      <c r="R320" s="73"/>
      <c r="S320" s="71">
        <v>1016</v>
      </c>
      <c r="T320" s="72">
        <v>1026</v>
      </c>
      <c r="U320" s="72">
        <v>1013</v>
      </c>
      <c r="V320" s="72">
        <v>1004</v>
      </c>
      <c r="W320" s="72">
        <v>1018</v>
      </c>
      <c r="X320" s="73">
        <v>1019</v>
      </c>
      <c r="Y320" s="71">
        <v>656</v>
      </c>
      <c r="Z320" s="72">
        <v>644</v>
      </c>
      <c r="AA320" s="72">
        <v>670</v>
      </c>
      <c r="AB320" s="72">
        <v>644</v>
      </c>
      <c r="AC320" s="72">
        <v>682</v>
      </c>
      <c r="AD320" s="73">
        <v>640</v>
      </c>
      <c r="AE320" s="71"/>
      <c r="AF320" s="72"/>
      <c r="AG320" s="72"/>
      <c r="AH320" s="72"/>
      <c r="AI320" s="72"/>
      <c r="AJ320" s="73"/>
      <c r="AK320" s="71"/>
      <c r="AL320" s="72"/>
      <c r="AM320" s="72"/>
      <c r="AN320" s="72"/>
      <c r="AO320" s="72"/>
      <c r="AP320" s="73"/>
      <c r="AQ320" s="71"/>
      <c r="AR320" s="72"/>
      <c r="AS320" s="72"/>
      <c r="AT320" s="72"/>
      <c r="AU320" s="72"/>
      <c r="AV320" s="73"/>
      <c r="AW320" s="75">
        <v>-1.2307257853044762</v>
      </c>
      <c r="AX320" s="76">
        <v>-1.3488708501545932</v>
      </c>
      <c r="AY320" s="76">
        <v>-0.58092792862884934</v>
      </c>
      <c r="AZ320" s="76">
        <v>-2.6484665635058469</v>
      </c>
      <c r="BA320" s="76">
        <v>0.42330512259711739</v>
      </c>
      <c r="BB320" s="77">
        <v>-1.99866870683022</v>
      </c>
      <c r="BC320" s="65"/>
      <c r="BD320" s="78"/>
      <c r="BE320" s="78"/>
      <c r="BF320" s="78"/>
      <c r="BG320" s="78"/>
      <c r="BH320" s="70"/>
      <c r="BI320" s="65"/>
      <c r="BJ320" s="78"/>
      <c r="BK320" s="78"/>
      <c r="BL320" s="78"/>
      <c r="BM320" s="78"/>
      <c r="BN320" s="70"/>
      <c r="BO320" s="65"/>
      <c r="BP320" s="78"/>
      <c r="BQ320" s="78"/>
      <c r="BR320" s="78"/>
      <c r="BS320" s="78"/>
      <c r="BT320" s="70"/>
      <c r="BU320" s="65"/>
      <c r="BV320" s="78"/>
      <c r="BW320" s="78"/>
      <c r="BX320" s="78"/>
      <c r="BY320" s="78"/>
      <c r="BZ320" s="70"/>
      <c r="CA320" s="80"/>
      <c r="CB320" s="78"/>
      <c r="CC320" s="78"/>
      <c r="CD320" s="78"/>
      <c r="CE320" s="78"/>
      <c r="CF320" s="70"/>
    </row>
    <row r="321" spans="1:84" ht="12" customHeight="1">
      <c r="A321" s="2"/>
      <c r="B321" s="64">
        <v>309</v>
      </c>
      <c r="C321" s="65">
        <v>10</v>
      </c>
      <c r="D321" s="66" t="s">
        <v>18</v>
      </c>
      <c r="E321" s="69" t="s">
        <v>89</v>
      </c>
      <c r="F321" s="70" t="s">
        <v>81</v>
      </c>
      <c r="G321" s="71">
        <v>1692.8341463414633</v>
      </c>
      <c r="H321" s="72">
        <v>1010.1804878048781</v>
      </c>
      <c r="I321" s="72">
        <v>682.65365853658523</v>
      </c>
      <c r="J321" s="72"/>
      <c r="K321" s="72"/>
      <c r="L321" s="73"/>
      <c r="M321" s="71">
        <v>3385.6682926829267</v>
      </c>
      <c r="N321" s="72">
        <v>2020.3609756097562</v>
      </c>
      <c r="O321" s="72">
        <v>1365.3073170731705</v>
      </c>
      <c r="P321" s="72"/>
      <c r="Q321" s="72"/>
      <c r="R321" s="73"/>
      <c r="S321" s="71">
        <v>1014.4</v>
      </c>
      <c r="T321" s="72">
        <v>993</v>
      </c>
      <c r="U321" s="72">
        <v>1015</v>
      </c>
      <c r="V321" s="72">
        <v>1014</v>
      </c>
      <c r="W321" s="72">
        <v>1026</v>
      </c>
      <c r="X321" s="73">
        <v>1024</v>
      </c>
      <c r="Y321" s="71">
        <v>681.8</v>
      </c>
      <c r="Z321" s="72">
        <v>646</v>
      </c>
      <c r="AA321" s="72">
        <v>701</v>
      </c>
      <c r="AB321" s="72">
        <v>714</v>
      </c>
      <c r="AC321" s="72">
        <v>638</v>
      </c>
      <c r="AD321" s="73">
        <v>710</v>
      </c>
      <c r="AE321" s="71"/>
      <c r="AF321" s="72"/>
      <c r="AG321" s="72"/>
      <c r="AH321" s="72"/>
      <c r="AI321" s="72"/>
      <c r="AJ321" s="73"/>
      <c r="AK321" s="71"/>
      <c r="AL321" s="72"/>
      <c r="AM321" s="72"/>
      <c r="AN321" s="72"/>
      <c r="AO321" s="72"/>
      <c r="AP321" s="73"/>
      <c r="AQ321" s="71"/>
      <c r="AR321" s="72"/>
      <c r="AS321" s="72"/>
      <c r="AT321" s="72"/>
      <c r="AU321" s="72"/>
      <c r="AV321" s="73"/>
      <c r="AW321" s="75">
        <v>0.19882949938190286</v>
      </c>
      <c r="AX321" s="76">
        <v>-3.1801193553313678</v>
      </c>
      <c r="AY321" s="76">
        <v>1.3684656413980312</v>
      </c>
      <c r="AZ321" s="76">
        <v>2.077336030498711</v>
      </c>
      <c r="BA321" s="76">
        <v>-1.7033060447049331</v>
      </c>
      <c r="BB321" s="77">
        <v>2.4317712250490731</v>
      </c>
      <c r="BC321" s="65"/>
      <c r="BD321" s="78"/>
      <c r="BE321" s="78"/>
      <c r="BF321" s="78"/>
      <c r="BG321" s="78"/>
      <c r="BH321" s="70"/>
      <c r="BI321" s="65"/>
      <c r="BJ321" s="78"/>
      <c r="BK321" s="78"/>
      <c r="BL321" s="78"/>
      <c r="BM321" s="78"/>
      <c r="BN321" s="70"/>
      <c r="BO321" s="65"/>
      <c r="BP321" s="78"/>
      <c r="BQ321" s="78"/>
      <c r="BR321" s="78"/>
      <c r="BS321" s="78"/>
      <c r="BT321" s="70"/>
      <c r="BU321" s="65"/>
      <c r="BV321" s="78"/>
      <c r="BW321" s="78"/>
      <c r="BX321" s="78"/>
      <c r="BY321" s="78"/>
      <c r="BZ321" s="70"/>
      <c r="CA321" s="80"/>
      <c r="CB321" s="78"/>
      <c r="CC321" s="78"/>
      <c r="CD321" s="78"/>
      <c r="CE321" s="78"/>
      <c r="CF321" s="70"/>
    </row>
    <row r="322" spans="1:84" ht="12" customHeight="1">
      <c r="A322" s="2"/>
      <c r="B322" s="64">
        <v>310</v>
      </c>
      <c r="C322" s="65">
        <v>10</v>
      </c>
      <c r="D322" s="66" t="s">
        <v>18</v>
      </c>
      <c r="E322" s="69" t="s">
        <v>91</v>
      </c>
      <c r="F322" s="70" t="s">
        <v>81</v>
      </c>
      <c r="G322" s="71">
        <v>1692.8341463414633</v>
      </c>
      <c r="H322" s="72">
        <v>1010.1804878048781</v>
      </c>
      <c r="I322" s="72">
        <v>682.65365853658523</v>
      </c>
      <c r="J322" s="72"/>
      <c r="K322" s="72"/>
      <c r="L322" s="73"/>
      <c r="M322" s="71">
        <v>3385.6682926829267</v>
      </c>
      <c r="N322" s="72">
        <v>2020.3609756097562</v>
      </c>
      <c r="O322" s="72">
        <v>1365.3073170731705</v>
      </c>
      <c r="P322" s="72"/>
      <c r="Q322" s="72"/>
      <c r="R322" s="73"/>
      <c r="S322" s="71">
        <v>1016</v>
      </c>
      <c r="T322" s="72">
        <v>1026</v>
      </c>
      <c r="U322" s="72">
        <v>1013</v>
      </c>
      <c r="V322" s="72">
        <v>1004</v>
      </c>
      <c r="W322" s="72">
        <v>1018</v>
      </c>
      <c r="X322" s="73">
        <v>1019</v>
      </c>
      <c r="Y322" s="71">
        <v>656</v>
      </c>
      <c r="Z322" s="72">
        <v>644</v>
      </c>
      <c r="AA322" s="72">
        <v>670</v>
      </c>
      <c r="AB322" s="72">
        <v>644</v>
      </c>
      <c r="AC322" s="72">
        <v>682</v>
      </c>
      <c r="AD322" s="73">
        <v>640</v>
      </c>
      <c r="AE322" s="71"/>
      <c r="AF322" s="72"/>
      <c r="AG322" s="72"/>
      <c r="AH322" s="72"/>
      <c r="AI322" s="72"/>
      <c r="AJ322" s="73"/>
      <c r="AK322" s="71"/>
      <c r="AL322" s="72"/>
      <c r="AM322" s="72"/>
      <c r="AN322" s="72"/>
      <c r="AO322" s="72"/>
      <c r="AP322" s="73"/>
      <c r="AQ322" s="71"/>
      <c r="AR322" s="72"/>
      <c r="AS322" s="72"/>
      <c r="AT322" s="72"/>
      <c r="AU322" s="72"/>
      <c r="AV322" s="73"/>
      <c r="AW322" s="75">
        <v>-1.2307257853044762</v>
      </c>
      <c r="AX322" s="76">
        <v>-1.3488708501545932</v>
      </c>
      <c r="AY322" s="76">
        <v>-0.58092792862884934</v>
      </c>
      <c r="AZ322" s="76">
        <v>-2.6484665635058469</v>
      </c>
      <c r="BA322" s="76">
        <v>0.42330512259711739</v>
      </c>
      <c r="BB322" s="77">
        <v>-1.99866870683022</v>
      </c>
      <c r="BC322" s="65"/>
      <c r="BD322" s="78"/>
      <c r="BE322" s="78"/>
      <c r="BF322" s="78"/>
      <c r="BG322" s="78"/>
      <c r="BH322" s="70"/>
      <c r="BI322" s="65"/>
      <c r="BJ322" s="78"/>
      <c r="BK322" s="78"/>
      <c r="BL322" s="78"/>
      <c r="BM322" s="78"/>
      <c r="BN322" s="70"/>
      <c r="BO322" s="65"/>
      <c r="BP322" s="78"/>
      <c r="BQ322" s="78"/>
      <c r="BR322" s="78"/>
      <c r="BS322" s="78"/>
      <c r="BT322" s="70"/>
      <c r="BU322" s="65"/>
      <c r="BV322" s="78"/>
      <c r="BW322" s="78"/>
      <c r="BX322" s="78"/>
      <c r="BY322" s="78"/>
      <c r="BZ322" s="70"/>
      <c r="CA322" s="80"/>
      <c r="CB322" s="78"/>
      <c r="CC322" s="78"/>
      <c r="CD322" s="78"/>
      <c r="CE322" s="78"/>
      <c r="CF322" s="70"/>
    </row>
    <row r="323" spans="1:84" ht="12" customHeight="1">
      <c r="A323" s="2"/>
      <c r="B323" s="64">
        <v>311</v>
      </c>
      <c r="C323" s="65">
        <v>10</v>
      </c>
      <c r="D323" s="66" t="s">
        <v>18</v>
      </c>
      <c r="E323" s="69" t="s">
        <v>144</v>
      </c>
      <c r="F323" s="70" t="s">
        <v>81</v>
      </c>
      <c r="G323" s="71">
        <v>2828.5053658536585</v>
      </c>
      <c r="H323" s="72">
        <v>2828.5053658536585</v>
      </c>
      <c r="I323" s="72">
        <v>0</v>
      </c>
      <c r="J323" s="72"/>
      <c r="K323" s="72"/>
      <c r="L323" s="73"/>
      <c r="M323" s="71">
        <v>5657.0107317073162</v>
      </c>
      <c r="N323" s="72">
        <v>5657.0107317073162</v>
      </c>
      <c r="O323" s="72">
        <v>0</v>
      </c>
      <c r="P323" s="72"/>
      <c r="Q323" s="72"/>
      <c r="R323" s="73"/>
      <c r="S323" s="71">
        <v>2809.6</v>
      </c>
      <c r="T323" s="72">
        <v>2840</v>
      </c>
      <c r="U323" s="72">
        <v>2920</v>
      </c>
      <c r="V323" s="72">
        <v>2752</v>
      </c>
      <c r="W323" s="72">
        <v>2704</v>
      </c>
      <c r="X323" s="73">
        <v>2832</v>
      </c>
      <c r="Y323" s="71"/>
      <c r="Z323" s="72"/>
      <c r="AA323" s="72"/>
      <c r="AB323" s="72"/>
      <c r="AC323" s="72"/>
      <c r="AD323" s="73"/>
      <c r="AE323" s="71"/>
      <c r="AF323" s="72"/>
      <c r="AG323" s="72"/>
      <c r="AH323" s="72"/>
      <c r="AI323" s="72"/>
      <c r="AJ323" s="73"/>
      <c r="AK323" s="71"/>
      <c r="AL323" s="72"/>
      <c r="AM323" s="72"/>
      <c r="AN323" s="72"/>
      <c r="AO323" s="72"/>
      <c r="AP323" s="73"/>
      <c r="AQ323" s="71"/>
      <c r="AR323" s="72"/>
      <c r="AS323" s="72"/>
      <c r="AT323" s="72"/>
      <c r="AU323" s="72"/>
      <c r="AV323" s="73"/>
      <c r="AW323" s="75">
        <v>-0.66838713059866883</v>
      </c>
      <c r="AX323" s="76">
        <v>0.4063854460064853</v>
      </c>
      <c r="AY323" s="76">
        <v>3.2347343318094746</v>
      </c>
      <c r="AZ323" s="76">
        <v>-2.7047983283768229</v>
      </c>
      <c r="BA323" s="76">
        <v>-4.4018076598586253</v>
      </c>
      <c r="BB323" s="77">
        <v>0.12355055742616639</v>
      </c>
      <c r="BC323" s="65"/>
      <c r="BD323" s="78"/>
      <c r="BE323" s="78"/>
      <c r="BF323" s="78"/>
      <c r="BG323" s="78"/>
      <c r="BH323" s="70"/>
      <c r="BI323" s="65"/>
      <c r="BJ323" s="78"/>
      <c r="BK323" s="78"/>
      <c r="BL323" s="78"/>
      <c r="BM323" s="78"/>
      <c r="BN323" s="70"/>
      <c r="BO323" s="65"/>
      <c r="BP323" s="78"/>
      <c r="BQ323" s="78"/>
      <c r="BR323" s="78"/>
      <c r="BS323" s="78"/>
      <c r="BT323" s="70"/>
      <c r="BU323" s="65"/>
      <c r="BV323" s="78"/>
      <c r="BW323" s="78"/>
      <c r="BX323" s="78"/>
      <c r="BY323" s="78"/>
      <c r="BZ323" s="70"/>
      <c r="CA323" s="80"/>
      <c r="CB323" s="78"/>
      <c r="CC323" s="78"/>
      <c r="CD323" s="78"/>
      <c r="CE323" s="78"/>
      <c r="CF323" s="70"/>
    </row>
    <row r="324" spans="1:84" ht="12" customHeight="1">
      <c r="A324" s="2"/>
      <c r="B324" s="64">
        <v>312</v>
      </c>
      <c r="C324" s="65">
        <v>10</v>
      </c>
      <c r="D324" s="66" t="s">
        <v>18</v>
      </c>
      <c r="E324" s="69" t="s">
        <v>92</v>
      </c>
      <c r="F324" s="70" t="s">
        <v>81</v>
      </c>
      <c r="G324" s="71">
        <v>3058.141463414634</v>
      </c>
      <c r="H324" s="72">
        <v>1010.1804878048781</v>
      </c>
      <c r="I324" s="72">
        <v>2047.9609756097557</v>
      </c>
      <c r="J324" s="72"/>
      <c r="K324" s="72"/>
      <c r="L324" s="73"/>
      <c r="M324" s="71">
        <v>6116.2829268292671</v>
      </c>
      <c r="N324" s="72">
        <v>2020.3609756097562</v>
      </c>
      <c r="O324" s="72">
        <v>4095.9219512195109</v>
      </c>
      <c r="P324" s="72"/>
      <c r="Q324" s="72"/>
      <c r="R324" s="73"/>
      <c r="S324" s="71">
        <v>1012.8</v>
      </c>
      <c r="T324" s="72">
        <v>1028</v>
      </c>
      <c r="U324" s="72">
        <v>996</v>
      </c>
      <c r="V324" s="72">
        <v>968</v>
      </c>
      <c r="W324" s="72">
        <v>1056</v>
      </c>
      <c r="X324" s="73">
        <v>1016</v>
      </c>
      <c r="Y324" s="71">
        <v>2031.4</v>
      </c>
      <c r="Z324" s="72">
        <v>2015</v>
      </c>
      <c r="AA324" s="72">
        <v>2082</v>
      </c>
      <c r="AB324" s="72">
        <v>2024</v>
      </c>
      <c r="AC324" s="72">
        <v>1968</v>
      </c>
      <c r="AD324" s="73">
        <v>2068</v>
      </c>
      <c r="AE324" s="71"/>
      <c r="AF324" s="72"/>
      <c r="AG324" s="72"/>
      <c r="AH324" s="72"/>
      <c r="AI324" s="72"/>
      <c r="AJ324" s="73"/>
      <c r="AK324" s="71"/>
      <c r="AL324" s="72"/>
      <c r="AM324" s="72"/>
      <c r="AN324" s="72"/>
      <c r="AO324" s="72"/>
      <c r="AP324" s="73"/>
      <c r="AQ324" s="71"/>
      <c r="AR324" s="72"/>
      <c r="AS324" s="72"/>
      <c r="AT324" s="72"/>
      <c r="AU324" s="72"/>
      <c r="AV324" s="73"/>
      <c r="AW324" s="75">
        <v>-0.45588026523363245</v>
      </c>
      <c r="AX324" s="76">
        <v>-0.49511978421454828</v>
      </c>
      <c r="AY324" s="76">
        <v>0.64936618606232788</v>
      </c>
      <c r="AZ324" s="76">
        <v>-2.1627993409036872</v>
      </c>
      <c r="BA324" s="76">
        <v>-1.1164121680791284</v>
      </c>
      <c r="BB324" s="77">
        <v>0.84556378096691809</v>
      </c>
      <c r="BC324" s="65"/>
      <c r="BD324" s="78"/>
      <c r="BE324" s="78"/>
      <c r="BF324" s="78"/>
      <c r="BG324" s="78"/>
      <c r="BH324" s="70"/>
      <c r="BI324" s="65"/>
      <c r="BJ324" s="78"/>
      <c r="BK324" s="78"/>
      <c r="BL324" s="78"/>
      <c r="BM324" s="78"/>
      <c r="BN324" s="70"/>
      <c r="BO324" s="65"/>
      <c r="BP324" s="78"/>
      <c r="BQ324" s="78"/>
      <c r="BR324" s="78"/>
      <c r="BS324" s="78"/>
      <c r="BT324" s="70"/>
      <c r="BU324" s="65"/>
      <c r="BV324" s="78"/>
      <c r="BW324" s="78"/>
      <c r="BX324" s="78"/>
      <c r="BY324" s="78"/>
      <c r="BZ324" s="70"/>
      <c r="CA324" s="80"/>
      <c r="CB324" s="78"/>
      <c r="CC324" s="78"/>
      <c r="CD324" s="78"/>
      <c r="CE324" s="78"/>
      <c r="CF324" s="70"/>
    </row>
    <row r="325" spans="1:84" ht="12" customHeight="1">
      <c r="A325" s="2"/>
      <c r="B325" s="64">
        <v>313</v>
      </c>
      <c r="C325" s="65">
        <v>10</v>
      </c>
      <c r="D325" s="66" t="s">
        <v>18</v>
      </c>
      <c r="E325" s="69" t="s">
        <v>138</v>
      </c>
      <c r="F325" s="70" t="s">
        <v>81</v>
      </c>
      <c r="G325" s="71">
        <v>2828.5053658536585</v>
      </c>
      <c r="H325" s="72">
        <v>2828.5053658536585</v>
      </c>
      <c r="I325" s="72">
        <v>0</v>
      </c>
      <c r="J325" s="72"/>
      <c r="K325" s="72"/>
      <c r="L325" s="73"/>
      <c r="M325" s="71">
        <v>5657.0107317073162</v>
      </c>
      <c r="N325" s="72">
        <v>5657.0107317073162</v>
      </c>
      <c r="O325" s="72">
        <v>0</v>
      </c>
      <c r="P325" s="72"/>
      <c r="Q325" s="72"/>
      <c r="R325" s="73"/>
      <c r="S325" s="71">
        <v>2809.6</v>
      </c>
      <c r="T325" s="72">
        <v>2840</v>
      </c>
      <c r="U325" s="72">
        <v>2920</v>
      </c>
      <c r="V325" s="72">
        <v>2752</v>
      </c>
      <c r="W325" s="72">
        <v>2704</v>
      </c>
      <c r="X325" s="73">
        <v>2832</v>
      </c>
      <c r="Y325" s="71"/>
      <c r="Z325" s="72"/>
      <c r="AA325" s="72"/>
      <c r="AB325" s="72"/>
      <c r="AC325" s="72"/>
      <c r="AD325" s="73"/>
      <c r="AE325" s="71"/>
      <c r="AF325" s="72"/>
      <c r="AG325" s="72"/>
      <c r="AH325" s="72"/>
      <c r="AI325" s="72"/>
      <c r="AJ325" s="73"/>
      <c r="AK325" s="71"/>
      <c r="AL325" s="72"/>
      <c r="AM325" s="72"/>
      <c r="AN325" s="72"/>
      <c r="AO325" s="72"/>
      <c r="AP325" s="73"/>
      <c r="AQ325" s="71"/>
      <c r="AR325" s="72"/>
      <c r="AS325" s="72"/>
      <c r="AT325" s="72"/>
      <c r="AU325" s="72"/>
      <c r="AV325" s="73"/>
      <c r="AW325" s="75">
        <v>-0.66838713059866883</v>
      </c>
      <c r="AX325" s="76">
        <v>0.4063854460064853</v>
      </c>
      <c r="AY325" s="76">
        <v>3.2347343318094746</v>
      </c>
      <c r="AZ325" s="76">
        <v>-2.7047983283768229</v>
      </c>
      <c r="BA325" s="76">
        <v>-4.4018076598586253</v>
      </c>
      <c r="BB325" s="77">
        <v>0.12355055742616639</v>
      </c>
      <c r="BC325" s="65"/>
      <c r="BD325" s="78"/>
      <c r="BE325" s="78"/>
      <c r="BF325" s="78"/>
      <c r="BG325" s="78"/>
      <c r="BH325" s="70"/>
      <c r="BI325" s="65"/>
      <c r="BJ325" s="78"/>
      <c r="BK325" s="78"/>
      <c r="BL325" s="78"/>
      <c r="BM325" s="78"/>
      <c r="BN325" s="70"/>
      <c r="BO325" s="65"/>
      <c r="BP325" s="78"/>
      <c r="BQ325" s="78"/>
      <c r="BR325" s="78"/>
      <c r="BS325" s="78"/>
      <c r="BT325" s="70"/>
      <c r="BU325" s="65"/>
      <c r="BV325" s="78"/>
      <c r="BW325" s="78"/>
      <c r="BX325" s="78"/>
      <c r="BY325" s="78"/>
      <c r="BZ325" s="70"/>
      <c r="CA325" s="80"/>
      <c r="CB325" s="78"/>
      <c r="CC325" s="78"/>
      <c r="CD325" s="78"/>
      <c r="CE325" s="78"/>
      <c r="CF325" s="70"/>
    </row>
    <row r="326" spans="1:84" ht="12" customHeight="1">
      <c r="A326" s="2"/>
      <c r="B326" s="64">
        <v>314</v>
      </c>
      <c r="C326" s="65">
        <v>10</v>
      </c>
      <c r="D326" s="66" t="s">
        <v>18</v>
      </c>
      <c r="E326" s="69" t="s">
        <v>139</v>
      </c>
      <c r="F326" s="70" t="s">
        <v>81</v>
      </c>
      <c r="G326" s="71">
        <v>3058.141463414634</v>
      </c>
      <c r="H326" s="72">
        <v>1010.1804878048781</v>
      </c>
      <c r="I326" s="72">
        <v>2047.9609756097557</v>
      </c>
      <c r="J326" s="72"/>
      <c r="K326" s="72"/>
      <c r="L326" s="73"/>
      <c r="M326" s="71">
        <v>6116.2829268292671</v>
      </c>
      <c r="N326" s="72">
        <v>2020.3609756097562</v>
      </c>
      <c r="O326" s="72">
        <v>4095.9219512195109</v>
      </c>
      <c r="P326" s="72"/>
      <c r="Q326" s="72"/>
      <c r="R326" s="73"/>
      <c r="S326" s="71">
        <v>1012.8</v>
      </c>
      <c r="T326" s="72">
        <v>1028</v>
      </c>
      <c r="U326" s="72">
        <v>996</v>
      </c>
      <c r="V326" s="72">
        <v>968</v>
      </c>
      <c r="W326" s="72">
        <v>1056</v>
      </c>
      <c r="X326" s="73">
        <v>1016</v>
      </c>
      <c r="Y326" s="71">
        <v>2031.4</v>
      </c>
      <c r="Z326" s="72">
        <v>2015</v>
      </c>
      <c r="AA326" s="72">
        <v>2082</v>
      </c>
      <c r="AB326" s="72">
        <v>2024</v>
      </c>
      <c r="AC326" s="72">
        <v>1968</v>
      </c>
      <c r="AD326" s="73">
        <v>2068</v>
      </c>
      <c r="AE326" s="71"/>
      <c r="AF326" s="72"/>
      <c r="AG326" s="72"/>
      <c r="AH326" s="72"/>
      <c r="AI326" s="72"/>
      <c r="AJ326" s="73"/>
      <c r="AK326" s="71"/>
      <c r="AL326" s="72"/>
      <c r="AM326" s="72"/>
      <c r="AN326" s="72"/>
      <c r="AO326" s="72"/>
      <c r="AP326" s="73"/>
      <c r="AQ326" s="71"/>
      <c r="AR326" s="72"/>
      <c r="AS326" s="72"/>
      <c r="AT326" s="72"/>
      <c r="AU326" s="72"/>
      <c r="AV326" s="73"/>
      <c r="AW326" s="75">
        <v>-0.45588026523363245</v>
      </c>
      <c r="AX326" s="76">
        <v>-0.49511978421454828</v>
      </c>
      <c r="AY326" s="76">
        <v>0.64936618606232788</v>
      </c>
      <c r="AZ326" s="76">
        <v>-2.1627993409036872</v>
      </c>
      <c r="BA326" s="76">
        <v>-1.1164121680791284</v>
      </c>
      <c r="BB326" s="77">
        <v>0.84556378096691809</v>
      </c>
      <c r="BC326" s="65"/>
      <c r="BD326" s="78"/>
      <c r="BE326" s="78"/>
      <c r="BF326" s="78"/>
      <c r="BG326" s="78"/>
      <c r="BH326" s="70"/>
      <c r="BI326" s="65"/>
      <c r="BJ326" s="78"/>
      <c r="BK326" s="78"/>
      <c r="BL326" s="78"/>
      <c r="BM326" s="78"/>
      <c r="BN326" s="70"/>
      <c r="BO326" s="65"/>
      <c r="BP326" s="78"/>
      <c r="BQ326" s="78"/>
      <c r="BR326" s="78"/>
      <c r="BS326" s="78"/>
      <c r="BT326" s="70"/>
      <c r="BU326" s="65"/>
      <c r="BV326" s="78"/>
      <c r="BW326" s="78"/>
      <c r="BX326" s="78"/>
      <c r="BY326" s="78"/>
      <c r="BZ326" s="70"/>
      <c r="CA326" s="80"/>
      <c r="CB326" s="78"/>
      <c r="CC326" s="78"/>
      <c r="CD326" s="78"/>
      <c r="CE326" s="78"/>
      <c r="CF326" s="70"/>
    </row>
    <row r="327" spans="1:84" ht="12" customHeight="1">
      <c r="A327" s="2"/>
      <c r="B327" s="64">
        <v>315</v>
      </c>
      <c r="C327" s="65">
        <v>10</v>
      </c>
      <c r="D327" s="66" t="s">
        <v>18</v>
      </c>
      <c r="E327" s="69" t="s">
        <v>140</v>
      </c>
      <c r="F327" s="70" t="s">
        <v>81</v>
      </c>
      <c r="G327" s="71">
        <v>2828.5053658536585</v>
      </c>
      <c r="H327" s="72">
        <v>2828.5053658536585</v>
      </c>
      <c r="I327" s="72">
        <v>0</v>
      </c>
      <c r="J327" s="72"/>
      <c r="K327" s="72"/>
      <c r="L327" s="73"/>
      <c r="M327" s="71">
        <v>5657.0107317073162</v>
      </c>
      <c r="N327" s="72">
        <v>5657.0107317073162</v>
      </c>
      <c r="O327" s="72">
        <v>0</v>
      </c>
      <c r="P327" s="72"/>
      <c r="Q327" s="72"/>
      <c r="R327" s="73"/>
      <c r="S327" s="71">
        <v>2904</v>
      </c>
      <c r="T327" s="72">
        <v>2880</v>
      </c>
      <c r="U327" s="72">
        <v>2864</v>
      </c>
      <c r="V327" s="72">
        <v>2912</v>
      </c>
      <c r="W327" s="72">
        <v>2920</v>
      </c>
      <c r="X327" s="73">
        <v>2944</v>
      </c>
      <c r="Y327" s="71"/>
      <c r="Z327" s="72"/>
      <c r="AA327" s="72"/>
      <c r="AB327" s="72"/>
      <c r="AC327" s="72"/>
      <c r="AD327" s="73"/>
      <c r="AE327" s="71"/>
      <c r="AF327" s="72"/>
      <c r="AG327" s="72"/>
      <c r="AH327" s="72"/>
      <c r="AI327" s="72"/>
      <c r="AJ327" s="73"/>
      <c r="AK327" s="71"/>
      <c r="AL327" s="72"/>
      <c r="AM327" s="72"/>
      <c r="AN327" s="72"/>
      <c r="AO327" s="72"/>
      <c r="AP327" s="73"/>
      <c r="AQ327" s="71"/>
      <c r="AR327" s="72"/>
      <c r="AS327" s="72"/>
      <c r="AT327" s="72"/>
      <c r="AU327" s="72"/>
      <c r="AV327" s="73"/>
      <c r="AW327" s="75">
        <v>2.6690645546488811</v>
      </c>
      <c r="AX327" s="76">
        <v>1.8205598889079688</v>
      </c>
      <c r="AY327" s="76">
        <v>1.2548901117473754</v>
      </c>
      <c r="AZ327" s="76">
        <v>2.9518994432291779</v>
      </c>
      <c r="BA327" s="76">
        <v>3.2347343318094746</v>
      </c>
      <c r="BB327" s="77">
        <v>4.0832389975503647</v>
      </c>
      <c r="BC327" s="65"/>
      <c r="BD327" s="78"/>
      <c r="BE327" s="78"/>
      <c r="BF327" s="78"/>
      <c r="BG327" s="78"/>
      <c r="BH327" s="70"/>
      <c r="BI327" s="65"/>
      <c r="BJ327" s="78"/>
      <c r="BK327" s="78"/>
      <c r="BL327" s="78"/>
      <c r="BM327" s="78"/>
      <c r="BN327" s="70"/>
      <c r="BO327" s="65"/>
      <c r="BP327" s="78"/>
      <c r="BQ327" s="78"/>
      <c r="BR327" s="78"/>
      <c r="BS327" s="78"/>
      <c r="BT327" s="70"/>
      <c r="BU327" s="65"/>
      <c r="BV327" s="78"/>
      <c r="BW327" s="78"/>
      <c r="BX327" s="78"/>
      <c r="BY327" s="78"/>
      <c r="BZ327" s="70"/>
      <c r="CA327" s="80"/>
      <c r="CB327" s="78"/>
      <c r="CC327" s="78"/>
      <c r="CD327" s="78"/>
      <c r="CE327" s="78"/>
      <c r="CF327" s="70"/>
    </row>
    <row r="328" spans="1:84" ht="12" customHeight="1">
      <c r="A328" s="2"/>
      <c r="B328" s="64">
        <v>316</v>
      </c>
      <c r="C328" s="65">
        <v>10</v>
      </c>
      <c r="D328" s="66" t="s">
        <v>18</v>
      </c>
      <c r="E328" s="69" t="s">
        <v>95</v>
      </c>
      <c r="F328" s="70" t="s">
        <v>81</v>
      </c>
      <c r="G328" s="71">
        <v>3058.141463414634</v>
      </c>
      <c r="H328" s="72">
        <v>1010.1804878048781</v>
      </c>
      <c r="I328" s="72">
        <v>2047.9609756097557</v>
      </c>
      <c r="J328" s="72"/>
      <c r="K328" s="72"/>
      <c r="L328" s="73"/>
      <c r="M328" s="71">
        <v>6116.2829268292671</v>
      </c>
      <c r="N328" s="72">
        <v>2020.3609756097562</v>
      </c>
      <c r="O328" s="72">
        <v>4095.9219512195109</v>
      </c>
      <c r="P328" s="72"/>
      <c r="Q328" s="72"/>
      <c r="R328" s="73"/>
      <c r="S328" s="71">
        <v>1014.4</v>
      </c>
      <c r="T328" s="72">
        <v>980</v>
      </c>
      <c r="U328" s="72">
        <v>1000</v>
      </c>
      <c r="V328" s="72">
        <v>1028</v>
      </c>
      <c r="W328" s="72">
        <v>1056</v>
      </c>
      <c r="X328" s="73">
        <v>1008</v>
      </c>
      <c r="Y328" s="71">
        <v>2009.6</v>
      </c>
      <c r="Z328" s="72">
        <v>1987</v>
      </c>
      <c r="AA328" s="72">
        <v>2045</v>
      </c>
      <c r="AB328" s="72">
        <v>2017</v>
      </c>
      <c r="AC328" s="72">
        <v>1973</v>
      </c>
      <c r="AD328" s="73">
        <v>2026</v>
      </c>
      <c r="AE328" s="71"/>
      <c r="AF328" s="72"/>
      <c r="AG328" s="72"/>
      <c r="AH328" s="72"/>
      <c r="AI328" s="72"/>
      <c r="AJ328" s="73"/>
      <c r="AK328" s="71"/>
      <c r="AL328" s="72"/>
      <c r="AM328" s="72"/>
      <c r="AN328" s="72"/>
      <c r="AO328" s="72"/>
      <c r="AP328" s="73"/>
      <c r="AQ328" s="71"/>
      <c r="AR328" s="72"/>
      <c r="AS328" s="72"/>
      <c r="AT328" s="72"/>
      <c r="AU328" s="72"/>
      <c r="AV328" s="73"/>
      <c r="AW328" s="75">
        <v>-1.1164121680791284</v>
      </c>
      <c r="AX328" s="76">
        <v>-2.9802893196728686</v>
      </c>
      <c r="AY328" s="76">
        <v>-0.4297205859130071</v>
      </c>
      <c r="AZ328" s="76">
        <v>-0.4297205859130071</v>
      </c>
      <c r="BA328" s="76">
        <v>-0.95291417232529207</v>
      </c>
      <c r="BB328" s="77">
        <v>-0.7894161765714558</v>
      </c>
      <c r="BC328" s="65"/>
      <c r="BD328" s="78"/>
      <c r="BE328" s="78"/>
      <c r="BF328" s="78"/>
      <c r="BG328" s="78"/>
      <c r="BH328" s="70"/>
      <c r="BI328" s="65"/>
      <c r="BJ328" s="78"/>
      <c r="BK328" s="78"/>
      <c r="BL328" s="78"/>
      <c r="BM328" s="78"/>
      <c r="BN328" s="70"/>
      <c r="BO328" s="65"/>
      <c r="BP328" s="78"/>
      <c r="BQ328" s="78"/>
      <c r="BR328" s="78"/>
      <c r="BS328" s="78"/>
      <c r="BT328" s="70"/>
      <c r="BU328" s="65"/>
      <c r="BV328" s="78"/>
      <c r="BW328" s="78"/>
      <c r="BX328" s="78"/>
      <c r="BY328" s="78"/>
      <c r="BZ328" s="70"/>
      <c r="CA328" s="80"/>
      <c r="CB328" s="78"/>
      <c r="CC328" s="78"/>
      <c r="CD328" s="78"/>
      <c r="CE328" s="78"/>
      <c r="CF328" s="70"/>
    </row>
    <row r="329" spans="1:84" ht="12" customHeight="1">
      <c r="A329" s="2"/>
      <c r="B329" s="64">
        <v>317</v>
      </c>
      <c r="C329" s="65">
        <v>10</v>
      </c>
      <c r="D329" s="66" t="s">
        <v>18</v>
      </c>
      <c r="E329" s="69" t="s">
        <v>141</v>
      </c>
      <c r="F329" s="70" t="s">
        <v>81</v>
      </c>
      <c r="G329" s="71">
        <v>2828.5053658536585</v>
      </c>
      <c r="H329" s="72">
        <v>2828.5053658536585</v>
      </c>
      <c r="I329" s="72">
        <v>0</v>
      </c>
      <c r="J329" s="72"/>
      <c r="K329" s="72"/>
      <c r="L329" s="73"/>
      <c r="M329" s="71">
        <v>5657.0107317073162</v>
      </c>
      <c r="N329" s="72">
        <v>5657.0107317073162</v>
      </c>
      <c r="O329" s="72">
        <v>0</v>
      </c>
      <c r="P329" s="72"/>
      <c r="Q329" s="72"/>
      <c r="R329" s="73"/>
      <c r="S329" s="71">
        <v>2809.6</v>
      </c>
      <c r="T329" s="72">
        <v>2840</v>
      </c>
      <c r="U329" s="72">
        <v>2920</v>
      </c>
      <c r="V329" s="72">
        <v>2752</v>
      </c>
      <c r="W329" s="72">
        <v>2704</v>
      </c>
      <c r="X329" s="73">
        <v>2832</v>
      </c>
      <c r="Y329" s="71"/>
      <c r="Z329" s="72"/>
      <c r="AA329" s="72"/>
      <c r="AB329" s="72"/>
      <c r="AC329" s="72"/>
      <c r="AD329" s="73"/>
      <c r="AE329" s="71"/>
      <c r="AF329" s="72"/>
      <c r="AG329" s="72"/>
      <c r="AH329" s="72"/>
      <c r="AI329" s="72"/>
      <c r="AJ329" s="73"/>
      <c r="AK329" s="71"/>
      <c r="AL329" s="72"/>
      <c r="AM329" s="72"/>
      <c r="AN329" s="72"/>
      <c r="AO329" s="72"/>
      <c r="AP329" s="73"/>
      <c r="AQ329" s="71"/>
      <c r="AR329" s="72"/>
      <c r="AS329" s="72"/>
      <c r="AT329" s="72"/>
      <c r="AU329" s="72"/>
      <c r="AV329" s="73"/>
      <c r="AW329" s="75">
        <v>-0.66838713059866883</v>
      </c>
      <c r="AX329" s="76">
        <v>0.4063854460064853</v>
      </c>
      <c r="AY329" s="76">
        <v>3.2347343318094746</v>
      </c>
      <c r="AZ329" s="76">
        <v>-2.7047983283768229</v>
      </c>
      <c r="BA329" s="76">
        <v>-4.4018076598586253</v>
      </c>
      <c r="BB329" s="77">
        <v>0.12355055742616639</v>
      </c>
      <c r="BC329" s="65"/>
      <c r="BD329" s="78"/>
      <c r="BE329" s="78"/>
      <c r="BF329" s="78"/>
      <c r="BG329" s="78"/>
      <c r="BH329" s="70"/>
      <c r="BI329" s="65"/>
      <c r="BJ329" s="78"/>
      <c r="BK329" s="78"/>
      <c r="BL329" s="78"/>
      <c r="BM329" s="78"/>
      <c r="BN329" s="70"/>
      <c r="BO329" s="65"/>
      <c r="BP329" s="78"/>
      <c r="BQ329" s="78"/>
      <c r="BR329" s="78"/>
      <c r="BS329" s="78"/>
      <c r="BT329" s="70"/>
      <c r="BU329" s="65"/>
      <c r="BV329" s="78"/>
      <c r="BW329" s="78"/>
      <c r="BX329" s="78"/>
      <c r="BY329" s="78"/>
      <c r="BZ329" s="70"/>
      <c r="CA329" s="80"/>
      <c r="CB329" s="78"/>
      <c r="CC329" s="78"/>
      <c r="CD329" s="78"/>
      <c r="CE329" s="78"/>
      <c r="CF329" s="70"/>
    </row>
    <row r="330" spans="1:84" ht="12" customHeight="1">
      <c r="A330" s="2"/>
      <c r="B330" s="64">
        <v>318</v>
      </c>
      <c r="C330" s="65">
        <v>10</v>
      </c>
      <c r="D330" s="66" t="s">
        <v>18</v>
      </c>
      <c r="E330" s="69" t="s">
        <v>98</v>
      </c>
      <c r="F330" s="70" t="s">
        <v>81</v>
      </c>
      <c r="G330" s="71">
        <v>3058.141463414634</v>
      </c>
      <c r="H330" s="72">
        <v>1010.1804878048781</v>
      </c>
      <c r="I330" s="72">
        <v>2047.9609756097557</v>
      </c>
      <c r="J330" s="72"/>
      <c r="K330" s="72"/>
      <c r="L330" s="73"/>
      <c r="M330" s="71">
        <v>6116.2829268292671</v>
      </c>
      <c r="N330" s="72">
        <v>2020.3609756097562</v>
      </c>
      <c r="O330" s="72">
        <v>4095.9219512195109</v>
      </c>
      <c r="P330" s="72"/>
      <c r="Q330" s="72"/>
      <c r="R330" s="73"/>
      <c r="S330" s="71">
        <v>1012.8</v>
      </c>
      <c r="T330" s="72">
        <v>1028</v>
      </c>
      <c r="U330" s="72">
        <v>996</v>
      </c>
      <c r="V330" s="72">
        <v>968</v>
      </c>
      <c r="W330" s="72">
        <v>1056</v>
      </c>
      <c r="X330" s="73">
        <v>1016</v>
      </c>
      <c r="Y330" s="71">
        <v>2031.4</v>
      </c>
      <c r="Z330" s="72">
        <v>2015</v>
      </c>
      <c r="AA330" s="72">
        <v>2082</v>
      </c>
      <c r="AB330" s="72">
        <v>2024</v>
      </c>
      <c r="AC330" s="72">
        <v>1968</v>
      </c>
      <c r="AD330" s="73">
        <v>2068</v>
      </c>
      <c r="AE330" s="71"/>
      <c r="AF330" s="72"/>
      <c r="AG330" s="72"/>
      <c r="AH330" s="72"/>
      <c r="AI330" s="72"/>
      <c r="AJ330" s="73"/>
      <c r="AK330" s="71"/>
      <c r="AL330" s="72"/>
      <c r="AM330" s="72"/>
      <c r="AN330" s="72"/>
      <c r="AO330" s="72"/>
      <c r="AP330" s="73"/>
      <c r="AQ330" s="71"/>
      <c r="AR330" s="72"/>
      <c r="AS330" s="72"/>
      <c r="AT330" s="72"/>
      <c r="AU330" s="72"/>
      <c r="AV330" s="73"/>
      <c r="AW330" s="75">
        <v>-0.45588026523363245</v>
      </c>
      <c r="AX330" s="76">
        <v>-0.49511978421454828</v>
      </c>
      <c r="AY330" s="76">
        <v>0.64936618606232788</v>
      </c>
      <c r="AZ330" s="76">
        <v>-2.1627993409036872</v>
      </c>
      <c r="BA330" s="76">
        <v>-1.1164121680791284</v>
      </c>
      <c r="BB330" s="77">
        <v>0.84556378096691809</v>
      </c>
      <c r="BC330" s="65"/>
      <c r="BD330" s="78"/>
      <c r="BE330" s="78"/>
      <c r="BF330" s="78"/>
      <c r="BG330" s="78"/>
      <c r="BH330" s="70"/>
      <c r="BI330" s="65"/>
      <c r="BJ330" s="78"/>
      <c r="BK330" s="78"/>
      <c r="BL330" s="78"/>
      <c r="BM330" s="78"/>
      <c r="BN330" s="70"/>
      <c r="BO330" s="65"/>
      <c r="BP330" s="78"/>
      <c r="BQ330" s="78"/>
      <c r="BR330" s="78"/>
      <c r="BS330" s="78"/>
      <c r="BT330" s="70"/>
      <c r="BU330" s="65"/>
      <c r="BV330" s="78"/>
      <c r="BW330" s="78"/>
      <c r="BX330" s="78"/>
      <c r="BY330" s="78"/>
      <c r="BZ330" s="70"/>
      <c r="CA330" s="80"/>
      <c r="CB330" s="78"/>
      <c r="CC330" s="78"/>
      <c r="CD330" s="78"/>
      <c r="CE330" s="78"/>
      <c r="CF330" s="70"/>
    </row>
    <row r="331" spans="1:84" ht="12" customHeight="1">
      <c r="A331" s="2"/>
      <c r="B331" s="64">
        <v>319</v>
      </c>
      <c r="C331" s="65">
        <v>10</v>
      </c>
      <c r="D331" s="66" t="s">
        <v>18</v>
      </c>
      <c r="E331" s="69" t="s">
        <v>150</v>
      </c>
      <c r="F331" s="70" t="s">
        <v>81</v>
      </c>
      <c r="G331" s="71">
        <v>2828.5053658536585</v>
      </c>
      <c r="H331" s="72">
        <v>2828.5053658536585</v>
      </c>
      <c r="I331" s="72">
        <v>0</v>
      </c>
      <c r="J331" s="72"/>
      <c r="K331" s="72"/>
      <c r="L331" s="73"/>
      <c r="M331" s="71">
        <v>5657.0107317073162</v>
      </c>
      <c r="N331" s="72">
        <v>5657.0107317073162</v>
      </c>
      <c r="O331" s="72">
        <v>0</v>
      </c>
      <c r="P331" s="72"/>
      <c r="Q331" s="72"/>
      <c r="R331" s="73"/>
      <c r="S331" s="71">
        <v>2809.6</v>
      </c>
      <c r="T331" s="72">
        <v>2840</v>
      </c>
      <c r="U331" s="72">
        <v>2920</v>
      </c>
      <c r="V331" s="72">
        <v>2752</v>
      </c>
      <c r="W331" s="72">
        <v>2704</v>
      </c>
      <c r="X331" s="73">
        <v>2832</v>
      </c>
      <c r="Y331" s="71"/>
      <c r="Z331" s="72"/>
      <c r="AA331" s="72"/>
      <c r="AB331" s="72"/>
      <c r="AC331" s="72"/>
      <c r="AD331" s="73"/>
      <c r="AE331" s="71"/>
      <c r="AF331" s="72"/>
      <c r="AG331" s="72"/>
      <c r="AH331" s="72"/>
      <c r="AI331" s="72"/>
      <c r="AJ331" s="73"/>
      <c r="AK331" s="71"/>
      <c r="AL331" s="72"/>
      <c r="AM331" s="72"/>
      <c r="AN331" s="72"/>
      <c r="AO331" s="72"/>
      <c r="AP331" s="73"/>
      <c r="AQ331" s="71"/>
      <c r="AR331" s="72"/>
      <c r="AS331" s="72"/>
      <c r="AT331" s="72"/>
      <c r="AU331" s="72"/>
      <c r="AV331" s="73"/>
      <c r="AW331" s="75">
        <v>-0.66838713059866883</v>
      </c>
      <c r="AX331" s="76">
        <v>0.4063854460064853</v>
      </c>
      <c r="AY331" s="76">
        <v>3.2347343318094746</v>
      </c>
      <c r="AZ331" s="76">
        <v>-2.7047983283768229</v>
      </c>
      <c r="BA331" s="76">
        <v>-4.4018076598586253</v>
      </c>
      <c r="BB331" s="77">
        <v>0.12355055742616639</v>
      </c>
      <c r="BC331" s="65"/>
      <c r="BD331" s="78"/>
      <c r="BE331" s="78"/>
      <c r="BF331" s="78"/>
      <c r="BG331" s="78"/>
      <c r="BH331" s="70"/>
      <c r="BI331" s="65"/>
      <c r="BJ331" s="78"/>
      <c r="BK331" s="78"/>
      <c r="BL331" s="78"/>
      <c r="BM331" s="78"/>
      <c r="BN331" s="70"/>
      <c r="BO331" s="65"/>
      <c r="BP331" s="78"/>
      <c r="BQ331" s="78"/>
      <c r="BR331" s="78"/>
      <c r="BS331" s="78"/>
      <c r="BT331" s="70"/>
      <c r="BU331" s="65"/>
      <c r="BV331" s="78"/>
      <c r="BW331" s="78"/>
      <c r="BX331" s="78"/>
      <c r="BY331" s="78"/>
      <c r="BZ331" s="70"/>
      <c r="CA331" s="80"/>
      <c r="CB331" s="78"/>
      <c r="CC331" s="78"/>
      <c r="CD331" s="78"/>
      <c r="CE331" s="78"/>
      <c r="CF331" s="70"/>
    </row>
    <row r="332" spans="1:84" ht="12" customHeight="1">
      <c r="A332" s="2"/>
      <c r="B332" s="64">
        <v>320</v>
      </c>
      <c r="C332" s="65">
        <v>10</v>
      </c>
      <c r="D332" s="66" t="s">
        <v>18</v>
      </c>
      <c r="E332" s="69" t="s">
        <v>151</v>
      </c>
      <c r="F332" s="70" t="s">
        <v>81</v>
      </c>
      <c r="G332" s="71">
        <v>3058.141463414634</v>
      </c>
      <c r="H332" s="72">
        <v>1010.1804878048781</v>
      </c>
      <c r="I332" s="72">
        <v>2047.9609756097557</v>
      </c>
      <c r="J332" s="72"/>
      <c r="K332" s="72"/>
      <c r="L332" s="73"/>
      <c r="M332" s="71">
        <v>6116.2829268292671</v>
      </c>
      <c r="N332" s="72">
        <v>2020.3609756097562</v>
      </c>
      <c r="O332" s="72">
        <v>4095.9219512195109</v>
      </c>
      <c r="P332" s="72"/>
      <c r="Q332" s="72"/>
      <c r="R332" s="73"/>
      <c r="S332" s="71">
        <v>1012.8</v>
      </c>
      <c r="T332" s="72">
        <v>1028</v>
      </c>
      <c r="U332" s="72">
        <v>996</v>
      </c>
      <c r="V332" s="72">
        <v>968</v>
      </c>
      <c r="W332" s="72">
        <v>1056</v>
      </c>
      <c r="X332" s="73">
        <v>1016</v>
      </c>
      <c r="Y332" s="71">
        <v>2031.4</v>
      </c>
      <c r="Z332" s="72">
        <v>2015</v>
      </c>
      <c r="AA332" s="72">
        <v>2082</v>
      </c>
      <c r="AB332" s="72">
        <v>2024</v>
      </c>
      <c r="AC332" s="72">
        <v>1968</v>
      </c>
      <c r="AD332" s="73">
        <v>2068</v>
      </c>
      <c r="AE332" s="71"/>
      <c r="AF332" s="72"/>
      <c r="AG332" s="72"/>
      <c r="AH332" s="72"/>
      <c r="AI332" s="72"/>
      <c r="AJ332" s="73"/>
      <c r="AK332" s="71"/>
      <c r="AL332" s="72"/>
      <c r="AM332" s="72"/>
      <c r="AN332" s="72"/>
      <c r="AO332" s="72"/>
      <c r="AP332" s="73"/>
      <c r="AQ332" s="71"/>
      <c r="AR332" s="72"/>
      <c r="AS332" s="72"/>
      <c r="AT332" s="72"/>
      <c r="AU332" s="72"/>
      <c r="AV332" s="73"/>
      <c r="AW332" s="75">
        <v>-0.45588026523363245</v>
      </c>
      <c r="AX332" s="76">
        <v>-0.49511978421454828</v>
      </c>
      <c r="AY332" s="76">
        <v>0.64936618606232788</v>
      </c>
      <c r="AZ332" s="76">
        <v>-2.1627993409036872</v>
      </c>
      <c r="BA332" s="76">
        <v>-1.1164121680791284</v>
      </c>
      <c r="BB332" s="77">
        <v>0.84556378096691809</v>
      </c>
      <c r="BC332" s="65"/>
      <c r="BD332" s="78"/>
      <c r="BE332" s="78"/>
      <c r="BF332" s="78"/>
      <c r="BG332" s="78"/>
      <c r="BH332" s="70"/>
      <c r="BI332" s="65"/>
      <c r="BJ332" s="78"/>
      <c r="BK332" s="78"/>
      <c r="BL332" s="78"/>
      <c r="BM332" s="78"/>
      <c r="BN332" s="70"/>
      <c r="BO332" s="65"/>
      <c r="BP332" s="78"/>
      <c r="BQ332" s="78"/>
      <c r="BR332" s="78"/>
      <c r="BS332" s="78"/>
      <c r="BT332" s="70"/>
      <c r="BU332" s="65"/>
      <c r="BV332" s="78"/>
      <c r="BW332" s="78"/>
      <c r="BX332" s="78"/>
      <c r="BY332" s="78"/>
      <c r="BZ332" s="70"/>
      <c r="CA332" s="80"/>
      <c r="CB332" s="78"/>
      <c r="CC332" s="78"/>
      <c r="CD332" s="78"/>
      <c r="CE332" s="78"/>
      <c r="CF332" s="70"/>
    </row>
    <row r="333" spans="1:84" ht="12" customHeight="1">
      <c r="A333" s="2"/>
      <c r="B333" s="64">
        <v>321</v>
      </c>
      <c r="C333" s="65">
        <v>10</v>
      </c>
      <c r="D333" s="66" t="s">
        <v>18</v>
      </c>
      <c r="E333" s="69" t="s">
        <v>163</v>
      </c>
      <c r="F333" s="70" t="s">
        <v>81</v>
      </c>
      <c r="G333" s="71">
        <v>1692.8341463414633</v>
      </c>
      <c r="H333" s="72">
        <v>1010.1804878048781</v>
      </c>
      <c r="I333" s="72">
        <v>682.65365853658523</v>
      </c>
      <c r="J333" s="72"/>
      <c r="K333" s="72"/>
      <c r="L333" s="73"/>
      <c r="M333" s="71">
        <v>3385.6682926829267</v>
      </c>
      <c r="N333" s="72">
        <v>2020.3609756097562</v>
      </c>
      <c r="O333" s="72">
        <v>1365.3073170731705</v>
      </c>
      <c r="P333" s="72"/>
      <c r="Q333" s="72"/>
      <c r="R333" s="73"/>
      <c r="S333" s="71">
        <v>1016</v>
      </c>
      <c r="T333" s="72">
        <v>1026</v>
      </c>
      <c r="U333" s="72">
        <v>1013</v>
      </c>
      <c r="V333" s="72">
        <v>1004</v>
      </c>
      <c r="W333" s="72">
        <v>1018</v>
      </c>
      <c r="X333" s="73">
        <v>1019</v>
      </c>
      <c r="Y333" s="71">
        <v>656</v>
      </c>
      <c r="Z333" s="72">
        <v>644</v>
      </c>
      <c r="AA333" s="72">
        <v>670</v>
      </c>
      <c r="AB333" s="72">
        <v>644</v>
      </c>
      <c r="AC333" s="72">
        <v>682</v>
      </c>
      <c r="AD333" s="73">
        <v>640</v>
      </c>
      <c r="AE333" s="71"/>
      <c r="AF333" s="72"/>
      <c r="AG333" s="72"/>
      <c r="AH333" s="72"/>
      <c r="AI333" s="72"/>
      <c r="AJ333" s="73"/>
      <c r="AK333" s="71"/>
      <c r="AL333" s="72"/>
      <c r="AM333" s="72"/>
      <c r="AN333" s="72"/>
      <c r="AO333" s="72"/>
      <c r="AP333" s="73"/>
      <c r="AQ333" s="71"/>
      <c r="AR333" s="72"/>
      <c r="AS333" s="72"/>
      <c r="AT333" s="72"/>
      <c r="AU333" s="72"/>
      <c r="AV333" s="73"/>
      <c r="AW333" s="75">
        <v>-1.2307257853044762</v>
      </c>
      <c r="AX333" s="76">
        <v>-1.3488708501545932</v>
      </c>
      <c r="AY333" s="76">
        <v>-0.58092792862884934</v>
      </c>
      <c r="AZ333" s="76">
        <v>-2.6484665635058469</v>
      </c>
      <c r="BA333" s="76">
        <v>0.42330512259711739</v>
      </c>
      <c r="BB333" s="77">
        <v>-1.99866870683022</v>
      </c>
      <c r="BC333" s="65"/>
      <c r="BD333" s="78"/>
      <c r="BE333" s="78"/>
      <c r="BF333" s="78"/>
      <c r="BG333" s="78"/>
      <c r="BH333" s="70"/>
      <c r="BI333" s="65"/>
      <c r="BJ333" s="78"/>
      <c r="BK333" s="78"/>
      <c r="BL333" s="78"/>
      <c r="BM333" s="78"/>
      <c r="BN333" s="70"/>
      <c r="BO333" s="65"/>
      <c r="BP333" s="78"/>
      <c r="BQ333" s="78"/>
      <c r="BR333" s="78"/>
      <c r="BS333" s="78"/>
      <c r="BT333" s="70"/>
      <c r="BU333" s="65"/>
      <c r="BV333" s="78"/>
      <c r="BW333" s="78"/>
      <c r="BX333" s="78"/>
      <c r="BY333" s="78"/>
      <c r="BZ333" s="70"/>
      <c r="CA333" s="80"/>
      <c r="CB333" s="78"/>
      <c r="CC333" s="78"/>
      <c r="CD333" s="78"/>
      <c r="CE333" s="78"/>
      <c r="CF333" s="70"/>
    </row>
    <row r="334" spans="1:84" ht="12" customHeight="1">
      <c r="A334" s="2"/>
      <c r="B334" s="64">
        <v>322</v>
      </c>
      <c r="C334" s="65">
        <v>10</v>
      </c>
      <c r="D334" s="66" t="s">
        <v>18</v>
      </c>
      <c r="E334" s="69" t="s">
        <v>164</v>
      </c>
      <c r="F334" s="70" t="s">
        <v>81</v>
      </c>
      <c r="G334" s="71">
        <v>2828.5053658536585</v>
      </c>
      <c r="H334" s="72">
        <v>2828.5053658536585</v>
      </c>
      <c r="I334" s="72">
        <v>0</v>
      </c>
      <c r="J334" s="72"/>
      <c r="K334" s="72"/>
      <c r="L334" s="73"/>
      <c r="M334" s="71">
        <v>5657.0107317073162</v>
      </c>
      <c r="N334" s="72">
        <v>5657.0107317073162</v>
      </c>
      <c r="O334" s="72">
        <v>0</v>
      </c>
      <c r="P334" s="72"/>
      <c r="Q334" s="72"/>
      <c r="R334" s="73"/>
      <c r="S334" s="71">
        <v>2809.6</v>
      </c>
      <c r="T334" s="72">
        <v>2840</v>
      </c>
      <c r="U334" s="72">
        <v>2920</v>
      </c>
      <c r="V334" s="72">
        <v>2752</v>
      </c>
      <c r="W334" s="72">
        <v>2704</v>
      </c>
      <c r="X334" s="73">
        <v>2832</v>
      </c>
      <c r="Y334" s="71"/>
      <c r="Z334" s="72"/>
      <c r="AA334" s="72"/>
      <c r="AB334" s="72"/>
      <c r="AC334" s="72"/>
      <c r="AD334" s="73"/>
      <c r="AE334" s="71"/>
      <c r="AF334" s="72"/>
      <c r="AG334" s="72"/>
      <c r="AH334" s="72"/>
      <c r="AI334" s="72"/>
      <c r="AJ334" s="73"/>
      <c r="AK334" s="71"/>
      <c r="AL334" s="72"/>
      <c r="AM334" s="72"/>
      <c r="AN334" s="72"/>
      <c r="AO334" s="72"/>
      <c r="AP334" s="73"/>
      <c r="AQ334" s="71"/>
      <c r="AR334" s="72"/>
      <c r="AS334" s="72"/>
      <c r="AT334" s="72"/>
      <c r="AU334" s="72"/>
      <c r="AV334" s="73"/>
      <c r="AW334" s="75">
        <v>-0.66838713059866883</v>
      </c>
      <c r="AX334" s="76">
        <v>0.4063854460064853</v>
      </c>
      <c r="AY334" s="76">
        <v>3.2347343318094746</v>
      </c>
      <c r="AZ334" s="76">
        <v>-2.7047983283768229</v>
      </c>
      <c r="BA334" s="76">
        <v>-4.4018076598586253</v>
      </c>
      <c r="BB334" s="77">
        <v>0.12355055742616639</v>
      </c>
      <c r="BC334" s="65"/>
      <c r="BD334" s="78"/>
      <c r="BE334" s="78"/>
      <c r="BF334" s="78"/>
      <c r="BG334" s="78"/>
      <c r="BH334" s="70"/>
      <c r="BI334" s="65"/>
      <c r="BJ334" s="78"/>
      <c r="BK334" s="78"/>
      <c r="BL334" s="78"/>
      <c r="BM334" s="78"/>
      <c r="BN334" s="70"/>
      <c r="BO334" s="65"/>
      <c r="BP334" s="78"/>
      <c r="BQ334" s="78"/>
      <c r="BR334" s="78"/>
      <c r="BS334" s="78"/>
      <c r="BT334" s="70"/>
      <c r="BU334" s="65"/>
      <c r="BV334" s="78"/>
      <c r="BW334" s="78"/>
      <c r="BX334" s="78"/>
      <c r="BY334" s="78"/>
      <c r="BZ334" s="70"/>
      <c r="CA334" s="80"/>
      <c r="CB334" s="78"/>
      <c r="CC334" s="78"/>
      <c r="CD334" s="78"/>
      <c r="CE334" s="78"/>
      <c r="CF334" s="70"/>
    </row>
    <row r="335" spans="1:84" ht="12" customHeight="1">
      <c r="A335" s="2"/>
      <c r="B335" s="64">
        <v>323</v>
      </c>
      <c r="C335" s="65">
        <v>10</v>
      </c>
      <c r="D335" s="66" t="s">
        <v>18</v>
      </c>
      <c r="E335" s="69" t="s">
        <v>165</v>
      </c>
      <c r="F335" s="70" t="s">
        <v>81</v>
      </c>
      <c r="G335" s="71">
        <v>3058.141463414634</v>
      </c>
      <c r="H335" s="72">
        <v>1010.1804878048781</v>
      </c>
      <c r="I335" s="72">
        <v>2047.9609756097557</v>
      </c>
      <c r="J335" s="72"/>
      <c r="K335" s="72"/>
      <c r="L335" s="73"/>
      <c r="M335" s="71">
        <v>6116.2829268292671</v>
      </c>
      <c r="N335" s="72">
        <v>2020.3609756097562</v>
      </c>
      <c r="O335" s="72">
        <v>4095.9219512195109</v>
      </c>
      <c r="P335" s="72"/>
      <c r="Q335" s="72"/>
      <c r="R335" s="73"/>
      <c r="S335" s="71">
        <v>1012.8</v>
      </c>
      <c r="T335" s="72">
        <v>1028</v>
      </c>
      <c r="U335" s="72">
        <v>996</v>
      </c>
      <c r="V335" s="72">
        <v>968</v>
      </c>
      <c r="W335" s="72">
        <v>1056</v>
      </c>
      <c r="X335" s="73">
        <v>1016</v>
      </c>
      <c r="Y335" s="71">
        <v>2031.4</v>
      </c>
      <c r="Z335" s="72">
        <v>2015</v>
      </c>
      <c r="AA335" s="72">
        <v>2082</v>
      </c>
      <c r="AB335" s="72">
        <v>2024</v>
      </c>
      <c r="AC335" s="72">
        <v>1968</v>
      </c>
      <c r="AD335" s="73">
        <v>2068</v>
      </c>
      <c r="AE335" s="71"/>
      <c r="AF335" s="72"/>
      <c r="AG335" s="72"/>
      <c r="AH335" s="72"/>
      <c r="AI335" s="72"/>
      <c r="AJ335" s="73"/>
      <c r="AK335" s="71"/>
      <c r="AL335" s="72"/>
      <c r="AM335" s="72"/>
      <c r="AN335" s="72"/>
      <c r="AO335" s="72"/>
      <c r="AP335" s="73"/>
      <c r="AQ335" s="71"/>
      <c r="AR335" s="72"/>
      <c r="AS335" s="72"/>
      <c r="AT335" s="72"/>
      <c r="AU335" s="72"/>
      <c r="AV335" s="73"/>
      <c r="AW335" s="75">
        <v>-0.45588026523363245</v>
      </c>
      <c r="AX335" s="76">
        <v>-0.49511978421454828</v>
      </c>
      <c r="AY335" s="76">
        <v>0.64936618606232788</v>
      </c>
      <c r="AZ335" s="76">
        <v>-2.1627993409036872</v>
      </c>
      <c r="BA335" s="76">
        <v>-1.1164121680791284</v>
      </c>
      <c r="BB335" s="77">
        <v>0.84556378096691809</v>
      </c>
      <c r="BC335" s="65"/>
      <c r="BD335" s="78"/>
      <c r="BE335" s="78"/>
      <c r="BF335" s="78"/>
      <c r="BG335" s="78"/>
      <c r="BH335" s="70"/>
      <c r="BI335" s="65"/>
      <c r="BJ335" s="78"/>
      <c r="BK335" s="78"/>
      <c r="BL335" s="78"/>
      <c r="BM335" s="78"/>
      <c r="BN335" s="70"/>
      <c r="BO335" s="65"/>
      <c r="BP335" s="78"/>
      <c r="BQ335" s="78"/>
      <c r="BR335" s="78"/>
      <c r="BS335" s="78"/>
      <c r="BT335" s="70"/>
      <c r="BU335" s="65"/>
      <c r="BV335" s="78"/>
      <c r="BW335" s="78"/>
      <c r="BX335" s="78"/>
      <c r="BY335" s="78"/>
      <c r="BZ335" s="70"/>
      <c r="CA335" s="80"/>
      <c r="CB335" s="78"/>
      <c r="CC335" s="78"/>
      <c r="CD335" s="78"/>
      <c r="CE335" s="78"/>
      <c r="CF335" s="70"/>
    </row>
    <row r="336" spans="1:84" ht="12" customHeight="1">
      <c r="A336" s="2"/>
      <c r="B336" s="64">
        <v>324</v>
      </c>
      <c r="C336" s="65">
        <v>10</v>
      </c>
      <c r="D336" s="66" t="s">
        <v>18</v>
      </c>
      <c r="E336" s="69" t="s">
        <v>152</v>
      </c>
      <c r="F336" s="70" t="s">
        <v>81</v>
      </c>
      <c r="G336" s="71">
        <v>1692.8341463414633</v>
      </c>
      <c r="H336" s="72">
        <v>1010.1804878048781</v>
      </c>
      <c r="I336" s="72">
        <v>682.65365853658523</v>
      </c>
      <c r="J336" s="72"/>
      <c r="K336" s="72"/>
      <c r="L336" s="73"/>
      <c r="M336" s="71">
        <v>3385.6682926829267</v>
      </c>
      <c r="N336" s="72">
        <v>2020.3609756097562</v>
      </c>
      <c r="O336" s="72">
        <v>1365.3073170731705</v>
      </c>
      <c r="P336" s="72"/>
      <c r="Q336" s="72"/>
      <c r="R336" s="73"/>
      <c r="S336" s="71">
        <v>1014.4</v>
      </c>
      <c r="T336" s="72">
        <v>993</v>
      </c>
      <c r="U336" s="72">
        <v>1015</v>
      </c>
      <c r="V336" s="72">
        <v>1014</v>
      </c>
      <c r="W336" s="72">
        <v>1026</v>
      </c>
      <c r="X336" s="73">
        <v>1024</v>
      </c>
      <c r="Y336" s="71">
        <v>681.8</v>
      </c>
      <c r="Z336" s="72">
        <v>646</v>
      </c>
      <c r="AA336" s="72">
        <v>701</v>
      </c>
      <c r="AB336" s="72">
        <v>714</v>
      </c>
      <c r="AC336" s="72">
        <v>638</v>
      </c>
      <c r="AD336" s="73">
        <v>710</v>
      </c>
      <c r="AE336" s="71"/>
      <c r="AF336" s="72"/>
      <c r="AG336" s="72"/>
      <c r="AH336" s="72"/>
      <c r="AI336" s="72"/>
      <c r="AJ336" s="73"/>
      <c r="AK336" s="71"/>
      <c r="AL336" s="72"/>
      <c r="AM336" s="72"/>
      <c r="AN336" s="72"/>
      <c r="AO336" s="72"/>
      <c r="AP336" s="73"/>
      <c r="AQ336" s="71"/>
      <c r="AR336" s="72"/>
      <c r="AS336" s="72"/>
      <c r="AT336" s="72"/>
      <c r="AU336" s="72"/>
      <c r="AV336" s="73"/>
      <c r="AW336" s="75">
        <v>0.19882949938190286</v>
      </c>
      <c r="AX336" s="76">
        <v>-3.1801193553313678</v>
      </c>
      <c r="AY336" s="76">
        <v>1.3684656413980312</v>
      </c>
      <c r="AZ336" s="76">
        <v>2.077336030498711</v>
      </c>
      <c r="BA336" s="76">
        <v>-1.7033060447049331</v>
      </c>
      <c r="BB336" s="77">
        <v>2.4317712250490731</v>
      </c>
      <c r="BC336" s="65"/>
      <c r="BD336" s="78"/>
      <c r="BE336" s="78"/>
      <c r="BF336" s="78"/>
      <c r="BG336" s="78"/>
      <c r="BH336" s="70"/>
      <c r="BI336" s="65"/>
      <c r="BJ336" s="78"/>
      <c r="BK336" s="78"/>
      <c r="BL336" s="78"/>
      <c r="BM336" s="78"/>
      <c r="BN336" s="70"/>
      <c r="BO336" s="65"/>
      <c r="BP336" s="78"/>
      <c r="BQ336" s="78"/>
      <c r="BR336" s="78"/>
      <c r="BS336" s="78"/>
      <c r="BT336" s="70"/>
      <c r="BU336" s="65"/>
      <c r="BV336" s="78"/>
      <c r="BW336" s="78"/>
      <c r="BX336" s="78"/>
      <c r="BY336" s="78"/>
      <c r="BZ336" s="70"/>
      <c r="CA336" s="80"/>
      <c r="CB336" s="78"/>
      <c r="CC336" s="78"/>
      <c r="CD336" s="78"/>
      <c r="CE336" s="78"/>
      <c r="CF336" s="70"/>
    </row>
    <row r="337" spans="1:84" ht="12" customHeight="1">
      <c r="A337" s="2"/>
      <c r="B337" s="64">
        <v>325</v>
      </c>
      <c r="C337" s="65">
        <v>10</v>
      </c>
      <c r="D337" s="66" t="s">
        <v>18</v>
      </c>
      <c r="E337" s="69" t="s">
        <v>153</v>
      </c>
      <c r="F337" s="70" t="s">
        <v>81</v>
      </c>
      <c r="G337" s="71">
        <v>2828.5053658536585</v>
      </c>
      <c r="H337" s="72">
        <v>2828.5053658536585</v>
      </c>
      <c r="I337" s="72">
        <v>0</v>
      </c>
      <c r="J337" s="72"/>
      <c r="K337" s="72"/>
      <c r="L337" s="73"/>
      <c r="M337" s="71">
        <v>5657.0107317073162</v>
      </c>
      <c r="N337" s="72">
        <v>5657.0107317073162</v>
      </c>
      <c r="O337" s="72">
        <v>0</v>
      </c>
      <c r="P337" s="72"/>
      <c r="Q337" s="72"/>
      <c r="R337" s="73"/>
      <c r="S337" s="71">
        <v>2904</v>
      </c>
      <c r="T337" s="72">
        <v>2880</v>
      </c>
      <c r="U337" s="72">
        <v>2864</v>
      </c>
      <c r="V337" s="72">
        <v>2912</v>
      </c>
      <c r="W337" s="72">
        <v>2920</v>
      </c>
      <c r="X337" s="73">
        <v>2944</v>
      </c>
      <c r="Y337" s="71"/>
      <c r="Z337" s="72"/>
      <c r="AA337" s="72"/>
      <c r="AB337" s="72"/>
      <c r="AC337" s="72"/>
      <c r="AD337" s="73"/>
      <c r="AE337" s="71"/>
      <c r="AF337" s="72"/>
      <c r="AG337" s="72"/>
      <c r="AH337" s="72"/>
      <c r="AI337" s="72"/>
      <c r="AJ337" s="73"/>
      <c r="AK337" s="71"/>
      <c r="AL337" s="72"/>
      <c r="AM337" s="72"/>
      <c r="AN337" s="72"/>
      <c r="AO337" s="72"/>
      <c r="AP337" s="73"/>
      <c r="AQ337" s="71"/>
      <c r="AR337" s="72"/>
      <c r="AS337" s="72"/>
      <c r="AT337" s="72"/>
      <c r="AU337" s="72"/>
      <c r="AV337" s="73"/>
      <c r="AW337" s="75">
        <v>2.6690645546488811</v>
      </c>
      <c r="AX337" s="76">
        <v>1.8205598889079688</v>
      </c>
      <c r="AY337" s="76">
        <v>1.2548901117473754</v>
      </c>
      <c r="AZ337" s="76">
        <v>2.9518994432291779</v>
      </c>
      <c r="BA337" s="76">
        <v>3.2347343318094746</v>
      </c>
      <c r="BB337" s="77">
        <v>4.0832389975503647</v>
      </c>
      <c r="BC337" s="65"/>
      <c r="BD337" s="78"/>
      <c r="BE337" s="78"/>
      <c r="BF337" s="78"/>
      <c r="BG337" s="78"/>
      <c r="BH337" s="70"/>
      <c r="BI337" s="65"/>
      <c r="BJ337" s="78"/>
      <c r="BK337" s="78"/>
      <c r="BL337" s="78"/>
      <c r="BM337" s="78"/>
      <c r="BN337" s="70"/>
      <c r="BO337" s="65"/>
      <c r="BP337" s="78"/>
      <c r="BQ337" s="78"/>
      <c r="BR337" s="78"/>
      <c r="BS337" s="78"/>
      <c r="BT337" s="70"/>
      <c r="BU337" s="65"/>
      <c r="BV337" s="78"/>
      <c r="BW337" s="78"/>
      <c r="BX337" s="78"/>
      <c r="BY337" s="78"/>
      <c r="BZ337" s="70"/>
      <c r="CA337" s="80"/>
      <c r="CB337" s="78"/>
      <c r="CC337" s="78"/>
      <c r="CD337" s="78"/>
      <c r="CE337" s="78"/>
      <c r="CF337" s="70"/>
    </row>
    <row r="338" spans="1:84" ht="12" customHeight="1">
      <c r="A338" s="2"/>
      <c r="B338" s="64">
        <v>326</v>
      </c>
      <c r="C338" s="65">
        <v>10</v>
      </c>
      <c r="D338" s="66" t="s">
        <v>18</v>
      </c>
      <c r="E338" s="69" t="s">
        <v>154</v>
      </c>
      <c r="F338" s="70" t="s">
        <v>81</v>
      </c>
      <c r="G338" s="71">
        <v>3058.141463414634</v>
      </c>
      <c r="H338" s="72">
        <v>1010.1804878048781</v>
      </c>
      <c r="I338" s="72">
        <v>2047.9609756097557</v>
      </c>
      <c r="J338" s="72"/>
      <c r="K338" s="72"/>
      <c r="L338" s="73"/>
      <c r="M338" s="71">
        <v>6116.2829268292671</v>
      </c>
      <c r="N338" s="72">
        <v>2020.3609756097562</v>
      </c>
      <c r="O338" s="72">
        <v>4095.9219512195109</v>
      </c>
      <c r="P338" s="72"/>
      <c r="Q338" s="72"/>
      <c r="R338" s="73"/>
      <c r="S338" s="71">
        <v>1014.4</v>
      </c>
      <c r="T338" s="72">
        <v>980</v>
      </c>
      <c r="U338" s="72">
        <v>1000</v>
      </c>
      <c r="V338" s="72">
        <v>1028</v>
      </c>
      <c r="W338" s="72">
        <v>1056</v>
      </c>
      <c r="X338" s="73">
        <v>1008</v>
      </c>
      <c r="Y338" s="71">
        <v>2009.6</v>
      </c>
      <c r="Z338" s="72">
        <v>1987</v>
      </c>
      <c r="AA338" s="72">
        <v>2045</v>
      </c>
      <c r="AB338" s="72">
        <v>2017</v>
      </c>
      <c r="AC338" s="72">
        <v>1973</v>
      </c>
      <c r="AD338" s="73">
        <v>2026</v>
      </c>
      <c r="AE338" s="71"/>
      <c r="AF338" s="72"/>
      <c r="AG338" s="72"/>
      <c r="AH338" s="72"/>
      <c r="AI338" s="72"/>
      <c r="AJ338" s="73"/>
      <c r="AK338" s="71"/>
      <c r="AL338" s="72"/>
      <c r="AM338" s="72"/>
      <c r="AN338" s="72"/>
      <c r="AO338" s="72"/>
      <c r="AP338" s="73"/>
      <c r="AQ338" s="71"/>
      <c r="AR338" s="72"/>
      <c r="AS338" s="72"/>
      <c r="AT338" s="72"/>
      <c r="AU338" s="72"/>
      <c r="AV338" s="73"/>
      <c r="AW338" s="75">
        <v>-1.1164121680791284</v>
      </c>
      <c r="AX338" s="76">
        <v>-2.9802893196728686</v>
      </c>
      <c r="AY338" s="76">
        <v>-0.4297205859130071</v>
      </c>
      <c r="AZ338" s="76">
        <v>-0.4297205859130071</v>
      </c>
      <c r="BA338" s="76">
        <v>-0.95291417232529207</v>
      </c>
      <c r="BB338" s="77">
        <v>-0.7894161765714558</v>
      </c>
      <c r="BC338" s="65"/>
      <c r="BD338" s="78"/>
      <c r="BE338" s="78"/>
      <c r="BF338" s="78"/>
      <c r="BG338" s="78"/>
      <c r="BH338" s="70"/>
      <c r="BI338" s="65"/>
      <c r="BJ338" s="78"/>
      <c r="BK338" s="78"/>
      <c r="BL338" s="78"/>
      <c r="BM338" s="78"/>
      <c r="BN338" s="70"/>
      <c r="BO338" s="65"/>
      <c r="BP338" s="78"/>
      <c r="BQ338" s="78"/>
      <c r="BR338" s="78"/>
      <c r="BS338" s="78"/>
      <c r="BT338" s="70"/>
      <c r="BU338" s="65"/>
      <c r="BV338" s="78"/>
      <c r="BW338" s="78"/>
      <c r="BX338" s="78"/>
      <c r="BY338" s="78"/>
      <c r="BZ338" s="70"/>
      <c r="CA338" s="80"/>
      <c r="CB338" s="78"/>
      <c r="CC338" s="78"/>
      <c r="CD338" s="78"/>
      <c r="CE338" s="78"/>
      <c r="CF338" s="70"/>
    </row>
    <row r="339" spans="1:84" ht="12" customHeight="1">
      <c r="A339" s="2"/>
      <c r="B339" s="64">
        <v>327</v>
      </c>
      <c r="C339" s="65">
        <v>10</v>
      </c>
      <c r="D339" s="66" t="s">
        <v>18</v>
      </c>
      <c r="E339" s="69" t="s">
        <v>155</v>
      </c>
      <c r="F339" s="70" t="s">
        <v>81</v>
      </c>
      <c r="G339" s="71">
        <v>1692.8341463414633</v>
      </c>
      <c r="H339" s="72">
        <v>1010.1804878048781</v>
      </c>
      <c r="I339" s="72">
        <v>682.65365853658523</v>
      </c>
      <c r="J339" s="72"/>
      <c r="K339" s="72"/>
      <c r="L339" s="73"/>
      <c r="M339" s="71">
        <v>3385.6682926829267</v>
      </c>
      <c r="N339" s="72">
        <v>2020.3609756097562</v>
      </c>
      <c r="O339" s="72">
        <v>1365.3073170731705</v>
      </c>
      <c r="P339" s="72"/>
      <c r="Q339" s="72"/>
      <c r="R339" s="73"/>
      <c r="S339" s="71">
        <v>1016</v>
      </c>
      <c r="T339" s="72">
        <v>1026</v>
      </c>
      <c r="U339" s="72">
        <v>1013</v>
      </c>
      <c r="V339" s="72">
        <v>1004</v>
      </c>
      <c r="W339" s="72">
        <v>1018</v>
      </c>
      <c r="X339" s="73">
        <v>1019</v>
      </c>
      <c r="Y339" s="71">
        <v>656</v>
      </c>
      <c r="Z339" s="72">
        <v>644</v>
      </c>
      <c r="AA339" s="72">
        <v>670</v>
      </c>
      <c r="AB339" s="72">
        <v>644</v>
      </c>
      <c r="AC339" s="72">
        <v>682</v>
      </c>
      <c r="AD339" s="73">
        <v>640</v>
      </c>
      <c r="AE339" s="71"/>
      <c r="AF339" s="72"/>
      <c r="AG339" s="72"/>
      <c r="AH339" s="72"/>
      <c r="AI339" s="72"/>
      <c r="AJ339" s="73"/>
      <c r="AK339" s="71"/>
      <c r="AL339" s="72"/>
      <c r="AM339" s="72"/>
      <c r="AN339" s="72"/>
      <c r="AO339" s="72"/>
      <c r="AP339" s="73"/>
      <c r="AQ339" s="71"/>
      <c r="AR339" s="72"/>
      <c r="AS339" s="72"/>
      <c r="AT339" s="72"/>
      <c r="AU339" s="72"/>
      <c r="AV339" s="73"/>
      <c r="AW339" s="75">
        <v>-1.2307257853044762</v>
      </c>
      <c r="AX339" s="76">
        <v>-1.3488708501545932</v>
      </c>
      <c r="AY339" s="76">
        <v>-0.58092792862884934</v>
      </c>
      <c r="AZ339" s="76">
        <v>-2.6484665635058469</v>
      </c>
      <c r="BA339" s="76">
        <v>0.42330512259711739</v>
      </c>
      <c r="BB339" s="77">
        <v>-1.99866870683022</v>
      </c>
      <c r="BC339" s="65"/>
      <c r="BD339" s="78"/>
      <c r="BE339" s="78"/>
      <c r="BF339" s="78"/>
      <c r="BG339" s="78"/>
      <c r="BH339" s="70"/>
      <c r="BI339" s="65"/>
      <c r="BJ339" s="78"/>
      <c r="BK339" s="78"/>
      <c r="BL339" s="78"/>
      <c r="BM339" s="78"/>
      <c r="BN339" s="70"/>
      <c r="BO339" s="65"/>
      <c r="BP339" s="78"/>
      <c r="BQ339" s="78"/>
      <c r="BR339" s="78"/>
      <c r="BS339" s="78"/>
      <c r="BT339" s="70"/>
      <c r="BU339" s="65"/>
      <c r="BV339" s="78"/>
      <c r="BW339" s="78"/>
      <c r="BX339" s="78"/>
      <c r="BY339" s="78"/>
      <c r="BZ339" s="70"/>
      <c r="CA339" s="80"/>
      <c r="CB339" s="78"/>
      <c r="CC339" s="78"/>
      <c r="CD339" s="78"/>
      <c r="CE339" s="78"/>
      <c r="CF339" s="70"/>
    </row>
    <row r="340" spans="1:84" ht="12" customHeight="1">
      <c r="A340" s="2"/>
      <c r="B340" s="64">
        <v>328</v>
      </c>
      <c r="C340" s="65">
        <v>10</v>
      </c>
      <c r="D340" s="66" t="s">
        <v>18</v>
      </c>
      <c r="E340" s="69" t="s">
        <v>156</v>
      </c>
      <c r="F340" s="70" t="s">
        <v>81</v>
      </c>
      <c r="G340" s="71">
        <v>2828.5053658536585</v>
      </c>
      <c r="H340" s="72">
        <v>2828.5053658536585</v>
      </c>
      <c r="I340" s="72">
        <v>0</v>
      </c>
      <c r="J340" s="72"/>
      <c r="K340" s="72"/>
      <c r="L340" s="73"/>
      <c r="M340" s="71">
        <v>5657.0107317073162</v>
      </c>
      <c r="N340" s="72">
        <v>5657.0107317073162</v>
      </c>
      <c r="O340" s="72">
        <v>0</v>
      </c>
      <c r="P340" s="72"/>
      <c r="Q340" s="72"/>
      <c r="R340" s="73"/>
      <c r="S340" s="71">
        <v>2809.6</v>
      </c>
      <c r="T340" s="72">
        <v>2840</v>
      </c>
      <c r="U340" s="72">
        <v>2920</v>
      </c>
      <c r="V340" s="72">
        <v>2752</v>
      </c>
      <c r="W340" s="72">
        <v>2704</v>
      </c>
      <c r="X340" s="73">
        <v>2832</v>
      </c>
      <c r="Y340" s="71"/>
      <c r="Z340" s="72"/>
      <c r="AA340" s="72"/>
      <c r="AB340" s="72"/>
      <c r="AC340" s="72"/>
      <c r="AD340" s="73"/>
      <c r="AE340" s="71"/>
      <c r="AF340" s="72"/>
      <c r="AG340" s="72"/>
      <c r="AH340" s="72"/>
      <c r="AI340" s="72"/>
      <c r="AJ340" s="73"/>
      <c r="AK340" s="71"/>
      <c r="AL340" s="72"/>
      <c r="AM340" s="72"/>
      <c r="AN340" s="72"/>
      <c r="AO340" s="72"/>
      <c r="AP340" s="73"/>
      <c r="AQ340" s="71"/>
      <c r="AR340" s="72"/>
      <c r="AS340" s="72"/>
      <c r="AT340" s="72"/>
      <c r="AU340" s="72"/>
      <c r="AV340" s="73"/>
      <c r="AW340" s="75">
        <v>-0.66838713059866883</v>
      </c>
      <c r="AX340" s="76">
        <v>0.4063854460064853</v>
      </c>
      <c r="AY340" s="76">
        <v>3.2347343318094746</v>
      </c>
      <c r="AZ340" s="76">
        <v>-2.7047983283768229</v>
      </c>
      <c r="BA340" s="76">
        <v>-4.4018076598586253</v>
      </c>
      <c r="BB340" s="77">
        <v>0.12355055742616639</v>
      </c>
      <c r="BC340" s="65"/>
      <c r="BD340" s="78"/>
      <c r="BE340" s="78"/>
      <c r="BF340" s="78"/>
      <c r="BG340" s="78"/>
      <c r="BH340" s="70"/>
      <c r="BI340" s="65"/>
      <c r="BJ340" s="78"/>
      <c r="BK340" s="78"/>
      <c r="BL340" s="78"/>
      <c r="BM340" s="78"/>
      <c r="BN340" s="70"/>
      <c r="BO340" s="65"/>
      <c r="BP340" s="78"/>
      <c r="BQ340" s="78"/>
      <c r="BR340" s="78"/>
      <c r="BS340" s="78"/>
      <c r="BT340" s="70"/>
      <c r="BU340" s="65"/>
      <c r="BV340" s="78"/>
      <c r="BW340" s="78"/>
      <c r="BX340" s="78"/>
      <c r="BY340" s="78"/>
      <c r="BZ340" s="70"/>
      <c r="CA340" s="80"/>
      <c r="CB340" s="78"/>
      <c r="CC340" s="78"/>
      <c r="CD340" s="78"/>
      <c r="CE340" s="78"/>
      <c r="CF340" s="70"/>
    </row>
    <row r="341" spans="1:84" ht="12" customHeight="1">
      <c r="A341" s="2"/>
      <c r="B341" s="64">
        <v>329</v>
      </c>
      <c r="C341" s="65">
        <v>10</v>
      </c>
      <c r="D341" s="66" t="s">
        <v>18</v>
      </c>
      <c r="E341" s="69" t="s">
        <v>157</v>
      </c>
      <c r="F341" s="70" t="s">
        <v>81</v>
      </c>
      <c r="G341" s="71">
        <v>3058.141463414634</v>
      </c>
      <c r="H341" s="72">
        <v>1010.1804878048781</v>
      </c>
      <c r="I341" s="72">
        <v>2047.9609756097557</v>
      </c>
      <c r="J341" s="72"/>
      <c r="K341" s="72"/>
      <c r="L341" s="73"/>
      <c r="M341" s="71">
        <v>6116.2829268292671</v>
      </c>
      <c r="N341" s="72">
        <v>2020.3609756097562</v>
      </c>
      <c r="O341" s="72">
        <v>4095.9219512195109</v>
      </c>
      <c r="P341" s="72"/>
      <c r="Q341" s="72"/>
      <c r="R341" s="73"/>
      <c r="S341" s="71">
        <v>1012.8</v>
      </c>
      <c r="T341" s="72">
        <v>1028</v>
      </c>
      <c r="U341" s="72">
        <v>996</v>
      </c>
      <c r="V341" s="72">
        <v>968</v>
      </c>
      <c r="W341" s="72">
        <v>1056</v>
      </c>
      <c r="X341" s="73">
        <v>1016</v>
      </c>
      <c r="Y341" s="71">
        <v>2031.4</v>
      </c>
      <c r="Z341" s="72">
        <v>2015</v>
      </c>
      <c r="AA341" s="72">
        <v>2082</v>
      </c>
      <c r="AB341" s="72">
        <v>2024</v>
      </c>
      <c r="AC341" s="72">
        <v>1968</v>
      </c>
      <c r="AD341" s="73">
        <v>2068</v>
      </c>
      <c r="AE341" s="71"/>
      <c r="AF341" s="72"/>
      <c r="AG341" s="72"/>
      <c r="AH341" s="72"/>
      <c r="AI341" s="72"/>
      <c r="AJ341" s="73"/>
      <c r="AK341" s="71"/>
      <c r="AL341" s="72"/>
      <c r="AM341" s="72"/>
      <c r="AN341" s="72"/>
      <c r="AO341" s="72"/>
      <c r="AP341" s="73"/>
      <c r="AQ341" s="71"/>
      <c r="AR341" s="72"/>
      <c r="AS341" s="72"/>
      <c r="AT341" s="72"/>
      <c r="AU341" s="72"/>
      <c r="AV341" s="73"/>
      <c r="AW341" s="75">
        <v>-0.45588026523363245</v>
      </c>
      <c r="AX341" s="76">
        <v>-0.49511978421454828</v>
      </c>
      <c r="AY341" s="76">
        <v>0.64936618606232788</v>
      </c>
      <c r="AZ341" s="76">
        <v>-2.1627993409036872</v>
      </c>
      <c r="BA341" s="76">
        <v>-1.1164121680791284</v>
      </c>
      <c r="BB341" s="77">
        <v>0.84556378096691809</v>
      </c>
      <c r="BC341" s="65"/>
      <c r="BD341" s="78"/>
      <c r="BE341" s="78"/>
      <c r="BF341" s="78"/>
      <c r="BG341" s="78"/>
      <c r="BH341" s="70"/>
      <c r="BI341" s="65"/>
      <c r="BJ341" s="78"/>
      <c r="BK341" s="78"/>
      <c r="BL341" s="78"/>
      <c r="BM341" s="78"/>
      <c r="BN341" s="70"/>
      <c r="BO341" s="65"/>
      <c r="BP341" s="78"/>
      <c r="BQ341" s="78"/>
      <c r="BR341" s="78"/>
      <c r="BS341" s="78"/>
      <c r="BT341" s="70"/>
      <c r="BU341" s="65"/>
      <c r="BV341" s="78"/>
      <c r="BW341" s="78"/>
      <c r="BX341" s="78"/>
      <c r="BY341" s="78"/>
      <c r="BZ341" s="70"/>
      <c r="CA341" s="80"/>
      <c r="CB341" s="78"/>
      <c r="CC341" s="78"/>
      <c r="CD341" s="78"/>
      <c r="CE341" s="78"/>
      <c r="CF341" s="70"/>
    </row>
    <row r="342" spans="1:84" ht="12" customHeight="1">
      <c r="A342" s="2"/>
      <c r="B342" s="64">
        <v>330</v>
      </c>
      <c r="C342" s="65">
        <v>10</v>
      </c>
      <c r="D342" s="66" t="s">
        <v>18</v>
      </c>
      <c r="E342" s="69" t="s">
        <v>146</v>
      </c>
      <c r="F342" s="70" t="s">
        <v>81</v>
      </c>
      <c r="G342" s="71">
        <v>3394.20643902439</v>
      </c>
      <c r="H342" s="72">
        <v>3394.20643902439</v>
      </c>
      <c r="I342" s="72">
        <v>0</v>
      </c>
      <c r="J342" s="72"/>
      <c r="K342" s="72"/>
      <c r="L342" s="73"/>
      <c r="M342" s="71">
        <v>6788.4128780487799</v>
      </c>
      <c r="N342" s="72">
        <v>6788.4128780487799</v>
      </c>
      <c r="O342" s="72">
        <v>0</v>
      </c>
      <c r="P342" s="72"/>
      <c r="Q342" s="72"/>
      <c r="R342" s="73"/>
      <c r="S342" s="71">
        <v>3446.4</v>
      </c>
      <c r="T342" s="72">
        <v>3456</v>
      </c>
      <c r="U342" s="72">
        <v>3528</v>
      </c>
      <c r="V342" s="72">
        <v>3424</v>
      </c>
      <c r="W342" s="72">
        <v>3376</v>
      </c>
      <c r="X342" s="73">
        <v>3448</v>
      </c>
      <c r="Y342" s="71"/>
      <c r="Z342" s="72"/>
      <c r="AA342" s="72"/>
      <c r="AB342" s="72"/>
      <c r="AC342" s="72"/>
      <c r="AD342" s="73"/>
      <c r="AE342" s="71"/>
      <c r="AF342" s="72"/>
      <c r="AG342" s="72"/>
      <c r="AH342" s="72"/>
      <c r="AI342" s="72"/>
      <c r="AJ342" s="73"/>
      <c r="AK342" s="71"/>
      <c r="AL342" s="72"/>
      <c r="AM342" s="72"/>
      <c r="AN342" s="72"/>
      <c r="AO342" s="72"/>
      <c r="AP342" s="73"/>
      <c r="AQ342" s="71"/>
      <c r="AR342" s="72"/>
      <c r="AS342" s="72"/>
      <c r="AT342" s="72"/>
      <c r="AU342" s="72"/>
      <c r="AV342" s="73"/>
      <c r="AW342" s="75">
        <v>1.5377250003276943</v>
      </c>
      <c r="AX342" s="76">
        <v>1.820559888907991</v>
      </c>
      <c r="AY342" s="76">
        <v>3.9418215532602385</v>
      </c>
      <c r="AZ342" s="76">
        <v>0.87777692697363907</v>
      </c>
      <c r="BA342" s="76">
        <v>-0.53639751592785556</v>
      </c>
      <c r="BB342" s="77">
        <v>1.584864148424403</v>
      </c>
      <c r="BC342" s="65"/>
      <c r="BD342" s="78"/>
      <c r="BE342" s="78"/>
      <c r="BF342" s="78"/>
      <c r="BG342" s="78"/>
      <c r="BH342" s="70"/>
      <c r="BI342" s="65"/>
      <c r="BJ342" s="78"/>
      <c r="BK342" s="78"/>
      <c r="BL342" s="78"/>
      <c r="BM342" s="78"/>
      <c r="BN342" s="70"/>
      <c r="BO342" s="65"/>
      <c r="BP342" s="78"/>
      <c r="BQ342" s="78"/>
      <c r="BR342" s="78"/>
      <c r="BS342" s="78"/>
      <c r="BT342" s="70"/>
      <c r="BU342" s="65"/>
      <c r="BV342" s="78"/>
      <c r="BW342" s="78"/>
      <c r="BX342" s="78"/>
      <c r="BY342" s="78"/>
      <c r="BZ342" s="70"/>
      <c r="CA342" s="80"/>
      <c r="CB342" s="78"/>
      <c r="CC342" s="78"/>
      <c r="CD342" s="78"/>
      <c r="CE342" s="78"/>
      <c r="CF342" s="70"/>
    </row>
    <row r="343" spans="1:84" ht="12" customHeight="1">
      <c r="A343" s="2"/>
      <c r="B343" s="64">
        <v>331</v>
      </c>
      <c r="C343" s="65">
        <v>10</v>
      </c>
      <c r="D343" s="66" t="s">
        <v>18</v>
      </c>
      <c r="E343" s="69" t="s">
        <v>111</v>
      </c>
      <c r="F343" s="70" t="s">
        <v>81</v>
      </c>
      <c r="G343" s="71">
        <v>3669.7697560975603</v>
      </c>
      <c r="H343" s="72">
        <v>1212.2165853658537</v>
      </c>
      <c r="I343" s="72">
        <v>2457.5531707317068</v>
      </c>
      <c r="J343" s="72"/>
      <c r="K343" s="72"/>
      <c r="L343" s="73"/>
      <c r="M343" s="71">
        <v>7339.5395121951206</v>
      </c>
      <c r="N343" s="72">
        <v>2424.4331707317074</v>
      </c>
      <c r="O343" s="72">
        <v>4915.1063414634136</v>
      </c>
      <c r="P343" s="72"/>
      <c r="Q343" s="72"/>
      <c r="R343" s="73"/>
      <c r="S343" s="71">
        <v>1188</v>
      </c>
      <c r="T343" s="72">
        <v>1228</v>
      </c>
      <c r="U343" s="72">
        <v>1192</v>
      </c>
      <c r="V343" s="72">
        <v>1200</v>
      </c>
      <c r="W343" s="72">
        <v>1160</v>
      </c>
      <c r="X343" s="73">
        <v>1160</v>
      </c>
      <c r="Y343" s="71">
        <v>2468.6</v>
      </c>
      <c r="Z343" s="72">
        <v>2381</v>
      </c>
      <c r="AA343" s="72">
        <v>2498</v>
      </c>
      <c r="AB343" s="72">
        <v>2547</v>
      </c>
      <c r="AC343" s="72">
        <v>2450</v>
      </c>
      <c r="AD343" s="73">
        <v>2467</v>
      </c>
      <c r="AE343" s="71"/>
      <c r="AF343" s="72"/>
      <c r="AG343" s="72"/>
      <c r="AH343" s="72"/>
      <c r="AI343" s="72"/>
      <c r="AJ343" s="73"/>
      <c r="AK343" s="71"/>
      <c r="AL343" s="72"/>
      <c r="AM343" s="72"/>
      <c r="AN343" s="72"/>
      <c r="AO343" s="72"/>
      <c r="AP343" s="73"/>
      <c r="AQ343" s="71"/>
      <c r="AR343" s="72"/>
      <c r="AS343" s="72"/>
      <c r="AT343" s="72"/>
      <c r="AU343" s="72"/>
      <c r="AV343" s="73"/>
      <c r="AW343" s="75">
        <v>-0.35887145441966251</v>
      </c>
      <c r="AX343" s="76">
        <v>-1.6559555540667792</v>
      </c>
      <c r="AY343" s="76">
        <v>0.55126738861002167</v>
      </c>
      <c r="AZ343" s="76">
        <v>2.1044983482714885</v>
      </c>
      <c r="BA343" s="76">
        <v>-1.6287058881078065</v>
      </c>
      <c r="BB343" s="77">
        <v>-1.1654615668052593</v>
      </c>
      <c r="BC343" s="65"/>
      <c r="BD343" s="78"/>
      <c r="BE343" s="78"/>
      <c r="BF343" s="78"/>
      <c r="BG343" s="78"/>
      <c r="BH343" s="70"/>
      <c r="BI343" s="65"/>
      <c r="BJ343" s="78"/>
      <c r="BK343" s="78"/>
      <c r="BL343" s="78"/>
      <c r="BM343" s="78"/>
      <c r="BN343" s="70"/>
      <c r="BO343" s="65"/>
      <c r="BP343" s="78"/>
      <c r="BQ343" s="78"/>
      <c r="BR343" s="78"/>
      <c r="BS343" s="78"/>
      <c r="BT343" s="70"/>
      <c r="BU343" s="65"/>
      <c r="BV343" s="78"/>
      <c r="BW343" s="78"/>
      <c r="BX343" s="78"/>
      <c r="BY343" s="78"/>
      <c r="BZ343" s="70"/>
      <c r="CA343" s="80"/>
      <c r="CB343" s="78"/>
      <c r="CC343" s="78"/>
      <c r="CD343" s="78"/>
      <c r="CE343" s="78"/>
      <c r="CF343" s="70"/>
    </row>
    <row r="344" spans="1:84" ht="12" customHeight="1">
      <c r="A344" s="2"/>
      <c r="B344" s="64">
        <v>332</v>
      </c>
      <c r="C344" s="65">
        <v>10</v>
      </c>
      <c r="D344" s="66" t="s">
        <v>18</v>
      </c>
      <c r="E344" s="69" t="s">
        <v>179</v>
      </c>
      <c r="F344" s="70" t="s">
        <v>81</v>
      </c>
      <c r="G344" s="71">
        <v>2031.400975609756</v>
      </c>
      <c r="H344" s="72">
        <v>1212.2165853658537</v>
      </c>
      <c r="I344" s="72">
        <v>819.18439024390227</v>
      </c>
      <c r="J344" s="72"/>
      <c r="K344" s="72"/>
      <c r="L344" s="73"/>
      <c r="M344" s="71">
        <v>4062.8019512195119</v>
      </c>
      <c r="N344" s="72">
        <v>2424.4331707317074</v>
      </c>
      <c r="O344" s="72">
        <v>1638.3687804878045</v>
      </c>
      <c r="P344" s="72"/>
      <c r="Q344" s="72"/>
      <c r="R344" s="73"/>
      <c r="S344" s="71">
        <v>1215</v>
      </c>
      <c r="T344" s="72">
        <v>1212</v>
      </c>
      <c r="U344" s="72">
        <v>1177</v>
      </c>
      <c r="V344" s="72">
        <v>1249</v>
      </c>
      <c r="W344" s="72">
        <v>1208</v>
      </c>
      <c r="X344" s="73">
        <v>1229</v>
      </c>
      <c r="Y344" s="71">
        <v>791.4</v>
      </c>
      <c r="Z344" s="72">
        <v>808</v>
      </c>
      <c r="AA344" s="72">
        <v>776</v>
      </c>
      <c r="AB344" s="72">
        <v>792</v>
      </c>
      <c r="AC344" s="72">
        <v>806</v>
      </c>
      <c r="AD344" s="73">
        <v>775</v>
      </c>
      <c r="AE344" s="71"/>
      <c r="AF344" s="72"/>
      <c r="AG344" s="72"/>
      <c r="AH344" s="72"/>
      <c r="AI344" s="72"/>
      <c r="AJ344" s="73"/>
      <c r="AK344" s="71"/>
      <c r="AL344" s="72"/>
      <c r="AM344" s="72"/>
      <c r="AN344" s="72"/>
      <c r="AO344" s="72"/>
      <c r="AP344" s="73"/>
      <c r="AQ344" s="71"/>
      <c r="AR344" s="72"/>
      <c r="AS344" s="72"/>
      <c r="AT344" s="72"/>
      <c r="AU344" s="72"/>
      <c r="AV344" s="73"/>
      <c r="AW344" s="75">
        <v>-1.2307257853044762</v>
      </c>
      <c r="AX344" s="76">
        <v>-0.56123708448716503</v>
      </c>
      <c r="AY344" s="76">
        <v>-3.8594534782195211</v>
      </c>
      <c r="AZ344" s="76">
        <v>0.47253223295133928</v>
      </c>
      <c r="BA344" s="76">
        <v>-0.85659974661245197</v>
      </c>
      <c r="BB344" s="77">
        <v>-1.3488708501545932</v>
      </c>
      <c r="BC344" s="65"/>
      <c r="BD344" s="78"/>
      <c r="BE344" s="78"/>
      <c r="BF344" s="78"/>
      <c r="BG344" s="78"/>
      <c r="BH344" s="70"/>
      <c r="BI344" s="65"/>
      <c r="BJ344" s="78"/>
      <c r="BK344" s="78"/>
      <c r="BL344" s="78"/>
      <c r="BM344" s="78"/>
      <c r="BN344" s="70"/>
      <c r="BO344" s="65"/>
      <c r="BP344" s="78"/>
      <c r="BQ344" s="78"/>
      <c r="BR344" s="78"/>
      <c r="BS344" s="78"/>
      <c r="BT344" s="70"/>
      <c r="BU344" s="65"/>
      <c r="BV344" s="78"/>
      <c r="BW344" s="78"/>
      <c r="BX344" s="78"/>
      <c r="BY344" s="78"/>
      <c r="BZ344" s="70"/>
      <c r="CA344" s="80"/>
      <c r="CB344" s="78"/>
      <c r="CC344" s="78"/>
      <c r="CD344" s="78"/>
      <c r="CE344" s="78"/>
      <c r="CF344" s="70"/>
    </row>
    <row r="345" spans="1:84" ht="12" customHeight="1">
      <c r="A345" s="2"/>
      <c r="B345" s="64">
        <v>333</v>
      </c>
      <c r="C345" s="65">
        <v>10</v>
      </c>
      <c r="D345" s="66" t="s">
        <v>18</v>
      </c>
      <c r="E345" s="69" t="s">
        <v>182</v>
      </c>
      <c r="F345" s="70" t="s">
        <v>81</v>
      </c>
      <c r="G345" s="71">
        <v>3394.20643902439</v>
      </c>
      <c r="H345" s="72">
        <v>3394.20643902439</v>
      </c>
      <c r="I345" s="72">
        <v>0</v>
      </c>
      <c r="J345" s="72"/>
      <c r="K345" s="72"/>
      <c r="L345" s="73"/>
      <c r="M345" s="71">
        <v>6788.4128780487799</v>
      </c>
      <c r="N345" s="72">
        <v>6788.4128780487799</v>
      </c>
      <c r="O345" s="72">
        <v>0</v>
      </c>
      <c r="P345" s="72"/>
      <c r="Q345" s="72"/>
      <c r="R345" s="73"/>
      <c r="S345" s="71">
        <v>3446.4</v>
      </c>
      <c r="T345" s="72">
        <v>3456</v>
      </c>
      <c r="U345" s="72">
        <v>3528</v>
      </c>
      <c r="V345" s="72">
        <v>3424</v>
      </c>
      <c r="W345" s="72">
        <v>3376</v>
      </c>
      <c r="X345" s="73">
        <v>3448</v>
      </c>
      <c r="Y345" s="71"/>
      <c r="Z345" s="72"/>
      <c r="AA345" s="72"/>
      <c r="AB345" s="72"/>
      <c r="AC345" s="72"/>
      <c r="AD345" s="73"/>
      <c r="AE345" s="71"/>
      <c r="AF345" s="72"/>
      <c r="AG345" s="72"/>
      <c r="AH345" s="72"/>
      <c r="AI345" s="72"/>
      <c r="AJ345" s="73"/>
      <c r="AK345" s="71"/>
      <c r="AL345" s="72"/>
      <c r="AM345" s="72"/>
      <c r="AN345" s="72"/>
      <c r="AO345" s="72"/>
      <c r="AP345" s="73"/>
      <c r="AQ345" s="71"/>
      <c r="AR345" s="72"/>
      <c r="AS345" s="72"/>
      <c r="AT345" s="72"/>
      <c r="AU345" s="72"/>
      <c r="AV345" s="73"/>
      <c r="AW345" s="75">
        <v>1.5377250003276943</v>
      </c>
      <c r="AX345" s="76">
        <v>1.820559888907991</v>
      </c>
      <c r="AY345" s="76">
        <v>3.9418215532602385</v>
      </c>
      <c r="AZ345" s="76">
        <v>0.87777692697363907</v>
      </c>
      <c r="BA345" s="76">
        <v>-0.53639751592785556</v>
      </c>
      <c r="BB345" s="77">
        <v>1.584864148424403</v>
      </c>
      <c r="BC345" s="65"/>
      <c r="BD345" s="78"/>
      <c r="BE345" s="78"/>
      <c r="BF345" s="78"/>
      <c r="BG345" s="78"/>
      <c r="BH345" s="70"/>
      <c r="BI345" s="65"/>
      <c r="BJ345" s="78"/>
      <c r="BK345" s="78"/>
      <c r="BL345" s="78"/>
      <c r="BM345" s="78"/>
      <c r="BN345" s="70"/>
      <c r="BO345" s="65"/>
      <c r="BP345" s="78"/>
      <c r="BQ345" s="78"/>
      <c r="BR345" s="78"/>
      <c r="BS345" s="78"/>
      <c r="BT345" s="70"/>
      <c r="BU345" s="65"/>
      <c r="BV345" s="78"/>
      <c r="BW345" s="78"/>
      <c r="BX345" s="78"/>
      <c r="BY345" s="78"/>
      <c r="BZ345" s="70"/>
      <c r="CA345" s="80"/>
      <c r="CB345" s="78"/>
      <c r="CC345" s="78"/>
      <c r="CD345" s="78"/>
      <c r="CE345" s="78"/>
      <c r="CF345" s="70"/>
    </row>
    <row r="346" spans="1:84" ht="12" customHeight="1">
      <c r="A346" s="2"/>
      <c r="B346" s="64">
        <v>334</v>
      </c>
      <c r="C346" s="65">
        <v>10</v>
      </c>
      <c r="D346" s="66" t="s">
        <v>18</v>
      </c>
      <c r="E346" s="69" t="s">
        <v>145</v>
      </c>
      <c r="F346" s="70" t="s">
        <v>81</v>
      </c>
      <c r="G346" s="71">
        <v>3669.7697560975603</v>
      </c>
      <c r="H346" s="72">
        <v>1212.2165853658537</v>
      </c>
      <c r="I346" s="72">
        <v>2457.5531707317068</v>
      </c>
      <c r="J346" s="72"/>
      <c r="K346" s="72"/>
      <c r="L346" s="73"/>
      <c r="M346" s="71">
        <v>7339.5395121951206</v>
      </c>
      <c r="N346" s="72">
        <v>2424.4331707317074</v>
      </c>
      <c r="O346" s="72">
        <v>4915.1063414634136</v>
      </c>
      <c r="P346" s="72"/>
      <c r="Q346" s="72"/>
      <c r="R346" s="73"/>
      <c r="S346" s="71">
        <v>1188</v>
      </c>
      <c r="T346" s="72">
        <v>1228</v>
      </c>
      <c r="U346" s="72">
        <v>1192</v>
      </c>
      <c r="V346" s="72">
        <v>1200</v>
      </c>
      <c r="W346" s="72">
        <v>1160</v>
      </c>
      <c r="X346" s="73">
        <v>1160</v>
      </c>
      <c r="Y346" s="71">
        <v>2468.6</v>
      </c>
      <c r="Z346" s="72">
        <v>2381</v>
      </c>
      <c r="AA346" s="72">
        <v>2498</v>
      </c>
      <c r="AB346" s="72">
        <v>2547</v>
      </c>
      <c r="AC346" s="72">
        <v>2450</v>
      </c>
      <c r="AD346" s="73">
        <v>2467</v>
      </c>
      <c r="AE346" s="71"/>
      <c r="AF346" s="72"/>
      <c r="AG346" s="72"/>
      <c r="AH346" s="72"/>
      <c r="AI346" s="72"/>
      <c r="AJ346" s="73"/>
      <c r="AK346" s="71"/>
      <c r="AL346" s="72"/>
      <c r="AM346" s="72"/>
      <c r="AN346" s="72"/>
      <c r="AO346" s="72"/>
      <c r="AP346" s="73"/>
      <c r="AQ346" s="71"/>
      <c r="AR346" s="72"/>
      <c r="AS346" s="72"/>
      <c r="AT346" s="72"/>
      <c r="AU346" s="72"/>
      <c r="AV346" s="73"/>
      <c r="AW346" s="75">
        <v>-0.35887145441966251</v>
      </c>
      <c r="AX346" s="76">
        <v>-1.6559555540667792</v>
      </c>
      <c r="AY346" s="76">
        <v>0.55126738861002167</v>
      </c>
      <c r="AZ346" s="76">
        <v>2.1044983482714885</v>
      </c>
      <c r="BA346" s="76">
        <v>-1.6287058881078065</v>
      </c>
      <c r="BB346" s="77">
        <v>-1.1654615668052593</v>
      </c>
      <c r="BC346" s="65"/>
      <c r="BD346" s="78"/>
      <c r="BE346" s="78"/>
      <c r="BF346" s="78"/>
      <c r="BG346" s="78"/>
      <c r="BH346" s="70"/>
      <c r="BI346" s="65"/>
      <c r="BJ346" s="78"/>
      <c r="BK346" s="78"/>
      <c r="BL346" s="78"/>
      <c r="BM346" s="78"/>
      <c r="BN346" s="70"/>
      <c r="BO346" s="65"/>
      <c r="BP346" s="78"/>
      <c r="BQ346" s="78"/>
      <c r="BR346" s="78"/>
      <c r="BS346" s="78"/>
      <c r="BT346" s="70"/>
      <c r="BU346" s="65"/>
      <c r="BV346" s="78"/>
      <c r="BW346" s="78"/>
      <c r="BX346" s="78"/>
      <c r="BY346" s="78"/>
      <c r="BZ346" s="70"/>
      <c r="CA346" s="80"/>
      <c r="CB346" s="78"/>
      <c r="CC346" s="78"/>
      <c r="CD346" s="78"/>
      <c r="CE346" s="78"/>
      <c r="CF346" s="70"/>
    </row>
    <row r="347" spans="1:84" ht="12" customHeight="1">
      <c r="A347" s="2"/>
      <c r="B347" s="64">
        <v>335</v>
      </c>
      <c r="C347" s="65">
        <v>10</v>
      </c>
      <c r="D347" s="66" t="s">
        <v>18</v>
      </c>
      <c r="E347" s="69" t="s">
        <v>117</v>
      </c>
      <c r="F347" s="70" t="s">
        <v>81</v>
      </c>
      <c r="G347" s="71">
        <v>2031.400975609756</v>
      </c>
      <c r="H347" s="72">
        <v>1212.2165853658537</v>
      </c>
      <c r="I347" s="72">
        <v>819.18439024390227</v>
      </c>
      <c r="J347" s="72"/>
      <c r="K347" s="72"/>
      <c r="L347" s="73"/>
      <c r="M347" s="71">
        <v>4062.8019512195119</v>
      </c>
      <c r="N347" s="72">
        <v>2424.4331707317074</v>
      </c>
      <c r="O347" s="72">
        <v>1638.3687804878045</v>
      </c>
      <c r="P347" s="72"/>
      <c r="Q347" s="72"/>
      <c r="R347" s="73"/>
      <c r="S347" s="71">
        <v>1215</v>
      </c>
      <c r="T347" s="72">
        <v>1212</v>
      </c>
      <c r="U347" s="72">
        <v>1177</v>
      </c>
      <c r="V347" s="72">
        <v>1249</v>
      </c>
      <c r="W347" s="72">
        <v>1208</v>
      </c>
      <c r="X347" s="73">
        <v>1229</v>
      </c>
      <c r="Y347" s="71">
        <v>791.4</v>
      </c>
      <c r="Z347" s="72">
        <v>808</v>
      </c>
      <c r="AA347" s="72">
        <v>776</v>
      </c>
      <c r="AB347" s="72">
        <v>792</v>
      </c>
      <c r="AC347" s="72">
        <v>806</v>
      </c>
      <c r="AD347" s="73">
        <v>775</v>
      </c>
      <c r="AE347" s="71"/>
      <c r="AF347" s="72"/>
      <c r="AG347" s="72"/>
      <c r="AH347" s="72"/>
      <c r="AI347" s="72"/>
      <c r="AJ347" s="73"/>
      <c r="AK347" s="71"/>
      <c r="AL347" s="72"/>
      <c r="AM347" s="72"/>
      <c r="AN347" s="72"/>
      <c r="AO347" s="72"/>
      <c r="AP347" s="73"/>
      <c r="AQ347" s="71"/>
      <c r="AR347" s="72"/>
      <c r="AS347" s="72"/>
      <c r="AT347" s="72"/>
      <c r="AU347" s="72"/>
      <c r="AV347" s="73"/>
      <c r="AW347" s="75">
        <v>-1.2307257853044762</v>
      </c>
      <c r="AX347" s="76">
        <v>-0.56123708448716503</v>
      </c>
      <c r="AY347" s="76">
        <v>-3.8594534782195211</v>
      </c>
      <c r="AZ347" s="76">
        <v>0.47253223295133928</v>
      </c>
      <c r="BA347" s="76">
        <v>-0.85659974661245197</v>
      </c>
      <c r="BB347" s="77">
        <v>-1.3488708501545932</v>
      </c>
      <c r="BC347" s="65"/>
      <c r="BD347" s="78"/>
      <c r="BE347" s="78"/>
      <c r="BF347" s="78"/>
      <c r="BG347" s="78"/>
      <c r="BH347" s="70"/>
      <c r="BI347" s="65"/>
      <c r="BJ347" s="78"/>
      <c r="BK347" s="78"/>
      <c r="BL347" s="78"/>
      <c r="BM347" s="78"/>
      <c r="BN347" s="70"/>
      <c r="BO347" s="65"/>
      <c r="BP347" s="78"/>
      <c r="BQ347" s="78"/>
      <c r="BR347" s="78"/>
      <c r="BS347" s="78"/>
      <c r="BT347" s="70"/>
      <c r="BU347" s="65"/>
      <c r="BV347" s="78"/>
      <c r="BW347" s="78"/>
      <c r="BX347" s="78"/>
      <c r="BY347" s="78"/>
      <c r="BZ347" s="70"/>
      <c r="CA347" s="80"/>
      <c r="CB347" s="78"/>
      <c r="CC347" s="78"/>
      <c r="CD347" s="78"/>
      <c r="CE347" s="78"/>
      <c r="CF347" s="70"/>
    </row>
    <row r="348" spans="1:84" ht="12" customHeight="1">
      <c r="A348" s="2"/>
      <c r="B348" s="64">
        <v>336</v>
      </c>
      <c r="C348" s="65">
        <v>10</v>
      </c>
      <c r="D348" s="66" t="s">
        <v>18</v>
      </c>
      <c r="E348" s="69" t="s">
        <v>159</v>
      </c>
      <c r="F348" s="70" t="s">
        <v>81</v>
      </c>
      <c r="G348" s="71">
        <v>3394.20643902439</v>
      </c>
      <c r="H348" s="72">
        <v>3394.20643902439</v>
      </c>
      <c r="I348" s="72">
        <v>0</v>
      </c>
      <c r="J348" s="72"/>
      <c r="K348" s="72"/>
      <c r="L348" s="73"/>
      <c r="M348" s="71">
        <v>6788.4128780487799</v>
      </c>
      <c r="N348" s="72">
        <v>6788.4128780487799</v>
      </c>
      <c r="O348" s="72">
        <v>0</v>
      </c>
      <c r="P348" s="72"/>
      <c r="Q348" s="72"/>
      <c r="R348" s="73"/>
      <c r="S348" s="71">
        <v>3446.4</v>
      </c>
      <c r="T348" s="72">
        <v>3456</v>
      </c>
      <c r="U348" s="72">
        <v>3528</v>
      </c>
      <c r="V348" s="72">
        <v>3424</v>
      </c>
      <c r="W348" s="72">
        <v>3376</v>
      </c>
      <c r="X348" s="73">
        <v>3448</v>
      </c>
      <c r="Y348" s="71"/>
      <c r="Z348" s="72"/>
      <c r="AA348" s="72"/>
      <c r="AB348" s="72"/>
      <c r="AC348" s="72"/>
      <c r="AD348" s="73"/>
      <c r="AE348" s="71"/>
      <c r="AF348" s="72"/>
      <c r="AG348" s="72"/>
      <c r="AH348" s="72"/>
      <c r="AI348" s="72"/>
      <c r="AJ348" s="73"/>
      <c r="AK348" s="71"/>
      <c r="AL348" s="72"/>
      <c r="AM348" s="72"/>
      <c r="AN348" s="72"/>
      <c r="AO348" s="72"/>
      <c r="AP348" s="73"/>
      <c r="AQ348" s="71"/>
      <c r="AR348" s="72"/>
      <c r="AS348" s="72"/>
      <c r="AT348" s="72"/>
      <c r="AU348" s="72"/>
      <c r="AV348" s="73"/>
      <c r="AW348" s="75">
        <v>1.5377250003276943</v>
      </c>
      <c r="AX348" s="76">
        <v>1.820559888907991</v>
      </c>
      <c r="AY348" s="76">
        <v>3.9418215532602385</v>
      </c>
      <c r="AZ348" s="76">
        <v>0.87777692697363907</v>
      </c>
      <c r="BA348" s="76">
        <v>-0.53639751592785556</v>
      </c>
      <c r="BB348" s="77">
        <v>1.584864148424403</v>
      </c>
      <c r="BC348" s="65"/>
      <c r="BD348" s="78"/>
      <c r="BE348" s="78"/>
      <c r="BF348" s="78"/>
      <c r="BG348" s="78"/>
      <c r="BH348" s="70"/>
      <c r="BI348" s="65"/>
      <c r="BJ348" s="78"/>
      <c r="BK348" s="78"/>
      <c r="BL348" s="78"/>
      <c r="BM348" s="78"/>
      <c r="BN348" s="70"/>
      <c r="BO348" s="65"/>
      <c r="BP348" s="78"/>
      <c r="BQ348" s="78"/>
      <c r="BR348" s="78"/>
      <c r="BS348" s="78"/>
      <c r="BT348" s="70"/>
      <c r="BU348" s="65"/>
      <c r="BV348" s="78"/>
      <c r="BW348" s="78"/>
      <c r="BX348" s="78"/>
      <c r="BY348" s="78"/>
      <c r="BZ348" s="70"/>
      <c r="CA348" s="80"/>
      <c r="CB348" s="78"/>
      <c r="CC348" s="78"/>
      <c r="CD348" s="78"/>
      <c r="CE348" s="78"/>
      <c r="CF348" s="70"/>
    </row>
    <row r="349" spans="1:84" ht="12" customHeight="1">
      <c r="A349" s="2"/>
      <c r="B349" s="64">
        <v>337</v>
      </c>
      <c r="C349" s="65">
        <v>10</v>
      </c>
      <c r="D349" s="66" t="s">
        <v>18</v>
      </c>
      <c r="E349" s="69" t="s">
        <v>132</v>
      </c>
      <c r="F349" s="70" t="s">
        <v>81</v>
      </c>
      <c r="G349" s="71">
        <v>3669.7697560975603</v>
      </c>
      <c r="H349" s="72">
        <v>1212.2165853658537</v>
      </c>
      <c r="I349" s="72">
        <v>2457.5531707317068</v>
      </c>
      <c r="J349" s="72"/>
      <c r="K349" s="72"/>
      <c r="L349" s="73"/>
      <c r="M349" s="71">
        <v>7339.5395121951206</v>
      </c>
      <c r="N349" s="72">
        <v>2424.4331707317074</v>
      </c>
      <c r="O349" s="72">
        <v>4915.1063414634136</v>
      </c>
      <c r="P349" s="72"/>
      <c r="Q349" s="72"/>
      <c r="R349" s="73"/>
      <c r="S349" s="71">
        <v>1188</v>
      </c>
      <c r="T349" s="72">
        <v>1228</v>
      </c>
      <c r="U349" s="72">
        <v>1192</v>
      </c>
      <c r="V349" s="72">
        <v>1200</v>
      </c>
      <c r="W349" s="72">
        <v>1160</v>
      </c>
      <c r="X349" s="73">
        <v>1160</v>
      </c>
      <c r="Y349" s="71">
        <v>2468.6</v>
      </c>
      <c r="Z349" s="72">
        <v>2381</v>
      </c>
      <c r="AA349" s="72">
        <v>2498</v>
      </c>
      <c r="AB349" s="72">
        <v>2547</v>
      </c>
      <c r="AC349" s="72">
        <v>2450</v>
      </c>
      <c r="AD349" s="73">
        <v>2467</v>
      </c>
      <c r="AE349" s="71"/>
      <c r="AF349" s="72"/>
      <c r="AG349" s="72"/>
      <c r="AH349" s="72"/>
      <c r="AI349" s="72"/>
      <c r="AJ349" s="73"/>
      <c r="AK349" s="71"/>
      <c r="AL349" s="72"/>
      <c r="AM349" s="72"/>
      <c r="AN349" s="72"/>
      <c r="AO349" s="72"/>
      <c r="AP349" s="73"/>
      <c r="AQ349" s="71"/>
      <c r="AR349" s="72"/>
      <c r="AS349" s="72"/>
      <c r="AT349" s="72"/>
      <c r="AU349" s="72"/>
      <c r="AV349" s="73"/>
      <c r="AW349" s="75">
        <v>-0.35887145441966251</v>
      </c>
      <c r="AX349" s="76">
        <v>-1.6559555540667792</v>
      </c>
      <c r="AY349" s="76">
        <v>0.55126738861002167</v>
      </c>
      <c r="AZ349" s="76">
        <v>2.1044983482714885</v>
      </c>
      <c r="BA349" s="76">
        <v>-1.6287058881078065</v>
      </c>
      <c r="BB349" s="77">
        <v>-1.1654615668052593</v>
      </c>
      <c r="BC349" s="65"/>
      <c r="BD349" s="78"/>
      <c r="BE349" s="78"/>
      <c r="BF349" s="78"/>
      <c r="BG349" s="78"/>
      <c r="BH349" s="70"/>
      <c r="BI349" s="65"/>
      <c r="BJ349" s="78"/>
      <c r="BK349" s="78"/>
      <c r="BL349" s="78"/>
      <c r="BM349" s="78"/>
      <c r="BN349" s="70"/>
      <c r="BO349" s="65"/>
      <c r="BP349" s="78"/>
      <c r="BQ349" s="78"/>
      <c r="BR349" s="78"/>
      <c r="BS349" s="78"/>
      <c r="BT349" s="70"/>
      <c r="BU349" s="65"/>
      <c r="BV349" s="78"/>
      <c r="BW349" s="78"/>
      <c r="BX349" s="78"/>
      <c r="BY349" s="78"/>
      <c r="BZ349" s="70"/>
      <c r="CA349" s="80"/>
      <c r="CB349" s="78"/>
      <c r="CC349" s="78"/>
      <c r="CD349" s="78"/>
      <c r="CE349" s="78"/>
      <c r="CF349" s="70"/>
    </row>
    <row r="350" spans="1:84" ht="12" customHeight="1">
      <c r="A350" s="2"/>
      <c r="B350" s="64">
        <v>338</v>
      </c>
      <c r="C350" s="65">
        <v>10</v>
      </c>
      <c r="D350" s="66" t="s">
        <v>18</v>
      </c>
      <c r="E350" s="69" t="s">
        <v>134</v>
      </c>
      <c r="F350" s="70" t="s">
        <v>81</v>
      </c>
      <c r="G350" s="71">
        <v>2031.400975609756</v>
      </c>
      <c r="H350" s="72">
        <v>1212.2165853658537</v>
      </c>
      <c r="I350" s="72">
        <v>819.18439024390227</v>
      </c>
      <c r="J350" s="72"/>
      <c r="K350" s="72"/>
      <c r="L350" s="73"/>
      <c r="M350" s="71">
        <v>4062.8019512195119</v>
      </c>
      <c r="N350" s="72">
        <v>2424.4331707317074</v>
      </c>
      <c r="O350" s="72">
        <v>1638.3687804878045</v>
      </c>
      <c r="P350" s="72"/>
      <c r="Q350" s="72"/>
      <c r="R350" s="73"/>
      <c r="S350" s="71">
        <v>1215</v>
      </c>
      <c r="T350" s="72">
        <v>1212</v>
      </c>
      <c r="U350" s="72">
        <v>1177</v>
      </c>
      <c r="V350" s="72">
        <v>1249</v>
      </c>
      <c r="W350" s="72">
        <v>1208</v>
      </c>
      <c r="X350" s="73">
        <v>1229</v>
      </c>
      <c r="Y350" s="71">
        <v>791.4</v>
      </c>
      <c r="Z350" s="72">
        <v>808</v>
      </c>
      <c r="AA350" s="72">
        <v>776</v>
      </c>
      <c r="AB350" s="72">
        <v>792</v>
      </c>
      <c r="AC350" s="72">
        <v>806</v>
      </c>
      <c r="AD350" s="73">
        <v>775</v>
      </c>
      <c r="AE350" s="71"/>
      <c r="AF350" s="72"/>
      <c r="AG350" s="72"/>
      <c r="AH350" s="72"/>
      <c r="AI350" s="72"/>
      <c r="AJ350" s="73"/>
      <c r="AK350" s="71"/>
      <c r="AL350" s="72"/>
      <c r="AM350" s="72"/>
      <c r="AN350" s="72"/>
      <c r="AO350" s="72"/>
      <c r="AP350" s="73"/>
      <c r="AQ350" s="71"/>
      <c r="AR350" s="72"/>
      <c r="AS350" s="72"/>
      <c r="AT350" s="72"/>
      <c r="AU350" s="72"/>
      <c r="AV350" s="73"/>
      <c r="AW350" s="75">
        <v>-1.2307257853044762</v>
      </c>
      <c r="AX350" s="76">
        <v>-0.56123708448716503</v>
      </c>
      <c r="AY350" s="76">
        <v>-3.8594534782195211</v>
      </c>
      <c r="AZ350" s="76">
        <v>0.47253223295133928</v>
      </c>
      <c r="BA350" s="76">
        <v>-0.85659974661245197</v>
      </c>
      <c r="BB350" s="77">
        <v>-1.3488708501545932</v>
      </c>
      <c r="BC350" s="65"/>
      <c r="BD350" s="78"/>
      <c r="BE350" s="78"/>
      <c r="BF350" s="78"/>
      <c r="BG350" s="78"/>
      <c r="BH350" s="70"/>
      <c r="BI350" s="65"/>
      <c r="BJ350" s="78"/>
      <c r="BK350" s="78"/>
      <c r="BL350" s="78"/>
      <c r="BM350" s="78"/>
      <c r="BN350" s="70"/>
      <c r="BO350" s="65"/>
      <c r="BP350" s="78"/>
      <c r="BQ350" s="78"/>
      <c r="BR350" s="78"/>
      <c r="BS350" s="78"/>
      <c r="BT350" s="70"/>
      <c r="BU350" s="65"/>
      <c r="BV350" s="78"/>
      <c r="BW350" s="78"/>
      <c r="BX350" s="78"/>
      <c r="BY350" s="78"/>
      <c r="BZ350" s="70"/>
      <c r="CA350" s="80"/>
      <c r="CB350" s="78"/>
      <c r="CC350" s="78"/>
      <c r="CD350" s="78"/>
      <c r="CE350" s="78"/>
      <c r="CF350" s="70"/>
    </row>
    <row r="351" spans="1:84" ht="12" customHeight="1">
      <c r="A351" s="2"/>
      <c r="B351" s="64">
        <v>339</v>
      </c>
      <c r="C351" s="65">
        <v>10</v>
      </c>
      <c r="D351" s="66" t="s">
        <v>18</v>
      </c>
      <c r="E351" s="69" t="s">
        <v>147</v>
      </c>
      <c r="F351" s="70" t="s">
        <v>81</v>
      </c>
      <c r="G351" s="71">
        <v>3394.20643902439</v>
      </c>
      <c r="H351" s="72">
        <v>3394.20643902439</v>
      </c>
      <c r="I351" s="72">
        <v>0</v>
      </c>
      <c r="J351" s="72"/>
      <c r="K351" s="72"/>
      <c r="L351" s="73"/>
      <c r="M351" s="71">
        <v>6788.4128780487799</v>
      </c>
      <c r="N351" s="72">
        <v>6788.4128780487799</v>
      </c>
      <c r="O351" s="72">
        <v>0</v>
      </c>
      <c r="P351" s="72"/>
      <c r="Q351" s="72"/>
      <c r="R351" s="73"/>
      <c r="S351" s="71">
        <v>3446.4</v>
      </c>
      <c r="T351" s="72">
        <v>3456</v>
      </c>
      <c r="U351" s="72">
        <v>3528</v>
      </c>
      <c r="V351" s="72">
        <v>3424</v>
      </c>
      <c r="W351" s="72">
        <v>3376</v>
      </c>
      <c r="X351" s="73">
        <v>3448</v>
      </c>
      <c r="Y351" s="71"/>
      <c r="Z351" s="72"/>
      <c r="AA351" s="72"/>
      <c r="AB351" s="72"/>
      <c r="AC351" s="72"/>
      <c r="AD351" s="73"/>
      <c r="AE351" s="71"/>
      <c r="AF351" s="72"/>
      <c r="AG351" s="72"/>
      <c r="AH351" s="72"/>
      <c r="AI351" s="72"/>
      <c r="AJ351" s="73"/>
      <c r="AK351" s="71"/>
      <c r="AL351" s="72"/>
      <c r="AM351" s="72"/>
      <c r="AN351" s="72"/>
      <c r="AO351" s="72"/>
      <c r="AP351" s="73"/>
      <c r="AQ351" s="71"/>
      <c r="AR351" s="72"/>
      <c r="AS351" s="72"/>
      <c r="AT351" s="72"/>
      <c r="AU351" s="72"/>
      <c r="AV351" s="73"/>
      <c r="AW351" s="75">
        <v>1.5377250003276943</v>
      </c>
      <c r="AX351" s="76">
        <v>1.820559888907991</v>
      </c>
      <c r="AY351" s="76">
        <v>3.9418215532602385</v>
      </c>
      <c r="AZ351" s="76">
        <v>0.87777692697363907</v>
      </c>
      <c r="BA351" s="76">
        <v>-0.53639751592785556</v>
      </c>
      <c r="BB351" s="77">
        <v>1.584864148424403</v>
      </c>
      <c r="BC351" s="65"/>
      <c r="BD351" s="78"/>
      <c r="BE351" s="78"/>
      <c r="BF351" s="78"/>
      <c r="BG351" s="78"/>
      <c r="BH351" s="70"/>
      <c r="BI351" s="65"/>
      <c r="BJ351" s="78"/>
      <c r="BK351" s="78"/>
      <c r="BL351" s="78"/>
      <c r="BM351" s="78"/>
      <c r="BN351" s="70"/>
      <c r="BO351" s="65"/>
      <c r="BP351" s="78"/>
      <c r="BQ351" s="78"/>
      <c r="BR351" s="78"/>
      <c r="BS351" s="78"/>
      <c r="BT351" s="70"/>
      <c r="BU351" s="65"/>
      <c r="BV351" s="78"/>
      <c r="BW351" s="78"/>
      <c r="BX351" s="78"/>
      <c r="BY351" s="78"/>
      <c r="BZ351" s="70"/>
      <c r="CA351" s="80"/>
      <c r="CB351" s="78"/>
      <c r="CC351" s="78"/>
      <c r="CD351" s="78"/>
      <c r="CE351" s="78"/>
      <c r="CF351" s="70"/>
    </row>
    <row r="352" spans="1:84" ht="12" customHeight="1">
      <c r="A352" s="2"/>
      <c r="B352" s="64">
        <v>340</v>
      </c>
      <c r="C352" s="65">
        <v>10</v>
      </c>
      <c r="D352" s="66" t="s">
        <v>18</v>
      </c>
      <c r="E352" s="69" t="s">
        <v>135</v>
      </c>
      <c r="F352" s="70" t="s">
        <v>81</v>
      </c>
      <c r="G352" s="71">
        <v>3669.7697560975603</v>
      </c>
      <c r="H352" s="72">
        <v>1212.2165853658537</v>
      </c>
      <c r="I352" s="72">
        <v>2457.5531707317068</v>
      </c>
      <c r="J352" s="72"/>
      <c r="K352" s="72"/>
      <c r="L352" s="73"/>
      <c r="M352" s="71">
        <v>7339.5395121951206</v>
      </c>
      <c r="N352" s="72">
        <v>2424.4331707317074</v>
      </c>
      <c r="O352" s="72">
        <v>4915.1063414634136</v>
      </c>
      <c r="P352" s="72"/>
      <c r="Q352" s="72"/>
      <c r="R352" s="73"/>
      <c r="S352" s="71">
        <v>1188</v>
      </c>
      <c r="T352" s="72">
        <v>1228</v>
      </c>
      <c r="U352" s="72">
        <v>1192</v>
      </c>
      <c r="V352" s="72">
        <v>1200</v>
      </c>
      <c r="W352" s="72">
        <v>1160</v>
      </c>
      <c r="X352" s="73">
        <v>1160</v>
      </c>
      <c r="Y352" s="71">
        <v>2468.6</v>
      </c>
      <c r="Z352" s="72">
        <v>2381</v>
      </c>
      <c r="AA352" s="72">
        <v>2498</v>
      </c>
      <c r="AB352" s="72">
        <v>2547</v>
      </c>
      <c r="AC352" s="72">
        <v>2450</v>
      </c>
      <c r="AD352" s="73">
        <v>2467</v>
      </c>
      <c r="AE352" s="71"/>
      <c r="AF352" s="72"/>
      <c r="AG352" s="72"/>
      <c r="AH352" s="72"/>
      <c r="AI352" s="72"/>
      <c r="AJ352" s="73"/>
      <c r="AK352" s="71"/>
      <c r="AL352" s="72"/>
      <c r="AM352" s="72"/>
      <c r="AN352" s="72"/>
      <c r="AO352" s="72"/>
      <c r="AP352" s="73"/>
      <c r="AQ352" s="71"/>
      <c r="AR352" s="72"/>
      <c r="AS352" s="72"/>
      <c r="AT352" s="72"/>
      <c r="AU352" s="72"/>
      <c r="AV352" s="73"/>
      <c r="AW352" s="75">
        <v>-0.35887145441966251</v>
      </c>
      <c r="AX352" s="76">
        <v>-1.6559555540667792</v>
      </c>
      <c r="AY352" s="76">
        <v>0.55126738861002167</v>
      </c>
      <c r="AZ352" s="76">
        <v>2.1044983482714885</v>
      </c>
      <c r="BA352" s="76">
        <v>-1.6287058881078065</v>
      </c>
      <c r="BB352" s="77">
        <v>-1.1654615668052593</v>
      </c>
      <c r="BC352" s="65"/>
      <c r="BD352" s="78"/>
      <c r="BE352" s="78"/>
      <c r="BF352" s="78"/>
      <c r="BG352" s="78"/>
      <c r="BH352" s="70"/>
      <c r="BI352" s="65"/>
      <c r="BJ352" s="78"/>
      <c r="BK352" s="78"/>
      <c r="BL352" s="78"/>
      <c r="BM352" s="78"/>
      <c r="BN352" s="70"/>
      <c r="BO352" s="65"/>
      <c r="BP352" s="78"/>
      <c r="BQ352" s="78"/>
      <c r="BR352" s="78"/>
      <c r="BS352" s="78"/>
      <c r="BT352" s="70"/>
      <c r="BU352" s="65"/>
      <c r="BV352" s="78"/>
      <c r="BW352" s="78"/>
      <c r="BX352" s="78"/>
      <c r="BY352" s="78"/>
      <c r="BZ352" s="70"/>
      <c r="CA352" s="80"/>
      <c r="CB352" s="78"/>
      <c r="CC352" s="78"/>
      <c r="CD352" s="78"/>
      <c r="CE352" s="78"/>
      <c r="CF352" s="70"/>
    </row>
    <row r="353" spans="1:84" ht="12" customHeight="1">
      <c r="A353" s="2"/>
      <c r="B353" s="64">
        <v>341</v>
      </c>
      <c r="C353" s="65">
        <v>10</v>
      </c>
      <c r="D353" s="66" t="s">
        <v>18</v>
      </c>
      <c r="E353" s="69" t="s">
        <v>67</v>
      </c>
      <c r="F353" s="70" t="s">
        <v>80</v>
      </c>
      <c r="G353" s="71">
        <v>1128.5560975609756</v>
      </c>
      <c r="H353" s="72">
        <v>673.45365853658529</v>
      </c>
      <c r="I353" s="72">
        <v>455.10243902439026</v>
      </c>
      <c r="J353" s="72"/>
      <c r="K353" s="72"/>
      <c r="L353" s="73"/>
      <c r="M353" s="71">
        <v>2257.1121951219511</v>
      </c>
      <c r="N353" s="72">
        <v>1346.9073170731706</v>
      </c>
      <c r="O353" s="72">
        <v>910.20487804878053</v>
      </c>
      <c r="P353" s="72"/>
      <c r="Q353" s="72"/>
      <c r="R353" s="73"/>
      <c r="S353" s="71">
        <v>673.6</v>
      </c>
      <c r="T353" s="72">
        <v>696</v>
      </c>
      <c r="U353" s="72">
        <v>696</v>
      </c>
      <c r="V353" s="72">
        <v>648</v>
      </c>
      <c r="W353" s="72">
        <v>652</v>
      </c>
      <c r="X353" s="73">
        <v>676</v>
      </c>
      <c r="Y353" s="71">
        <v>445.6</v>
      </c>
      <c r="Z353" s="72">
        <v>432</v>
      </c>
      <c r="AA353" s="72">
        <v>464</v>
      </c>
      <c r="AB353" s="72">
        <v>450</v>
      </c>
      <c r="AC353" s="72">
        <v>424</v>
      </c>
      <c r="AD353" s="73">
        <v>458</v>
      </c>
      <c r="AE353" s="71"/>
      <c r="AF353" s="72"/>
      <c r="AG353" s="72"/>
      <c r="AH353" s="72"/>
      <c r="AI353" s="72"/>
      <c r="AJ353" s="73"/>
      <c r="AK353" s="71"/>
      <c r="AL353" s="72"/>
      <c r="AM353" s="72"/>
      <c r="AN353" s="72"/>
      <c r="AO353" s="72"/>
      <c r="AP353" s="73"/>
      <c r="AQ353" s="71"/>
      <c r="AR353" s="72"/>
      <c r="AS353" s="72"/>
      <c r="AT353" s="72"/>
      <c r="AU353" s="72"/>
      <c r="AV353" s="73"/>
      <c r="AW353" s="75">
        <v>-0.82903256481408061</v>
      </c>
      <c r="AX353" s="76">
        <v>-4.9275136803339503E-2</v>
      </c>
      <c r="AY353" s="76">
        <v>2.786206419599413</v>
      </c>
      <c r="AZ353" s="76">
        <v>-2.7075390959309109</v>
      </c>
      <c r="BA353" s="76">
        <v>-4.6569326659577914</v>
      </c>
      <c r="BB353" s="77">
        <v>0.48237765502217034</v>
      </c>
      <c r="BC353" s="65"/>
      <c r="BD353" s="78"/>
      <c r="BE353" s="78"/>
      <c r="BF353" s="78"/>
      <c r="BG353" s="78"/>
      <c r="BH353" s="70"/>
      <c r="BI353" s="65"/>
      <c r="BJ353" s="78"/>
      <c r="BK353" s="78"/>
      <c r="BL353" s="78"/>
      <c r="BM353" s="78"/>
      <c r="BN353" s="70"/>
      <c r="BO353" s="65"/>
      <c r="BP353" s="78"/>
      <c r="BQ353" s="78"/>
      <c r="BR353" s="78"/>
      <c r="BS353" s="78"/>
      <c r="BT353" s="70"/>
      <c r="BU353" s="65"/>
      <c r="BV353" s="78"/>
      <c r="BW353" s="78"/>
      <c r="BX353" s="78"/>
      <c r="BY353" s="78"/>
      <c r="BZ353" s="70"/>
      <c r="CA353" s="80"/>
      <c r="CB353" s="78"/>
      <c r="CC353" s="78"/>
      <c r="CD353" s="78"/>
      <c r="CE353" s="78"/>
      <c r="CF353" s="70"/>
    </row>
    <row r="354" spans="1:84" ht="12" customHeight="1">
      <c r="A354" s="2"/>
      <c r="B354" s="64">
        <v>342</v>
      </c>
      <c r="C354" s="65">
        <v>10</v>
      </c>
      <c r="D354" s="66" t="s">
        <v>18</v>
      </c>
      <c r="E354" s="69" t="s">
        <v>148</v>
      </c>
      <c r="F354" s="70" t="s">
        <v>80</v>
      </c>
      <c r="G354" s="71">
        <v>1128.5560975609756</v>
      </c>
      <c r="H354" s="72">
        <v>673.45365853658529</v>
      </c>
      <c r="I354" s="72">
        <v>455.10243902439026</v>
      </c>
      <c r="J354" s="72"/>
      <c r="K354" s="72"/>
      <c r="L354" s="73"/>
      <c r="M354" s="71">
        <v>2257.1121951219511</v>
      </c>
      <c r="N354" s="72">
        <v>1346.9073170731706</v>
      </c>
      <c r="O354" s="72">
        <v>910.20487804878053</v>
      </c>
      <c r="P354" s="72"/>
      <c r="Q354" s="72"/>
      <c r="R354" s="73"/>
      <c r="S354" s="71">
        <v>673.6</v>
      </c>
      <c r="T354" s="72">
        <v>696</v>
      </c>
      <c r="U354" s="72">
        <v>696</v>
      </c>
      <c r="V354" s="72">
        <v>648</v>
      </c>
      <c r="W354" s="72">
        <v>652</v>
      </c>
      <c r="X354" s="73">
        <v>676</v>
      </c>
      <c r="Y354" s="71">
        <v>445.6</v>
      </c>
      <c r="Z354" s="72">
        <v>432</v>
      </c>
      <c r="AA354" s="72">
        <v>464</v>
      </c>
      <c r="AB354" s="72">
        <v>450</v>
      </c>
      <c r="AC354" s="72">
        <v>424</v>
      </c>
      <c r="AD354" s="73">
        <v>458</v>
      </c>
      <c r="AE354" s="71"/>
      <c r="AF354" s="72"/>
      <c r="AG354" s="72"/>
      <c r="AH354" s="72"/>
      <c r="AI354" s="72"/>
      <c r="AJ354" s="73"/>
      <c r="AK354" s="71"/>
      <c r="AL354" s="72"/>
      <c r="AM354" s="72"/>
      <c r="AN354" s="72"/>
      <c r="AO354" s="72"/>
      <c r="AP354" s="73"/>
      <c r="AQ354" s="71"/>
      <c r="AR354" s="72"/>
      <c r="AS354" s="72"/>
      <c r="AT354" s="72"/>
      <c r="AU354" s="72"/>
      <c r="AV354" s="73"/>
      <c r="AW354" s="75">
        <v>-0.82903256481408061</v>
      </c>
      <c r="AX354" s="76">
        <v>-4.9275136803339503E-2</v>
      </c>
      <c r="AY354" s="76">
        <v>2.786206419599413</v>
      </c>
      <c r="AZ354" s="76">
        <v>-2.7075390959309109</v>
      </c>
      <c r="BA354" s="76">
        <v>-4.6569326659577914</v>
      </c>
      <c r="BB354" s="77">
        <v>0.48237765502217034</v>
      </c>
      <c r="BC354" s="65"/>
      <c r="BD354" s="78"/>
      <c r="BE354" s="78"/>
      <c r="BF354" s="78"/>
      <c r="BG354" s="78"/>
      <c r="BH354" s="70"/>
      <c r="BI354" s="65"/>
      <c r="BJ354" s="78"/>
      <c r="BK354" s="78"/>
      <c r="BL354" s="78"/>
      <c r="BM354" s="78"/>
      <c r="BN354" s="70"/>
      <c r="BO354" s="65"/>
      <c r="BP354" s="78"/>
      <c r="BQ354" s="78"/>
      <c r="BR354" s="78"/>
      <c r="BS354" s="78"/>
      <c r="BT354" s="70"/>
      <c r="BU354" s="65"/>
      <c r="BV354" s="78"/>
      <c r="BW354" s="78"/>
      <c r="BX354" s="78"/>
      <c r="BY354" s="78"/>
      <c r="BZ354" s="70"/>
      <c r="CA354" s="80"/>
      <c r="CB354" s="78"/>
      <c r="CC354" s="78"/>
      <c r="CD354" s="78"/>
      <c r="CE354" s="78"/>
      <c r="CF354" s="70"/>
    </row>
    <row r="355" spans="1:84" ht="12" customHeight="1">
      <c r="A355" s="2"/>
      <c r="B355" s="64">
        <v>343</v>
      </c>
      <c r="C355" s="65">
        <v>10</v>
      </c>
      <c r="D355" s="66" t="s">
        <v>18</v>
      </c>
      <c r="E355" s="69" t="s">
        <v>87</v>
      </c>
      <c r="F355" s="70" t="s">
        <v>80</v>
      </c>
      <c r="G355" s="71">
        <v>1128.5560975609756</v>
      </c>
      <c r="H355" s="72">
        <v>673.45365853658529</v>
      </c>
      <c r="I355" s="72">
        <v>455.10243902439026</v>
      </c>
      <c r="J355" s="72"/>
      <c r="K355" s="72"/>
      <c r="L355" s="73"/>
      <c r="M355" s="71">
        <v>2257.1121951219511</v>
      </c>
      <c r="N355" s="72">
        <v>1346.9073170731706</v>
      </c>
      <c r="O355" s="72">
        <v>910.20487804878053</v>
      </c>
      <c r="P355" s="72"/>
      <c r="Q355" s="72"/>
      <c r="R355" s="73"/>
      <c r="S355" s="71">
        <v>674.4</v>
      </c>
      <c r="T355" s="72">
        <v>696</v>
      </c>
      <c r="U355" s="72">
        <v>656</v>
      </c>
      <c r="V355" s="72">
        <v>664</v>
      </c>
      <c r="W355" s="72">
        <v>680</v>
      </c>
      <c r="X355" s="73">
        <v>676</v>
      </c>
      <c r="Y355" s="71">
        <v>448</v>
      </c>
      <c r="Z355" s="72">
        <v>468</v>
      </c>
      <c r="AA355" s="72">
        <v>451</v>
      </c>
      <c r="AB355" s="72">
        <v>467</v>
      </c>
      <c r="AC355" s="72">
        <v>423</v>
      </c>
      <c r="AD355" s="73">
        <v>431</v>
      </c>
      <c r="AE355" s="71"/>
      <c r="AF355" s="72"/>
      <c r="AG355" s="72"/>
      <c r="AH355" s="72"/>
      <c r="AI355" s="72"/>
      <c r="AJ355" s="73"/>
      <c r="AK355" s="71"/>
      <c r="AL355" s="72"/>
      <c r="AM355" s="72"/>
      <c r="AN355" s="72"/>
      <c r="AO355" s="72"/>
      <c r="AP355" s="73"/>
      <c r="AQ355" s="71"/>
      <c r="AR355" s="72"/>
      <c r="AS355" s="72"/>
      <c r="AT355" s="72"/>
      <c r="AU355" s="72"/>
      <c r="AV355" s="73"/>
      <c r="AW355" s="75">
        <v>-0.54548440917381313</v>
      </c>
      <c r="AX355" s="76">
        <v>3.1406416141497528</v>
      </c>
      <c r="AY355" s="76">
        <v>-1.9100599081926406</v>
      </c>
      <c r="AZ355" s="76">
        <v>0.21655125910942097</v>
      </c>
      <c r="BA355" s="76">
        <v>-2.2644951027429805</v>
      </c>
      <c r="BB355" s="77">
        <v>-1.9100599081926406</v>
      </c>
      <c r="BC355" s="65"/>
      <c r="BD355" s="78"/>
      <c r="BE355" s="78"/>
      <c r="BF355" s="78"/>
      <c r="BG355" s="78"/>
      <c r="BH355" s="70"/>
      <c r="BI355" s="65"/>
      <c r="BJ355" s="78"/>
      <c r="BK355" s="78"/>
      <c r="BL355" s="78"/>
      <c r="BM355" s="78"/>
      <c r="BN355" s="70"/>
      <c r="BO355" s="65"/>
      <c r="BP355" s="78"/>
      <c r="BQ355" s="78"/>
      <c r="BR355" s="78"/>
      <c r="BS355" s="78"/>
      <c r="BT355" s="70"/>
      <c r="BU355" s="65"/>
      <c r="BV355" s="78"/>
      <c r="BW355" s="78"/>
      <c r="BX355" s="78"/>
      <c r="BY355" s="78"/>
      <c r="BZ355" s="70"/>
      <c r="CA355" s="80"/>
      <c r="CB355" s="78"/>
      <c r="CC355" s="78"/>
      <c r="CD355" s="78"/>
      <c r="CE355" s="78"/>
      <c r="CF355" s="70"/>
    </row>
    <row r="356" spans="1:84" ht="12" customHeight="1">
      <c r="A356" s="2"/>
      <c r="B356" s="64">
        <v>344</v>
      </c>
      <c r="C356" s="65">
        <v>10</v>
      </c>
      <c r="D356" s="66" t="s">
        <v>18</v>
      </c>
      <c r="E356" s="69" t="s">
        <v>136</v>
      </c>
      <c r="F356" s="70" t="s">
        <v>80</v>
      </c>
      <c r="G356" s="71">
        <v>1128.5560975609756</v>
      </c>
      <c r="H356" s="72">
        <v>673.45365853658529</v>
      </c>
      <c r="I356" s="72">
        <v>455.10243902439026</v>
      </c>
      <c r="J356" s="72"/>
      <c r="K356" s="72"/>
      <c r="L356" s="73"/>
      <c r="M356" s="71">
        <v>2257.1121951219511</v>
      </c>
      <c r="N356" s="72">
        <v>1346.9073170731706</v>
      </c>
      <c r="O356" s="72">
        <v>910.20487804878053</v>
      </c>
      <c r="P356" s="72"/>
      <c r="Q356" s="72"/>
      <c r="R356" s="73"/>
      <c r="S356" s="71">
        <v>673.6</v>
      </c>
      <c r="T356" s="72">
        <v>696</v>
      </c>
      <c r="U356" s="72">
        <v>696</v>
      </c>
      <c r="V356" s="72">
        <v>648</v>
      </c>
      <c r="W356" s="72">
        <v>652</v>
      </c>
      <c r="X356" s="73">
        <v>676</v>
      </c>
      <c r="Y356" s="71">
        <v>445.6</v>
      </c>
      <c r="Z356" s="72">
        <v>432</v>
      </c>
      <c r="AA356" s="72">
        <v>464</v>
      </c>
      <c r="AB356" s="72">
        <v>450</v>
      </c>
      <c r="AC356" s="72">
        <v>424</v>
      </c>
      <c r="AD356" s="73">
        <v>458</v>
      </c>
      <c r="AE356" s="71"/>
      <c r="AF356" s="72"/>
      <c r="AG356" s="72"/>
      <c r="AH356" s="72"/>
      <c r="AI356" s="72"/>
      <c r="AJ356" s="73"/>
      <c r="AK356" s="71"/>
      <c r="AL356" s="72"/>
      <c r="AM356" s="72"/>
      <c r="AN356" s="72"/>
      <c r="AO356" s="72"/>
      <c r="AP356" s="73"/>
      <c r="AQ356" s="71"/>
      <c r="AR356" s="72"/>
      <c r="AS356" s="72"/>
      <c r="AT356" s="72"/>
      <c r="AU356" s="72"/>
      <c r="AV356" s="73"/>
      <c r="AW356" s="75">
        <v>-0.82903256481408061</v>
      </c>
      <c r="AX356" s="76">
        <v>-4.9275136803339503E-2</v>
      </c>
      <c r="AY356" s="76">
        <v>2.786206419599413</v>
      </c>
      <c r="AZ356" s="76">
        <v>-2.7075390959309109</v>
      </c>
      <c r="BA356" s="76">
        <v>-4.6569326659577914</v>
      </c>
      <c r="BB356" s="77">
        <v>0.48237765502217034</v>
      </c>
      <c r="BC356" s="65"/>
      <c r="BD356" s="78"/>
      <c r="BE356" s="78"/>
      <c r="BF356" s="78"/>
      <c r="BG356" s="78"/>
      <c r="BH356" s="70"/>
      <c r="BI356" s="65"/>
      <c r="BJ356" s="78"/>
      <c r="BK356" s="78"/>
      <c r="BL356" s="78"/>
      <c r="BM356" s="78"/>
      <c r="BN356" s="70"/>
      <c r="BO356" s="65"/>
      <c r="BP356" s="78"/>
      <c r="BQ356" s="78"/>
      <c r="BR356" s="78"/>
      <c r="BS356" s="78"/>
      <c r="BT356" s="70"/>
      <c r="BU356" s="65"/>
      <c r="BV356" s="78"/>
      <c r="BW356" s="78"/>
      <c r="BX356" s="78"/>
      <c r="BY356" s="78"/>
      <c r="BZ356" s="70"/>
      <c r="CA356" s="80"/>
      <c r="CB356" s="78"/>
      <c r="CC356" s="78"/>
      <c r="CD356" s="78"/>
      <c r="CE356" s="78"/>
      <c r="CF356" s="70"/>
    </row>
    <row r="357" spans="1:84" ht="12" customHeight="1">
      <c r="A357" s="2"/>
      <c r="B357" s="64">
        <v>345</v>
      </c>
      <c r="C357" s="65">
        <v>10</v>
      </c>
      <c r="D357" s="66" t="s">
        <v>18</v>
      </c>
      <c r="E357" s="69" t="s">
        <v>89</v>
      </c>
      <c r="F357" s="70" t="s">
        <v>80</v>
      </c>
      <c r="G357" s="71">
        <v>1692.8341463414633</v>
      </c>
      <c r="H357" s="72">
        <v>1010.1804878048781</v>
      </c>
      <c r="I357" s="72">
        <v>682.65365853658523</v>
      </c>
      <c r="J357" s="72"/>
      <c r="K357" s="72"/>
      <c r="L357" s="73"/>
      <c r="M357" s="71">
        <v>3385.6682926829267</v>
      </c>
      <c r="N357" s="72">
        <v>2020.3609756097562</v>
      </c>
      <c r="O357" s="72">
        <v>1365.3073170731705</v>
      </c>
      <c r="P357" s="72"/>
      <c r="Q357" s="72"/>
      <c r="R357" s="73"/>
      <c r="S357" s="71">
        <v>1036</v>
      </c>
      <c r="T357" s="72">
        <v>1016</v>
      </c>
      <c r="U357" s="72">
        <v>1036</v>
      </c>
      <c r="V357" s="72">
        <v>1012</v>
      </c>
      <c r="W357" s="72">
        <v>1072</v>
      </c>
      <c r="X357" s="73">
        <v>1044</v>
      </c>
      <c r="Y357" s="71">
        <v>677.6</v>
      </c>
      <c r="Z357" s="72">
        <v>685</v>
      </c>
      <c r="AA357" s="72">
        <v>664</v>
      </c>
      <c r="AB357" s="72">
        <v>661</v>
      </c>
      <c r="AC357" s="72">
        <v>699</v>
      </c>
      <c r="AD357" s="73">
        <v>679</v>
      </c>
      <c r="AE357" s="71"/>
      <c r="AF357" s="72"/>
      <c r="AG357" s="72"/>
      <c r="AH357" s="72"/>
      <c r="AI357" s="72"/>
      <c r="AJ357" s="73"/>
      <c r="AK357" s="71"/>
      <c r="AL357" s="72"/>
      <c r="AM357" s="72"/>
      <c r="AN357" s="72"/>
      <c r="AO357" s="72"/>
      <c r="AP357" s="73"/>
      <c r="AQ357" s="71"/>
      <c r="AR357" s="72"/>
      <c r="AS357" s="72"/>
      <c r="AT357" s="72"/>
      <c r="AU357" s="72"/>
      <c r="AV357" s="73"/>
      <c r="AW357" s="75">
        <v>1.2266915635778863</v>
      </c>
      <c r="AX357" s="76">
        <v>0.48237765502217034</v>
      </c>
      <c r="AY357" s="76">
        <v>0.42330512259711739</v>
      </c>
      <c r="AZ357" s="76">
        <v>-1.1716532528794232</v>
      </c>
      <c r="BA357" s="76">
        <v>4.6174549247761876</v>
      </c>
      <c r="BB357" s="77">
        <v>1.7819733683734462</v>
      </c>
      <c r="BC357" s="65"/>
      <c r="BD357" s="78"/>
      <c r="BE357" s="78"/>
      <c r="BF357" s="78"/>
      <c r="BG357" s="78"/>
      <c r="BH357" s="70"/>
      <c r="BI357" s="65"/>
      <c r="BJ357" s="78"/>
      <c r="BK357" s="78"/>
      <c r="BL357" s="78"/>
      <c r="BM357" s="78"/>
      <c r="BN357" s="70"/>
      <c r="BO357" s="65"/>
      <c r="BP357" s="78"/>
      <c r="BQ357" s="78"/>
      <c r="BR357" s="78"/>
      <c r="BS357" s="78"/>
      <c r="BT357" s="70"/>
      <c r="BU357" s="65"/>
      <c r="BV357" s="78"/>
      <c r="BW357" s="78"/>
      <c r="BX357" s="78"/>
      <c r="BY357" s="78"/>
      <c r="BZ357" s="70"/>
      <c r="CA357" s="80"/>
      <c r="CB357" s="78"/>
      <c r="CC357" s="78"/>
      <c r="CD357" s="78"/>
      <c r="CE357" s="78"/>
      <c r="CF357" s="70"/>
    </row>
    <row r="358" spans="1:84" ht="12" customHeight="1">
      <c r="A358" s="2"/>
      <c r="B358" s="64">
        <v>346</v>
      </c>
      <c r="C358" s="65">
        <v>10</v>
      </c>
      <c r="D358" s="66" t="s">
        <v>18</v>
      </c>
      <c r="E358" s="69" t="s">
        <v>91</v>
      </c>
      <c r="F358" s="70" t="s">
        <v>80</v>
      </c>
      <c r="G358" s="71">
        <v>1128.5560975609756</v>
      </c>
      <c r="H358" s="72">
        <v>673.45365853658529</v>
      </c>
      <c r="I358" s="72">
        <v>455.10243902439026</v>
      </c>
      <c r="J358" s="72"/>
      <c r="K358" s="72"/>
      <c r="L358" s="73"/>
      <c r="M358" s="71">
        <v>2257.1121951219511</v>
      </c>
      <c r="N358" s="72">
        <v>1346.9073170731706</v>
      </c>
      <c r="O358" s="72">
        <v>910.20487804878053</v>
      </c>
      <c r="P358" s="72"/>
      <c r="Q358" s="72"/>
      <c r="R358" s="73"/>
      <c r="S358" s="71">
        <v>673.6</v>
      </c>
      <c r="T358" s="72">
        <v>696</v>
      </c>
      <c r="U358" s="72">
        <v>696</v>
      </c>
      <c r="V358" s="72">
        <v>648</v>
      </c>
      <c r="W358" s="72">
        <v>652</v>
      </c>
      <c r="X358" s="73">
        <v>676</v>
      </c>
      <c r="Y358" s="71">
        <v>445.6</v>
      </c>
      <c r="Z358" s="72">
        <v>432</v>
      </c>
      <c r="AA358" s="72">
        <v>464</v>
      </c>
      <c r="AB358" s="72">
        <v>450</v>
      </c>
      <c r="AC358" s="72">
        <v>424</v>
      </c>
      <c r="AD358" s="73">
        <v>458</v>
      </c>
      <c r="AE358" s="71"/>
      <c r="AF358" s="72"/>
      <c r="AG358" s="72"/>
      <c r="AH358" s="72"/>
      <c r="AI358" s="72"/>
      <c r="AJ358" s="73"/>
      <c r="AK358" s="71"/>
      <c r="AL358" s="72"/>
      <c r="AM358" s="72"/>
      <c r="AN358" s="72"/>
      <c r="AO358" s="72"/>
      <c r="AP358" s="73"/>
      <c r="AQ358" s="71"/>
      <c r="AR358" s="72"/>
      <c r="AS358" s="72"/>
      <c r="AT358" s="72"/>
      <c r="AU358" s="72"/>
      <c r="AV358" s="73"/>
      <c r="AW358" s="75">
        <v>-0.82903256481408061</v>
      </c>
      <c r="AX358" s="76">
        <v>-4.9275136803339503E-2</v>
      </c>
      <c r="AY358" s="76">
        <v>2.786206419599413</v>
      </c>
      <c r="AZ358" s="76">
        <v>-2.7075390959309109</v>
      </c>
      <c r="BA358" s="76">
        <v>-4.6569326659577914</v>
      </c>
      <c r="BB358" s="77">
        <v>0.48237765502217034</v>
      </c>
      <c r="BC358" s="65"/>
      <c r="BD358" s="78"/>
      <c r="BE358" s="78"/>
      <c r="BF358" s="78"/>
      <c r="BG358" s="78"/>
      <c r="BH358" s="70"/>
      <c r="BI358" s="65"/>
      <c r="BJ358" s="78"/>
      <c r="BK358" s="78"/>
      <c r="BL358" s="78"/>
      <c r="BM358" s="78"/>
      <c r="BN358" s="70"/>
      <c r="BO358" s="65"/>
      <c r="BP358" s="78"/>
      <c r="BQ358" s="78"/>
      <c r="BR358" s="78"/>
      <c r="BS358" s="78"/>
      <c r="BT358" s="70"/>
      <c r="BU358" s="65"/>
      <c r="BV358" s="78"/>
      <c r="BW358" s="78"/>
      <c r="BX358" s="78"/>
      <c r="BY358" s="78"/>
      <c r="BZ358" s="70"/>
      <c r="CA358" s="80"/>
      <c r="CB358" s="78"/>
      <c r="CC358" s="78"/>
      <c r="CD358" s="78"/>
      <c r="CE358" s="78"/>
      <c r="CF358" s="70"/>
    </row>
    <row r="359" spans="1:84" ht="12" customHeight="1">
      <c r="A359" s="2"/>
      <c r="B359" s="64">
        <v>347</v>
      </c>
      <c r="C359" s="65">
        <v>10</v>
      </c>
      <c r="D359" s="66" t="s">
        <v>18</v>
      </c>
      <c r="E359" s="69" t="s">
        <v>144</v>
      </c>
      <c r="F359" s="70" t="s">
        <v>80</v>
      </c>
      <c r="G359" s="71">
        <v>1885.6702439024386</v>
      </c>
      <c r="H359" s="72">
        <v>1885.6702439024386</v>
      </c>
      <c r="I359" s="72">
        <v>0</v>
      </c>
      <c r="J359" s="72"/>
      <c r="K359" s="72"/>
      <c r="L359" s="73"/>
      <c r="M359" s="71">
        <v>3771.3404878048773</v>
      </c>
      <c r="N359" s="72">
        <v>3771.3404878048773</v>
      </c>
      <c r="O359" s="72">
        <v>0</v>
      </c>
      <c r="P359" s="72"/>
      <c r="Q359" s="72"/>
      <c r="R359" s="73"/>
      <c r="S359" s="71">
        <v>1889.6</v>
      </c>
      <c r="T359" s="72">
        <v>1992</v>
      </c>
      <c r="U359" s="72">
        <v>1968</v>
      </c>
      <c r="V359" s="72">
        <v>1864</v>
      </c>
      <c r="W359" s="72">
        <v>1768</v>
      </c>
      <c r="X359" s="73">
        <v>1856</v>
      </c>
      <c r="Y359" s="71"/>
      <c r="Z359" s="72"/>
      <c r="AA359" s="72"/>
      <c r="AB359" s="72"/>
      <c r="AC359" s="72"/>
      <c r="AD359" s="73"/>
      <c r="AE359" s="71"/>
      <c r="AF359" s="72"/>
      <c r="AG359" s="72"/>
      <c r="AH359" s="72"/>
      <c r="AI359" s="72"/>
      <c r="AJ359" s="73"/>
      <c r="AK359" s="71"/>
      <c r="AL359" s="72"/>
      <c r="AM359" s="72"/>
      <c r="AN359" s="72"/>
      <c r="AO359" s="72"/>
      <c r="AP359" s="73"/>
      <c r="AQ359" s="71"/>
      <c r="AR359" s="72"/>
      <c r="AS359" s="72"/>
      <c r="AT359" s="72"/>
      <c r="AU359" s="72"/>
      <c r="AV359" s="73"/>
      <c r="AW359" s="75">
        <v>0.20840102400028204</v>
      </c>
      <c r="AX359" s="76">
        <v>5.638830884742041</v>
      </c>
      <c r="AY359" s="76">
        <v>4.3660738861307058</v>
      </c>
      <c r="AZ359" s="76">
        <v>-1.1492064411851577</v>
      </c>
      <c r="BA359" s="76">
        <v>-6.2402344356305539</v>
      </c>
      <c r="BB359" s="77">
        <v>-1.5734587740556027</v>
      </c>
      <c r="BC359" s="65"/>
      <c r="BD359" s="78"/>
      <c r="BE359" s="78"/>
      <c r="BF359" s="78"/>
      <c r="BG359" s="78"/>
      <c r="BH359" s="70"/>
      <c r="BI359" s="65"/>
      <c r="BJ359" s="78"/>
      <c r="BK359" s="78"/>
      <c r="BL359" s="78"/>
      <c r="BM359" s="78"/>
      <c r="BN359" s="70"/>
      <c r="BO359" s="65"/>
      <c r="BP359" s="78"/>
      <c r="BQ359" s="78"/>
      <c r="BR359" s="78"/>
      <c r="BS359" s="78"/>
      <c r="BT359" s="70"/>
      <c r="BU359" s="65"/>
      <c r="BV359" s="78"/>
      <c r="BW359" s="78"/>
      <c r="BX359" s="78"/>
      <c r="BY359" s="78"/>
      <c r="BZ359" s="70"/>
      <c r="CA359" s="80"/>
      <c r="CB359" s="78"/>
      <c r="CC359" s="78"/>
      <c r="CD359" s="78"/>
      <c r="CE359" s="78"/>
      <c r="CF359" s="70"/>
    </row>
    <row r="360" spans="1:84" ht="12" customHeight="1">
      <c r="A360" s="2"/>
      <c r="B360" s="64">
        <v>348</v>
      </c>
      <c r="C360" s="65">
        <v>10</v>
      </c>
      <c r="D360" s="66" t="s">
        <v>18</v>
      </c>
      <c r="E360" s="69" t="s">
        <v>92</v>
      </c>
      <c r="F360" s="70" t="s">
        <v>80</v>
      </c>
      <c r="G360" s="71">
        <v>2038.7609756097563</v>
      </c>
      <c r="H360" s="72">
        <v>673.45365853658529</v>
      </c>
      <c r="I360" s="72">
        <v>1365.3073170731709</v>
      </c>
      <c r="J360" s="72"/>
      <c r="K360" s="72"/>
      <c r="L360" s="73"/>
      <c r="M360" s="71">
        <v>4077.5219512195126</v>
      </c>
      <c r="N360" s="72">
        <v>1346.9073170731706</v>
      </c>
      <c r="O360" s="72">
        <v>2730.6146341463418</v>
      </c>
      <c r="P360" s="72"/>
      <c r="Q360" s="72"/>
      <c r="R360" s="73"/>
      <c r="S360" s="71">
        <v>679.2</v>
      </c>
      <c r="T360" s="72">
        <v>648</v>
      </c>
      <c r="U360" s="72">
        <v>676</v>
      </c>
      <c r="V360" s="72">
        <v>696</v>
      </c>
      <c r="W360" s="72">
        <v>696</v>
      </c>
      <c r="X360" s="73">
        <v>680</v>
      </c>
      <c r="Y360" s="71">
        <v>1375.4</v>
      </c>
      <c r="Z360" s="72">
        <v>1352</v>
      </c>
      <c r="AA360" s="72">
        <v>1396</v>
      </c>
      <c r="AB360" s="72">
        <v>1334</v>
      </c>
      <c r="AC360" s="72">
        <v>1416</v>
      </c>
      <c r="AD360" s="73">
        <v>1379</v>
      </c>
      <c r="AE360" s="71"/>
      <c r="AF360" s="72"/>
      <c r="AG360" s="72"/>
      <c r="AH360" s="72"/>
      <c r="AI360" s="72"/>
      <c r="AJ360" s="73"/>
      <c r="AK360" s="71"/>
      <c r="AL360" s="72"/>
      <c r="AM360" s="72"/>
      <c r="AN360" s="72"/>
      <c r="AO360" s="72"/>
      <c r="AP360" s="73"/>
      <c r="AQ360" s="71"/>
      <c r="AR360" s="72"/>
      <c r="AS360" s="72"/>
      <c r="AT360" s="72"/>
      <c r="AU360" s="72"/>
      <c r="AV360" s="73"/>
      <c r="AW360" s="75">
        <v>0.77689462275032373</v>
      </c>
      <c r="AX360" s="76">
        <v>-1.9012025476975558</v>
      </c>
      <c r="AY360" s="76">
        <v>1.6303541605853233</v>
      </c>
      <c r="AZ360" s="76">
        <v>-0.4297205859130182</v>
      </c>
      <c r="BA360" s="76">
        <v>3.5923301096313809</v>
      </c>
      <c r="BB360" s="77">
        <v>0.9927119771453663</v>
      </c>
      <c r="BC360" s="65"/>
      <c r="BD360" s="78"/>
      <c r="BE360" s="78"/>
      <c r="BF360" s="78"/>
      <c r="BG360" s="78"/>
      <c r="BH360" s="70"/>
      <c r="BI360" s="65"/>
      <c r="BJ360" s="78"/>
      <c r="BK360" s="78"/>
      <c r="BL360" s="78"/>
      <c r="BM360" s="78"/>
      <c r="BN360" s="70"/>
      <c r="BO360" s="65"/>
      <c r="BP360" s="78"/>
      <c r="BQ360" s="78"/>
      <c r="BR360" s="78"/>
      <c r="BS360" s="78"/>
      <c r="BT360" s="70"/>
      <c r="BU360" s="65"/>
      <c r="BV360" s="78"/>
      <c r="BW360" s="78"/>
      <c r="BX360" s="78"/>
      <c r="BY360" s="78"/>
      <c r="BZ360" s="70"/>
      <c r="CA360" s="80"/>
      <c r="CB360" s="78"/>
      <c r="CC360" s="78"/>
      <c r="CD360" s="78"/>
      <c r="CE360" s="78"/>
      <c r="CF360" s="70"/>
    </row>
    <row r="361" spans="1:84" ht="12" customHeight="1">
      <c r="A361" s="2"/>
      <c r="B361" s="64">
        <v>349</v>
      </c>
      <c r="C361" s="65">
        <v>10</v>
      </c>
      <c r="D361" s="66" t="s">
        <v>18</v>
      </c>
      <c r="E361" s="69" t="s">
        <v>138</v>
      </c>
      <c r="F361" s="70" t="s">
        <v>80</v>
      </c>
      <c r="G361" s="71">
        <v>1885.6702439024386</v>
      </c>
      <c r="H361" s="72">
        <v>1885.6702439024386</v>
      </c>
      <c r="I361" s="72">
        <v>0</v>
      </c>
      <c r="J361" s="72"/>
      <c r="K361" s="72"/>
      <c r="L361" s="73"/>
      <c r="M361" s="71">
        <v>3771.3404878048773</v>
      </c>
      <c r="N361" s="72">
        <v>3771.3404878048773</v>
      </c>
      <c r="O361" s="72">
        <v>0</v>
      </c>
      <c r="P361" s="72"/>
      <c r="Q361" s="72"/>
      <c r="R361" s="73"/>
      <c r="S361" s="71">
        <v>1889.6</v>
      </c>
      <c r="T361" s="72">
        <v>1992</v>
      </c>
      <c r="U361" s="72">
        <v>1968</v>
      </c>
      <c r="V361" s="72">
        <v>1864</v>
      </c>
      <c r="W361" s="72">
        <v>1768</v>
      </c>
      <c r="X361" s="73">
        <v>1856</v>
      </c>
      <c r="Y361" s="71"/>
      <c r="Z361" s="72"/>
      <c r="AA361" s="72"/>
      <c r="AB361" s="72"/>
      <c r="AC361" s="72"/>
      <c r="AD361" s="73"/>
      <c r="AE361" s="71"/>
      <c r="AF361" s="72"/>
      <c r="AG361" s="72"/>
      <c r="AH361" s="72"/>
      <c r="AI361" s="72"/>
      <c r="AJ361" s="73"/>
      <c r="AK361" s="71"/>
      <c r="AL361" s="72"/>
      <c r="AM361" s="72"/>
      <c r="AN361" s="72"/>
      <c r="AO361" s="72"/>
      <c r="AP361" s="73"/>
      <c r="AQ361" s="71"/>
      <c r="AR361" s="72"/>
      <c r="AS361" s="72"/>
      <c r="AT361" s="72"/>
      <c r="AU361" s="72"/>
      <c r="AV361" s="73"/>
      <c r="AW361" s="75">
        <v>0.20840102400028204</v>
      </c>
      <c r="AX361" s="76">
        <v>5.638830884742041</v>
      </c>
      <c r="AY361" s="76">
        <v>4.3660738861307058</v>
      </c>
      <c r="AZ361" s="76">
        <v>-1.1492064411851577</v>
      </c>
      <c r="BA361" s="76">
        <v>-6.2402344356305539</v>
      </c>
      <c r="BB361" s="77">
        <v>-1.5734587740556027</v>
      </c>
      <c r="BC361" s="65"/>
      <c r="BD361" s="78"/>
      <c r="BE361" s="78"/>
      <c r="BF361" s="78"/>
      <c r="BG361" s="78"/>
      <c r="BH361" s="70"/>
      <c r="BI361" s="65"/>
      <c r="BJ361" s="78"/>
      <c r="BK361" s="78"/>
      <c r="BL361" s="78"/>
      <c r="BM361" s="78"/>
      <c r="BN361" s="70"/>
      <c r="BO361" s="65"/>
      <c r="BP361" s="78"/>
      <c r="BQ361" s="78"/>
      <c r="BR361" s="78"/>
      <c r="BS361" s="78"/>
      <c r="BT361" s="70"/>
      <c r="BU361" s="65"/>
      <c r="BV361" s="78"/>
      <c r="BW361" s="78"/>
      <c r="BX361" s="78"/>
      <c r="BY361" s="78"/>
      <c r="BZ361" s="70"/>
      <c r="CA361" s="80"/>
      <c r="CB361" s="78"/>
      <c r="CC361" s="78"/>
      <c r="CD361" s="78"/>
      <c r="CE361" s="78"/>
      <c r="CF361" s="70"/>
    </row>
    <row r="362" spans="1:84" ht="12" customHeight="1">
      <c r="A362" s="2"/>
      <c r="B362" s="64">
        <v>350</v>
      </c>
      <c r="C362" s="65">
        <v>10</v>
      </c>
      <c r="D362" s="66" t="s">
        <v>18</v>
      </c>
      <c r="E362" s="69" t="s">
        <v>139</v>
      </c>
      <c r="F362" s="70" t="s">
        <v>80</v>
      </c>
      <c r="G362" s="71">
        <v>2038.7609756097563</v>
      </c>
      <c r="H362" s="72">
        <v>673.45365853658529</v>
      </c>
      <c r="I362" s="72">
        <v>1365.3073170731709</v>
      </c>
      <c r="J362" s="72"/>
      <c r="K362" s="72"/>
      <c r="L362" s="73"/>
      <c r="M362" s="71">
        <v>4077.5219512195126</v>
      </c>
      <c r="N362" s="72">
        <v>1346.9073170731706</v>
      </c>
      <c r="O362" s="72">
        <v>2730.6146341463418</v>
      </c>
      <c r="P362" s="72"/>
      <c r="Q362" s="72"/>
      <c r="R362" s="73"/>
      <c r="S362" s="71">
        <v>679.2</v>
      </c>
      <c r="T362" s="72">
        <v>648</v>
      </c>
      <c r="U362" s="72">
        <v>676</v>
      </c>
      <c r="V362" s="72">
        <v>696</v>
      </c>
      <c r="W362" s="72">
        <v>696</v>
      </c>
      <c r="X362" s="73">
        <v>680</v>
      </c>
      <c r="Y362" s="71">
        <v>1375.4</v>
      </c>
      <c r="Z362" s="72">
        <v>1352</v>
      </c>
      <c r="AA362" s="72">
        <v>1396</v>
      </c>
      <c r="AB362" s="72">
        <v>1334</v>
      </c>
      <c r="AC362" s="72">
        <v>1416</v>
      </c>
      <c r="AD362" s="73">
        <v>1379</v>
      </c>
      <c r="AE362" s="71"/>
      <c r="AF362" s="72"/>
      <c r="AG362" s="72"/>
      <c r="AH362" s="72"/>
      <c r="AI362" s="72"/>
      <c r="AJ362" s="73"/>
      <c r="AK362" s="71"/>
      <c r="AL362" s="72"/>
      <c r="AM362" s="72"/>
      <c r="AN362" s="72"/>
      <c r="AO362" s="72"/>
      <c r="AP362" s="73"/>
      <c r="AQ362" s="71"/>
      <c r="AR362" s="72"/>
      <c r="AS362" s="72"/>
      <c r="AT362" s="72"/>
      <c r="AU362" s="72"/>
      <c r="AV362" s="73"/>
      <c r="AW362" s="75">
        <v>0.77689462275032373</v>
      </c>
      <c r="AX362" s="76">
        <v>-1.9012025476975558</v>
      </c>
      <c r="AY362" s="76">
        <v>1.6303541605853233</v>
      </c>
      <c r="AZ362" s="76">
        <v>-0.4297205859130182</v>
      </c>
      <c r="BA362" s="76">
        <v>3.5923301096313809</v>
      </c>
      <c r="BB362" s="77">
        <v>0.9927119771453663</v>
      </c>
      <c r="BC362" s="65"/>
      <c r="BD362" s="78"/>
      <c r="BE362" s="78"/>
      <c r="BF362" s="78"/>
      <c r="BG362" s="78"/>
      <c r="BH362" s="70"/>
      <c r="BI362" s="65"/>
      <c r="BJ362" s="78"/>
      <c r="BK362" s="78"/>
      <c r="BL362" s="78"/>
      <c r="BM362" s="78"/>
      <c r="BN362" s="70"/>
      <c r="BO362" s="65"/>
      <c r="BP362" s="78"/>
      <c r="BQ362" s="78"/>
      <c r="BR362" s="78"/>
      <c r="BS362" s="78"/>
      <c r="BT362" s="70"/>
      <c r="BU362" s="65"/>
      <c r="BV362" s="78"/>
      <c r="BW362" s="78"/>
      <c r="BX362" s="78"/>
      <c r="BY362" s="78"/>
      <c r="BZ362" s="70"/>
      <c r="CA362" s="80"/>
      <c r="CB362" s="78"/>
      <c r="CC362" s="78"/>
      <c r="CD362" s="78"/>
      <c r="CE362" s="78"/>
      <c r="CF362" s="70"/>
    </row>
    <row r="363" spans="1:84" ht="12" customHeight="1">
      <c r="A363" s="2"/>
      <c r="B363" s="64">
        <v>351</v>
      </c>
      <c r="C363" s="65">
        <v>10</v>
      </c>
      <c r="D363" s="66" t="s">
        <v>18</v>
      </c>
      <c r="E363" s="69" t="s">
        <v>140</v>
      </c>
      <c r="F363" s="70" t="s">
        <v>80</v>
      </c>
      <c r="G363" s="71">
        <v>2828.5053658536585</v>
      </c>
      <c r="H363" s="72">
        <v>2828.5053658536585</v>
      </c>
      <c r="I363" s="72">
        <v>0</v>
      </c>
      <c r="J363" s="72"/>
      <c r="K363" s="72"/>
      <c r="L363" s="73"/>
      <c r="M363" s="71">
        <v>5657.0107317073162</v>
      </c>
      <c r="N363" s="72">
        <v>5657.0107317073162</v>
      </c>
      <c r="O363" s="72">
        <v>0</v>
      </c>
      <c r="P363" s="72"/>
      <c r="Q363" s="72"/>
      <c r="R363" s="73"/>
      <c r="S363" s="71">
        <v>2758.4</v>
      </c>
      <c r="T363" s="72">
        <v>2648</v>
      </c>
      <c r="U363" s="72">
        <v>2616</v>
      </c>
      <c r="V363" s="72">
        <v>2752</v>
      </c>
      <c r="W363" s="72">
        <v>2888</v>
      </c>
      <c r="X363" s="73">
        <v>2888</v>
      </c>
      <c r="Y363" s="71"/>
      <c r="Z363" s="72"/>
      <c r="AA363" s="72"/>
      <c r="AB363" s="72"/>
      <c r="AC363" s="72"/>
      <c r="AD363" s="73"/>
      <c r="AE363" s="71"/>
      <c r="AF363" s="72"/>
      <c r="AG363" s="72"/>
      <c r="AH363" s="72"/>
      <c r="AI363" s="72"/>
      <c r="AJ363" s="73"/>
      <c r="AK363" s="71"/>
      <c r="AL363" s="72"/>
      <c r="AM363" s="72"/>
      <c r="AN363" s="72"/>
      <c r="AO363" s="72"/>
      <c r="AP363" s="73"/>
      <c r="AQ363" s="71"/>
      <c r="AR363" s="72"/>
      <c r="AS363" s="72"/>
      <c r="AT363" s="72"/>
      <c r="AU363" s="72"/>
      <c r="AV363" s="73"/>
      <c r="AW363" s="75">
        <v>-2.4785304175125811</v>
      </c>
      <c r="AX363" s="76">
        <v>-6.3816518799207245</v>
      </c>
      <c r="AY363" s="76">
        <v>-7.512991434241922</v>
      </c>
      <c r="AZ363" s="76">
        <v>-2.7047983283768229</v>
      </c>
      <c r="BA363" s="76">
        <v>2.1033947774882655</v>
      </c>
      <c r="BB363" s="77">
        <v>2.1033947774882655</v>
      </c>
      <c r="BC363" s="65"/>
      <c r="BD363" s="78"/>
      <c r="BE363" s="78"/>
      <c r="BF363" s="78"/>
      <c r="BG363" s="78"/>
      <c r="BH363" s="70"/>
      <c r="BI363" s="65"/>
      <c r="BJ363" s="78"/>
      <c r="BK363" s="78"/>
      <c r="BL363" s="78"/>
      <c r="BM363" s="78"/>
      <c r="BN363" s="70"/>
      <c r="BO363" s="65"/>
      <c r="BP363" s="78"/>
      <c r="BQ363" s="78"/>
      <c r="BR363" s="78"/>
      <c r="BS363" s="78"/>
      <c r="BT363" s="70"/>
      <c r="BU363" s="65"/>
      <c r="BV363" s="78"/>
      <c r="BW363" s="78"/>
      <c r="BX363" s="78"/>
      <c r="BY363" s="78"/>
      <c r="BZ363" s="70"/>
      <c r="CA363" s="80"/>
      <c r="CB363" s="78"/>
      <c r="CC363" s="78"/>
      <c r="CD363" s="78"/>
      <c r="CE363" s="78"/>
      <c r="CF363" s="70"/>
    </row>
    <row r="364" spans="1:84" ht="12" customHeight="1">
      <c r="A364" s="2"/>
      <c r="B364" s="64">
        <v>352</v>
      </c>
      <c r="C364" s="65">
        <v>10</v>
      </c>
      <c r="D364" s="66" t="s">
        <v>18</v>
      </c>
      <c r="E364" s="69" t="s">
        <v>95</v>
      </c>
      <c r="F364" s="70" t="s">
        <v>80</v>
      </c>
      <c r="G364" s="71">
        <v>3058.141463414634</v>
      </c>
      <c r="H364" s="72">
        <v>1010.1804878048781</v>
      </c>
      <c r="I364" s="72">
        <v>2047.9609756097557</v>
      </c>
      <c r="J364" s="72"/>
      <c r="K364" s="72"/>
      <c r="L364" s="73"/>
      <c r="M364" s="71">
        <v>6116.2829268292671</v>
      </c>
      <c r="N364" s="72">
        <v>2020.3609756097562</v>
      </c>
      <c r="O364" s="72">
        <v>4095.9219512195109</v>
      </c>
      <c r="P364" s="72"/>
      <c r="Q364" s="72"/>
      <c r="R364" s="73"/>
      <c r="S364" s="71">
        <v>1016</v>
      </c>
      <c r="T364" s="72">
        <v>1016</v>
      </c>
      <c r="U364" s="72">
        <v>1072</v>
      </c>
      <c r="V364" s="72">
        <v>1048</v>
      </c>
      <c r="W364" s="72">
        <v>1000</v>
      </c>
      <c r="X364" s="73">
        <v>944</v>
      </c>
      <c r="Y364" s="71">
        <v>1970.8</v>
      </c>
      <c r="Z364" s="72">
        <v>2062</v>
      </c>
      <c r="AA364" s="72">
        <v>1922</v>
      </c>
      <c r="AB364" s="72">
        <v>1979</v>
      </c>
      <c r="AC364" s="72">
        <v>1955</v>
      </c>
      <c r="AD364" s="73">
        <v>1936</v>
      </c>
      <c r="AE364" s="71"/>
      <c r="AF364" s="72"/>
      <c r="AG364" s="72"/>
      <c r="AH364" s="72"/>
      <c r="AI364" s="72"/>
      <c r="AJ364" s="73"/>
      <c r="AK364" s="71"/>
      <c r="AL364" s="72"/>
      <c r="AM364" s="72"/>
      <c r="AN364" s="72"/>
      <c r="AO364" s="72"/>
      <c r="AP364" s="73"/>
      <c r="AQ364" s="71"/>
      <c r="AR364" s="72"/>
      <c r="AS364" s="72"/>
      <c r="AT364" s="72"/>
      <c r="AU364" s="72"/>
      <c r="AV364" s="73"/>
      <c r="AW364" s="75">
        <v>-2.3328372564876743</v>
      </c>
      <c r="AX364" s="76">
        <v>0.64936618606232788</v>
      </c>
      <c r="AY364" s="76">
        <v>-2.097400142602146</v>
      </c>
      <c r="AZ364" s="76">
        <v>-1.0183133706268221</v>
      </c>
      <c r="BA364" s="76">
        <v>-3.3726845094820823</v>
      </c>
      <c r="BB364" s="77">
        <v>-5.8251544457896482</v>
      </c>
      <c r="BC364" s="65"/>
      <c r="BD364" s="78"/>
      <c r="BE364" s="78"/>
      <c r="BF364" s="78"/>
      <c r="BG364" s="78"/>
      <c r="BH364" s="70"/>
      <c r="BI364" s="65"/>
      <c r="BJ364" s="78"/>
      <c r="BK364" s="78"/>
      <c r="BL364" s="78"/>
      <c r="BM364" s="78"/>
      <c r="BN364" s="70"/>
      <c r="BO364" s="65"/>
      <c r="BP364" s="78"/>
      <c r="BQ364" s="78"/>
      <c r="BR364" s="78"/>
      <c r="BS364" s="78"/>
      <c r="BT364" s="70"/>
      <c r="BU364" s="65"/>
      <c r="BV364" s="78"/>
      <c r="BW364" s="78"/>
      <c r="BX364" s="78"/>
      <c r="BY364" s="78"/>
      <c r="BZ364" s="70"/>
      <c r="CA364" s="80"/>
      <c r="CB364" s="78"/>
      <c r="CC364" s="78"/>
      <c r="CD364" s="78"/>
      <c r="CE364" s="78"/>
      <c r="CF364" s="70"/>
    </row>
    <row r="365" spans="1:84" ht="12" customHeight="1">
      <c r="A365" s="2"/>
      <c r="B365" s="64">
        <v>353</v>
      </c>
      <c r="C365" s="65">
        <v>10</v>
      </c>
      <c r="D365" s="66" t="s">
        <v>18</v>
      </c>
      <c r="E365" s="69" t="s">
        <v>141</v>
      </c>
      <c r="F365" s="70" t="s">
        <v>80</v>
      </c>
      <c r="G365" s="71">
        <v>1885.6702439024386</v>
      </c>
      <c r="H365" s="72">
        <v>1885.6702439024386</v>
      </c>
      <c r="I365" s="72">
        <v>0</v>
      </c>
      <c r="J365" s="72"/>
      <c r="K365" s="72"/>
      <c r="L365" s="73"/>
      <c r="M365" s="71">
        <v>3771.3404878048773</v>
      </c>
      <c r="N365" s="72">
        <v>3771.3404878048773</v>
      </c>
      <c r="O365" s="72">
        <v>0</v>
      </c>
      <c r="P365" s="72"/>
      <c r="Q365" s="72"/>
      <c r="R365" s="73"/>
      <c r="S365" s="71">
        <v>1889.6</v>
      </c>
      <c r="T365" s="72">
        <v>1992</v>
      </c>
      <c r="U365" s="72">
        <v>1968</v>
      </c>
      <c r="V365" s="72">
        <v>1864</v>
      </c>
      <c r="W365" s="72">
        <v>1768</v>
      </c>
      <c r="X365" s="73">
        <v>1856</v>
      </c>
      <c r="Y365" s="71"/>
      <c r="Z365" s="72"/>
      <c r="AA365" s="72"/>
      <c r="AB365" s="72"/>
      <c r="AC365" s="72"/>
      <c r="AD365" s="73"/>
      <c r="AE365" s="71"/>
      <c r="AF365" s="72"/>
      <c r="AG365" s="72"/>
      <c r="AH365" s="72"/>
      <c r="AI365" s="72"/>
      <c r="AJ365" s="73"/>
      <c r="AK365" s="71"/>
      <c r="AL365" s="72"/>
      <c r="AM365" s="72"/>
      <c r="AN365" s="72"/>
      <c r="AO365" s="72"/>
      <c r="AP365" s="73"/>
      <c r="AQ365" s="71"/>
      <c r="AR365" s="72"/>
      <c r="AS365" s="72"/>
      <c r="AT365" s="72"/>
      <c r="AU365" s="72"/>
      <c r="AV365" s="73"/>
      <c r="AW365" s="75">
        <v>0.20840102400028204</v>
      </c>
      <c r="AX365" s="76">
        <v>5.638830884742041</v>
      </c>
      <c r="AY365" s="76">
        <v>4.3660738861307058</v>
      </c>
      <c r="AZ365" s="76">
        <v>-1.1492064411851577</v>
      </c>
      <c r="BA365" s="76">
        <v>-6.2402344356305539</v>
      </c>
      <c r="BB365" s="77">
        <v>-1.5734587740556027</v>
      </c>
      <c r="BC365" s="65"/>
      <c r="BD365" s="78"/>
      <c r="BE365" s="78"/>
      <c r="BF365" s="78"/>
      <c r="BG365" s="78"/>
      <c r="BH365" s="70"/>
      <c r="BI365" s="65"/>
      <c r="BJ365" s="78"/>
      <c r="BK365" s="78"/>
      <c r="BL365" s="78"/>
      <c r="BM365" s="78"/>
      <c r="BN365" s="70"/>
      <c r="BO365" s="65"/>
      <c r="BP365" s="78"/>
      <c r="BQ365" s="78"/>
      <c r="BR365" s="78"/>
      <c r="BS365" s="78"/>
      <c r="BT365" s="70"/>
      <c r="BU365" s="65"/>
      <c r="BV365" s="78"/>
      <c r="BW365" s="78"/>
      <c r="BX365" s="78"/>
      <c r="BY365" s="78"/>
      <c r="BZ365" s="70"/>
      <c r="CA365" s="80"/>
      <c r="CB365" s="78"/>
      <c r="CC365" s="78"/>
      <c r="CD365" s="78"/>
      <c r="CE365" s="78"/>
      <c r="CF365" s="70"/>
    </row>
    <row r="366" spans="1:84" ht="12" customHeight="1">
      <c r="A366" s="2"/>
      <c r="B366" s="64">
        <v>354</v>
      </c>
      <c r="C366" s="65">
        <v>10</v>
      </c>
      <c r="D366" s="66" t="s">
        <v>18</v>
      </c>
      <c r="E366" s="69" t="s">
        <v>98</v>
      </c>
      <c r="F366" s="70" t="s">
        <v>80</v>
      </c>
      <c r="G366" s="71">
        <v>2038.7609756097563</v>
      </c>
      <c r="H366" s="72">
        <v>673.45365853658529</v>
      </c>
      <c r="I366" s="72">
        <v>1365.3073170731709</v>
      </c>
      <c r="J366" s="72"/>
      <c r="K366" s="72"/>
      <c r="L366" s="73"/>
      <c r="M366" s="71">
        <v>4077.5219512195126</v>
      </c>
      <c r="N366" s="72">
        <v>1346.9073170731706</v>
      </c>
      <c r="O366" s="72">
        <v>2730.6146341463418</v>
      </c>
      <c r="P366" s="72"/>
      <c r="Q366" s="72"/>
      <c r="R366" s="73"/>
      <c r="S366" s="71">
        <v>679.2</v>
      </c>
      <c r="T366" s="72">
        <v>648</v>
      </c>
      <c r="U366" s="72">
        <v>676</v>
      </c>
      <c r="V366" s="72">
        <v>696</v>
      </c>
      <c r="W366" s="72">
        <v>696</v>
      </c>
      <c r="X366" s="73">
        <v>680</v>
      </c>
      <c r="Y366" s="71">
        <v>1375.4</v>
      </c>
      <c r="Z366" s="72">
        <v>1352</v>
      </c>
      <c r="AA366" s="72">
        <v>1396</v>
      </c>
      <c r="AB366" s="72">
        <v>1334</v>
      </c>
      <c r="AC366" s="72">
        <v>1416</v>
      </c>
      <c r="AD366" s="73">
        <v>1379</v>
      </c>
      <c r="AE366" s="71"/>
      <c r="AF366" s="72"/>
      <c r="AG366" s="72"/>
      <c r="AH366" s="72"/>
      <c r="AI366" s="72"/>
      <c r="AJ366" s="73"/>
      <c r="AK366" s="71"/>
      <c r="AL366" s="72"/>
      <c r="AM366" s="72"/>
      <c r="AN366" s="72"/>
      <c r="AO366" s="72"/>
      <c r="AP366" s="73"/>
      <c r="AQ366" s="71"/>
      <c r="AR366" s="72"/>
      <c r="AS366" s="72"/>
      <c r="AT366" s="72"/>
      <c r="AU366" s="72"/>
      <c r="AV366" s="73"/>
      <c r="AW366" s="75">
        <v>0.77689462275032373</v>
      </c>
      <c r="AX366" s="76">
        <v>-1.9012025476975558</v>
      </c>
      <c r="AY366" s="76">
        <v>1.6303541605853233</v>
      </c>
      <c r="AZ366" s="76">
        <v>-0.4297205859130182</v>
      </c>
      <c r="BA366" s="76">
        <v>3.5923301096313809</v>
      </c>
      <c r="BB366" s="77">
        <v>0.9927119771453663</v>
      </c>
      <c r="BC366" s="65"/>
      <c r="BD366" s="78"/>
      <c r="BE366" s="78"/>
      <c r="BF366" s="78"/>
      <c r="BG366" s="78"/>
      <c r="BH366" s="70"/>
      <c r="BI366" s="65"/>
      <c r="BJ366" s="78"/>
      <c r="BK366" s="78"/>
      <c r="BL366" s="78"/>
      <c r="BM366" s="78"/>
      <c r="BN366" s="70"/>
      <c r="BO366" s="65"/>
      <c r="BP366" s="78"/>
      <c r="BQ366" s="78"/>
      <c r="BR366" s="78"/>
      <c r="BS366" s="78"/>
      <c r="BT366" s="70"/>
      <c r="BU366" s="65"/>
      <c r="BV366" s="78"/>
      <c r="BW366" s="78"/>
      <c r="BX366" s="78"/>
      <c r="BY366" s="78"/>
      <c r="BZ366" s="70"/>
      <c r="CA366" s="80"/>
      <c r="CB366" s="78"/>
      <c r="CC366" s="78"/>
      <c r="CD366" s="78"/>
      <c r="CE366" s="78"/>
      <c r="CF366" s="70"/>
    </row>
    <row r="367" spans="1:84" ht="12" customHeight="1">
      <c r="A367" s="2"/>
      <c r="B367" s="64">
        <v>355</v>
      </c>
      <c r="C367" s="65">
        <v>10</v>
      </c>
      <c r="D367" s="66" t="s">
        <v>18</v>
      </c>
      <c r="E367" s="69" t="s">
        <v>150</v>
      </c>
      <c r="F367" s="70" t="s">
        <v>80</v>
      </c>
      <c r="G367" s="71">
        <v>1885.6702439024386</v>
      </c>
      <c r="H367" s="72">
        <v>1885.6702439024386</v>
      </c>
      <c r="I367" s="72">
        <v>0</v>
      </c>
      <c r="J367" s="72"/>
      <c r="K367" s="72"/>
      <c r="L367" s="73"/>
      <c r="M367" s="71">
        <v>3771.3404878048773</v>
      </c>
      <c r="N367" s="72">
        <v>3771.3404878048773</v>
      </c>
      <c r="O367" s="72">
        <v>0</v>
      </c>
      <c r="P367" s="72"/>
      <c r="Q367" s="72"/>
      <c r="R367" s="73"/>
      <c r="S367" s="71">
        <v>1889.6</v>
      </c>
      <c r="T367" s="72">
        <v>1992</v>
      </c>
      <c r="U367" s="72">
        <v>1968</v>
      </c>
      <c r="V367" s="72">
        <v>1864</v>
      </c>
      <c r="W367" s="72">
        <v>1768</v>
      </c>
      <c r="X367" s="73">
        <v>1856</v>
      </c>
      <c r="Y367" s="71"/>
      <c r="Z367" s="72"/>
      <c r="AA367" s="72"/>
      <c r="AB367" s="72"/>
      <c r="AC367" s="72"/>
      <c r="AD367" s="73"/>
      <c r="AE367" s="71"/>
      <c r="AF367" s="72"/>
      <c r="AG367" s="72"/>
      <c r="AH367" s="72"/>
      <c r="AI367" s="72"/>
      <c r="AJ367" s="73"/>
      <c r="AK367" s="71"/>
      <c r="AL367" s="72"/>
      <c r="AM367" s="72"/>
      <c r="AN367" s="72"/>
      <c r="AO367" s="72"/>
      <c r="AP367" s="73"/>
      <c r="AQ367" s="71"/>
      <c r="AR367" s="72"/>
      <c r="AS367" s="72"/>
      <c r="AT367" s="72"/>
      <c r="AU367" s="72"/>
      <c r="AV367" s="73"/>
      <c r="AW367" s="75">
        <v>0.20840102400028204</v>
      </c>
      <c r="AX367" s="76">
        <v>5.638830884742041</v>
      </c>
      <c r="AY367" s="76">
        <v>4.3660738861307058</v>
      </c>
      <c r="AZ367" s="76">
        <v>-1.1492064411851577</v>
      </c>
      <c r="BA367" s="76">
        <v>-6.2402344356305539</v>
      </c>
      <c r="BB367" s="77">
        <v>-1.5734587740556027</v>
      </c>
      <c r="BC367" s="65"/>
      <c r="BD367" s="78"/>
      <c r="BE367" s="78"/>
      <c r="BF367" s="78"/>
      <c r="BG367" s="78"/>
      <c r="BH367" s="70"/>
      <c r="BI367" s="65"/>
      <c r="BJ367" s="78"/>
      <c r="BK367" s="78"/>
      <c r="BL367" s="78"/>
      <c r="BM367" s="78"/>
      <c r="BN367" s="70"/>
      <c r="BO367" s="65"/>
      <c r="BP367" s="78"/>
      <c r="BQ367" s="78"/>
      <c r="BR367" s="78"/>
      <c r="BS367" s="78"/>
      <c r="BT367" s="70"/>
      <c r="BU367" s="65"/>
      <c r="BV367" s="78"/>
      <c r="BW367" s="78"/>
      <c r="BX367" s="78"/>
      <c r="BY367" s="78"/>
      <c r="BZ367" s="70"/>
      <c r="CA367" s="80"/>
      <c r="CB367" s="78"/>
      <c r="CC367" s="78"/>
      <c r="CD367" s="78"/>
      <c r="CE367" s="78"/>
      <c r="CF367" s="70"/>
    </row>
    <row r="368" spans="1:84" ht="12" customHeight="1">
      <c r="A368" s="2"/>
      <c r="B368" s="64">
        <v>356</v>
      </c>
      <c r="C368" s="65">
        <v>10</v>
      </c>
      <c r="D368" s="66" t="s">
        <v>18</v>
      </c>
      <c r="E368" s="69" t="s">
        <v>151</v>
      </c>
      <c r="F368" s="70" t="s">
        <v>80</v>
      </c>
      <c r="G368" s="71">
        <v>2038.7609756097563</v>
      </c>
      <c r="H368" s="72">
        <v>673.45365853658529</v>
      </c>
      <c r="I368" s="72">
        <v>1365.3073170731709</v>
      </c>
      <c r="J368" s="72"/>
      <c r="K368" s="72"/>
      <c r="L368" s="73"/>
      <c r="M368" s="71">
        <v>4077.5219512195126</v>
      </c>
      <c r="N368" s="72">
        <v>1346.9073170731706</v>
      </c>
      <c r="O368" s="72">
        <v>2730.6146341463418</v>
      </c>
      <c r="P368" s="72"/>
      <c r="Q368" s="72"/>
      <c r="R368" s="73"/>
      <c r="S368" s="71">
        <v>679.2</v>
      </c>
      <c r="T368" s="72">
        <v>648</v>
      </c>
      <c r="U368" s="72">
        <v>676</v>
      </c>
      <c r="V368" s="72">
        <v>696</v>
      </c>
      <c r="W368" s="72">
        <v>696</v>
      </c>
      <c r="X368" s="73">
        <v>680</v>
      </c>
      <c r="Y368" s="71">
        <v>1375.4</v>
      </c>
      <c r="Z368" s="72">
        <v>1352</v>
      </c>
      <c r="AA368" s="72">
        <v>1396</v>
      </c>
      <c r="AB368" s="72">
        <v>1334</v>
      </c>
      <c r="AC368" s="72">
        <v>1416</v>
      </c>
      <c r="AD368" s="73">
        <v>1379</v>
      </c>
      <c r="AE368" s="71"/>
      <c r="AF368" s="72"/>
      <c r="AG368" s="72"/>
      <c r="AH368" s="72"/>
      <c r="AI368" s="72"/>
      <c r="AJ368" s="73"/>
      <c r="AK368" s="71"/>
      <c r="AL368" s="72"/>
      <c r="AM368" s="72"/>
      <c r="AN368" s="72"/>
      <c r="AO368" s="72"/>
      <c r="AP368" s="73"/>
      <c r="AQ368" s="71"/>
      <c r="AR368" s="72"/>
      <c r="AS368" s="72"/>
      <c r="AT368" s="72"/>
      <c r="AU368" s="72"/>
      <c r="AV368" s="73"/>
      <c r="AW368" s="75">
        <v>0.77689462275032373</v>
      </c>
      <c r="AX368" s="76">
        <v>-1.9012025476975558</v>
      </c>
      <c r="AY368" s="76">
        <v>1.6303541605853233</v>
      </c>
      <c r="AZ368" s="76">
        <v>-0.4297205859130182</v>
      </c>
      <c r="BA368" s="76">
        <v>3.5923301096313809</v>
      </c>
      <c r="BB368" s="77">
        <v>0.9927119771453663</v>
      </c>
      <c r="BC368" s="65"/>
      <c r="BD368" s="78"/>
      <c r="BE368" s="78"/>
      <c r="BF368" s="78"/>
      <c r="BG368" s="78"/>
      <c r="BH368" s="70"/>
      <c r="BI368" s="65"/>
      <c r="BJ368" s="78"/>
      <c r="BK368" s="78"/>
      <c r="BL368" s="78"/>
      <c r="BM368" s="78"/>
      <c r="BN368" s="70"/>
      <c r="BO368" s="65"/>
      <c r="BP368" s="78"/>
      <c r="BQ368" s="78"/>
      <c r="BR368" s="78"/>
      <c r="BS368" s="78"/>
      <c r="BT368" s="70"/>
      <c r="BU368" s="65"/>
      <c r="BV368" s="78"/>
      <c r="BW368" s="78"/>
      <c r="BX368" s="78"/>
      <c r="BY368" s="78"/>
      <c r="BZ368" s="70"/>
      <c r="CA368" s="80"/>
      <c r="CB368" s="78"/>
      <c r="CC368" s="78"/>
      <c r="CD368" s="78"/>
      <c r="CE368" s="78"/>
      <c r="CF368" s="70"/>
    </row>
    <row r="369" spans="1:84" ht="12" customHeight="1">
      <c r="A369" s="2"/>
      <c r="B369" s="64">
        <v>357</v>
      </c>
      <c r="C369" s="65">
        <v>10</v>
      </c>
      <c r="D369" s="66" t="s">
        <v>18</v>
      </c>
      <c r="E369" s="69" t="s">
        <v>163</v>
      </c>
      <c r="F369" s="70" t="s">
        <v>80</v>
      </c>
      <c r="G369" s="71">
        <v>1128.5560975609756</v>
      </c>
      <c r="H369" s="72">
        <v>673.45365853658529</v>
      </c>
      <c r="I369" s="72">
        <v>455.10243902439026</v>
      </c>
      <c r="J369" s="72"/>
      <c r="K369" s="72"/>
      <c r="L369" s="73"/>
      <c r="M369" s="71">
        <v>2257.1121951219511</v>
      </c>
      <c r="N369" s="72">
        <v>1346.9073170731706</v>
      </c>
      <c r="O369" s="72">
        <v>910.20487804878053</v>
      </c>
      <c r="P369" s="72"/>
      <c r="Q369" s="72"/>
      <c r="R369" s="73"/>
      <c r="S369" s="71">
        <v>673.6</v>
      </c>
      <c r="T369" s="72">
        <v>696</v>
      </c>
      <c r="U369" s="72">
        <v>696</v>
      </c>
      <c r="V369" s="72">
        <v>648</v>
      </c>
      <c r="W369" s="72">
        <v>652</v>
      </c>
      <c r="X369" s="73">
        <v>676</v>
      </c>
      <c r="Y369" s="71">
        <v>445.6</v>
      </c>
      <c r="Z369" s="72">
        <v>432</v>
      </c>
      <c r="AA369" s="72">
        <v>464</v>
      </c>
      <c r="AB369" s="72">
        <v>450</v>
      </c>
      <c r="AC369" s="72">
        <v>424</v>
      </c>
      <c r="AD369" s="73">
        <v>458</v>
      </c>
      <c r="AE369" s="71"/>
      <c r="AF369" s="72"/>
      <c r="AG369" s="72"/>
      <c r="AH369" s="72"/>
      <c r="AI369" s="72"/>
      <c r="AJ369" s="73"/>
      <c r="AK369" s="71"/>
      <c r="AL369" s="72"/>
      <c r="AM369" s="72"/>
      <c r="AN369" s="72"/>
      <c r="AO369" s="72"/>
      <c r="AP369" s="73"/>
      <c r="AQ369" s="71"/>
      <c r="AR369" s="72"/>
      <c r="AS369" s="72"/>
      <c r="AT369" s="72"/>
      <c r="AU369" s="72"/>
      <c r="AV369" s="73"/>
      <c r="AW369" s="75">
        <v>-0.82903256481408061</v>
      </c>
      <c r="AX369" s="76">
        <v>-4.9275136803339503E-2</v>
      </c>
      <c r="AY369" s="76">
        <v>2.786206419599413</v>
      </c>
      <c r="AZ369" s="76">
        <v>-2.7075390959309109</v>
      </c>
      <c r="BA369" s="76">
        <v>-4.6569326659577914</v>
      </c>
      <c r="BB369" s="77">
        <v>0.48237765502217034</v>
      </c>
      <c r="BC369" s="65"/>
      <c r="BD369" s="78"/>
      <c r="BE369" s="78"/>
      <c r="BF369" s="78"/>
      <c r="BG369" s="78"/>
      <c r="BH369" s="70"/>
      <c r="BI369" s="65"/>
      <c r="BJ369" s="78"/>
      <c r="BK369" s="78"/>
      <c r="BL369" s="78"/>
      <c r="BM369" s="78"/>
      <c r="BN369" s="70"/>
      <c r="BO369" s="65"/>
      <c r="BP369" s="78"/>
      <c r="BQ369" s="78"/>
      <c r="BR369" s="78"/>
      <c r="BS369" s="78"/>
      <c r="BT369" s="70"/>
      <c r="BU369" s="65"/>
      <c r="BV369" s="78"/>
      <c r="BW369" s="78"/>
      <c r="BX369" s="78"/>
      <c r="BY369" s="78"/>
      <c r="BZ369" s="70"/>
      <c r="CA369" s="80"/>
      <c r="CB369" s="78"/>
      <c r="CC369" s="78"/>
      <c r="CD369" s="78"/>
      <c r="CE369" s="78"/>
      <c r="CF369" s="70"/>
    </row>
    <row r="370" spans="1:84" ht="12" customHeight="1">
      <c r="A370" s="2"/>
      <c r="B370" s="64">
        <v>358</v>
      </c>
      <c r="C370" s="65">
        <v>10</v>
      </c>
      <c r="D370" s="66" t="s">
        <v>18</v>
      </c>
      <c r="E370" s="69" t="s">
        <v>164</v>
      </c>
      <c r="F370" s="70" t="s">
        <v>80</v>
      </c>
      <c r="G370" s="71">
        <v>1885.6702439024386</v>
      </c>
      <c r="H370" s="72">
        <v>1885.6702439024386</v>
      </c>
      <c r="I370" s="72">
        <v>0</v>
      </c>
      <c r="J370" s="72"/>
      <c r="K370" s="72"/>
      <c r="L370" s="73"/>
      <c r="M370" s="71">
        <v>3771.3404878048773</v>
      </c>
      <c r="N370" s="72">
        <v>3771.3404878048773</v>
      </c>
      <c r="O370" s="72">
        <v>0</v>
      </c>
      <c r="P370" s="72"/>
      <c r="Q370" s="72"/>
      <c r="R370" s="73"/>
      <c r="S370" s="71">
        <v>1889.6</v>
      </c>
      <c r="T370" s="72">
        <v>1992</v>
      </c>
      <c r="U370" s="72">
        <v>1968</v>
      </c>
      <c r="V370" s="72">
        <v>1864</v>
      </c>
      <c r="W370" s="72">
        <v>1768</v>
      </c>
      <c r="X370" s="73">
        <v>1856</v>
      </c>
      <c r="Y370" s="71"/>
      <c r="Z370" s="72"/>
      <c r="AA370" s="72"/>
      <c r="AB370" s="72"/>
      <c r="AC370" s="72"/>
      <c r="AD370" s="73"/>
      <c r="AE370" s="71"/>
      <c r="AF370" s="72"/>
      <c r="AG370" s="72"/>
      <c r="AH370" s="72"/>
      <c r="AI370" s="72"/>
      <c r="AJ370" s="73"/>
      <c r="AK370" s="71"/>
      <c r="AL370" s="72"/>
      <c r="AM370" s="72"/>
      <c r="AN370" s="72"/>
      <c r="AO370" s="72"/>
      <c r="AP370" s="73"/>
      <c r="AQ370" s="71"/>
      <c r="AR370" s="72"/>
      <c r="AS370" s="72"/>
      <c r="AT370" s="72"/>
      <c r="AU370" s="72"/>
      <c r="AV370" s="73"/>
      <c r="AW370" s="75">
        <v>0.20840102400028204</v>
      </c>
      <c r="AX370" s="76">
        <v>5.638830884742041</v>
      </c>
      <c r="AY370" s="76">
        <v>4.3660738861307058</v>
      </c>
      <c r="AZ370" s="76">
        <v>-1.1492064411851577</v>
      </c>
      <c r="BA370" s="76">
        <v>-6.2402344356305539</v>
      </c>
      <c r="BB370" s="77">
        <v>-1.5734587740556027</v>
      </c>
      <c r="BC370" s="65"/>
      <c r="BD370" s="78"/>
      <c r="BE370" s="78"/>
      <c r="BF370" s="78"/>
      <c r="BG370" s="78"/>
      <c r="BH370" s="70"/>
      <c r="BI370" s="65"/>
      <c r="BJ370" s="78"/>
      <c r="BK370" s="78"/>
      <c r="BL370" s="78"/>
      <c r="BM370" s="78"/>
      <c r="BN370" s="70"/>
      <c r="BO370" s="65"/>
      <c r="BP370" s="78"/>
      <c r="BQ370" s="78"/>
      <c r="BR370" s="78"/>
      <c r="BS370" s="78"/>
      <c r="BT370" s="70"/>
      <c r="BU370" s="65"/>
      <c r="BV370" s="78"/>
      <c r="BW370" s="78"/>
      <c r="BX370" s="78"/>
      <c r="BY370" s="78"/>
      <c r="BZ370" s="70"/>
      <c r="CA370" s="80"/>
      <c r="CB370" s="78"/>
      <c r="CC370" s="78"/>
      <c r="CD370" s="78"/>
      <c r="CE370" s="78"/>
      <c r="CF370" s="70"/>
    </row>
    <row r="371" spans="1:84" ht="12" customHeight="1">
      <c r="A371" s="2"/>
      <c r="B371" s="64">
        <v>359</v>
      </c>
      <c r="C371" s="65">
        <v>10</v>
      </c>
      <c r="D371" s="66" t="s">
        <v>18</v>
      </c>
      <c r="E371" s="69" t="s">
        <v>165</v>
      </c>
      <c r="F371" s="70" t="s">
        <v>80</v>
      </c>
      <c r="G371" s="71">
        <v>2038.7609756097563</v>
      </c>
      <c r="H371" s="72">
        <v>673.45365853658529</v>
      </c>
      <c r="I371" s="72">
        <v>1365.3073170731709</v>
      </c>
      <c r="J371" s="72"/>
      <c r="K371" s="72"/>
      <c r="L371" s="73"/>
      <c r="M371" s="71">
        <v>4077.5219512195126</v>
      </c>
      <c r="N371" s="72">
        <v>1346.9073170731706</v>
      </c>
      <c r="O371" s="72">
        <v>2730.6146341463418</v>
      </c>
      <c r="P371" s="72"/>
      <c r="Q371" s="72"/>
      <c r="R371" s="73"/>
      <c r="S371" s="71">
        <v>679.2</v>
      </c>
      <c r="T371" s="72">
        <v>648</v>
      </c>
      <c r="U371" s="72">
        <v>676</v>
      </c>
      <c r="V371" s="72">
        <v>696</v>
      </c>
      <c r="W371" s="72">
        <v>696</v>
      </c>
      <c r="X371" s="73">
        <v>680</v>
      </c>
      <c r="Y371" s="71">
        <v>1375.4</v>
      </c>
      <c r="Z371" s="72">
        <v>1352</v>
      </c>
      <c r="AA371" s="72">
        <v>1396</v>
      </c>
      <c r="AB371" s="72">
        <v>1334</v>
      </c>
      <c r="AC371" s="72">
        <v>1416</v>
      </c>
      <c r="AD371" s="73">
        <v>1379</v>
      </c>
      <c r="AE371" s="71"/>
      <c r="AF371" s="72"/>
      <c r="AG371" s="72"/>
      <c r="AH371" s="72"/>
      <c r="AI371" s="72"/>
      <c r="AJ371" s="73"/>
      <c r="AK371" s="71"/>
      <c r="AL371" s="72"/>
      <c r="AM371" s="72"/>
      <c r="AN371" s="72"/>
      <c r="AO371" s="72"/>
      <c r="AP371" s="73"/>
      <c r="AQ371" s="71"/>
      <c r="AR371" s="72"/>
      <c r="AS371" s="72"/>
      <c r="AT371" s="72"/>
      <c r="AU371" s="72"/>
      <c r="AV371" s="73"/>
      <c r="AW371" s="75">
        <v>0.77689462275032373</v>
      </c>
      <c r="AX371" s="76">
        <v>-1.9012025476975558</v>
      </c>
      <c r="AY371" s="76">
        <v>1.6303541605853233</v>
      </c>
      <c r="AZ371" s="76">
        <v>-0.4297205859130182</v>
      </c>
      <c r="BA371" s="76">
        <v>3.5923301096313809</v>
      </c>
      <c r="BB371" s="77">
        <v>0.9927119771453663</v>
      </c>
      <c r="BC371" s="65"/>
      <c r="BD371" s="78"/>
      <c r="BE371" s="78"/>
      <c r="BF371" s="78"/>
      <c r="BG371" s="78"/>
      <c r="BH371" s="70"/>
      <c r="BI371" s="65"/>
      <c r="BJ371" s="78"/>
      <c r="BK371" s="78"/>
      <c r="BL371" s="78"/>
      <c r="BM371" s="78"/>
      <c r="BN371" s="70"/>
      <c r="BO371" s="65"/>
      <c r="BP371" s="78"/>
      <c r="BQ371" s="78"/>
      <c r="BR371" s="78"/>
      <c r="BS371" s="78"/>
      <c r="BT371" s="70"/>
      <c r="BU371" s="65"/>
      <c r="BV371" s="78"/>
      <c r="BW371" s="78"/>
      <c r="BX371" s="78"/>
      <c r="BY371" s="78"/>
      <c r="BZ371" s="70"/>
      <c r="CA371" s="80"/>
      <c r="CB371" s="78"/>
      <c r="CC371" s="78"/>
      <c r="CD371" s="78"/>
      <c r="CE371" s="78"/>
      <c r="CF371" s="70"/>
    </row>
    <row r="372" spans="1:84" ht="12" customHeight="1">
      <c r="A372" s="2"/>
      <c r="B372" s="64">
        <v>360</v>
      </c>
      <c r="C372" s="65">
        <v>10</v>
      </c>
      <c r="D372" s="66" t="s">
        <v>18</v>
      </c>
      <c r="E372" s="69" t="s">
        <v>152</v>
      </c>
      <c r="F372" s="70" t="s">
        <v>80</v>
      </c>
      <c r="G372" s="71">
        <v>1692.8341463414633</v>
      </c>
      <c r="H372" s="72">
        <v>1010.1804878048781</v>
      </c>
      <c r="I372" s="72">
        <v>682.65365853658523</v>
      </c>
      <c r="J372" s="72"/>
      <c r="K372" s="72"/>
      <c r="L372" s="73"/>
      <c r="M372" s="71">
        <v>3385.6682926829267</v>
      </c>
      <c r="N372" s="72">
        <v>2020.3609756097562</v>
      </c>
      <c r="O372" s="72">
        <v>1365.3073170731705</v>
      </c>
      <c r="P372" s="72"/>
      <c r="Q372" s="72"/>
      <c r="R372" s="73"/>
      <c r="S372" s="71">
        <v>1036</v>
      </c>
      <c r="T372" s="72">
        <v>1016</v>
      </c>
      <c r="U372" s="72">
        <v>1036</v>
      </c>
      <c r="V372" s="72">
        <v>1012</v>
      </c>
      <c r="W372" s="72">
        <v>1072</v>
      </c>
      <c r="X372" s="73">
        <v>1044</v>
      </c>
      <c r="Y372" s="71">
        <v>677.6</v>
      </c>
      <c r="Z372" s="72">
        <v>685</v>
      </c>
      <c r="AA372" s="72">
        <v>664</v>
      </c>
      <c r="AB372" s="72">
        <v>661</v>
      </c>
      <c r="AC372" s="72">
        <v>699</v>
      </c>
      <c r="AD372" s="73">
        <v>679</v>
      </c>
      <c r="AE372" s="71"/>
      <c r="AF372" s="72"/>
      <c r="AG372" s="72"/>
      <c r="AH372" s="72"/>
      <c r="AI372" s="72"/>
      <c r="AJ372" s="73"/>
      <c r="AK372" s="71"/>
      <c r="AL372" s="72"/>
      <c r="AM372" s="72"/>
      <c r="AN372" s="72"/>
      <c r="AO372" s="72"/>
      <c r="AP372" s="73"/>
      <c r="AQ372" s="71"/>
      <c r="AR372" s="72"/>
      <c r="AS372" s="72"/>
      <c r="AT372" s="72"/>
      <c r="AU372" s="72"/>
      <c r="AV372" s="73"/>
      <c r="AW372" s="75">
        <v>1.2266915635778863</v>
      </c>
      <c r="AX372" s="76">
        <v>0.48237765502217034</v>
      </c>
      <c r="AY372" s="76">
        <v>0.42330512259711739</v>
      </c>
      <c r="AZ372" s="76">
        <v>-1.1716532528794232</v>
      </c>
      <c r="BA372" s="76">
        <v>4.6174549247761876</v>
      </c>
      <c r="BB372" s="77">
        <v>1.7819733683734462</v>
      </c>
      <c r="BC372" s="65"/>
      <c r="BD372" s="78"/>
      <c r="BE372" s="78"/>
      <c r="BF372" s="78"/>
      <c r="BG372" s="78"/>
      <c r="BH372" s="70"/>
      <c r="BI372" s="65"/>
      <c r="BJ372" s="78"/>
      <c r="BK372" s="78"/>
      <c r="BL372" s="78"/>
      <c r="BM372" s="78"/>
      <c r="BN372" s="70"/>
      <c r="BO372" s="65"/>
      <c r="BP372" s="78"/>
      <c r="BQ372" s="78"/>
      <c r="BR372" s="78"/>
      <c r="BS372" s="78"/>
      <c r="BT372" s="70"/>
      <c r="BU372" s="65"/>
      <c r="BV372" s="78"/>
      <c r="BW372" s="78"/>
      <c r="BX372" s="78"/>
      <c r="BY372" s="78"/>
      <c r="BZ372" s="70"/>
      <c r="CA372" s="80"/>
      <c r="CB372" s="78"/>
      <c r="CC372" s="78"/>
      <c r="CD372" s="78"/>
      <c r="CE372" s="78"/>
      <c r="CF372" s="70"/>
    </row>
    <row r="373" spans="1:84" ht="12" customHeight="1">
      <c r="A373" s="2"/>
      <c r="B373" s="64">
        <v>361</v>
      </c>
      <c r="C373" s="65">
        <v>10</v>
      </c>
      <c r="D373" s="66" t="s">
        <v>18</v>
      </c>
      <c r="E373" s="69" t="s">
        <v>153</v>
      </c>
      <c r="F373" s="70" t="s">
        <v>80</v>
      </c>
      <c r="G373" s="71">
        <v>2828.5053658536585</v>
      </c>
      <c r="H373" s="72">
        <v>2828.5053658536585</v>
      </c>
      <c r="I373" s="72">
        <v>0</v>
      </c>
      <c r="J373" s="72"/>
      <c r="K373" s="72"/>
      <c r="L373" s="73"/>
      <c r="M373" s="71">
        <v>5657.0107317073162</v>
      </c>
      <c r="N373" s="72">
        <v>5657.0107317073162</v>
      </c>
      <c r="O373" s="72">
        <v>0</v>
      </c>
      <c r="P373" s="72"/>
      <c r="Q373" s="72"/>
      <c r="R373" s="73"/>
      <c r="S373" s="71">
        <v>2758.4</v>
      </c>
      <c r="T373" s="72">
        <v>2648</v>
      </c>
      <c r="U373" s="72">
        <v>2616</v>
      </c>
      <c r="V373" s="72">
        <v>2752</v>
      </c>
      <c r="W373" s="72">
        <v>2888</v>
      </c>
      <c r="X373" s="73">
        <v>2888</v>
      </c>
      <c r="Y373" s="71"/>
      <c r="Z373" s="72"/>
      <c r="AA373" s="72"/>
      <c r="AB373" s="72"/>
      <c r="AC373" s="72"/>
      <c r="AD373" s="73"/>
      <c r="AE373" s="71"/>
      <c r="AF373" s="72"/>
      <c r="AG373" s="72"/>
      <c r="AH373" s="72"/>
      <c r="AI373" s="72"/>
      <c r="AJ373" s="73"/>
      <c r="AK373" s="71"/>
      <c r="AL373" s="72"/>
      <c r="AM373" s="72"/>
      <c r="AN373" s="72"/>
      <c r="AO373" s="72"/>
      <c r="AP373" s="73"/>
      <c r="AQ373" s="71"/>
      <c r="AR373" s="72"/>
      <c r="AS373" s="72"/>
      <c r="AT373" s="72"/>
      <c r="AU373" s="72"/>
      <c r="AV373" s="73"/>
      <c r="AW373" s="75">
        <v>-2.4785304175125811</v>
      </c>
      <c r="AX373" s="76">
        <v>-6.3816518799207245</v>
      </c>
      <c r="AY373" s="76">
        <v>-7.512991434241922</v>
      </c>
      <c r="AZ373" s="76">
        <v>-2.7047983283768229</v>
      </c>
      <c r="BA373" s="76">
        <v>2.1033947774882655</v>
      </c>
      <c r="BB373" s="77">
        <v>2.1033947774882655</v>
      </c>
      <c r="BC373" s="65"/>
      <c r="BD373" s="78"/>
      <c r="BE373" s="78"/>
      <c r="BF373" s="78"/>
      <c r="BG373" s="78"/>
      <c r="BH373" s="70"/>
      <c r="BI373" s="65"/>
      <c r="BJ373" s="78"/>
      <c r="BK373" s="78"/>
      <c r="BL373" s="78"/>
      <c r="BM373" s="78"/>
      <c r="BN373" s="70"/>
      <c r="BO373" s="65"/>
      <c r="BP373" s="78"/>
      <c r="BQ373" s="78"/>
      <c r="BR373" s="78"/>
      <c r="BS373" s="78"/>
      <c r="BT373" s="70"/>
      <c r="BU373" s="65"/>
      <c r="BV373" s="78"/>
      <c r="BW373" s="78"/>
      <c r="BX373" s="78"/>
      <c r="BY373" s="78"/>
      <c r="BZ373" s="70"/>
      <c r="CA373" s="80"/>
      <c r="CB373" s="78"/>
      <c r="CC373" s="78"/>
      <c r="CD373" s="78"/>
      <c r="CE373" s="78"/>
      <c r="CF373" s="70"/>
    </row>
    <row r="374" spans="1:84" ht="12" customHeight="1">
      <c r="A374" s="2"/>
      <c r="B374" s="64">
        <v>362</v>
      </c>
      <c r="C374" s="65">
        <v>10</v>
      </c>
      <c r="D374" s="66" t="s">
        <v>18</v>
      </c>
      <c r="E374" s="69" t="s">
        <v>154</v>
      </c>
      <c r="F374" s="70" t="s">
        <v>80</v>
      </c>
      <c r="G374" s="71">
        <v>3058.141463414634</v>
      </c>
      <c r="H374" s="72">
        <v>1010.1804878048781</v>
      </c>
      <c r="I374" s="72">
        <v>2047.9609756097557</v>
      </c>
      <c r="J374" s="72"/>
      <c r="K374" s="72"/>
      <c r="L374" s="73"/>
      <c r="M374" s="71">
        <v>6116.2829268292671</v>
      </c>
      <c r="N374" s="72">
        <v>2020.3609756097562</v>
      </c>
      <c r="O374" s="72">
        <v>4095.9219512195109</v>
      </c>
      <c r="P374" s="72"/>
      <c r="Q374" s="72"/>
      <c r="R374" s="73"/>
      <c r="S374" s="71">
        <v>1016</v>
      </c>
      <c r="T374" s="72">
        <v>1016</v>
      </c>
      <c r="U374" s="72">
        <v>1072</v>
      </c>
      <c r="V374" s="72">
        <v>1048</v>
      </c>
      <c r="W374" s="72">
        <v>1000</v>
      </c>
      <c r="X374" s="73">
        <v>944</v>
      </c>
      <c r="Y374" s="71">
        <v>1970.8</v>
      </c>
      <c r="Z374" s="72">
        <v>2062</v>
      </c>
      <c r="AA374" s="72">
        <v>1922</v>
      </c>
      <c r="AB374" s="72">
        <v>1979</v>
      </c>
      <c r="AC374" s="72">
        <v>1955</v>
      </c>
      <c r="AD374" s="73">
        <v>1936</v>
      </c>
      <c r="AE374" s="71"/>
      <c r="AF374" s="72"/>
      <c r="AG374" s="72"/>
      <c r="AH374" s="72"/>
      <c r="AI374" s="72"/>
      <c r="AJ374" s="73"/>
      <c r="AK374" s="71"/>
      <c r="AL374" s="72"/>
      <c r="AM374" s="72"/>
      <c r="AN374" s="72"/>
      <c r="AO374" s="72"/>
      <c r="AP374" s="73"/>
      <c r="AQ374" s="71"/>
      <c r="AR374" s="72"/>
      <c r="AS374" s="72"/>
      <c r="AT374" s="72"/>
      <c r="AU374" s="72"/>
      <c r="AV374" s="73"/>
      <c r="AW374" s="75">
        <v>-2.3328372564876743</v>
      </c>
      <c r="AX374" s="76">
        <v>0.64936618606232788</v>
      </c>
      <c r="AY374" s="76">
        <v>-2.097400142602146</v>
      </c>
      <c r="AZ374" s="76">
        <v>-1.0183133706268221</v>
      </c>
      <c r="BA374" s="76">
        <v>-3.3726845094820823</v>
      </c>
      <c r="BB374" s="77">
        <v>-5.8251544457896482</v>
      </c>
      <c r="BC374" s="65"/>
      <c r="BD374" s="78"/>
      <c r="BE374" s="78"/>
      <c r="BF374" s="78"/>
      <c r="BG374" s="78"/>
      <c r="BH374" s="70"/>
      <c r="BI374" s="65"/>
      <c r="BJ374" s="78"/>
      <c r="BK374" s="78"/>
      <c r="BL374" s="78"/>
      <c r="BM374" s="78"/>
      <c r="BN374" s="70"/>
      <c r="BO374" s="65"/>
      <c r="BP374" s="78"/>
      <c r="BQ374" s="78"/>
      <c r="BR374" s="78"/>
      <c r="BS374" s="78"/>
      <c r="BT374" s="70"/>
      <c r="BU374" s="65"/>
      <c r="BV374" s="78"/>
      <c r="BW374" s="78"/>
      <c r="BX374" s="78"/>
      <c r="BY374" s="78"/>
      <c r="BZ374" s="70"/>
      <c r="CA374" s="80"/>
      <c r="CB374" s="78"/>
      <c r="CC374" s="78"/>
      <c r="CD374" s="78"/>
      <c r="CE374" s="78"/>
      <c r="CF374" s="70"/>
    </row>
    <row r="375" spans="1:84" ht="12" customHeight="1">
      <c r="A375" s="2"/>
      <c r="B375" s="64">
        <v>363</v>
      </c>
      <c r="C375" s="65">
        <v>10</v>
      </c>
      <c r="D375" s="66" t="s">
        <v>18</v>
      </c>
      <c r="E375" s="69" t="s">
        <v>155</v>
      </c>
      <c r="F375" s="70" t="s">
        <v>80</v>
      </c>
      <c r="G375" s="71">
        <v>1128.5560975609756</v>
      </c>
      <c r="H375" s="72">
        <v>673.45365853658529</v>
      </c>
      <c r="I375" s="72">
        <v>455.10243902439026</v>
      </c>
      <c r="J375" s="72"/>
      <c r="K375" s="72"/>
      <c r="L375" s="73"/>
      <c r="M375" s="71">
        <v>2257.1121951219511</v>
      </c>
      <c r="N375" s="72">
        <v>1346.9073170731706</v>
      </c>
      <c r="O375" s="72">
        <v>910.20487804878053</v>
      </c>
      <c r="P375" s="72"/>
      <c r="Q375" s="72"/>
      <c r="R375" s="73"/>
      <c r="S375" s="71">
        <v>673.6</v>
      </c>
      <c r="T375" s="72">
        <v>696</v>
      </c>
      <c r="U375" s="72">
        <v>696</v>
      </c>
      <c r="V375" s="72">
        <v>648</v>
      </c>
      <c r="W375" s="72">
        <v>652</v>
      </c>
      <c r="X375" s="73">
        <v>676</v>
      </c>
      <c r="Y375" s="71">
        <v>445.6</v>
      </c>
      <c r="Z375" s="72">
        <v>432</v>
      </c>
      <c r="AA375" s="72">
        <v>464</v>
      </c>
      <c r="AB375" s="72">
        <v>450</v>
      </c>
      <c r="AC375" s="72">
        <v>424</v>
      </c>
      <c r="AD375" s="73">
        <v>458</v>
      </c>
      <c r="AE375" s="71"/>
      <c r="AF375" s="72"/>
      <c r="AG375" s="72"/>
      <c r="AH375" s="72"/>
      <c r="AI375" s="72"/>
      <c r="AJ375" s="73"/>
      <c r="AK375" s="71"/>
      <c r="AL375" s="72"/>
      <c r="AM375" s="72"/>
      <c r="AN375" s="72"/>
      <c r="AO375" s="72"/>
      <c r="AP375" s="73"/>
      <c r="AQ375" s="71"/>
      <c r="AR375" s="72"/>
      <c r="AS375" s="72"/>
      <c r="AT375" s="72"/>
      <c r="AU375" s="72"/>
      <c r="AV375" s="73"/>
      <c r="AW375" s="75">
        <v>-0.82903256481408061</v>
      </c>
      <c r="AX375" s="76">
        <v>-4.9275136803339503E-2</v>
      </c>
      <c r="AY375" s="76">
        <v>2.786206419599413</v>
      </c>
      <c r="AZ375" s="76">
        <v>-2.7075390959309109</v>
      </c>
      <c r="BA375" s="76">
        <v>-4.6569326659577914</v>
      </c>
      <c r="BB375" s="77">
        <v>0.48237765502217034</v>
      </c>
      <c r="BC375" s="65"/>
      <c r="BD375" s="78"/>
      <c r="BE375" s="78"/>
      <c r="BF375" s="78"/>
      <c r="BG375" s="78"/>
      <c r="BH375" s="70"/>
      <c r="BI375" s="65"/>
      <c r="BJ375" s="78"/>
      <c r="BK375" s="78"/>
      <c r="BL375" s="78"/>
      <c r="BM375" s="78"/>
      <c r="BN375" s="70"/>
      <c r="BO375" s="65"/>
      <c r="BP375" s="78"/>
      <c r="BQ375" s="78"/>
      <c r="BR375" s="78"/>
      <c r="BS375" s="78"/>
      <c r="BT375" s="70"/>
      <c r="BU375" s="65"/>
      <c r="BV375" s="78"/>
      <c r="BW375" s="78"/>
      <c r="BX375" s="78"/>
      <c r="BY375" s="78"/>
      <c r="BZ375" s="70"/>
      <c r="CA375" s="80"/>
      <c r="CB375" s="78"/>
      <c r="CC375" s="78"/>
      <c r="CD375" s="78"/>
      <c r="CE375" s="78"/>
      <c r="CF375" s="70"/>
    </row>
    <row r="376" spans="1:84" ht="12" customHeight="1">
      <c r="A376" s="2"/>
      <c r="B376" s="64">
        <v>364</v>
      </c>
      <c r="C376" s="65">
        <v>10</v>
      </c>
      <c r="D376" s="66" t="s">
        <v>18</v>
      </c>
      <c r="E376" s="69" t="s">
        <v>156</v>
      </c>
      <c r="F376" s="70" t="s">
        <v>80</v>
      </c>
      <c r="G376" s="71">
        <v>1885.6702439024386</v>
      </c>
      <c r="H376" s="72">
        <v>1885.6702439024386</v>
      </c>
      <c r="I376" s="72">
        <v>0</v>
      </c>
      <c r="J376" s="72"/>
      <c r="K376" s="72"/>
      <c r="L376" s="73"/>
      <c r="M376" s="71">
        <v>3771.3404878048773</v>
      </c>
      <c r="N376" s="72">
        <v>3771.3404878048773</v>
      </c>
      <c r="O376" s="72">
        <v>0</v>
      </c>
      <c r="P376" s="72"/>
      <c r="Q376" s="72"/>
      <c r="R376" s="73"/>
      <c r="S376" s="71">
        <v>1889.6</v>
      </c>
      <c r="T376" s="72">
        <v>1992</v>
      </c>
      <c r="U376" s="72">
        <v>1968</v>
      </c>
      <c r="V376" s="72">
        <v>1864</v>
      </c>
      <c r="W376" s="72">
        <v>1768</v>
      </c>
      <c r="X376" s="73">
        <v>1856</v>
      </c>
      <c r="Y376" s="71"/>
      <c r="Z376" s="72"/>
      <c r="AA376" s="72"/>
      <c r="AB376" s="72"/>
      <c r="AC376" s="72"/>
      <c r="AD376" s="73"/>
      <c r="AE376" s="71"/>
      <c r="AF376" s="72"/>
      <c r="AG376" s="72"/>
      <c r="AH376" s="72"/>
      <c r="AI376" s="72"/>
      <c r="AJ376" s="73"/>
      <c r="AK376" s="71"/>
      <c r="AL376" s="72"/>
      <c r="AM376" s="72"/>
      <c r="AN376" s="72"/>
      <c r="AO376" s="72"/>
      <c r="AP376" s="73"/>
      <c r="AQ376" s="71"/>
      <c r="AR376" s="72"/>
      <c r="AS376" s="72"/>
      <c r="AT376" s="72"/>
      <c r="AU376" s="72"/>
      <c r="AV376" s="73"/>
      <c r="AW376" s="75">
        <v>0.20840102400028204</v>
      </c>
      <c r="AX376" s="76">
        <v>5.638830884742041</v>
      </c>
      <c r="AY376" s="76">
        <v>4.3660738861307058</v>
      </c>
      <c r="AZ376" s="76">
        <v>-1.1492064411851577</v>
      </c>
      <c r="BA376" s="76">
        <v>-6.2402344356305539</v>
      </c>
      <c r="BB376" s="77">
        <v>-1.5734587740556027</v>
      </c>
      <c r="BC376" s="65"/>
      <c r="BD376" s="78"/>
      <c r="BE376" s="78"/>
      <c r="BF376" s="78"/>
      <c r="BG376" s="78"/>
      <c r="BH376" s="70"/>
      <c r="BI376" s="65"/>
      <c r="BJ376" s="78"/>
      <c r="BK376" s="78"/>
      <c r="BL376" s="78"/>
      <c r="BM376" s="78"/>
      <c r="BN376" s="70"/>
      <c r="BO376" s="65"/>
      <c r="BP376" s="78"/>
      <c r="BQ376" s="78"/>
      <c r="BR376" s="78"/>
      <c r="BS376" s="78"/>
      <c r="BT376" s="70"/>
      <c r="BU376" s="65"/>
      <c r="BV376" s="78"/>
      <c r="BW376" s="78"/>
      <c r="BX376" s="78"/>
      <c r="BY376" s="78"/>
      <c r="BZ376" s="70"/>
      <c r="CA376" s="80"/>
      <c r="CB376" s="78"/>
      <c r="CC376" s="78"/>
      <c r="CD376" s="78"/>
      <c r="CE376" s="78"/>
      <c r="CF376" s="70"/>
    </row>
    <row r="377" spans="1:84" ht="12" customHeight="1">
      <c r="A377" s="2"/>
      <c r="B377" s="64">
        <v>365</v>
      </c>
      <c r="C377" s="65">
        <v>10</v>
      </c>
      <c r="D377" s="66" t="s">
        <v>18</v>
      </c>
      <c r="E377" s="69" t="s">
        <v>157</v>
      </c>
      <c r="F377" s="70" t="s">
        <v>80</v>
      </c>
      <c r="G377" s="71">
        <v>2038.7609756097563</v>
      </c>
      <c r="H377" s="72">
        <v>673.45365853658529</v>
      </c>
      <c r="I377" s="72">
        <v>1365.3073170731709</v>
      </c>
      <c r="J377" s="72"/>
      <c r="K377" s="72"/>
      <c r="L377" s="73"/>
      <c r="M377" s="71">
        <v>4077.5219512195126</v>
      </c>
      <c r="N377" s="72">
        <v>1346.9073170731706</v>
      </c>
      <c r="O377" s="72">
        <v>2730.6146341463418</v>
      </c>
      <c r="P377" s="72"/>
      <c r="Q377" s="72"/>
      <c r="R377" s="73"/>
      <c r="S377" s="71">
        <v>679.2</v>
      </c>
      <c r="T377" s="72">
        <v>648</v>
      </c>
      <c r="U377" s="72">
        <v>676</v>
      </c>
      <c r="V377" s="72">
        <v>696</v>
      </c>
      <c r="W377" s="72">
        <v>696</v>
      </c>
      <c r="X377" s="73">
        <v>680</v>
      </c>
      <c r="Y377" s="71">
        <v>1375.4</v>
      </c>
      <c r="Z377" s="72">
        <v>1352</v>
      </c>
      <c r="AA377" s="72">
        <v>1396</v>
      </c>
      <c r="AB377" s="72">
        <v>1334</v>
      </c>
      <c r="AC377" s="72">
        <v>1416</v>
      </c>
      <c r="AD377" s="73">
        <v>1379</v>
      </c>
      <c r="AE377" s="71"/>
      <c r="AF377" s="72"/>
      <c r="AG377" s="72"/>
      <c r="AH377" s="72"/>
      <c r="AI377" s="72"/>
      <c r="AJ377" s="73"/>
      <c r="AK377" s="71"/>
      <c r="AL377" s="72"/>
      <c r="AM377" s="72"/>
      <c r="AN377" s="72"/>
      <c r="AO377" s="72"/>
      <c r="AP377" s="73"/>
      <c r="AQ377" s="71"/>
      <c r="AR377" s="72"/>
      <c r="AS377" s="72"/>
      <c r="AT377" s="72"/>
      <c r="AU377" s="72"/>
      <c r="AV377" s="73"/>
      <c r="AW377" s="75">
        <v>0.77689462275032373</v>
      </c>
      <c r="AX377" s="76">
        <v>-1.9012025476975558</v>
      </c>
      <c r="AY377" s="76">
        <v>1.6303541605853233</v>
      </c>
      <c r="AZ377" s="76">
        <v>-0.4297205859130182</v>
      </c>
      <c r="BA377" s="76">
        <v>3.5923301096313809</v>
      </c>
      <c r="BB377" s="77">
        <v>0.9927119771453663</v>
      </c>
      <c r="BC377" s="65"/>
      <c r="BD377" s="78"/>
      <c r="BE377" s="78"/>
      <c r="BF377" s="78"/>
      <c r="BG377" s="78"/>
      <c r="BH377" s="70"/>
      <c r="BI377" s="65"/>
      <c r="BJ377" s="78"/>
      <c r="BK377" s="78"/>
      <c r="BL377" s="78"/>
      <c r="BM377" s="78"/>
      <c r="BN377" s="70"/>
      <c r="BO377" s="65"/>
      <c r="BP377" s="78"/>
      <c r="BQ377" s="78"/>
      <c r="BR377" s="78"/>
      <c r="BS377" s="78"/>
      <c r="BT377" s="70"/>
      <c r="BU377" s="65"/>
      <c r="BV377" s="78"/>
      <c r="BW377" s="78"/>
      <c r="BX377" s="78"/>
      <c r="BY377" s="78"/>
      <c r="BZ377" s="70"/>
      <c r="CA377" s="80"/>
      <c r="CB377" s="78"/>
      <c r="CC377" s="78"/>
      <c r="CD377" s="78"/>
      <c r="CE377" s="78"/>
      <c r="CF377" s="70"/>
    </row>
    <row r="378" spans="1:84" ht="12" customHeight="1">
      <c r="A378" s="2"/>
      <c r="B378" s="64">
        <v>366</v>
      </c>
      <c r="C378" s="65">
        <v>10</v>
      </c>
      <c r="D378" s="66" t="s">
        <v>18</v>
      </c>
      <c r="E378" s="69" t="s">
        <v>146</v>
      </c>
      <c r="F378" s="70" t="s">
        <v>80</v>
      </c>
      <c r="G378" s="71">
        <v>1885.6702439024386</v>
      </c>
      <c r="H378" s="72">
        <v>1885.6702439024386</v>
      </c>
      <c r="I378" s="72">
        <v>0</v>
      </c>
      <c r="J378" s="72"/>
      <c r="K378" s="72"/>
      <c r="L378" s="73"/>
      <c r="M378" s="71">
        <v>3771.3404878048773</v>
      </c>
      <c r="N378" s="72">
        <v>3771.3404878048773</v>
      </c>
      <c r="O378" s="72">
        <v>0</v>
      </c>
      <c r="P378" s="72"/>
      <c r="Q378" s="72"/>
      <c r="R378" s="73"/>
      <c r="S378" s="71">
        <v>1884.8</v>
      </c>
      <c r="T378" s="72">
        <v>1864</v>
      </c>
      <c r="U378" s="72">
        <v>2000</v>
      </c>
      <c r="V378" s="72">
        <v>1848</v>
      </c>
      <c r="W378" s="72">
        <v>1936</v>
      </c>
      <c r="X378" s="73">
        <v>1776</v>
      </c>
      <c r="Y378" s="71"/>
      <c r="Z378" s="72"/>
      <c r="AA378" s="72"/>
      <c r="AB378" s="72"/>
      <c r="AC378" s="72"/>
      <c r="AD378" s="73"/>
      <c r="AE378" s="71"/>
      <c r="AF378" s="72"/>
      <c r="AG378" s="72"/>
      <c r="AH378" s="72"/>
      <c r="AI378" s="72"/>
      <c r="AJ378" s="73"/>
      <c r="AK378" s="71"/>
      <c r="AL378" s="72"/>
      <c r="AM378" s="72"/>
      <c r="AN378" s="72"/>
      <c r="AO378" s="72"/>
      <c r="AP378" s="73"/>
      <c r="AQ378" s="71"/>
      <c r="AR378" s="72"/>
      <c r="AS378" s="72"/>
      <c r="AT378" s="72"/>
      <c r="AU378" s="72"/>
      <c r="AV378" s="73"/>
      <c r="AW378" s="75">
        <v>-4.6150375721987213E-2</v>
      </c>
      <c r="AX378" s="76">
        <v>-1.1492064411851577</v>
      </c>
      <c r="AY378" s="76">
        <v>6.063083217612486</v>
      </c>
      <c r="AZ378" s="76">
        <v>-1.9977111069260589</v>
      </c>
      <c r="BA378" s="76">
        <v>2.6690645546489034</v>
      </c>
      <c r="BB378" s="77">
        <v>-5.8159821027601089</v>
      </c>
      <c r="BC378" s="65"/>
      <c r="BD378" s="78"/>
      <c r="BE378" s="78"/>
      <c r="BF378" s="78"/>
      <c r="BG378" s="78"/>
      <c r="BH378" s="70"/>
      <c r="BI378" s="65"/>
      <c r="BJ378" s="78"/>
      <c r="BK378" s="78"/>
      <c r="BL378" s="78"/>
      <c r="BM378" s="78"/>
      <c r="BN378" s="70"/>
      <c r="BO378" s="65"/>
      <c r="BP378" s="78"/>
      <c r="BQ378" s="78"/>
      <c r="BR378" s="78"/>
      <c r="BS378" s="78"/>
      <c r="BT378" s="70"/>
      <c r="BU378" s="65"/>
      <c r="BV378" s="78"/>
      <c r="BW378" s="78"/>
      <c r="BX378" s="78"/>
      <c r="BY378" s="78"/>
      <c r="BZ378" s="70"/>
      <c r="CA378" s="80"/>
      <c r="CB378" s="78"/>
      <c r="CC378" s="78"/>
      <c r="CD378" s="78"/>
      <c r="CE378" s="78"/>
      <c r="CF378" s="70"/>
    </row>
    <row r="379" spans="1:84" ht="12" customHeight="1">
      <c r="A379" s="2"/>
      <c r="B379" s="64">
        <v>367</v>
      </c>
      <c r="C379" s="65">
        <v>10</v>
      </c>
      <c r="D379" s="66" t="s">
        <v>18</v>
      </c>
      <c r="E379" s="69" t="s">
        <v>111</v>
      </c>
      <c r="F379" s="70" t="s">
        <v>80</v>
      </c>
      <c r="G379" s="71">
        <v>2038.7609756097563</v>
      </c>
      <c r="H379" s="72">
        <v>673.45365853658529</v>
      </c>
      <c r="I379" s="72">
        <v>1365.3073170731709</v>
      </c>
      <c r="J379" s="72"/>
      <c r="K379" s="72"/>
      <c r="L379" s="73"/>
      <c r="M379" s="71">
        <v>4077.5219512195126</v>
      </c>
      <c r="N379" s="72">
        <v>1346.9073170731706</v>
      </c>
      <c r="O379" s="72">
        <v>2730.6146341463418</v>
      </c>
      <c r="P379" s="72"/>
      <c r="Q379" s="72"/>
      <c r="R379" s="73"/>
      <c r="S379" s="71">
        <v>668</v>
      </c>
      <c r="T379" s="72">
        <v>668</v>
      </c>
      <c r="U379" s="72">
        <v>664</v>
      </c>
      <c r="V379" s="72">
        <v>704</v>
      </c>
      <c r="W379" s="72">
        <v>648</v>
      </c>
      <c r="X379" s="73">
        <v>656</v>
      </c>
      <c r="Y379" s="71">
        <v>1364.4</v>
      </c>
      <c r="Z379" s="72">
        <v>1384</v>
      </c>
      <c r="AA379" s="72">
        <v>1377</v>
      </c>
      <c r="AB379" s="72">
        <v>1280</v>
      </c>
      <c r="AC379" s="72">
        <v>1367</v>
      </c>
      <c r="AD379" s="73">
        <v>1414</v>
      </c>
      <c r="AE379" s="71"/>
      <c r="AF379" s="72"/>
      <c r="AG379" s="72"/>
      <c r="AH379" s="72"/>
      <c r="AI379" s="72"/>
      <c r="AJ379" s="73"/>
      <c r="AK379" s="71"/>
      <c r="AL379" s="72"/>
      <c r="AM379" s="72"/>
      <c r="AN379" s="72"/>
      <c r="AO379" s="72"/>
      <c r="AP379" s="73"/>
      <c r="AQ379" s="71"/>
      <c r="AR379" s="72"/>
      <c r="AS379" s="72"/>
      <c r="AT379" s="72"/>
      <c r="AU379" s="72"/>
      <c r="AV379" s="73"/>
      <c r="AW379" s="75">
        <v>-0.31200202897025964</v>
      </c>
      <c r="AX379" s="76">
        <v>0.64936618606230567</v>
      </c>
      <c r="AY379" s="76">
        <v>0.10982280007463263</v>
      </c>
      <c r="AZ379" s="76">
        <v>-2.6859929273159833</v>
      </c>
      <c r="BA379" s="76">
        <v>-1.1654615668052926</v>
      </c>
      <c r="BB379" s="77">
        <v>1.5322553631330171</v>
      </c>
      <c r="BC379" s="65"/>
      <c r="BD379" s="78"/>
      <c r="BE379" s="78"/>
      <c r="BF379" s="78"/>
      <c r="BG379" s="78"/>
      <c r="BH379" s="70"/>
      <c r="BI379" s="65"/>
      <c r="BJ379" s="78"/>
      <c r="BK379" s="78"/>
      <c r="BL379" s="78"/>
      <c r="BM379" s="78"/>
      <c r="BN379" s="70"/>
      <c r="BO379" s="65"/>
      <c r="BP379" s="78"/>
      <c r="BQ379" s="78"/>
      <c r="BR379" s="78"/>
      <c r="BS379" s="78"/>
      <c r="BT379" s="70"/>
      <c r="BU379" s="65"/>
      <c r="BV379" s="78"/>
      <c r="BW379" s="78"/>
      <c r="BX379" s="78"/>
      <c r="BY379" s="78"/>
      <c r="BZ379" s="70"/>
      <c r="CA379" s="80"/>
      <c r="CB379" s="78"/>
      <c r="CC379" s="78"/>
      <c r="CD379" s="78"/>
      <c r="CE379" s="78"/>
      <c r="CF379" s="70"/>
    </row>
    <row r="380" spans="1:84" ht="12" customHeight="1">
      <c r="A380" s="2"/>
      <c r="B380" s="64">
        <v>368</v>
      </c>
      <c r="C380" s="65">
        <v>10</v>
      </c>
      <c r="D380" s="66" t="s">
        <v>18</v>
      </c>
      <c r="E380" s="69" t="s">
        <v>179</v>
      </c>
      <c r="F380" s="70" t="s">
        <v>80</v>
      </c>
      <c r="G380" s="71">
        <v>1128.5560975609756</v>
      </c>
      <c r="H380" s="72">
        <v>673.45365853658529</v>
      </c>
      <c r="I380" s="72">
        <v>455.10243902439026</v>
      </c>
      <c r="J380" s="72"/>
      <c r="K380" s="72"/>
      <c r="L380" s="73"/>
      <c r="M380" s="71">
        <v>2257.1121951219511</v>
      </c>
      <c r="N380" s="72">
        <v>1346.9073170731706</v>
      </c>
      <c r="O380" s="72">
        <v>910.20487804878053</v>
      </c>
      <c r="P380" s="72"/>
      <c r="Q380" s="72"/>
      <c r="R380" s="73"/>
      <c r="S380" s="71">
        <v>674.4</v>
      </c>
      <c r="T380" s="72">
        <v>696</v>
      </c>
      <c r="U380" s="72">
        <v>656</v>
      </c>
      <c r="V380" s="72">
        <v>664</v>
      </c>
      <c r="W380" s="72">
        <v>680</v>
      </c>
      <c r="X380" s="73">
        <v>676</v>
      </c>
      <c r="Y380" s="71">
        <v>448</v>
      </c>
      <c r="Z380" s="72">
        <v>468</v>
      </c>
      <c r="AA380" s="72">
        <v>451</v>
      </c>
      <c r="AB380" s="72">
        <v>467</v>
      </c>
      <c r="AC380" s="72">
        <v>423</v>
      </c>
      <c r="AD380" s="73">
        <v>431</v>
      </c>
      <c r="AE380" s="71"/>
      <c r="AF380" s="72"/>
      <c r="AG380" s="72"/>
      <c r="AH380" s="72"/>
      <c r="AI380" s="72"/>
      <c r="AJ380" s="73"/>
      <c r="AK380" s="71"/>
      <c r="AL380" s="72"/>
      <c r="AM380" s="72"/>
      <c r="AN380" s="72"/>
      <c r="AO380" s="72"/>
      <c r="AP380" s="73"/>
      <c r="AQ380" s="71"/>
      <c r="AR380" s="72"/>
      <c r="AS380" s="72"/>
      <c r="AT380" s="72"/>
      <c r="AU380" s="72"/>
      <c r="AV380" s="73"/>
      <c r="AW380" s="75">
        <v>-0.54548440917381313</v>
      </c>
      <c r="AX380" s="76">
        <v>3.1406416141497528</v>
      </c>
      <c r="AY380" s="76">
        <v>-1.9100599081926406</v>
      </c>
      <c r="AZ380" s="76">
        <v>0.21655125910942097</v>
      </c>
      <c r="BA380" s="76">
        <v>-2.2644951027429805</v>
      </c>
      <c r="BB380" s="77">
        <v>-1.9100599081926406</v>
      </c>
      <c r="BC380" s="65"/>
      <c r="BD380" s="78"/>
      <c r="BE380" s="78"/>
      <c r="BF380" s="78"/>
      <c r="BG380" s="78"/>
      <c r="BH380" s="70"/>
      <c r="BI380" s="65"/>
      <c r="BJ380" s="78"/>
      <c r="BK380" s="78"/>
      <c r="BL380" s="78"/>
      <c r="BM380" s="78"/>
      <c r="BN380" s="70"/>
      <c r="BO380" s="65"/>
      <c r="BP380" s="78"/>
      <c r="BQ380" s="78"/>
      <c r="BR380" s="78"/>
      <c r="BS380" s="78"/>
      <c r="BT380" s="70"/>
      <c r="BU380" s="65"/>
      <c r="BV380" s="78"/>
      <c r="BW380" s="78"/>
      <c r="BX380" s="78"/>
      <c r="BY380" s="78"/>
      <c r="BZ380" s="70"/>
      <c r="CA380" s="80"/>
      <c r="CB380" s="78"/>
      <c r="CC380" s="78"/>
      <c r="CD380" s="78"/>
      <c r="CE380" s="78"/>
      <c r="CF380" s="70"/>
    </row>
    <row r="381" spans="1:84" ht="12" customHeight="1">
      <c r="A381" s="2"/>
      <c r="B381" s="64">
        <v>369</v>
      </c>
      <c r="C381" s="65">
        <v>10</v>
      </c>
      <c r="D381" s="66" t="s">
        <v>18</v>
      </c>
      <c r="E381" s="69" t="s">
        <v>182</v>
      </c>
      <c r="F381" s="70" t="s">
        <v>80</v>
      </c>
      <c r="G381" s="71">
        <v>1885.6702439024386</v>
      </c>
      <c r="H381" s="72">
        <v>1885.6702439024386</v>
      </c>
      <c r="I381" s="72">
        <v>0</v>
      </c>
      <c r="J381" s="72"/>
      <c r="K381" s="72"/>
      <c r="L381" s="73"/>
      <c r="M381" s="71">
        <v>3771.3404878048773</v>
      </c>
      <c r="N381" s="72">
        <v>3771.3404878048773</v>
      </c>
      <c r="O381" s="72">
        <v>0</v>
      </c>
      <c r="P381" s="72"/>
      <c r="Q381" s="72"/>
      <c r="R381" s="73"/>
      <c r="S381" s="71">
        <v>1884.8</v>
      </c>
      <c r="T381" s="72">
        <v>1864</v>
      </c>
      <c r="U381" s="72">
        <v>2000</v>
      </c>
      <c r="V381" s="72">
        <v>1848</v>
      </c>
      <c r="W381" s="72">
        <v>1936</v>
      </c>
      <c r="X381" s="73">
        <v>1776</v>
      </c>
      <c r="Y381" s="71"/>
      <c r="Z381" s="72"/>
      <c r="AA381" s="72"/>
      <c r="AB381" s="72"/>
      <c r="AC381" s="72"/>
      <c r="AD381" s="73"/>
      <c r="AE381" s="71"/>
      <c r="AF381" s="72"/>
      <c r="AG381" s="72"/>
      <c r="AH381" s="72"/>
      <c r="AI381" s="72"/>
      <c r="AJ381" s="73"/>
      <c r="AK381" s="71"/>
      <c r="AL381" s="72"/>
      <c r="AM381" s="72"/>
      <c r="AN381" s="72"/>
      <c r="AO381" s="72"/>
      <c r="AP381" s="73"/>
      <c r="AQ381" s="71"/>
      <c r="AR381" s="72"/>
      <c r="AS381" s="72"/>
      <c r="AT381" s="72"/>
      <c r="AU381" s="72"/>
      <c r="AV381" s="73"/>
      <c r="AW381" s="75">
        <v>-4.6150375721987213E-2</v>
      </c>
      <c r="AX381" s="76">
        <v>-1.1492064411851577</v>
      </c>
      <c r="AY381" s="76">
        <v>6.063083217612486</v>
      </c>
      <c r="AZ381" s="76">
        <v>-1.9977111069260589</v>
      </c>
      <c r="BA381" s="76">
        <v>2.6690645546489034</v>
      </c>
      <c r="BB381" s="77">
        <v>-5.8159821027601089</v>
      </c>
      <c r="BC381" s="65"/>
      <c r="BD381" s="78"/>
      <c r="BE381" s="78"/>
      <c r="BF381" s="78"/>
      <c r="BG381" s="78"/>
      <c r="BH381" s="70"/>
      <c r="BI381" s="65"/>
      <c r="BJ381" s="78"/>
      <c r="BK381" s="78"/>
      <c r="BL381" s="78"/>
      <c r="BM381" s="78"/>
      <c r="BN381" s="70"/>
      <c r="BO381" s="65"/>
      <c r="BP381" s="78"/>
      <c r="BQ381" s="78"/>
      <c r="BR381" s="78"/>
      <c r="BS381" s="78"/>
      <c r="BT381" s="70"/>
      <c r="BU381" s="65"/>
      <c r="BV381" s="78"/>
      <c r="BW381" s="78"/>
      <c r="BX381" s="78"/>
      <c r="BY381" s="78"/>
      <c r="BZ381" s="70"/>
      <c r="CA381" s="80"/>
      <c r="CB381" s="78"/>
      <c r="CC381" s="78"/>
      <c r="CD381" s="78"/>
      <c r="CE381" s="78"/>
      <c r="CF381" s="70"/>
    </row>
    <row r="382" spans="1:84" ht="12" customHeight="1">
      <c r="A382" s="2"/>
      <c r="B382" s="64">
        <v>370</v>
      </c>
      <c r="C382" s="65">
        <v>10</v>
      </c>
      <c r="D382" s="66" t="s">
        <v>18</v>
      </c>
      <c r="E382" s="69" t="s">
        <v>145</v>
      </c>
      <c r="F382" s="70" t="s">
        <v>80</v>
      </c>
      <c r="G382" s="71">
        <v>2038.7609756097563</v>
      </c>
      <c r="H382" s="72">
        <v>673.45365853658529</v>
      </c>
      <c r="I382" s="72">
        <v>1365.3073170731709</v>
      </c>
      <c r="J382" s="72"/>
      <c r="K382" s="72"/>
      <c r="L382" s="73"/>
      <c r="M382" s="71">
        <v>4077.5219512195126</v>
      </c>
      <c r="N382" s="72">
        <v>1346.9073170731706</v>
      </c>
      <c r="O382" s="72">
        <v>2730.6146341463418</v>
      </c>
      <c r="P382" s="72"/>
      <c r="Q382" s="72"/>
      <c r="R382" s="73"/>
      <c r="S382" s="71">
        <v>668</v>
      </c>
      <c r="T382" s="72">
        <v>668</v>
      </c>
      <c r="U382" s="72">
        <v>664</v>
      </c>
      <c r="V382" s="72">
        <v>704</v>
      </c>
      <c r="W382" s="72">
        <v>648</v>
      </c>
      <c r="X382" s="73">
        <v>656</v>
      </c>
      <c r="Y382" s="71">
        <v>1364.4</v>
      </c>
      <c r="Z382" s="72">
        <v>1384</v>
      </c>
      <c r="AA382" s="72">
        <v>1377</v>
      </c>
      <c r="AB382" s="72">
        <v>1280</v>
      </c>
      <c r="AC382" s="72">
        <v>1367</v>
      </c>
      <c r="AD382" s="73">
        <v>1414</v>
      </c>
      <c r="AE382" s="71"/>
      <c r="AF382" s="72"/>
      <c r="AG382" s="72"/>
      <c r="AH382" s="72"/>
      <c r="AI382" s="72"/>
      <c r="AJ382" s="73"/>
      <c r="AK382" s="71"/>
      <c r="AL382" s="72"/>
      <c r="AM382" s="72"/>
      <c r="AN382" s="72"/>
      <c r="AO382" s="72"/>
      <c r="AP382" s="73"/>
      <c r="AQ382" s="71"/>
      <c r="AR382" s="72"/>
      <c r="AS382" s="72"/>
      <c r="AT382" s="72"/>
      <c r="AU382" s="72"/>
      <c r="AV382" s="73"/>
      <c r="AW382" s="75">
        <v>-0.31200202897025964</v>
      </c>
      <c r="AX382" s="76">
        <v>0.64936618606230567</v>
      </c>
      <c r="AY382" s="76">
        <v>0.10982280007463263</v>
      </c>
      <c r="AZ382" s="76">
        <v>-2.6859929273159833</v>
      </c>
      <c r="BA382" s="76">
        <v>-1.1654615668052926</v>
      </c>
      <c r="BB382" s="77">
        <v>1.5322553631330171</v>
      </c>
      <c r="BC382" s="65"/>
      <c r="BD382" s="78"/>
      <c r="BE382" s="78"/>
      <c r="BF382" s="78"/>
      <c r="BG382" s="78"/>
      <c r="BH382" s="70"/>
      <c r="BI382" s="65"/>
      <c r="BJ382" s="78"/>
      <c r="BK382" s="78"/>
      <c r="BL382" s="78"/>
      <c r="BM382" s="78"/>
      <c r="BN382" s="70"/>
      <c r="BO382" s="65"/>
      <c r="BP382" s="78"/>
      <c r="BQ382" s="78"/>
      <c r="BR382" s="78"/>
      <c r="BS382" s="78"/>
      <c r="BT382" s="70"/>
      <c r="BU382" s="65"/>
      <c r="BV382" s="78"/>
      <c r="BW382" s="78"/>
      <c r="BX382" s="78"/>
      <c r="BY382" s="78"/>
      <c r="BZ382" s="70"/>
      <c r="CA382" s="80"/>
      <c r="CB382" s="78"/>
      <c r="CC382" s="78"/>
      <c r="CD382" s="78"/>
      <c r="CE382" s="78"/>
      <c r="CF382" s="70"/>
    </row>
    <row r="383" spans="1:84" ht="12" customHeight="1">
      <c r="A383" s="2"/>
      <c r="B383" s="64">
        <v>371</v>
      </c>
      <c r="C383" s="65">
        <v>10</v>
      </c>
      <c r="D383" s="66" t="s">
        <v>18</v>
      </c>
      <c r="E383" s="69" t="s">
        <v>117</v>
      </c>
      <c r="F383" s="70" t="s">
        <v>80</v>
      </c>
      <c r="G383" s="71">
        <v>2031.400975609756</v>
      </c>
      <c r="H383" s="72">
        <v>1212.2165853658537</v>
      </c>
      <c r="I383" s="72">
        <v>819.18439024390227</v>
      </c>
      <c r="J383" s="72"/>
      <c r="K383" s="72"/>
      <c r="L383" s="73"/>
      <c r="M383" s="71">
        <v>4062.8019512195119</v>
      </c>
      <c r="N383" s="72">
        <v>2424.4331707317074</v>
      </c>
      <c r="O383" s="72">
        <v>1638.3687804878045</v>
      </c>
      <c r="P383" s="72"/>
      <c r="Q383" s="72"/>
      <c r="R383" s="73"/>
      <c r="S383" s="71">
        <v>1198.4000000000001</v>
      </c>
      <c r="T383" s="72">
        <v>1192</v>
      </c>
      <c r="U383" s="72">
        <v>1256</v>
      </c>
      <c r="V383" s="72">
        <v>1208</v>
      </c>
      <c r="W383" s="72">
        <v>1184</v>
      </c>
      <c r="X383" s="73">
        <v>1152</v>
      </c>
      <c r="Y383" s="71">
        <v>807</v>
      </c>
      <c r="Z383" s="72">
        <v>841</v>
      </c>
      <c r="AA383" s="72">
        <v>769</v>
      </c>
      <c r="AB383" s="72">
        <v>853</v>
      </c>
      <c r="AC383" s="72">
        <v>801</v>
      </c>
      <c r="AD383" s="73">
        <v>771</v>
      </c>
      <c r="AE383" s="71"/>
      <c r="AF383" s="72"/>
      <c r="AG383" s="72"/>
      <c r="AH383" s="72"/>
      <c r="AI383" s="72"/>
      <c r="AJ383" s="73"/>
      <c r="AK383" s="71"/>
      <c r="AL383" s="72"/>
      <c r="AM383" s="72"/>
      <c r="AN383" s="72"/>
      <c r="AO383" s="72"/>
      <c r="AP383" s="73"/>
      <c r="AQ383" s="71"/>
      <c r="AR383" s="72"/>
      <c r="AS383" s="72"/>
      <c r="AT383" s="72"/>
      <c r="AU383" s="72"/>
      <c r="AV383" s="73"/>
      <c r="AW383" s="75">
        <v>-1.279952895658687</v>
      </c>
      <c r="AX383" s="76">
        <v>7.8715350117630756E-2</v>
      </c>
      <c r="AY383" s="76">
        <v>-0.31510153271608887</v>
      </c>
      <c r="AZ383" s="76">
        <v>1.4570744400356217</v>
      </c>
      <c r="BA383" s="76">
        <v>-2.2841859468846648</v>
      </c>
      <c r="BB383" s="77">
        <v>-5.3362667888459452</v>
      </c>
      <c r="BC383" s="65"/>
      <c r="BD383" s="78"/>
      <c r="BE383" s="78"/>
      <c r="BF383" s="78"/>
      <c r="BG383" s="78"/>
      <c r="BH383" s="70"/>
      <c r="BI383" s="65"/>
      <c r="BJ383" s="78"/>
      <c r="BK383" s="78"/>
      <c r="BL383" s="78"/>
      <c r="BM383" s="78"/>
      <c r="BN383" s="70"/>
      <c r="BO383" s="65"/>
      <c r="BP383" s="78"/>
      <c r="BQ383" s="78"/>
      <c r="BR383" s="78"/>
      <c r="BS383" s="78"/>
      <c r="BT383" s="70"/>
      <c r="BU383" s="65"/>
      <c r="BV383" s="78"/>
      <c r="BW383" s="78"/>
      <c r="BX383" s="78"/>
      <c r="BY383" s="78"/>
      <c r="BZ383" s="70"/>
      <c r="CA383" s="80"/>
      <c r="CB383" s="78"/>
      <c r="CC383" s="78"/>
      <c r="CD383" s="78"/>
      <c r="CE383" s="78"/>
      <c r="CF383" s="70"/>
    </row>
    <row r="384" spans="1:84" ht="12" customHeight="1">
      <c r="A384" s="2"/>
      <c r="B384" s="64">
        <v>372</v>
      </c>
      <c r="C384" s="65">
        <v>10</v>
      </c>
      <c r="D384" s="66" t="s">
        <v>18</v>
      </c>
      <c r="E384" s="69" t="s">
        <v>159</v>
      </c>
      <c r="F384" s="70" t="s">
        <v>80</v>
      </c>
      <c r="G384" s="71">
        <v>3394.20643902439</v>
      </c>
      <c r="H384" s="72">
        <v>3394.20643902439</v>
      </c>
      <c r="I384" s="72">
        <v>0</v>
      </c>
      <c r="J384" s="72"/>
      <c r="K384" s="72"/>
      <c r="L384" s="73"/>
      <c r="M384" s="71">
        <v>6788.4128780487799</v>
      </c>
      <c r="N384" s="72">
        <v>6788.4128780487799</v>
      </c>
      <c r="O384" s="72">
        <v>0</v>
      </c>
      <c r="P384" s="72"/>
      <c r="Q384" s="72"/>
      <c r="R384" s="73"/>
      <c r="S384" s="71">
        <v>3417.6</v>
      </c>
      <c r="T384" s="72">
        <v>3504</v>
      </c>
      <c r="U384" s="72">
        <v>3456</v>
      </c>
      <c r="V384" s="72">
        <v>3256</v>
      </c>
      <c r="W384" s="72">
        <v>3448</v>
      </c>
      <c r="X384" s="73">
        <v>3424</v>
      </c>
      <c r="Y384" s="71"/>
      <c r="Z384" s="72"/>
      <c r="AA384" s="72"/>
      <c r="AB384" s="72"/>
      <c r="AC384" s="72"/>
      <c r="AD384" s="73"/>
      <c r="AE384" s="71"/>
      <c r="AF384" s="72"/>
      <c r="AG384" s="72"/>
      <c r="AH384" s="72"/>
      <c r="AI384" s="72"/>
      <c r="AJ384" s="73"/>
      <c r="AK384" s="71"/>
      <c r="AL384" s="72"/>
      <c r="AM384" s="72"/>
      <c r="AN384" s="72"/>
      <c r="AO384" s="72"/>
      <c r="AP384" s="73"/>
      <c r="AQ384" s="71"/>
      <c r="AR384" s="72"/>
      <c r="AS384" s="72"/>
      <c r="AT384" s="72"/>
      <c r="AU384" s="72"/>
      <c r="AV384" s="73"/>
      <c r="AW384" s="75">
        <v>0.689220334586782</v>
      </c>
      <c r="AX384" s="76">
        <v>3.2347343318094746</v>
      </c>
      <c r="AY384" s="76">
        <v>1.820559888907991</v>
      </c>
      <c r="AZ384" s="76">
        <v>-4.0718336231815977</v>
      </c>
      <c r="BA384" s="76">
        <v>1.584864148424403</v>
      </c>
      <c r="BB384" s="77">
        <v>0.87777692697363907</v>
      </c>
      <c r="BC384" s="65"/>
      <c r="BD384" s="78"/>
      <c r="BE384" s="78"/>
      <c r="BF384" s="78"/>
      <c r="BG384" s="78"/>
      <c r="BH384" s="70"/>
      <c r="BI384" s="65"/>
      <c r="BJ384" s="78"/>
      <c r="BK384" s="78"/>
      <c r="BL384" s="78"/>
      <c r="BM384" s="78"/>
      <c r="BN384" s="70"/>
      <c r="BO384" s="65"/>
      <c r="BP384" s="78"/>
      <c r="BQ384" s="78"/>
      <c r="BR384" s="78"/>
      <c r="BS384" s="78"/>
      <c r="BT384" s="70"/>
      <c r="BU384" s="65"/>
      <c r="BV384" s="78"/>
      <c r="BW384" s="78"/>
      <c r="BX384" s="78"/>
      <c r="BY384" s="78"/>
      <c r="BZ384" s="70"/>
      <c r="CA384" s="80"/>
      <c r="CB384" s="78"/>
      <c r="CC384" s="78"/>
      <c r="CD384" s="78"/>
      <c r="CE384" s="78"/>
      <c r="CF384" s="70"/>
    </row>
    <row r="385" spans="1:84" ht="12" customHeight="1">
      <c r="A385" s="2"/>
      <c r="B385" s="64">
        <v>373</v>
      </c>
      <c r="C385" s="65">
        <v>10</v>
      </c>
      <c r="D385" s="66" t="s">
        <v>18</v>
      </c>
      <c r="E385" s="69" t="s">
        <v>132</v>
      </c>
      <c r="F385" s="70" t="s">
        <v>80</v>
      </c>
      <c r="G385" s="71">
        <v>3669.7697560975603</v>
      </c>
      <c r="H385" s="72">
        <v>1212.2165853658537</v>
      </c>
      <c r="I385" s="72">
        <v>2457.5531707317068</v>
      </c>
      <c r="J385" s="72"/>
      <c r="K385" s="72"/>
      <c r="L385" s="73"/>
      <c r="M385" s="71">
        <v>7339.5395121951206</v>
      </c>
      <c r="N385" s="72">
        <v>2424.4331707317074</v>
      </c>
      <c r="O385" s="72">
        <v>4915.1063414634136</v>
      </c>
      <c r="P385" s="72"/>
      <c r="Q385" s="72"/>
      <c r="R385" s="73"/>
      <c r="S385" s="71">
        <v>1220.8</v>
      </c>
      <c r="T385" s="72">
        <v>1188</v>
      </c>
      <c r="U385" s="72">
        <v>1200</v>
      </c>
      <c r="V385" s="72">
        <v>1260</v>
      </c>
      <c r="W385" s="72">
        <v>1200</v>
      </c>
      <c r="X385" s="73">
        <v>1256</v>
      </c>
      <c r="Y385" s="71">
        <v>2377.4</v>
      </c>
      <c r="Z385" s="72">
        <v>2218</v>
      </c>
      <c r="AA385" s="72">
        <v>2474</v>
      </c>
      <c r="AB385" s="72">
        <v>2387</v>
      </c>
      <c r="AC385" s="72">
        <v>2367</v>
      </c>
      <c r="AD385" s="73">
        <v>2441</v>
      </c>
      <c r="AE385" s="71"/>
      <c r="AF385" s="72"/>
      <c r="AG385" s="72"/>
      <c r="AH385" s="72"/>
      <c r="AI385" s="72"/>
      <c r="AJ385" s="73"/>
      <c r="AK385" s="71"/>
      <c r="AL385" s="72"/>
      <c r="AM385" s="72"/>
      <c r="AN385" s="72"/>
      <c r="AO385" s="72"/>
      <c r="AP385" s="73"/>
      <c r="AQ385" s="71"/>
      <c r="AR385" s="72"/>
      <c r="AS385" s="72"/>
      <c r="AT385" s="72"/>
      <c r="AU385" s="72"/>
      <c r="AV385" s="73"/>
      <c r="AW385" s="75">
        <v>-1.9502519464236867</v>
      </c>
      <c r="AX385" s="76">
        <v>-7.1876377437382732</v>
      </c>
      <c r="AY385" s="76">
        <v>0.11527273326645826</v>
      </c>
      <c r="AZ385" s="76">
        <v>-0.62046824762580499</v>
      </c>
      <c r="BA385" s="76">
        <v>-2.8004415243436331</v>
      </c>
      <c r="BB385" s="77">
        <v>0.74201505032283066</v>
      </c>
      <c r="BC385" s="65"/>
      <c r="BD385" s="78"/>
      <c r="BE385" s="78"/>
      <c r="BF385" s="78"/>
      <c r="BG385" s="78"/>
      <c r="BH385" s="70"/>
      <c r="BI385" s="65"/>
      <c r="BJ385" s="78"/>
      <c r="BK385" s="78"/>
      <c r="BL385" s="78"/>
      <c r="BM385" s="78"/>
      <c r="BN385" s="70"/>
      <c r="BO385" s="65"/>
      <c r="BP385" s="78"/>
      <c r="BQ385" s="78"/>
      <c r="BR385" s="78"/>
      <c r="BS385" s="78"/>
      <c r="BT385" s="70"/>
      <c r="BU385" s="65"/>
      <c r="BV385" s="78"/>
      <c r="BW385" s="78"/>
      <c r="BX385" s="78"/>
      <c r="BY385" s="78"/>
      <c r="BZ385" s="70"/>
      <c r="CA385" s="80"/>
      <c r="CB385" s="78"/>
      <c r="CC385" s="78"/>
      <c r="CD385" s="78"/>
      <c r="CE385" s="78"/>
      <c r="CF385" s="70"/>
    </row>
    <row r="386" spans="1:84" ht="12" customHeight="1">
      <c r="A386" s="2"/>
      <c r="B386" s="64">
        <v>374</v>
      </c>
      <c r="C386" s="65">
        <v>10</v>
      </c>
      <c r="D386" s="66" t="s">
        <v>18</v>
      </c>
      <c r="E386" s="69" t="s">
        <v>134</v>
      </c>
      <c r="F386" s="70" t="s">
        <v>80</v>
      </c>
      <c r="G386" s="71">
        <v>1128.5560975609756</v>
      </c>
      <c r="H386" s="72">
        <v>673.45365853658529</v>
      </c>
      <c r="I386" s="72">
        <v>455.10243902439026</v>
      </c>
      <c r="J386" s="72"/>
      <c r="K386" s="72"/>
      <c r="L386" s="73"/>
      <c r="M386" s="71">
        <v>2257.1121951219511</v>
      </c>
      <c r="N386" s="72">
        <v>1346.9073170731706</v>
      </c>
      <c r="O386" s="72">
        <v>910.20487804878053</v>
      </c>
      <c r="P386" s="72"/>
      <c r="Q386" s="72"/>
      <c r="R386" s="73"/>
      <c r="S386" s="71">
        <v>674.4</v>
      </c>
      <c r="T386" s="72">
        <v>696</v>
      </c>
      <c r="U386" s="72">
        <v>656</v>
      </c>
      <c r="V386" s="72">
        <v>664</v>
      </c>
      <c r="W386" s="72">
        <v>680</v>
      </c>
      <c r="X386" s="73">
        <v>676</v>
      </c>
      <c r="Y386" s="71">
        <v>448</v>
      </c>
      <c r="Z386" s="72">
        <v>468</v>
      </c>
      <c r="AA386" s="72">
        <v>451</v>
      </c>
      <c r="AB386" s="72">
        <v>467</v>
      </c>
      <c r="AC386" s="72">
        <v>423</v>
      </c>
      <c r="AD386" s="73">
        <v>431</v>
      </c>
      <c r="AE386" s="71"/>
      <c r="AF386" s="72"/>
      <c r="AG386" s="72"/>
      <c r="AH386" s="72"/>
      <c r="AI386" s="72"/>
      <c r="AJ386" s="73"/>
      <c r="AK386" s="71"/>
      <c r="AL386" s="72"/>
      <c r="AM386" s="72"/>
      <c r="AN386" s="72"/>
      <c r="AO386" s="72"/>
      <c r="AP386" s="73"/>
      <c r="AQ386" s="71"/>
      <c r="AR386" s="72"/>
      <c r="AS386" s="72"/>
      <c r="AT386" s="72"/>
      <c r="AU386" s="72"/>
      <c r="AV386" s="73"/>
      <c r="AW386" s="75">
        <v>-0.54548440917381313</v>
      </c>
      <c r="AX386" s="76">
        <v>3.1406416141497528</v>
      </c>
      <c r="AY386" s="76">
        <v>-1.9100599081926406</v>
      </c>
      <c r="AZ386" s="76">
        <v>0.21655125910942097</v>
      </c>
      <c r="BA386" s="76">
        <v>-2.2644951027429805</v>
      </c>
      <c r="BB386" s="77">
        <v>-1.9100599081926406</v>
      </c>
      <c r="BC386" s="65"/>
      <c r="BD386" s="78"/>
      <c r="BE386" s="78"/>
      <c r="BF386" s="78"/>
      <c r="BG386" s="78"/>
      <c r="BH386" s="70"/>
      <c r="BI386" s="65"/>
      <c r="BJ386" s="78"/>
      <c r="BK386" s="78"/>
      <c r="BL386" s="78"/>
      <c r="BM386" s="78"/>
      <c r="BN386" s="70"/>
      <c r="BO386" s="65"/>
      <c r="BP386" s="78"/>
      <c r="BQ386" s="78"/>
      <c r="BR386" s="78"/>
      <c r="BS386" s="78"/>
      <c r="BT386" s="70"/>
      <c r="BU386" s="65"/>
      <c r="BV386" s="78"/>
      <c r="BW386" s="78"/>
      <c r="BX386" s="78"/>
      <c r="BY386" s="78"/>
      <c r="BZ386" s="70"/>
      <c r="CA386" s="80"/>
      <c r="CB386" s="78"/>
      <c r="CC386" s="78"/>
      <c r="CD386" s="78"/>
      <c r="CE386" s="78"/>
      <c r="CF386" s="70"/>
    </row>
    <row r="387" spans="1:84" ht="12" customHeight="1">
      <c r="A387" s="2"/>
      <c r="B387" s="64">
        <v>375</v>
      </c>
      <c r="C387" s="65">
        <v>10</v>
      </c>
      <c r="D387" s="66" t="s">
        <v>18</v>
      </c>
      <c r="E387" s="69" t="s">
        <v>147</v>
      </c>
      <c r="F387" s="70" t="s">
        <v>80</v>
      </c>
      <c r="G387" s="71">
        <v>1885.6702439024386</v>
      </c>
      <c r="H387" s="72">
        <v>1885.6702439024386</v>
      </c>
      <c r="I387" s="72">
        <v>0</v>
      </c>
      <c r="J387" s="72"/>
      <c r="K387" s="72"/>
      <c r="L387" s="73"/>
      <c r="M387" s="71">
        <v>3771.3404878048773</v>
      </c>
      <c r="N387" s="72">
        <v>3771.3404878048773</v>
      </c>
      <c r="O387" s="72">
        <v>0</v>
      </c>
      <c r="P387" s="72"/>
      <c r="Q387" s="72"/>
      <c r="R387" s="73"/>
      <c r="S387" s="71">
        <v>1884.8</v>
      </c>
      <c r="T387" s="72">
        <v>1864</v>
      </c>
      <c r="U387" s="72">
        <v>2000</v>
      </c>
      <c r="V387" s="72">
        <v>1848</v>
      </c>
      <c r="W387" s="72">
        <v>1936</v>
      </c>
      <c r="X387" s="73">
        <v>1776</v>
      </c>
      <c r="Y387" s="71"/>
      <c r="Z387" s="72"/>
      <c r="AA387" s="72"/>
      <c r="AB387" s="72"/>
      <c r="AC387" s="72"/>
      <c r="AD387" s="73"/>
      <c r="AE387" s="71"/>
      <c r="AF387" s="72"/>
      <c r="AG387" s="72"/>
      <c r="AH387" s="72"/>
      <c r="AI387" s="72"/>
      <c r="AJ387" s="73"/>
      <c r="AK387" s="71"/>
      <c r="AL387" s="72"/>
      <c r="AM387" s="72"/>
      <c r="AN387" s="72"/>
      <c r="AO387" s="72"/>
      <c r="AP387" s="73"/>
      <c r="AQ387" s="71"/>
      <c r="AR387" s="72"/>
      <c r="AS387" s="72"/>
      <c r="AT387" s="72"/>
      <c r="AU387" s="72"/>
      <c r="AV387" s="73"/>
      <c r="AW387" s="75">
        <v>-4.6150375721987213E-2</v>
      </c>
      <c r="AX387" s="76">
        <v>-1.1492064411851577</v>
      </c>
      <c r="AY387" s="76">
        <v>6.063083217612486</v>
      </c>
      <c r="AZ387" s="76">
        <v>-1.9977111069260589</v>
      </c>
      <c r="BA387" s="76">
        <v>2.6690645546489034</v>
      </c>
      <c r="BB387" s="77">
        <v>-5.8159821027601089</v>
      </c>
      <c r="BC387" s="65"/>
      <c r="BD387" s="78"/>
      <c r="BE387" s="78"/>
      <c r="BF387" s="78"/>
      <c r="BG387" s="78"/>
      <c r="BH387" s="70"/>
      <c r="BI387" s="65"/>
      <c r="BJ387" s="78"/>
      <c r="BK387" s="78"/>
      <c r="BL387" s="78"/>
      <c r="BM387" s="78"/>
      <c r="BN387" s="70"/>
      <c r="BO387" s="65"/>
      <c r="BP387" s="78"/>
      <c r="BQ387" s="78"/>
      <c r="BR387" s="78"/>
      <c r="BS387" s="78"/>
      <c r="BT387" s="70"/>
      <c r="BU387" s="65"/>
      <c r="BV387" s="78"/>
      <c r="BW387" s="78"/>
      <c r="BX387" s="78"/>
      <c r="BY387" s="78"/>
      <c r="BZ387" s="70"/>
      <c r="CA387" s="80"/>
      <c r="CB387" s="78"/>
      <c r="CC387" s="78"/>
      <c r="CD387" s="78"/>
      <c r="CE387" s="78"/>
      <c r="CF387" s="70"/>
    </row>
    <row r="388" spans="1:84" ht="12" customHeight="1">
      <c r="A388" s="2"/>
      <c r="B388" s="64">
        <v>376</v>
      </c>
      <c r="C388" s="65">
        <v>10</v>
      </c>
      <c r="D388" s="66" t="s">
        <v>18</v>
      </c>
      <c r="E388" s="69" t="s">
        <v>135</v>
      </c>
      <c r="F388" s="70" t="s">
        <v>80</v>
      </c>
      <c r="G388" s="71">
        <v>2038.7609756097563</v>
      </c>
      <c r="H388" s="72">
        <v>673.45365853658529</v>
      </c>
      <c r="I388" s="72">
        <v>1365.3073170731709</v>
      </c>
      <c r="J388" s="72"/>
      <c r="K388" s="72"/>
      <c r="L388" s="73"/>
      <c r="M388" s="71">
        <v>4077.5219512195126</v>
      </c>
      <c r="N388" s="72">
        <v>1346.9073170731706</v>
      </c>
      <c r="O388" s="72">
        <v>2730.6146341463418</v>
      </c>
      <c r="P388" s="72"/>
      <c r="Q388" s="72"/>
      <c r="R388" s="73"/>
      <c r="S388" s="71">
        <v>668</v>
      </c>
      <c r="T388" s="72">
        <v>668</v>
      </c>
      <c r="U388" s="72">
        <v>664</v>
      </c>
      <c r="V388" s="72">
        <v>704</v>
      </c>
      <c r="W388" s="72">
        <v>648</v>
      </c>
      <c r="X388" s="73">
        <v>656</v>
      </c>
      <c r="Y388" s="71">
        <v>1364.4</v>
      </c>
      <c r="Z388" s="72">
        <v>1384</v>
      </c>
      <c r="AA388" s="72">
        <v>1377</v>
      </c>
      <c r="AB388" s="72">
        <v>1280</v>
      </c>
      <c r="AC388" s="72">
        <v>1367</v>
      </c>
      <c r="AD388" s="73">
        <v>1414</v>
      </c>
      <c r="AE388" s="71"/>
      <c r="AF388" s="72"/>
      <c r="AG388" s="72"/>
      <c r="AH388" s="72"/>
      <c r="AI388" s="72"/>
      <c r="AJ388" s="73"/>
      <c r="AK388" s="71"/>
      <c r="AL388" s="72"/>
      <c r="AM388" s="72"/>
      <c r="AN388" s="72"/>
      <c r="AO388" s="72"/>
      <c r="AP388" s="73"/>
      <c r="AQ388" s="71"/>
      <c r="AR388" s="72"/>
      <c r="AS388" s="72"/>
      <c r="AT388" s="72"/>
      <c r="AU388" s="72"/>
      <c r="AV388" s="73"/>
      <c r="AW388" s="75">
        <v>-0.31200202897025964</v>
      </c>
      <c r="AX388" s="76">
        <v>0.64936618606230567</v>
      </c>
      <c r="AY388" s="76">
        <v>0.10982280007463263</v>
      </c>
      <c r="AZ388" s="76">
        <v>-2.6859929273159833</v>
      </c>
      <c r="BA388" s="76">
        <v>-1.1654615668052926</v>
      </c>
      <c r="BB388" s="77">
        <v>1.5322553631330171</v>
      </c>
      <c r="BC388" s="65"/>
      <c r="BD388" s="78"/>
      <c r="BE388" s="78"/>
      <c r="BF388" s="78"/>
      <c r="BG388" s="78"/>
      <c r="BH388" s="70"/>
      <c r="BI388" s="65"/>
      <c r="BJ388" s="78"/>
      <c r="BK388" s="78"/>
      <c r="BL388" s="78"/>
      <c r="BM388" s="78"/>
      <c r="BN388" s="70"/>
      <c r="BO388" s="65"/>
      <c r="BP388" s="78"/>
      <c r="BQ388" s="78"/>
      <c r="BR388" s="78"/>
      <c r="BS388" s="78"/>
      <c r="BT388" s="70"/>
      <c r="BU388" s="65"/>
      <c r="BV388" s="78"/>
      <c r="BW388" s="78"/>
      <c r="BX388" s="78"/>
      <c r="BY388" s="78"/>
      <c r="BZ388" s="70"/>
      <c r="CA388" s="80"/>
      <c r="CB388" s="78"/>
      <c r="CC388" s="78"/>
      <c r="CD388" s="78"/>
      <c r="CE388" s="78"/>
      <c r="CF388" s="70"/>
    </row>
    <row r="389" spans="1:84" ht="12" customHeight="1">
      <c r="A389" s="2"/>
      <c r="B389" s="64">
        <v>377</v>
      </c>
      <c r="C389" s="65">
        <v>10</v>
      </c>
      <c r="D389" s="66" t="s">
        <v>19</v>
      </c>
      <c r="E389" s="69" t="s">
        <v>67</v>
      </c>
      <c r="F389" s="70">
        <v>4</v>
      </c>
      <c r="G389" s="71">
        <v>1634.2341463414634</v>
      </c>
      <c r="H389" s="72">
        <v>1046.1951219512196</v>
      </c>
      <c r="I389" s="72">
        <v>588.03902439024387</v>
      </c>
      <c r="J389" s="72"/>
      <c r="K389" s="72"/>
      <c r="L389" s="73"/>
      <c r="M389" s="71">
        <v>3268.4682926829269</v>
      </c>
      <c r="N389" s="72">
        <v>2092.3902439024391</v>
      </c>
      <c r="O389" s="72">
        <v>1176.0780487804877</v>
      </c>
      <c r="P389" s="72"/>
      <c r="Q389" s="72"/>
      <c r="R389" s="73"/>
      <c r="S389" s="71">
        <v>1045.8</v>
      </c>
      <c r="T389" s="72">
        <v>1062</v>
      </c>
      <c r="U389" s="72">
        <v>1026</v>
      </c>
      <c r="V389" s="72">
        <v>1059</v>
      </c>
      <c r="W389" s="72">
        <v>1050</v>
      </c>
      <c r="X389" s="73">
        <v>1032</v>
      </c>
      <c r="Y389" s="71">
        <v>587.6</v>
      </c>
      <c r="Z389" s="72">
        <v>601</v>
      </c>
      <c r="AA389" s="72">
        <v>614</v>
      </c>
      <c r="AB389" s="72">
        <v>604</v>
      </c>
      <c r="AC389" s="72">
        <v>550</v>
      </c>
      <c r="AD389" s="73">
        <v>569</v>
      </c>
      <c r="AE389" s="71"/>
      <c r="AF389" s="72"/>
      <c r="AG389" s="72"/>
      <c r="AH389" s="72"/>
      <c r="AI389" s="72"/>
      <c r="AJ389" s="73"/>
      <c r="AK389" s="71"/>
      <c r="AL389" s="72"/>
      <c r="AM389" s="72"/>
      <c r="AN389" s="72"/>
      <c r="AO389" s="72"/>
      <c r="AP389" s="73"/>
      <c r="AQ389" s="71"/>
      <c r="AR389" s="72"/>
      <c r="AS389" s="72"/>
      <c r="AT389" s="72"/>
      <c r="AU389" s="72"/>
      <c r="AV389" s="73"/>
      <c r="AW389" s="75">
        <v>-5.1042033562376243E-2</v>
      </c>
      <c r="AX389" s="76">
        <v>1.7602039293411087</v>
      </c>
      <c r="AY389" s="76">
        <v>0.35281686357151454</v>
      </c>
      <c r="AZ389" s="76">
        <v>1.7602039293411087</v>
      </c>
      <c r="BA389" s="76">
        <v>-2.0948128160277912</v>
      </c>
      <c r="BB389" s="77">
        <v>-2.0336220740378108</v>
      </c>
      <c r="BC389" s="65"/>
      <c r="BD389" s="78"/>
      <c r="BE389" s="78"/>
      <c r="BF389" s="78"/>
      <c r="BG389" s="78"/>
      <c r="BH389" s="70"/>
      <c r="BI389" s="65"/>
      <c r="BJ389" s="78"/>
      <c r="BK389" s="78"/>
      <c r="BL389" s="78"/>
      <c r="BM389" s="78"/>
      <c r="BN389" s="70"/>
      <c r="BO389" s="65"/>
      <c r="BP389" s="78"/>
      <c r="BQ389" s="78"/>
      <c r="BR389" s="78"/>
      <c r="BS389" s="78"/>
      <c r="BT389" s="70"/>
      <c r="BU389" s="65"/>
      <c r="BV389" s="78"/>
      <c r="BW389" s="78"/>
      <c r="BX389" s="78"/>
      <c r="BY389" s="78"/>
      <c r="BZ389" s="70"/>
      <c r="CA389" s="80"/>
      <c r="CB389" s="78"/>
      <c r="CC389" s="78"/>
      <c r="CD389" s="78"/>
      <c r="CE389" s="78"/>
      <c r="CF389" s="70"/>
    </row>
    <row r="390" spans="1:84" ht="12" customHeight="1">
      <c r="A390" s="2"/>
      <c r="B390" s="64">
        <v>378</v>
      </c>
      <c r="C390" s="65">
        <v>10</v>
      </c>
      <c r="D390" s="66" t="s">
        <v>19</v>
      </c>
      <c r="E390" s="69" t="s">
        <v>87</v>
      </c>
      <c r="F390" s="70">
        <v>4</v>
      </c>
      <c r="G390" s="71">
        <v>1634.2341463414634</v>
      </c>
      <c r="H390" s="72">
        <v>1046.1951219512196</v>
      </c>
      <c r="I390" s="72">
        <v>588.03902439024387</v>
      </c>
      <c r="J390" s="72"/>
      <c r="K390" s="72"/>
      <c r="L390" s="73"/>
      <c r="M390" s="71">
        <v>3268.4682926829269</v>
      </c>
      <c r="N390" s="72">
        <v>2092.3902439024391</v>
      </c>
      <c r="O390" s="72">
        <v>1176.0780487804877</v>
      </c>
      <c r="P390" s="72"/>
      <c r="Q390" s="72"/>
      <c r="R390" s="73"/>
      <c r="S390" s="71">
        <v>1045.8</v>
      </c>
      <c r="T390" s="72">
        <v>1062</v>
      </c>
      <c r="U390" s="72">
        <v>1026</v>
      </c>
      <c r="V390" s="72">
        <v>1059</v>
      </c>
      <c r="W390" s="72">
        <v>1050</v>
      </c>
      <c r="X390" s="73">
        <v>1032</v>
      </c>
      <c r="Y390" s="71">
        <v>587.6</v>
      </c>
      <c r="Z390" s="72">
        <v>601</v>
      </c>
      <c r="AA390" s="72">
        <v>614</v>
      </c>
      <c r="AB390" s="72">
        <v>604</v>
      </c>
      <c r="AC390" s="72">
        <v>550</v>
      </c>
      <c r="AD390" s="73">
        <v>569</v>
      </c>
      <c r="AE390" s="71"/>
      <c r="AF390" s="72"/>
      <c r="AG390" s="72"/>
      <c r="AH390" s="72"/>
      <c r="AI390" s="72"/>
      <c r="AJ390" s="73"/>
      <c r="AK390" s="71"/>
      <c r="AL390" s="72"/>
      <c r="AM390" s="72"/>
      <c r="AN390" s="72"/>
      <c r="AO390" s="72"/>
      <c r="AP390" s="73"/>
      <c r="AQ390" s="71"/>
      <c r="AR390" s="72"/>
      <c r="AS390" s="72"/>
      <c r="AT390" s="72"/>
      <c r="AU390" s="72"/>
      <c r="AV390" s="73"/>
      <c r="AW390" s="75">
        <v>-5.1042033562376243E-2</v>
      </c>
      <c r="AX390" s="76">
        <v>1.7602039293411087</v>
      </c>
      <c r="AY390" s="76">
        <v>0.35281686357151454</v>
      </c>
      <c r="AZ390" s="76">
        <v>1.7602039293411087</v>
      </c>
      <c r="BA390" s="76">
        <v>-2.0948128160277912</v>
      </c>
      <c r="BB390" s="77">
        <v>-2.0336220740378108</v>
      </c>
      <c r="BC390" s="65"/>
      <c r="BD390" s="78"/>
      <c r="BE390" s="78"/>
      <c r="BF390" s="78"/>
      <c r="BG390" s="78"/>
      <c r="BH390" s="70"/>
      <c r="BI390" s="65"/>
      <c r="BJ390" s="78"/>
      <c r="BK390" s="78"/>
      <c r="BL390" s="78"/>
      <c r="BM390" s="78"/>
      <c r="BN390" s="70"/>
      <c r="BO390" s="65"/>
      <c r="BP390" s="78"/>
      <c r="BQ390" s="78"/>
      <c r="BR390" s="78"/>
      <c r="BS390" s="78"/>
      <c r="BT390" s="70"/>
      <c r="BU390" s="65"/>
      <c r="BV390" s="78"/>
      <c r="BW390" s="78"/>
      <c r="BX390" s="78"/>
      <c r="BY390" s="78"/>
      <c r="BZ390" s="70"/>
      <c r="CA390" s="80"/>
      <c r="CB390" s="78"/>
      <c r="CC390" s="78"/>
      <c r="CD390" s="78"/>
      <c r="CE390" s="78"/>
      <c r="CF390" s="70"/>
    </row>
    <row r="391" spans="1:84" ht="12" customHeight="1">
      <c r="A391" s="2"/>
      <c r="B391" s="64">
        <v>379</v>
      </c>
      <c r="C391" s="65">
        <v>10</v>
      </c>
      <c r="D391" s="66" t="s">
        <v>19</v>
      </c>
      <c r="E391" s="69" t="s">
        <v>136</v>
      </c>
      <c r="F391" s="70">
        <v>4</v>
      </c>
      <c r="G391" s="71">
        <v>2042.7926829268292</v>
      </c>
      <c r="H391" s="72">
        <v>1307.7439024390244</v>
      </c>
      <c r="I391" s="72">
        <v>735.04878048780483</v>
      </c>
      <c r="J391" s="72"/>
      <c r="K391" s="72"/>
      <c r="L391" s="73"/>
      <c r="M391" s="71">
        <v>4085.5853658536589</v>
      </c>
      <c r="N391" s="72">
        <v>2615.4878048780488</v>
      </c>
      <c r="O391" s="72">
        <v>1470.0975609756099</v>
      </c>
      <c r="P391" s="72"/>
      <c r="Q391" s="72"/>
      <c r="R391" s="73"/>
      <c r="S391" s="71">
        <v>1306.8</v>
      </c>
      <c r="T391" s="72">
        <v>1344</v>
      </c>
      <c r="U391" s="72">
        <v>1260</v>
      </c>
      <c r="V391" s="72">
        <v>1350</v>
      </c>
      <c r="W391" s="72">
        <v>1290</v>
      </c>
      <c r="X391" s="73">
        <v>1290</v>
      </c>
      <c r="Y391" s="71">
        <v>728</v>
      </c>
      <c r="Z391" s="72">
        <v>721</v>
      </c>
      <c r="AA391" s="72">
        <v>747</v>
      </c>
      <c r="AB391" s="72">
        <v>750</v>
      </c>
      <c r="AC391" s="72">
        <v>710</v>
      </c>
      <c r="AD391" s="73">
        <v>712</v>
      </c>
      <c r="AE391" s="71"/>
      <c r="AF391" s="72"/>
      <c r="AG391" s="72"/>
      <c r="AH391" s="72"/>
      <c r="AI391" s="72"/>
      <c r="AJ391" s="73"/>
      <c r="AK391" s="71"/>
      <c r="AL391" s="72"/>
      <c r="AM391" s="72"/>
      <c r="AN391" s="72"/>
      <c r="AO391" s="72"/>
      <c r="AP391" s="73"/>
      <c r="AQ391" s="71"/>
      <c r="AR391" s="72"/>
      <c r="AS391" s="72"/>
      <c r="AT391" s="72"/>
      <c r="AU391" s="72"/>
      <c r="AV391" s="73"/>
      <c r="AW391" s="75">
        <v>-0.39126255902668383</v>
      </c>
      <c r="AX391" s="76">
        <v>1.0871057674513018</v>
      </c>
      <c r="AY391" s="76">
        <v>-1.752144660883892</v>
      </c>
      <c r="AZ391" s="76">
        <v>2.8004465431708203</v>
      </c>
      <c r="BA391" s="76">
        <v>-2.0948128160277912</v>
      </c>
      <c r="BB391" s="77">
        <v>-1.9969076288438248</v>
      </c>
      <c r="BC391" s="65"/>
      <c r="BD391" s="78"/>
      <c r="BE391" s="78"/>
      <c r="BF391" s="78"/>
      <c r="BG391" s="78"/>
      <c r="BH391" s="70"/>
      <c r="BI391" s="65"/>
      <c r="BJ391" s="78"/>
      <c r="BK391" s="78"/>
      <c r="BL391" s="78"/>
      <c r="BM391" s="78"/>
      <c r="BN391" s="70"/>
      <c r="BO391" s="65"/>
      <c r="BP391" s="78"/>
      <c r="BQ391" s="78"/>
      <c r="BR391" s="78"/>
      <c r="BS391" s="78"/>
      <c r="BT391" s="70"/>
      <c r="BU391" s="65"/>
      <c r="BV391" s="78"/>
      <c r="BW391" s="78"/>
      <c r="BX391" s="78"/>
      <c r="BY391" s="78"/>
      <c r="BZ391" s="70"/>
      <c r="CA391" s="80"/>
      <c r="CB391" s="78"/>
      <c r="CC391" s="78"/>
      <c r="CD391" s="78"/>
      <c r="CE391" s="78"/>
      <c r="CF391" s="70"/>
    </row>
    <row r="392" spans="1:84" ht="12" customHeight="1">
      <c r="A392" s="2"/>
      <c r="B392" s="64">
        <v>380</v>
      </c>
      <c r="C392" s="65">
        <v>10</v>
      </c>
      <c r="D392" s="66" t="s">
        <v>19</v>
      </c>
      <c r="E392" s="69" t="s">
        <v>92</v>
      </c>
      <c r="F392" s="70">
        <v>6</v>
      </c>
      <c r="G392" s="71">
        <v>2331.6975609756096</v>
      </c>
      <c r="H392" s="72">
        <v>1743.6585365853657</v>
      </c>
      <c r="I392" s="72">
        <v>588.03902439024387</v>
      </c>
      <c r="J392" s="72"/>
      <c r="K392" s="72"/>
      <c r="L392" s="73"/>
      <c r="M392" s="71">
        <v>4663.3951219512192</v>
      </c>
      <c r="N392" s="72">
        <v>3487.3170731707314</v>
      </c>
      <c r="O392" s="72">
        <v>1176.0780487804877</v>
      </c>
      <c r="P392" s="72"/>
      <c r="Q392" s="72"/>
      <c r="R392" s="73"/>
      <c r="S392" s="71">
        <v>1758</v>
      </c>
      <c r="T392" s="72">
        <v>1730</v>
      </c>
      <c r="U392" s="72">
        <v>1710</v>
      </c>
      <c r="V392" s="72">
        <v>1765</v>
      </c>
      <c r="W392" s="72">
        <v>1785</v>
      </c>
      <c r="X392" s="73">
        <v>1800</v>
      </c>
      <c r="Y392" s="71">
        <v>582.6</v>
      </c>
      <c r="Z392" s="72">
        <v>576</v>
      </c>
      <c r="AA392" s="72">
        <v>608</v>
      </c>
      <c r="AB392" s="72">
        <v>555</v>
      </c>
      <c r="AC392" s="72">
        <v>602</v>
      </c>
      <c r="AD392" s="73">
        <v>572</v>
      </c>
      <c r="AE392" s="71"/>
      <c r="AF392" s="72"/>
      <c r="AG392" s="72"/>
      <c r="AH392" s="72"/>
      <c r="AI392" s="72"/>
      <c r="AJ392" s="73"/>
      <c r="AK392" s="71"/>
      <c r="AL392" s="72"/>
      <c r="AM392" s="72"/>
      <c r="AN392" s="72"/>
      <c r="AO392" s="72"/>
      <c r="AP392" s="73"/>
      <c r="AQ392" s="71"/>
      <c r="AR392" s="72"/>
      <c r="AS392" s="72"/>
      <c r="AT392" s="72"/>
      <c r="AU392" s="72"/>
      <c r="AV392" s="73"/>
      <c r="AW392" s="75">
        <v>0.3818007606726459</v>
      </c>
      <c r="AX392" s="76">
        <v>-1.1020966614923022</v>
      </c>
      <c r="AY392" s="76">
        <v>-0.58745015669521283</v>
      </c>
      <c r="AZ392" s="76">
        <v>-0.50167573922902386</v>
      </c>
      <c r="BA392" s="76">
        <v>2.3717672458880568</v>
      </c>
      <c r="BB392" s="77">
        <v>1.7284591148917006</v>
      </c>
      <c r="BC392" s="65"/>
      <c r="BD392" s="78"/>
      <c r="BE392" s="78"/>
      <c r="BF392" s="78"/>
      <c r="BG392" s="78"/>
      <c r="BH392" s="70"/>
      <c r="BI392" s="65"/>
      <c r="BJ392" s="78"/>
      <c r="BK392" s="78"/>
      <c r="BL392" s="78"/>
      <c r="BM392" s="78"/>
      <c r="BN392" s="70"/>
      <c r="BO392" s="65"/>
      <c r="BP392" s="78"/>
      <c r="BQ392" s="78"/>
      <c r="BR392" s="78"/>
      <c r="BS392" s="78"/>
      <c r="BT392" s="70"/>
      <c r="BU392" s="65"/>
      <c r="BV392" s="78"/>
      <c r="BW392" s="78"/>
      <c r="BX392" s="78"/>
      <c r="BY392" s="78"/>
      <c r="BZ392" s="70"/>
      <c r="CA392" s="80"/>
      <c r="CB392" s="78"/>
      <c r="CC392" s="78"/>
      <c r="CD392" s="78"/>
      <c r="CE392" s="78"/>
      <c r="CF392" s="70"/>
    </row>
    <row r="393" spans="1:84" ht="12" customHeight="1">
      <c r="A393" s="2"/>
      <c r="B393" s="64">
        <v>381</v>
      </c>
      <c r="C393" s="65">
        <v>10</v>
      </c>
      <c r="D393" s="66" t="s">
        <v>19</v>
      </c>
      <c r="E393" s="69" t="s">
        <v>139</v>
      </c>
      <c r="F393" s="70">
        <v>6</v>
      </c>
      <c r="G393" s="71">
        <v>2914.6219512195121</v>
      </c>
      <c r="H393" s="72">
        <v>2179.5731707317073</v>
      </c>
      <c r="I393" s="72">
        <v>735.04878048780483</v>
      </c>
      <c r="J393" s="72"/>
      <c r="K393" s="72"/>
      <c r="L393" s="73"/>
      <c r="M393" s="71">
        <v>5829.2439024390242</v>
      </c>
      <c r="N393" s="72">
        <v>4359.1463414634145</v>
      </c>
      <c r="O393" s="72">
        <v>1470.0975609756099</v>
      </c>
      <c r="P393" s="72"/>
      <c r="Q393" s="72"/>
      <c r="R393" s="73"/>
      <c r="S393" s="71">
        <v>2217</v>
      </c>
      <c r="T393" s="72">
        <v>2225</v>
      </c>
      <c r="U393" s="72">
        <v>2250</v>
      </c>
      <c r="V393" s="72">
        <v>2160</v>
      </c>
      <c r="W393" s="72">
        <v>2200</v>
      </c>
      <c r="X393" s="73">
        <v>2250</v>
      </c>
      <c r="Y393" s="71">
        <v>725</v>
      </c>
      <c r="Z393" s="72">
        <v>706</v>
      </c>
      <c r="AA393" s="72">
        <v>697</v>
      </c>
      <c r="AB393" s="72">
        <v>705</v>
      </c>
      <c r="AC393" s="72">
        <v>785</v>
      </c>
      <c r="AD393" s="73">
        <v>732</v>
      </c>
      <c r="AE393" s="71"/>
      <c r="AF393" s="72"/>
      <c r="AG393" s="72"/>
      <c r="AH393" s="72"/>
      <c r="AI393" s="72"/>
      <c r="AJ393" s="73"/>
      <c r="AK393" s="71"/>
      <c r="AL393" s="72"/>
      <c r="AM393" s="72"/>
      <c r="AN393" s="72"/>
      <c r="AO393" s="72"/>
      <c r="AP393" s="73"/>
      <c r="AQ393" s="71"/>
      <c r="AR393" s="72"/>
      <c r="AS393" s="72"/>
      <c r="AT393" s="72"/>
      <c r="AU393" s="72"/>
      <c r="AV393" s="73"/>
      <c r="AW393" s="75">
        <v>0.93933447420282423</v>
      </c>
      <c r="AX393" s="76">
        <v>0.5619270373516283</v>
      </c>
      <c r="AY393" s="76">
        <v>1.11088330913518</v>
      </c>
      <c r="AZ393" s="76">
        <v>-1.7025175837555806</v>
      </c>
      <c r="BA393" s="76">
        <v>2.4146544546211457</v>
      </c>
      <c r="BB393" s="77">
        <v>2.3117251536617367</v>
      </c>
      <c r="BC393" s="65"/>
      <c r="BD393" s="78"/>
      <c r="BE393" s="78"/>
      <c r="BF393" s="78"/>
      <c r="BG393" s="78"/>
      <c r="BH393" s="70"/>
      <c r="BI393" s="65"/>
      <c r="BJ393" s="78"/>
      <c r="BK393" s="78"/>
      <c r="BL393" s="78"/>
      <c r="BM393" s="78"/>
      <c r="BN393" s="70"/>
      <c r="BO393" s="65"/>
      <c r="BP393" s="78"/>
      <c r="BQ393" s="78"/>
      <c r="BR393" s="78"/>
      <c r="BS393" s="78"/>
      <c r="BT393" s="70"/>
      <c r="BU393" s="65"/>
      <c r="BV393" s="78"/>
      <c r="BW393" s="78"/>
      <c r="BX393" s="78"/>
      <c r="BY393" s="78"/>
      <c r="BZ393" s="70"/>
      <c r="CA393" s="80"/>
      <c r="CB393" s="78"/>
      <c r="CC393" s="78"/>
      <c r="CD393" s="78"/>
      <c r="CE393" s="78"/>
      <c r="CF393" s="70"/>
    </row>
    <row r="394" spans="1:84" ht="12" customHeight="1">
      <c r="A394" s="2"/>
      <c r="B394" s="64">
        <v>382</v>
      </c>
      <c r="C394" s="65">
        <v>10</v>
      </c>
      <c r="D394" s="66" t="s">
        <v>19</v>
      </c>
      <c r="E394" s="69" t="s">
        <v>111</v>
      </c>
      <c r="F394" s="70">
        <v>6</v>
      </c>
      <c r="G394" s="71">
        <v>2331.6975609756096</v>
      </c>
      <c r="H394" s="72">
        <v>1743.6585365853657</v>
      </c>
      <c r="I394" s="72">
        <v>588.03902439024387</v>
      </c>
      <c r="J394" s="72"/>
      <c r="K394" s="72"/>
      <c r="L394" s="73"/>
      <c r="M394" s="71">
        <v>4663.3951219512192</v>
      </c>
      <c r="N394" s="72">
        <v>3487.3170731707314</v>
      </c>
      <c r="O394" s="72">
        <v>1176.0780487804877</v>
      </c>
      <c r="P394" s="72"/>
      <c r="Q394" s="72"/>
      <c r="R394" s="73"/>
      <c r="S394" s="71">
        <v>1758</v>
      </c>
      <c r="T394" s="72">
        <v>1730</v>
      </c>
      <c r="U394" s="72">
        <v>1710</v>
      </c>
      <c r="V394" s="72">
        <v>1765</v>
      </c>
      <c r="W394" s="72">
        <v>1785</v>
      </c>
      <c r="X394" s="73">
        <v>1800</v>
      </c>
      <c r="Y394" s="71">
        <v>582.6</v>
      </c>
      <c r="Z394" s="72">
        <v>576</v>
      </c>
      <c r="AA394" s="72">
        <v>608</v>
      </c>
      <c r="AB394" s="72">
        <v>555</v>
      </c>
      <c r="AC394" s="72">
        <v>602</v>
      </c>
      <c r="AD394" s="73">
        <v>572</v>
      </c>
      <c r="AE394" s="71"/>
      <c r="AF394" s="72"/>
      <c r="AG394" s="72"/>
      <c r="AH394" s="72"/>
      <c r="AI394" s="72"/>
      <c r="AJ394" s="73"/>
      <c r="AK394" s="71"/>
      <c r="AL394" s="72"/>
      <c r="AM394" s="72"/>
      <c r="AN394" s="72"/>
      <c r="AO394" s="72"/>
      <c r="AP394" s="73"/>
      <c r="AQ394" s="71"/>
      <c r="AR394" s="72"/>
      <c r="AS394" s="72"/>
      <c r="AT394" s="72"/>
      <c r="AU394" s="72"/>
      <c r="AV394" s="73"/>
      <c r="AW394" s="75">
        <v>0.3818007606726459</v>
      </c>
      <c r="AX394" s="76">
        <v>-1.1020966614923022</v>
      </c>
      <c r="AY394" s="76">
        <v>-0.58745015669521283</v>
      </c>
      <c r="AZ394" s="76">
        <v>-0.50167573922902386</v>
      </c>
      <c r="BA394" s="76">
        <v>2.3717672458880568</v>
      </c>
      <c r="BB394" s="77">
        <v>1.7284591148917006</v>
      </c>
      <c r="BC394" s="65"/>
      <c r="BD394" s="78"/>
      <c r="BE394" s="78"/>
      <c r="BF394" s="78"/>
      <c r="BG394" s="78"/>
      <c r="BH394" s="70"/>
      <c r="BI394" s="65"/>
      <c r="BJ394" s="78"/>
      <c r="BK394" s="78"/>
      <c r="BL394" s="78"/>
      <c r="BM394" s="78"/>
      <c r="BN394" s="70"/>
      <c r="BO394" s="65"/>
      <c r="BP394" s="78"/>
      <c r="BQ394" s="78"/>
      <c r="BR394" s="78"/>
      <c r="BS394" s="78"/>
      <c r="BT394" s="70"/>
      <c r="BU394" s="65"/>
      <c r="BV394" s="78"/>
      <c r="BW394" s="78"/>
      <c r="BX394" s="78"/>
      <c r="BY394" s="78"/>
      <c r="BZ394" s="70"/>
      <c r="CA394" s="80"/>
      <c r="CB394" s="78"/>
      <c r="CC394" s="78"/>
      <c r="CD394" s="78"/>
      <c r="CE394" s="78"/>
      <c r="CF394" s="70"/>
    </row>
    <row r="395" spans="1:84" ht="12" customHeight="1">
      <c r="A395" s="2"/>
      <c r="B395" s="64">
        <v>383</v>
      </c>
      <c r="C395" s="65">
        <v>10</v>
      </c>
      <c r="D395" s="66" t="s">
        <v>19</v>
      </c>
      <c r="E395" s="69" t="s">
        <v>179</v>
      </c>
      <c r="F395" s="70">
        <v>4</v>
      </c>
      <c r="G395" s="71">
        <v>2042.7926829268292</v>
      </c>
      <c r="H395" s="72">
        <v>1307.7439024390244</v>
      </c>
      <c r="I395" s="72">
        <v>735.04878048780483</v>
      </c>
      <c r="J395" s="72"/>
      <c r="K395" s="72"/>
      <c r="L395" s="73"/>
      <c r="M395" s="71">
        <v>4085.5853658536589</v>
      </c>
      <c r="N395" s="72">
        <v>2615.4878048780488</v>
      </c>
      <c r="O395" s="72">
        <v>1470.0975609756099</v>
      </c>
      <c r="P395" s="72"/>
      <c r="Q395" s="72"/>
      <c r="R395" s="73"/>
      <c r="S395" s="71">
        <v>1306.8</v>
      </c>
      <c r="T395" s="72">
        <v>1344</v>
      </c>
      <c r="U395" s="72">
        <v>1260</v>
      </c>
      <c r="V395" s="72">
        <v>1350</v>
      </c>
      <c r="W395" s="72">
        <v>1290</v>
      </c>
      <c r="X395" s="73">
        <v>1290</v>
      </c>
      <c r="Y395" s="71">
        <v>728</v>
      </c>
      <c r="Z395" s="72">
        <v>721</v>
      </c>
      <c r="AA395" s="72">
        <v>747</v>
      </c>
      <c r="AB395" s="72">
        <v>750</v>
      </c>
      <c r="AC395" s="72">
        <v>710</v>
      </c>
      <c r="AD395" s="73">
        <v>712</v>
      </c>
      <c r="AE395" s="71"/>
      <c r="AF395" s="72"/>
      <c r="AG395" s="72"/>
      <c r="AH395" s="72"/>
      <c r="AI395" s="72"/>
      <c r="AJ395" s="73"/>
      <c r="AK395" s="71"/>
      <c r="AL395" s="72"/>
      <c r="AM395" s="72"/>
      <c r="AN395" s="72"/>
      <c r="AO395" s="72"/>
      <c r="AP395" s="73"/>
      <c r="AQ395" s="71"/>
      <c r="AR395" s="72"/>
      <c r="AS395" s="72"/>
      <c r="AT395" s="72"/>
      <c r="AU395" s="72"/>
      <c r="AV395" s="73"/>
      <c r="AW395" s="75">
        <v>-0.39126255902668383</v>
      </c>
      <c r="AX395" s="76">
        <v>1.0871057674513018</v>
      </c>
      <c r="AY395" s="76">
        <v>-1.752144660883892</v>
      </c>
      <c r="AZ395" s="76">
        <v>2.8004465431708203</v>
      </c>
      <c r="BA395" s="76">
        <v>-2.0948128160277912</v>
      </c>
      <c r="BB395" s="77">
        <v>-1.9969076288438248</v>
      </c>
      <c r="BC395" s="65"/>
      <c r="BD395" s="78"/>
      <c r="BE395" s="78"/>
      <c r="BF395" s="78"/>
      <c r="BG395" s="78"/>
      <c r="BH395" s="70"/>
      <c r="BI395" s="65"/>
      <c r="BJ395" s="78"/>
      <c r="BK395" s="78"/>
      <c r="BL395" s="78"/>
      <c r="BM395" s="78"/>
      <c r="BN395" s="70"/>
      <c r="BO395" s="65"/>
      <c r="BP395" s="78"/>
      <c r="BQ395" s="78"/>
      <c r="BR395" s="78"/>
      <c r="BS395" s="78"/>
      <c r="BT395" s="70"/>
      <c r="BU395" s="65"/>
      <c r="BV395" s="78"/>
      <c r="BW395" s="78"/>
      <c r="BX395" s="78"/>
      <c r="BY395" s="78"/>
      <c r="BZ395" s="70"/>
      <c r="CA395" s="80"/>
      <c r="CB395" s="78"/>
      <c r="CC395" s="78"/>
      <c r="CD395" s="78"/>
      <c r="CE395" s="78"/>
      <c r="CF395" s="70"/>
    </row>
    <row r="396" spans="1:84" ht="12" customHeight="1">
      <c r="A396" s="2"/>
      <c r="B396" s="64">
        <v>384</v>
      </c>
      <c r="C396" s="65">
        <v>10</v>
      </c>
      <c r="D396" s="66" t="s">
        <v>19</v>
      </c>
      <c r="E396" s="69" t="s">
        <v>145</v>
      </c>
      <c r="F396" s="70">
        <v>6</v>
      </c>
      <c r="G396" s="71">
        <v>2914.6219512195121</v>
      </c>
      <c r="H396" s="72">
        <v>2179.5731707317073</v>
      </c>
      <c r="I396" s="72">
        <v>735.04878048780483</v>
      </c>
      <c r="J396" s="72"/>
      <c r="K396" s="72"/>
      <c r="L396" s="73"/>
      <c r="M396" s="71">
        <v>5829.2439024390242</v>
      </c>
      <c r="N396" s="72">
        <v>4359.1463414634145</v>
      </c>
      <c r="O396" s="72">
        <v>1470.0975609756099</v>
      </c>
      <c r="P396" s="72"/>
      <c r="Q396" s="72"/>
      <c r="R396" s="73"/>
      <c r="S396" s="71">
        <v>2217</v>
      </c>
      <c r="T396" s="72">
        <v>2225</v>
      </c>
      <c r="U396" s="72">
        <v>2250</v>
      </c>
      <c r="V396" s="72">
        <v>2160</v>
      </c>
      <c r="W396" s="72">
        <v>2200</v>
      </c>
      <c r="X396" s="73">
        <v>2250</v>
      </c>
      <c r="Y396" s="71">
        <v>725</v>
      </c>
      <c r="Z396" s="72">
        <v>706</v>
      </c>
      <c r="AA396" s="72">
        <v>697</v>
      </c>
      <c r="AB396" s="72">
        <v>705</v>
      </c>
      <c r="AC396" s="72">
        <v>785</v>
      </c>
      <c r="AD396" s="73">
        <v>732</v>
      </c>
      <c r="AE396" s="71"/>
      <c r="AF396" s="72"/>
      <c r="AG396" s="72"/>
      <c r="AH396" s="72"/>
      <c r="AI396" s="72"/>
      <c r="AJ396" s="73"/>
      <c r="AK396" s="71"/>
      <c r="AL396" s="72"/>
      <c r="AM396" s="72"/>
      <c r="AN396" s="72"/>
      <c r="AO396" s="72"/>
      <c r="AP396" s="73"/>
      <c r="AQ396" s="71"/>
      <c r="AR396" s="72"/>
      <c r="AS396" s="72"/>
      <c r="AT396" s="72"/>
      <c r="AU396" s="72"/>
      <c r="AV396" s="73"/>
      <c r="AW396" s="75">
        <v>0.93933447420282423</v>
      </c>
      <c r="AX396" s="76">
        <v>0.5619270373516283</v>
      </c>
      <c r="AY396" s="76">
        <v>1.11088330913518</v>
      </c>
      <c r="AZ396" s="76">
        <v>-1.7025175837555806</v>
      </c>
      <c r="BA396" s="76">
        <v>2.4146544546211457</v>
      </c>
      <c r="BB396" s="77">
        <v>2.3117251536617367</v>
      </c>
      <c r="BC396" s="65"/>
      <c r="BD396" s="78"/>
      <c r="BE396" s="78"/>
      <c r="BF396" s="78"/>
      <c r="BG396" s="78"/>
      <c r="BH396" s="70"/>
      <c r="BI396" s="65"/>
      <c r="BJ396" s="78"/>
      <c r="BK396" s="78"/>
      <c r="BL396" s="78"/>
      <c r="BM396" s="78"/>
      <c r="BN396" s="70"/>
      <c r="BO396" s="65"/>
      <c r="BP396" s="78"/>
      <c r="BQ396" s="78"/>
      <c r="BR396" s="78"/>
      <c r="BS396" s="78"/>
      <c r="BT396" s="70"/>
      <c r="BU396" s="65"/>
      <c r="BV396" s="78"/>
      <c r="BW396" s="78"/>
      <c r="BX396" s="78"/>
      <c r="BY396" s="78"/>
      <c r="BZ396" s="70"/>
      <c r="CA396" s="80"/>
      <c r="CB396" s="78"/>
      <c r="CC396" s="78"/>
      <c r="CD396" s="78"/>
      <c r="CE396" s="78"/>
      <c r="CF396" s="70"/>
    </row>
    <row r="397" spans="1:84" ht="12" customHeight="1">
      <c r="A397" s="2"/>
      <c r="B397" s="64">
        <v>385</v>
      </c>
      <c r="C397" s="65">
        <v>10</v>
      </c>
      <c r="D397" s="66" t="s">
        <v>20</v>
      </c>
      <c r="E397" s="69" t="s">
        <v>67</v>
      </c>
      <c r="F397" s="70"/>
      <c r="G397" s="71">
        <v>1006.9365853658537</v>
      </c>
      <c r="H397" s="72">
        <v>502.95609756097559</v>
      </c>
      <c r="I397" s="72">
        <v>503.98048780487807</v>
      </c>
      <c r="J397" s="72"/>
      <c r="K397" s="72"/>
      <c r="L397" s="73"/>
      <c r="M397" s="71">
        <v>2013.8731707317074</v>
      </c>
      <c r="N397" s="72">
        <v>1005.9121951219512</v>
      </c>
      <c r="O397" s="72">
        <v>1007.9609756097561</v>
      </c>
      <c r="P397" s="72"/>
      <c r="Q397" s="72"/>
      <c r="R397" s="73"/>
      <c r="S397" s="71">
        <v>505.8</v>
      </c>
      <c r="T397" s="72">
        <v>498</v>
      </c>
      <c r="U397" s="72">
        <v>510</v>
      </c>
      <c r="V397" s="72">
        <v>607</v>
      </c>
      <c r="W397" s="72">
        <v>398</v>
      </c>
      <c r="X397" s="73">
        <v>516</v>
      </c>
      <c r="Y397" s="71">
        <v>492.8</v>
      </c>
      <c r="Z397" s="72">
        <v>468</v>
      </c>
      <c r="AA397" s="72">
        <v>504</v>
      </c>
      <c r="AB397" s="72">
        <v>504</v>
      </c>
      <c r="AC397" s="72">
        <v>498</v>
      </c>
      <c r="AD397" s="73">
        <v>490</v>
      </c>
      <c r="AE397" s="71"/>
      <c r="AF397" s="72"/>
      <c r="AG397" s="72"/>
      <c r="AH397" s="72"/>
      <c r="AI397" s="72"/>
      <c r="AJ397" s="73"/>
      <c r="AK397" s="71"/>
      <c r="AL397" s="72"/>
      <c r="AM397" s="72"/>
      <c r="AN397" s="72"/>
      <c r="AO397" s="72"/>
      <c r="AP397" s="73"/>
      <c r="AQ397" s="71"/>
      <c r="AR397" s="72"/>
      <c r="AS397" s="72"/>
      <c r="AT397" s="72"/>
      <c r="AU397" s="72"/>
      <c r="AV397" s="73"/>
      <c r="AW397" s="75">
        <v>-0.82791562914805716</v>
      </c>
      <c r="AX397" s="76">
        <v>-4.0654581391518452</v>
      </c>
      <c r="AY397" s="76">
        <v>0.70147561790894208</v>
      </c>
      <c r="AZ397" s="76">
        <v>10.334654251969265</v>
      </c>
      <c r="BA397" s="76">
        <v>-11.017236534865471</v>
      </c>
      <c r="BB397" s="77">
        <v>-9.3013341601189126E-2</v>
      </c>
      <c r="BC397" s="65"/>
      <c r="BD397" s="78"/>
      <c r="BE397" s="78"/>
      <c r="BF397" s="78"/>
      <c r="BG397" s="78"/>
      <c r="BH397" s="70"/>
      <c r="BI397" s="65"/>
      <c r="BJ397" s="78"/>
      <c r="BK397" s="78"/>
      <c r="BL397" s="78"/>
      <c r="BM397" s="78"/>
      <c r="BN397" s="70"/>
      <c r="BO397" s="65"/>
      <c r="BP397" s="78"/>
      <c r="BQ397" s="78"/>
      <c r="BR397" s="78"/>
      <c r="BS397" s="78"/>
      <c r="BT397" s="70"/>
      <c r="BU397" s="65"/>
      <c r="BV397" s="78"/>
      <c r="BW397" s="78"/>
      <c r="BX397" s="78"/>
      <c r="BY397" s="78"/>
      <c r="BZ397" s="70"/>
      <c r="CA397" s="80"/>
      <c r="CB397" s="78"/>
      <c r="CC397" s="78"/>
      <c r="CD397" s="78"/>
      <c r="CE397" s="78"/>
      <c r="CF397" s="70"/>
    </row>
    <row r="398" spans="1:84" ht="12" customHeight="1">
      <c r="A398" s="2"/>
      <c r="B398" s="64">
        <v>386</v>
      </c>
      <c r="C398" s="65">
        <v>10</v>
      </c>
      <c r="D398" s="66" t="s">
        <v>20</v>
      </c>
      <c r="E398" s="69" t="s">
        <v>148</v>
      </c>
      <c r="F398" s="70"/>
      <c r="G398" s="71">
        <v>1006.9365853658537</v>
      </c>
      <c r="H398" s="72">
        <v>502.95609756097559</v>
      </c>
      <c r="I398" s="72">
        <v>503.98048780487807</v>
      </c>
      <c r="J398" s="72"/>
      <c r="K398" s="72"/>
      <c r="L398" s="73"/>
      <c r="M398" s="71">
        <v>2013.8731707317074</v>
      </c>
      <c r="N398" s="72">
        <v>1005.9121951219512</v>
      </c>
      <c r="O398" s="72">
        <v>1007.9609756097561</v>
      </c>
      <c r="P398" s="72"/>
      <c r="Q398" s="72"/>
      <c r="R398" s="73"/>
      <c r="S398" s="71">
        <v>505.8</v>
      </c>
      <c r="T398" s="72">
        <v>498</v>
      </c>
      <c r="U398" s="72">
        <v>510</v>
      </c>
      <c r="V398" s="72">
        <v>607</v>
      </c>
      <c r="W398" s="72">
        <v>398</v>
      </c>
      <c r="X398" s="73">
        <v>516</v>
      </c>
      <c r="Y398" s="71">
        <v>492.8</v>
      </c>
      <c r="Z398" s="72">
        <v>468</v>
      </c>
      <c r="AA398" s="72">
        <v>504</v>
      </c>
      <c r="AB398" s="72">
        <v>504</v>
      </c>
      <c r="AC398" s="72">
        <v>498</v>
      </c>
      <c r="AD398" s="73">
        <v>490</v>
      </c>
      <c r="AE398" s="71"/>
      <c r="AF398" s="72"/>
      <c r="AG398" s="72"/>
      <c r="AH398" s="72"/>
      <c r="AI398" s="72"/>
      <c r="AJ398" s="73"/>
      <c r="AK398" s="71"/>
      <c r="AL398" s="72"/>
      <c r="AM398" s="72"/>
      <c r="AN398" s="72"/>
      <c r="AO398" s="72"/>
      <c r="AP398" s="73"/>
      <c r="AQ398" s="71"/>
      <c r="AR398" s="72"/>
      <c r="AS398" s="72"/>
      <c r="AT398" s="72"/>
      <c r="AU398" s="72"/>
      <c r="AV398" s="73"/>
      <c r="AW398" s="75">
        <v>-0.82791562914805716</v>
      </c>
      <c r="AX398" s="76">
        <v>-4.0654581391518452</v>
      </c>
      <c r="AY398" s="76">
        <v>0.70147561790894208</v>
      </c>
      <c r="AZ398" s="76">
        <v>10.334654251969265</v>
      </c>
      <c r="BA398" s="76">
        <v>-11.017236534865471</v>
      </c>
      <c r="BB398" s="77">
        <v>-9.3013341601189126E-2</v>
      </c>
      <c r="BC398" s="65"/>
      <c r="BD398" s="78"/>
      <c r="BE398" s="78"/>
      <c r="BF398" s="78"/>
      <c r="BG398" s="78"/>
      <c r="BH398" s="70"/>
      <c r="BI398" s="65"/>
      <c r="BJ398" s="78"/>
      <c r="BK398" s="78"/>
      <c r="BL398" s="78"/>
      <c r="BM398" s="78"/>
      <c r="BN398" s="70"/>
      <c r="BO398" s="65"/>
      <c r="BP398" s="78"/>
      <c r="BQ398" s="78"/>
      <c r="BR398" s="78"/>
      <c r="BS398" s="78"/>
      <c r="BT398" s="70"/>
      <c r="BU398" s="65"/>
      <c r="BV398" s="78"/>
      <c r="BW398" s="78"/>
      <c r="BX398" s="78"/>
      <c r="BY398" s="78"/>
      <c r="BZ398" s="70"/>
      <c r="CA398" s="80"/>
      <c r="CB398" s="78"/>
      <c r="CC398" s="78"/>
      <c r="CD398" s="78"/>
      <c r="CE398" s="78"/>
      <c r="CF398" s="70"/>
    </row>
    <row r="399" spans="1:84" ht="12" customHeight="1">
      <c r="A399" s="2"/>
      <c r="B399" s="64">
        <v>387</v>
      </c>
      <c r="C399" s="65">
        <v>10</v>
      </c>
      <c r="D399" s="66" t="s">
        <v>20</v>
      </c>
      <c r="E399" s="69" t="s">
        <v>79</v>
      </c>
      <c r="F399" s="70"/>
      <c r="G399" s="71">
        <v>1006.9365853658537</v>
      </c>
      <c r="H399" s="72">
        <v>502.95609756097559</v>
      </c>
      <c r="I399" s="72">
        <v>503.98048780487807</v>
      </c>
      <c r="J399" s="72"/>
      <c r="K399" s="72"/>
      <c r="L399" s="73"/>
      <c r="M399" s="71">
        <v>2013.8731707317074</v>
      </c>
      <c r="N399" s="72">
        <v>1005.9121951219512</v>
      </c>
      <c r="O399" s="72">
        <v>1007.9609756097561</v>
      </c>
      <c r="P399" s="72"/>
      <c r="Q399" s="72"/>
      <c r="R399" s="73"/>
      <c r="S399" s="71">
        <v>505.8</v>
      </c>
      <c r="T399" s="72">
        <v>498</v>
      </c>
      <c r="U399" s="72">
        <v>510</v>
      </c>
      <c r="V399" s="72">
        <v>607</v>
      </c>
      <c r="W399" s="72">
        <v>398</v>
      </c>
      <c r="X399" s="73">
        <v>516</v>
      </c>
      <c r="Y399" s="71">
        <v>492.8</v>
      </c>
      <c r="Z399" s="72">
        <v>468</v>
      </c>
      <c r="AA399" s="72">
        <v>504</v>
      </c>
      <c r="AB399" s="72">
        <v>504</v>
      </c>
      <c r="AC399" s="72">
        <v>498</v>
      </c>
      <c r="AD399" s="73">
        <v>490</v>
      </c>
      <c r="AE399" s="71"/>
      <c r="AF399" s="72"/>
      <c r="AG399" s="72"/>
      <c r="AH399" s="72"/>
      <c r="AI399" s="72"/>
      <c r="AJ399" s="73"/>
      <c r="AK399" s="71"/>
      <c r="AL399" s="72"/>
      <c r="AM399" s="72"/>
      <c r="AN399" s="72"/>
      <c r="AO399" s="72"/>
      <c r="AP399" s="73"/>
      <c r="AQ399" s="71"/>
      <c r="AR399" s="72"/>
      <c r="AS399" s="72"/>
      <c r="AT399" s="72"/>
      <c r="AU399" s="72"/>
      <c r="AV399" s="73"/>
      <c r="AW399" s="75">
        <v>-0.82791562914805716</v>
      </c>
      <c r="AX399" s="76">
        <v>-4.0654581391518452</v>
      </c>
      <c r="AY399" s="76">
        <v>0.70147561790894208</v>
      </c>
      <c r="AZ399" s="76">
        <v>10.334654251969265</v>
      </c>
      <c r="BA399" s="76">
        <v>-11.017236534865471</v>
      </c>
      <c r="BB399" s="77">
        <v>-9.3013341601189126E-2</v>
      </c>
      <c r="BC399" s="65"/>
      <c r="BD399" s="78"/>
      <c r="BE399" s="78"/>
      <c r="BF399" s="78"/>
      <c r="BG399" s="78"/>
      <c r="BH399" s="70"/>
      <c r="BI399" s="65"/>
      <c r="BJ399" s="78"/>
      <c r="BK399" s="78"/>
      <c r="BL399" s="78"/>
      <c r="BM399" s="78"/>
      <c r="BN399" s="70"/>
      <c r="BO399" s="65"/>
      <c r="BP399" s="78"/>
      <c r="BQ399" s="78"/>
      <c r="BR399" s="78"/>
      <c r="BS399" s="78"/>
      <c r="BT399" s="70"/>
      <c r="BU399" s="65"/>
      <c r="BV399" s="78"/>
      <c r="BW399" s="78"/>
      <c r="BX399" s="78"/>
      <c r="BY399" s="78"/>
      <c r="BZ399" s="70"/>
      <c r="CA399" s="80"/>
      <c r="CB399" s="78"/>
      <c r="CC399" s="78"/>
      <c r="CD399" s="78"/>
      <c r="CE399" s="78"/>
      <c r="CF399" s="70"/>
    </row>
    <row r="400" spans="1:84" ht="12" customHeight="1">
      <c r="A400" s="2"/>
      <c r="B400" s="64">
        <v>388</v>
      </c>
      <c r="C400" s="65">
        <v>10</v>
      </c>
      <c r="D400" s="66" t="s">
        <v>20</v>
      </c>
      <c r="E400" s="69" t="s">
        <v>136</v>
      </c>
      <c r="F400" s="70"/>
      <c r="G400" s="71">
        <v>1006.9365853658537</v>
      </c>
      <c r="H400" s="72">
        <v>502.95609756097559</v>
      </c>
      <c r="I400" s="72">
        <v>503.98048780487807</v>
      </c>
      <c r="J400" s="72"/>
      <c r="K400" s="72"/>
      <c r="L400" s="73"/>
      <c r="M400" s="71">
        <v>2013.8731707317074</v>
      </c>
      <c r="N400" s="72">
        <v>1005.9121951219512</v>
      </c>
      <c r="O400" s="72">
        <v>1007.9609756097561</v>
      </c>
      <c r="P400" s="72"/>
      <c r="Q400" s="72"/>
      <c r="R400" s="73"/>
      <c r="S400" s="71">
        <v>505.8</v>
      </c>
      <c r="T400" s="72">
        <v>498</v>
      </c>
      <c r="U400" s="72">
        <v>510</v>
      </c>
      <c r="V400" s="72">
        <v>607</v>
      </c>
      <c r="W400" s="72">
        <v>398</v>
      </c>
      <c r="X400" s="73">
        <v>516</v>
      </c>
      <c r="Y400" s="71">
        <v>492.8</v>
      </c>
      <c r="Z400" s="72">
        <v>468</v>
      </c>
      <c r="AA400" s="72">
        <v>504</v>
      </c>
      <c r="AB400" s="72">
        <v>504</v>
      </c>
      <c r="AC400" s="72">
        <v>498</v>
      </c>
      <c r="AD400" s="73">
        <v>490</v>
      </c>
      <c r="AE400" s="71"/>
      <c r="AF400" s="72"/>
      <c r="AG400" s="72"/>
      <c r="AH400" s="72"/>
      <c r="AI400" s="72"/>
      <c r="AJ400" s="73"/>
      <c r="AK400" s="71"/>
      <c r="AL400" s="72"/>
      <c r="AM400" s="72"/>
      <c r="AN400" s="72"/>
      <c r="AO400" s="72"/>
      <c r="AP400" s="73"/>
      <c r="AQ400" s="71"/>
      <c r="AR400" s="72"/>
      <c r="AS400" s="72"/>
      <c r="AT400" s="72"/>
      <c r="AU400" s="72"/>
      <c r="AV400" s="73"/>
      <c r="AW400" s="75">
        <v>-0.82791562914805716</v>
      </c>
      <c r="AX400" s="76">
        <v>-4.0654581391518452</v>
      </c>
      <c r="AY400" s="76">
        <v>0.70147561790894208</v>
      </c>
      <c r="AZ400" s="76">
        <v>10.334654251969265</v>
      </c>
      <c r="BA400" s="76">
        <v>-11.017236534865471</v>
      </c>
      <c r="BB400" s="77">
        <v>-9.3013341601189126E-2</v>
      </c>
      <c r="BC400" s="65"/>
      <c r="BD400" s="78"/>
      <c r="BE400" s="78"/>
      <c r="BF400" s="78"/>
      <c r="BG400" s="78"/>
      <c r="BH400" s="70"/>
      <c r="BI400" s="65"/>
      <c r="BJ400" s="78"/>
      <c r="BK400" s="78"/>
      <c r="BL400" s="78"/>
      <c r="BM400" s="78"/>
      <c r="BN400" s="70"/>
      <c r="BO400" s="65"/>
      <c r="BP400" s="78"/>
      <c r="BQ400" s="78"/>
      <c r="BR400" s="78"/>
      <c r="BS400" s="78"/>
      <c r="BT400" s="70"/>
      <c r="BU400" s="65"/>
      <c r="BV400" s="78"/>
      <c r="BW400" s="78"/>
      <c r="BX400" s="78"/>
      <c r="BY400" s="78"/>
      <c r="BZ400" s="70"/>
      <c r="CA400" s="80"/>
      <c r="CB400" s="78"/>
      <c r="CC400" s="78"/>
      <c r="CD400" s="78"/>
      <c r="CE400" s="78"/>
      <c r="CF400" s="70"/>
    </row>
    <row r="401" spans="1:84" ht="12" customHeight="1">
      <c r="A401" s="2"/>
      <c r="B401" s="64">
        <v>389</v>
      </c>
      <c r="C401" s="65">
        <v>10</v>
      </c>
      <c r="D401" s="66" t="s">
        <v>20</v>
      </c>
      <c r="E401" s="69" t="s">
        <v>89</v>
      </c>
      <c r="F401" s="70"/>
      <c r="G401" s="71">
        <v>1258.4146341463415</v>
      </c>
      <c r="H401" s="72">
        <v>754.43414634146336</v>
      </c>
      <c r="I401" s="72">
        <v>503.98048780487807</v>
      </c>
      <c r="J401" s="72"/>
      <c r="K401" s="72"/>
      <c r="L401" s="73"/>
      <c r="M401" s="71">
        <v>2516.8292682926831</v>
      </c>
      <c r="N401" s="72">
        <v>1508.8682926829267</v>
      </c>
      <c r="O401" s="72">
        <v>1007.9609756097561</v>
      </c>
      <c r="P401" s="72"/>
      <c r="Q401" s="72"/>
      <c r="R401" s="73"/>
      <c r="S401" s="71">
        <v>761.2</v>
      </c>
      <c r="T401" s="72">
        <v>732</v>
      </c>
      <c r="U401" s="72">
        <v>767</v>
      </c>
      <c r="V401" s="72">
        <v>767</v>
      </c>
      <c r="W401" s="72">
        <v>794</v>
      </c>
      <c r="X401" s="73">
        <v>746</v>
      </c>
      <c r="Y401" s="71">
        <v>496.4</v>
      </c>
      <c r="Z401" s="72">
        <v>496</v>
      </c>
      <c r="AA401" s="72">
        <v>493</v>
      </c>
      <c r="AB401" s="72">
        <v>492</v>
      </c>
      <c r="AC401" s="72">
        <v>489</v>
      </c>
      <c r="AD401" s="73">
        <v>512</v>
      </c>
      <c r="AE401" s="71"/>
      <c r="AF401" s="72"/>
      <c r="AG401" s="72"/>
      <c r="AH401" s="72"/>
      <c r="AI401" s="72"/>
      <c r="AJ401" s="73"/>
      <c r="AK401" s="71"/>
      <c r="AL401" s="72"/>
      <c r="AM401" s="72"/>
      <c r="AN401" s="72"/>
      <c r="AO401" s="72"/>
      <c r="AP401" s="73"/>
      <c r="AQ401" s="71"/>
      <c r="AR401" s="72"/>
      <c r="AS401" s="72"/>
      <c r="AT401" s="72"/>
      <c r="AU401" s="72"/>
      <c r="AV401" s="73"/>
      <c r="AW401" s="75">
        <v>-6.4734954937506473E-2</v>
      </c>
      <c r="AX401" s="76">
        <v>-2.4169008624866817</v>
      </c>
      <c r="AY401" s="76">
        <v>0.12598119972864197</v>
      </c>
      <c r="AZ401" s="76">
        <v>4.6516135284413451E-2</v>
      </c>
      <c r="BA401" s="76">
        <v>1.9536776819459201</v>
      </c>
      <c r="BB401" s="77">
        <v>-3.2948929159803964E-2</v>
      </c>
      <c r="BC401" s="65"/>
      <c r="BD401" s="78"/>
      <c r="BE401" s="78"/>
      <c r="BF401" s="78"/>
      <c r="BG401" s="78"/>
      <c r="BH401" s="70"/>
      <c r="BI401" s="65"/>
      <c r="BJ401" s="78"/>
      <c r="BK401" s="78"/>
      <c r="BL401" s="78"/>
      <c r="BM401" s="78"/>
      <c r="BN401" s="70"/>
      <c r="BO401" s="65"/>
      <c r="BP401" s="78"/>
      <c r="BQ401" s="78"/>
      <c r="BR401" s="78"/>
      <c r="BS401" s="78"/>
      <c r="BT401" s="70"/>
      <c r="BU401" s="65"/>
      <c r="BV401" s="78"/>
      <c r="BW401" s="78"/>
      <c r="BX401" s="78"/>
      <c r="BY401" s="78"/>
      <c r="BZ401" s="70"/>
      <c r="CA401" s="80"/>
      <c r="CB401" s="78"/>
      <c r="CC401" s="78"/>
      <c r="CD401" s="78"/>
      <c r="CE401" s="78"/>
      <c r="CF401" s="70"/>
    </row>
    <row r="402" spans="1:84" ht="12" customHeight="1">
      <c r="A402" s="2"/>
      <c r="B402" s="64">
        <v>390</v>
      </c>
      <c r="C402" s="65">
        <v>10</v>
      </c>
      <c r="D402" s="66" t="s">
        <v>20</v>
      </c>
      <c r="E402" s="69" t="s">
        <v>144</v>
      </c>
      <c r="F402" s="70"/>
      <c r="G402" s="71">
        <v>1510.9170731707318</v>
      </c>
      <c r="H402" s="72">
        <v>502.95609756097559</v>
      </c>
      <c r="I402" s="72">
        <v>1007.9609756097561</v>
      </c>
      <c r="J402" s="72"/>
      <c r="K402" s="72"/>
      <c r="L402" s="73"/>
      <c r="M402" s="71">
        <v>3021.8341463414636</v>
      </c>
      <c r="N402" s="72">
        <v>1005.9121951219512</v>
      </c>
      <c r="O402" s="72">
        <v>2015.9219512195123</v>
      </c>
      <c r="P402" s="72"/>
      <c r="Q402" s="72"/>
      <c r="R402" s="73"/>
      <c r="S402" s="71">
        <v>512</v>
      </c>
      <c r="T402" s="72">
        <v>463</v>
      </c>
      <c r="U402" s="72">
        <v>575</v>
      </c>
      <c r="V402" s="72">
        <v>512</v>
      </c>
      <c r="W402" s="72">
        <v>509</v>
      </c>
      <c r="X402" s="73">
        <v>501</v>
      </c>
      <c r="Y402" s="71">
        <v>1018.4</v>
      </c>
      <c r="Z402" s="72">
        <v>1036</v>
      </c>
      <c r="AA402" s="72">
        <v>983</v>
      </c>
      <c r="AB402" s="72">
        <v>996</v>
      </c>
      <c r="AC402" s="72">
        <v>1043</v>
      </c>
      <c r="AD402" s="73">
        <v>1034</v>
      </c>
      <c r="AE402" s="71"/>
      <c r="AF402" s="72"/>
      <c r="AG402" s="72"/>
      <c r="AH402" s="72"/>
      <c r="AI402" s="72"/>
      <c r="AJ402" s="73"/>
      <c r="AK402" s="71"/>
      <c r="AL402" s="72"/>
      <c r="AM402" s="72"/>
      <c r="AN402" s="72"/>
      <c r="AO402" s="72"/>
      <c r="AP402" s="73"/>
      <c r="AQ402" s="71"/>
      <c r="AR402" s="72"/>
      <c r="AS402" s="72"/>
      <c r="AT402" s="72"/>
      <c r="AU402" s="72"/>
      <c r="AV402" s="73"/>
      <c r="AW402" s="75">
        <v>1.2894769127456129</v>
      </c>
      <c r="AX402" s="76">
        <v>-0.78873112114109523</v>
      </c>
      <c r="AY402" s="76">
        <v>3.1161820635504878</v>
      </c>
      <c r="AZ402" s="76">
        <v>-0.19306639805255488</v>
      </c>
      <c r="BA402" s="76">
        <v>2.7190722481581053</v>
      </c>
      <c r="BB402" s="77">
        <v>1.5939277712130773</v>
      </c>
      <c r="BC402" s="65"/>
      <c r="BD402" s="78"/>
      <c r="BE402" s="78"/>
      <c r="BF402" s="78"/>
      <c r="BG402" s="78"/>
      <c r="BH402" s="70"/>
      <c r="BI402" s="65"/>
      <c r="BJ402" s="78"/>
      <c r="BK402" s="78"/>
      <c r="BL402" s="78"/>
      <c r="BM402" s="78"/>
      <c r="BN402" s="70"/>
      <c r="BO402" s="65"/>
      <c r="BP402" s="78"/>
      <c r="BQ402" s="78"/>
      <c r="BR402" s="78"/>
      <c r="BS402" s="78"/>
      <c r="BT402" s="70"/>
      <c r="BU402" s="65"/>
      <c r="BV402" s="78"/>
      <c r="BW402" s="78"/>
      <c r="BX402" s="78"/>
      <c r="BY402" s="78"/>
      <c r="BZ402" s="70"/>
      <c r="CA402" s="80"/>
      <c r="CB402" s="78"/>
      <c r="CC402" s="78"/>
      <c r="CD402" s="78"/>
      <c r="CE402" s="78"/>
      <c r="CF402" s="70"/>
    </row>
    <row r="403" spans="1:84" ht="12" customHeight="1">
      <c r="A403" s="2"/>
      <c r="B403" s="64">
        <v>391</v>
      </c>
      <c r="C403" s="65">
        <v>10</v>
      </c>
      <c r="D403" s="66" t="s">
        <v>20</v>
      </c>
      <c r="E403" s="69" t="s">
        <v>92</v>
      </c>
      <c r="F403" s="70"/>
      <c r="G403" s="71">
        <v>1510.9170731707318</v>
      </c>
      <c r="H403" s="72">
        <v>502.95609756097559</v>
      </c>
      <c r="I403" s="72">
        <v>1007.9609756097561</v>
      </c>
      <c r="J403" s="72"/>
      <c r="K403" s="72"/>
      <c r="L403" s="73"/>
      <c r="M403" s="71">
        <v>3021.8341463414636</v>
      </c>
      <c r="N403" s="72">
        <v>1005.9121951219512</v>
      </c>
      <c r="O403" s="72">
        <v>2015.9219512195123</v>
      </c>
      <c r="P403" s="72"/>
      <c r="Q403" s="72"/>
      <c r="R403" s="73"/>
      <c r="S403" s="71">
        <v>502</v>
      </c>
      <c r="T403" s="72">
        <v>493</v>
      </c>
      <c r="U403" s="72">
        <v>502</v>
      </c>
      <c r="V403" s="72">
        <v>514</v>
      </c>
      <c r="W403" s="72">
        <v>499</v>
      </c>
      <c r="X403" s="73">
        <v>502</v>
      </c>
      <c r="Y403" s="71">
        <v>1030</v>
      </c>
      <c r="Z403" s="72">
        <v>1044</v>
      </c>
      <c r="AA403" s="72">
        <v>1068</v>
      </c>
      <c r="AB403" s="72">
        <v>1046</v>
      </c>
      <c r="AC403" s="72">
        <v>996</v>
      </c>
      <c r="AD403" s="73">
        <v>996</v>
      </c>
      <c r="AE403" s="71"/>
      <c r="AF403" s="72"/>
      <c r="AG403" s="72"/>
      <c r="AH403" s="72"/>
      <c r="AI403" s="72"/>
      <c r="AJ403" s="73"/>
      <c r="AK403" s="71"/>
      <c r="AL403" s="72"/>
      <c r="AM403" s="72"/>
      <c r="AN403" s="72"/>
      <c r="AO403" s="72"/>
      <c r="AP403" s="73"/>
      <c r="AQ403" s="71"/>
      <c r="AR403" s="72"/>
      <c r="AS403" s="72"/>
      <c r="AT403" s="72"/>
      <c r="AU403" s="72"/>
      <c r="AV403" s="73"/>
      <c r="AW403" s="75">
        <v>1.3953728635168972</v>
      </c>
      <c r="AX403" s="76">
        <v>1.7262977096772048</v>
      </c>
      <c r="AY403" s="76">
        <v>3.9104016943352082</v>
      </c>
      <c r="AZ403" s="76">
        <v>3.248552002014593</v>
      </c>
      <c r="BA403" s="76">
        <v>-1.0534709980693391</v>
      </c>
      <c r="BB403" s="77">
        <v>-0.85491609037315897</v>
      </c>
      <c r="BC403" s="65"/>
      <c r="BD403" s="78"/>
      <c r="BE403" s="78"/>
      <c r="BF403" s="78"/>
      <c r="BG403" s="78"/>
      <c r="BH403" s="70"/>
      <c r="BI403" s="65"/>
      <c r="BJ403" s="78"/>
      <c r="BK403" s="78"/>
      <c r="BL403" s="78"/>
      <c r="BM403" s="78"/>
      <c r="BN403" s="70"/>
      <c r="BO403" s="65"/>
      <c r="BP403" s="78"/>
      <c r="BQ403" s="78"/>
      <c r="BR403" s="78"/>
      <c r="BS403" s="78"/>
      <c r="BT403" s="70"/>
      <c r="BU403" s="65"/>
      <c r="BV403" s="78"/>
      <c r="BW403" s="78"/>
      <c r="BX403" s="78"/>
      <c r="BY403" s="78"/>
      <c r="BZ403" s="70"/>
      <c r="CA403" s="80"/>
      <c r="CB403" s="78"/>
      <c r="CC403" s="78"/>
      <c r="CD403" s="78"/>
      <c r="CE403" s="78"/>
      <c r="CF403" s="70"/>
    </row>
    <row r="404" spans="1:84" ht="12" customHeight="1">
      <c r="A404" s="2"/>
      <c r="B404" s="64">
        <v>392</v>
      </c>
      <c r="C404" s="65">
        <v>10</v>
      </c>
      <c r="D404" s="66" t="s">
        <v>20</v>
      </c>
      <c r="E404" s="69" t="s">
        <v>138</v>
      </c>
      <c r="F404" s="70"/>
      <c r="G404" s="71">
        <v>1510.9170731707318</v>
      </c>
      <c r="H404" s="72">
        <v>502.95609756097559</v>
      </c>
      <c r="I404" s="72">
        <v>1007.9609756097561</v>
      </c>
      <c r="J404" s="72"/>
      <c r="K404" s="72"/>
      <c r="L404" s="73"/>
      <c r="M404" s="71">
        <v>3021.8341463414636</v>
      </c>
      <c r="N404" s="72">
        <v>1005.9121951219512</v>
      </c>
      <c r="O404" s="72">
        <v>2015.9219512195123</v>
      </c>
      <c r="P404" s="72"/>
      <c r="Q404" s="72"/>
      <c r="R404" s="73"/>
      <c r="S404" s="71">
        <v>512</v>
      </c>
      <c r="T404" s="72">
        <v>463</v>
      </c>
      <c r="U404" s="72">
        <v>575</v>
      </c>
      <c r="V404" s="72">
        <v>512</v>
      </c>
      <c r="W404" s="72">
        <v>509</v>
      </c>
      <c r="X404" s="73">
        <v>501</v>
      </c>
      <c r="Y404" s="71">
        <v>1018.4</v>
      </c>
      <c r="Z404" s="72">
        <v>1036</v>
      </c>
      <c r="AA404" s="72">
        <v>983</v>
      </c>
      <c r="AB404" s="72">
        <v>996</v>
      </c>
      <c r="AC404" s="72">
        <v>1043</v>
      </c>
      <c r="AD404" s="73">
        <v>1034</v>
      </c>
      <c r="AE404" s="71"/>
      <c r="AF404" s="72"/>
      <c r="AG404" s="72"/>
      <c r="AH404" s="72"/>
      <c r="AI404" s="72"/>
      <c r="AJ404" s="73"/>
      <c r="AK404" s="71"/>
      <c r="AL404" s="72"/>
      <c r="AM404" s="72"/>
      <c r="AN404" s="72"/>
      <c r="AO404" s="72"/>
      <c r="AP404" s="73"/>
      <c r="AQ404" s="71"/>
      <c r="AR404" s="72"/>
      <c r="AS404" s="72"/>
      <c r="AT404" s="72"/>
      <c r="AU404" s="72"/>
      <c r="AV404" s="73"/>
      <c r="AW404" s="75">
        <v>1.2894769127456129</v>
      </c>
      <c r="AX404" s="76">
        <v>-0.78873112114109523</v>
      </c>
      <c r="AY404" s="76">
        <v>3.1161820635504878</v>
      </c>
      <c r="AZ404" s="76">
        <v>-0.19306639805255488</v>
      </c>
      <c r="BA404" s="76">
        <v>2.7190722481581053</v>
      </c>
      <c r="BB404" s="77">
        <v>1.5939277712130773</v>
      </c>
      <c r="BC404" s="65"/>
      <c r="BD404" s="78"/>
      <c r="BE404" s="78"/>
      <c r="BF404" s="78"/>
      <c r="BG404" s="78"/>
      <c r="BH404" s="70"/>
      <c r="BI404" s="65"/>
      <c r="BJ404" s="78"/>
      <c r="BK404" s="78"/>
      <c r="BL404" s="78"/>
      <c r="BM404" s="78"/>
      <c r="BN404" s="70"/>
      <c r="BO404" s="65"/>
      <c r="BP404" s="78"/>
      <c r="BQ404" s="78"/>
      <c r="BR404" s="78"/>
      <c r="BS404" s="78"/>
      <c r="BT404" s="70"/>
      <c r="BU404" s="65"/>
      <c r="BV404" s="78"/>
      <c r="BW404" s="78"/>
      <c r="BX404" s="78"/>
      <c r="BY404" s="78"/>
      <c r="BZ404" s="70"/>
      <c r="CA404" s="80"/>
      <c r="CB404" s="78"/>
      <c r="CC404" s="78"/>
      <c r="CD404" s="78"/>
      <c r="CE404" s="78"/>
      <c r="CF404" s="70"/>
    </row>
    <row r="405" spans="1:84" ht="12" customHeight="1">
      <c r="A405" s="2"/>
      <c r="B405" s="64">
        <v>393</v>
      </c>
      <c r="C405" s="65">
        <v>10</v>
      </c>
      <c r="D405" s="66" t="s">
        <v>20</v>
      </c>
      <c r="E405" s="69" t="s">
        <v>139</v>
      </c>
      <c r="F405" s="70"/>
      <c r="G405" s="71">
        <v>1510.9170731707318</v>
      </c>
      <c r="H405" s="72">
        <v>502.95609756097559</v>
      </c>
      <c r="I405" s="72">
        <v>1007.9609756097561</v>
      </c>
      <c r="J405" s="72"/>
      <c r="K405" s="72"/>
      <c r="L405" s="73"/>
      <c r="M405" s="71">
        <v>3021.8341463414636</v>
      </c>
      <c r="N405" s="72">
        <v>1005.9121951219512</v>
      </c>
      <c r="O405" s="72">
        <v>2015.9219512195123</v>
      </c>
      <c r="P405" s="72"/>
      <c r="Q405" s="72"/>
      <c r="R405" s="73"/>
      <c r="S405" s="71">
        <v>502</v>
      </c>
      <c r="T405" s="72">
        <v>493</v>
      </c>
      <c r="U405" s="72">
        <v>502</v>
      </c>
      <c r="V405" s="72">
        <v>514</v>
      </c>
      <c r="W405" s="72">
        <v>499</v>
      </c>
      <c r="X405" s="73">
        <v>502</v>
      </c>
      <c r="Y405" s="71">
        <v>1030</v>
      </c>
      <c r="Z405" s="72">
        <v>1044</v>
      </c>
      <c r="AA405" s="72">
        <v>1068</v>
      </c>
      <c r="AB405" s="72">
        <v>1046</v>
      </c>
      <c r="AC405" s="72">
        <v>996</v>
      </c>
      <c r="AD405" s="73">
        <v>996</v>
      </c>
      <c r="AE405" s="71"/>
      <c r="AF405" s="72"/>
      <c r="AG405" s="72"/>
      <c r="AH405" s="72"/>
      <c r="AI405" s="72"/>
      <c r="AJ405" s="73"/>
      <c r="AK405" s="71"/>
      <c r="AL405" s="72"/>
      <c r="AM405" s="72"/>
      <c r="AN405" s="72"/>
      <c r="AO405" s="72"/>
      <c r="AP405" s="73"/>
      <c r="AQ405" s="71"/>
      <c r="AR405" s="72"/>
      <c r="AS405" s="72"/>
      <c r="AT405" s="72"/>
      <c r="AU405" s="72"/>
      <c r="AV405" s="73"/>
      <c r="AW405" s="75">
        <v>1.3953728635168972</v>
      </c>
      <c r="AX405" s="76">
        <v>1.7262977096772048</v>
      </c>
      <c r="AY405" s="76">
        <v>3.9104016943352082</v>
      </c>
      <c r="AZ405" s="76">
        <v>3.248552002014593</v>
      </c>
      <c r="BA405" s="76">
        <v>-1.0534709980693391</v>
      </c>
      <c r="BB405" s="77">
        <v>-0.85491609037315897</v>
      </c>
      <c r="BC405" s="65"/>
      <c r="BD405" s="78"/>
      <c r="BE405" s="78"/>
      <c r="BF405" s="78"/>
      <c r="BG405" s="78"/>
      <c r="BH405" s="70"/>
      <c r="BI405" s="65"/>
      <c r="BJ405" s="78"/>
      <c r="BK405" s="78"/>
      <c r="BL405" s="78"/>
      <c r="BM405" s="78"/>
      <c r="BN405" s="70"/>
      <c r="BO405" s="65"/>
      <c r="BP405" s="78"/>
      <c r="BQ405" s="78"/>
      <c r="BR405" s="78"/>
      <c r="BS405" s="78"/>
      <c r="BT405" s="70"/>
      <c r="BU405" s="65"/>
      <c r="BV405" s="78"/>
      <c r="BW405" s="78"/>
      <c r="BX405" s="78"/>
      <c r="BY405" s="78"/>
      <c r="BZ405" s="70"/>
      <c r="CA405" s="80"/>
      <c r="CB405" s="78"/>
      <c r="CC405" s="78"/>
      <c r="CD405" s="78"/>
      <c r="CE405" s="78"/>
      <c r="CF405" s="70"/>
    </row>
    <row r="406" spans="1:84" ht="12" customHeight="1">
      <c r="A406" s="2"/>
      <c r="B406" s="64">
        <v>394</v>
      </c>
      <c r="C406" s="65">
        <v>10</v>
      </c>
      <c r="D406" s="66" t="s">
        <v>20</v>
      </c>
      <c r="E406" s="69" t="s">
        <v>140</v>
      </c>
      <c r="F406" s="70"/>
      <c r="G406" s="71">
        <v>1762.3951219512196</v>
      </c>
      <c r="H406" s="72">
        <v>754.43414634146336</v>
      </c>
      <c r="I406" s="72">
        <v>1007.9609756097561</v>
      </c>
      <c r="J406" s="72"/>
      <c r="K406" s="72"/>
      <c r="L406" s="73"/>
      <c r="M406" s="71">
        <v>3524.7902439024392</v>
      </c>
      <c r="N406" s="72">
        <v>1508.8682926829267</v>
      </c>
      <c r="O406" s="72">
        <v>2015.9219512195123</v>
      </c>
      <c r="P406" s="72"/>
      <c r="Q406" s="72"/>
      <c r="R406" s="73"/>
      <c r="S406" s="71">
        <v>755</v>
      </c>
      <c r="T406" s="72">
        <v>750</v>
      </c>
      <c r="U406" s="72">
        <v>740</v>
      </c>
      <c r="V406" s="72">
        <v>771</v>
      </c>
      <c r="W406" s="72">
        <v>760</v>
      </c>
      <c r="X406" s="73">
        <v>754</v>
      </c>
      <c r="Y406" s="71">
        <v>995.4</v>
      </c>
      <c r="Z406" s="72">
        <v>993</v>
      </c>
      <c r="AA406" s="72">
        <v>997</v>
      </c>
      <c r="AB406" s="72">
        <v>1006</v>
      </c>
      <c r="AC406" s="72">
        <v>1006</v>
      </c>
      <c r="AD406" s="73">
        <v>975</v>
      </c>
      <c r="AE406" s="71"/>
      <c r="AF406" s="72"/>
      <c r="AG406" s="72"/>
      <c r="AH406" s="72"/>
      <c r="AI406" s="72"/>
      <c r="AJ406" s="73"/>
      <c r="AK406" s="71"/>
      <c r="AL406" s="72"/>
      <c r="AM406" s="72"/>
      <c r="AN406" s="72"/>
      <c r="AO406" s="72"/>
      <c r="AP406" s="73"/>
      <c r="AQ406" s="71"/>
      <c r="AR406" s="72"/>
      <c r="AS406" s="72"/>
      <c r="AT406" s="72"/>
      <c r="AU406" s="72"/>
      <c r="AV406" s="73"/>
      <c r="AW406" s="75">
        <v>-0.68061479527583568</v>
      </c>
      <c r="AX406" s="76">
        <v>-1.1004979365663692</v>
      </c>
      <c r="AY406" s="76">
        <v>-1.4409437268019465</v>
      </c>
      <c r="AZ406" s="76">
        <v>0.82869487476853188</v>
      </c>
      <c r="BA406" s="76">
        <v>0.20454425933664755</v>
      </c>
      <c r="BB406" s="77">
        <v>-1.8948714471160422</v>
      </c>
      <c r="BC406" s="65"/>
      <c r="BD406" s="78"/>
      <c r="BE406" s="78"/>
      <c r="BF406" s="78"/>
      <c r="BG406" s="78"/>
      <c r="BH406" s="70"/>
      <c r="BI406" s="65"/>
      <c r="BJ406" s="78"/>
      <c r="BK406" s="78"/>
      <c r="BL406" s="78"/>
      <c r="BM406" s="78"/>
      <c r="BN406" s="70"/>
      <c r="BO406" s="65"/>
      <c r="BP406" s="78"/>
      <c r="BQ406" s="78"/>
      <c r="BR406" s="78"/>
      <c r="BS406" s="78"/>
      <c r="BT406" s="70"/>
      <c r="BU406" s="65"/>
      <c r="BV406" s="78"/>
      <c r="BW406" s="78"/>
      <c r="BX406" s="78"/>
      <c r="BY406" s="78"/>
      <c r="BZ406" s="70"/>
      <c r="CA406" s="80"/>
      <c r="CB406" s="78"/>
      <c r="CC406" s="78"/>
      <c r="CD406" s="78"/>
      <c r="CE406" s="78"/>
      <c r="CF406" s="70"/>
    </row>
    <row r="407" spans="1:84" ht="12" customHeight="1">
      <c r="A407" s="2"/>
      <c r="B407" s="64">
        <v>395</v>
      </c>
      <c r="C407" s="65">
        <v>10</v>
      </c>
      <c r="D407" s="66" t="s">
        <v>20</v>
      </c>
      <c r="E407" s="69" t="s">
        <v>95</v>
      </c>
      <c r="F407" s="70"/>
      <c r="G407" s="71">
        <v>1762.3951219512196</v>
      </c>
      <c r="H407" s="72">
        <v>754.43414634146336</v>
      </c>
      <c r="I407" s="72">
        <v>1007.9609756097561</v>
      </c>
      <c r="J407" s="72"/>
      <c r="K407" s="72"/>
      <c r="L407" s="73"/>
      <c r="M407" s="71">
        <v>3524.7902439024392</v>
      </c>
      <c r="N407" s="72">
        <v>1508.8682926829267</v>
      </c>
      <c r="O407" s="72">
        <v>2015.9219512195123</v>
      </c>
      <c r="P407" s="72"/>
      <c r="Q407" s="72"/>
      <c r="R407" s="73"/>
      <c r="S407" s="71">
        <v>769</v>
      </c>
      <c r="T407" s="72">
        <v>768</v>
      </c>
      <c r="U407" s="72">
        <v>767</v>
      </c>
      <c r="V407" s="72">
        <v>766</v>
      </c>
      <c r="W407" s="72">
        <v>776</v>
      </c>
      <c r="X407" s="73">
        <v>768</v>
      </c>
      <c r="Y407" s="71">
        <v>1018.8</v>
      </c>
      <c r="Z407" s="72">
        <v>1016</v>
      </c>
      <c r="AA407" s="72">
        <v>944</v>
      </c>
      <c r="AB407" s="72">
        <v>1074</v>
      </c>
      <c r="AC407" s="72">
        <v>1038</v>
      </c>
      <c r="AD407" s="73">
        <v>1022</v>
      </c>
      <c r="AE407" s="71"/>
      <c r="AF407" s="72"/>
      <c r="AG407" s="72"/>
      <c r="AH407" s="72"/>
      <c r="AI407" s="72"/>
      <c r="AJ407" s="73"/>
      <c r="AK407" s="71"/>
      <c r="AL407" s="72"/>
      <c r="AM407" s="72"/>
      <c r="AN407" s="72"/>
      <c r="AO407" s="72"/>
      <c r="AP407" s="73"/>
      <c r="AQ407" s="71"/>
      <c r="AR407" s="72"/>
      <c r="AS407" s="72"/>
      <c r="AT407" s="72"/>
      <c r="AU407" s="72"/>
      <c r="AV407" s="73"/>
      <c r="AW407" s="75">
        <v>1.4414972971925621</v>
      </c>
      <c r="AX407" s="76">
        <v>1.2258816300433573</v>
      </c>
      <c r="AY407" s="76">
        <v>-2.916208817822763</v>
      </c>
      <c r="AZ407" s="76">
        <v>4.403375672242027</v>
      </c>
      <c r="BA407" s="76">
        <v>2.9281105812212216</v>
      </c>
      <c r="BB407" s="77">
        <v>1.5663274202789346</v>
      </c>
      <c r="BC407" s="65"/>
      <c r="BD407" s="78"/>
      <c r="BE407" s="78"/>
      <c r="BF407" s="78"/>
      <c r="BG407" s="78"/>
      <c r="BH407" s="70"/>
      <c r="BI407" s="65"/>
      <c r="BJ407" s="78"/>
      <c r="BK407" s="78"/>
      <c r="BL407" s="78"/>
      <c r="BM407" s="78"/>
      <c r="BN407" s="70"/>
      <c r="BO407" s="65"/>
      <c r="BP407" s="78"/>
      <c r="BQ407" s="78"/>
      <c r="BR407" s="78"/>
      <c r="BS407" s="78"/>
      <c r="BT407" s="70"/>
      <c r="BU407" s="65"/>
      <c r="BV407" s="78"/>
      <c r="BW407" s="78"/>
      <c r="BX407" s="78"/>
      <c r="BY407" s="78"/>
      <c r="BZ407" s="70"/>
      <c r="CA407" s="80"/>
      <c r="CB407" s="78"/>
      <c r="CC407" s="78"/>
      <c r="CD407" s="78"/>
      <c r="CE407" s="78"/>
      <c r="CF407" s="70"/>
    </row>
    <row r="408" spans="1:84" ht="12" customHeight="1">
      <c r="A408" s="2"/>
      <c r="B408" s="64">
        <v>396</v>
      </c>
      <c r="C408" s="65">
        <v>10</v>
      </c>
      <c r="D408" s="66" t="s">
        <v>20</v>
      </c>
      <c r="E408" s="69" t="s">
        <v>150</v>
      </c>
      <c r="F408" s="70"/>
      <c r="G408" s="71">
        <v>1510.9170731707318</v>
      </c>
      <c r="H408" s="72">
        <v>502.95609756097559</v>
      </c>
      <c r="I408" s="72">
        <v>1007.9609756097561</v>
      </c>
      <c r="J408" s="72"/>
      <c r="K408" s="72"/>
      <c r="L408" s="73"/>
      <c r="M408" s="71">
        <v>3021.8341463414636</v>
      </c>
      <c r="N408" s="72">
        <v>1005.9121951219512</v>
      </c>
      <c r="O408" s="72">
        <v>2015.9219512195123</v>
      </c>
      <c r="P408" s="72"/>
      <c r="Q408" s="72"/>
      <c r="R408" s="73"/>
      <c r="S408" s="71">
        <v>512</v>
      </c>
      <c r="T408" s="72">
        <v>463</v>
      </c>
      <c r="U408" s="72">
        <v>575</v>
      </c>
      <c r="V408" s="72">
        <v>512</v>
      </c>
      <c r="W408" s="72">
        <v>509</v>
      </c>
      <c r="X408" s="73">
        <v>501</v>
      </c>
      <c r="Y408" s="71">
        <v>1018.4</v>
      </c>
      <c r="Z408" s="72">
        <v>1036</v>
      </c>
      <c r="AA408" s="72">
        <v>983</v>
      </c>
      <c r="AB408" s="72">
        <v>996</v>
      </c>
      <c r="AC408" s="72">
        <v>1043</v>
      </c>
      <c r="AD408" s="73">
        <v>1034</v>
      </c>
      <c r="AE408" s="71"/>
      <c r="AF408" s="72"/>
      <c r="AG408" s="72"/>
      <c r="AH408" s="72"/>
      <c r="AI408" s="72"/>
      <c r="AJ408" s="73"/>
      <c r="AK408" s="71"/>
      <c r="AL408" s="72"/>
      <c r="AM408" s="72"/>
      <c r="AN408" s="72"/>
      <c r="AO408" s="72"/>
      <c r="AP408" s="73"/>
      <c r="AQ408" s="71"/>
      <c r="AR408" s="72"/>
      <c r="AS408" s="72"/>
      <c r="AT408" s="72"/>
      <c r="AU408" s="72"/>
      <c r="AV408" s="73"/>
      <c r="AW408" s="75">
        <v>1.2894769127456129</v>
      </c>
      <c r="AX408" s="76">
        <v>-0.78873112114109523</v>
      </c>
      <c r="AY408" s="76">
        <v>3.1161820635504878</v>
      </c>
      <c r="AZ408" s="76">
        <v>-0.19306639805255488</v>
      </c>
      <c r="BA408" s="76">
        <v>2.7190722481581053</v>
      </c>
      <c r="BB408" s="77">
        <v>1.5939277712130773</v>
      </c>
      <c r="BC408" s="65"/>
      <c r="BD408" s="78"/>
      <c r="BE408" s="78"/>
      <c r="BF408" s="78"/>
      <c r="BG408" s="78"/>
      <c r="BH408" s="70"/>
      <c r="BI408" s="65"/>
      <c r="BJ408" s="78"/>
      <c r="BK408" s="78"/>
      <c r="BL408" s="78"/>
      <c r="BM408" s="78"/>
      <c r="BN408" s="70"/>
      <c r="BO408" s="65"/>
      <c r="BP408" s="78"/>
      <c r="BQ408" s="78"/>
      <c r="BR408" s="78"/>
      <c r="BS408" s="78"/>
      <c r="BT408" s="70"/>
      <c r="BU408" s="65"/>
      <c r="BV408" s="78"/>
      <c r="BW408" s="78"/>
      <c r="BX408" s="78"/>
      <c r="BY408" s="78"/>
      <c r="BZ408" s="70"/>
      <c r="CA408" s="80"/>
      <c r="CB408" s="78"/>
      <c r="CC408" s="78"/>
      <c r="CD408" s="78"/>
      <c r="CE408" s="78"/>
      <c r="CF408" s="70"/>
    </row>
    <row r="409" spans="1:84" ht="12" customHeight="1">
      <c r="A409" s="2"/>
      <c r="B409" s="64">
        <v>397</v>
      </c>
      <c r="C409" s="65">
        <v>10</v>
      </c>
      <c r="D409" s="66" t="s">
        <v>20</v>
      </c>
      <c r="E409" s="69" t="s">
        <v>151</v>
      </c>
      <c r="F409" s="70"/>
      <c r="G409" s="71">
        <v>1510.9170731707318</v>
      </c>
      <c r="H409" s="72">
        <v>502.95609756097559</v>
      </c>
      <c r="I409" s="72">
        <v>1007.9609756097561</v>
      </c>
      <c r="J409" s="72"/>
      <c r="K409" s="72"/>
      <c r="L409" s="73"/>
      <c r="M409" s="71">
        <v>3021.8341463414636</v>
      </c>
      <c r="N409" s="72">
        <v>1005.9121951219512</v>
      </c>
      <c r="O409" s="72">
        <v>2015.9219512195123</v>
      </c>
      <c r="P409" s="72"/>
      <c r="Q409" s="72"/>
      <c r="R409" s="73"/>
      <c r="S409" s="71">
        <v>502</v>
      </c>
      <c r="T409" s="72">
        <v>493</v>
      </c>
      <c r="U409" s="72">
        <v>502</v>
      </c>
      <c r="V409" s="72">
        <v>514</v>
      </c>
      <c r="W409" s="72">
        <v>499</v>
      </c>
      <c r="X409" s="73">
        <v>502</v>
      </c>
      <c r="Y409" s="71">
        <v>1030</v>
      </c>
      <c r="Z409" s="72">
        <v>1044</v>
      </c>
      <c r="AA409" s="72">
        <v>1068</v>
      </c>
      <c r="AB409" s="72">
        <v>1046</v>
      </c>
      <c r="AC409" s="72">
        <v>996</v>
      </c>
      <c r="AD409" s="73">
        <v>996</v>
      </c>
      <c r="AE409" s="71"/>
      <c r="AF409" s="72"/>
      <c r="AG409" s="72"/>
      <c r="AH409" s="72"/>
      <c r="AI409" s="72"/>
      <c r="AJ409" s="73"/>
      <c r="AK409" s="71"/>
      <c r="AL409" s="72"/>
      <c r="AM409" s="72"/>
      <c r="AN409" s="72"/>
      <c r="AO409" s="72"/>
      <c r="AP409" s="73"/>
      <c r="AQ409" s="71"/>
      <c r="AR409" s="72"/>
      <c r="AS409" s="72"/>
      <c r="AT409" s="72"/>
      <c r="AU409" s="72"/>
      <c r="AV409" s="73"/>
      <c r="AW409" s="75">
        <v>1.3953728635168972</v>
      </c>
      <c r="AX409" s="76">
        <v>1.7262977096772048</v>
      </c>
      <c r="AY409" s="76">
        <v>3.9104016943352082</v>
      </c>
      <c r="AZ409" s="76">
        <v>3.248552002014593</v>
      </c>
      <c r="BA409" s="76">
        <v>-1.0534709980693391</v>
      </c>
      <c r="BB409" s="77">
        <v>-0.85491609037315897</v>
      </c>
      <c r="BC409" s="65"/>
      <c r="BD409" s="78"/>
      <c r="BE409" s="78"/>
      <c r="BF409" s="78"/>
      <c r="BG409" s="78"/>
      <c r="BH409" s="70"/>
      <c r="BI409" s="65"/>
      <c r="BJ409" s="78"/>
      <c r="BK409" s="78"/>
      <c r="BL409" s="78"/>
      <c r="BM409" s="78"/>
      <c r="BN409" s="70"/>
      <c r="BO409" s="65"/>
      <c r="BP409" s="78"/>
      <c r="BQ409" s="78"/>
      <c r="BR409" s="78"/>
      <c r="BS409" s="78"/>
      <c r="BT409" s="70"/>
      <c r="BU409" s="65"/>
      <c r="BV409" s="78"/>
      <c r="BW409" s="78"/>
      <c r="BX409" s="78"/>
      <c r="BY409" s="78"/>
      <c r="BZ409" s="70"/>
      <c r="CA409" s="80"/>
      <c r="CB409" s="78"/>
      <c r="CC409" s="78"/>
      <c r="CD409" s="78"/>
      <c r="CE409" s="78"/>
      <c r="CF409" s="70"/>
    </row>
    <row r="410" spans="1:84" ht="12" customHeight="1">
      <c r="A410" s="2"/>
      <c r="B410" s="64">
        <v>398</v>
      </c>
      <c r="C410" s="65">
        <v>10</v>
      </c>
      <c r="D410" s="66" t="s">
        <v>20</v>
      </c>
      <c r="E410" s="69" t="s">
        <v>163</v>
      </c>
      <c r="F410" s="70"/>
      <c r="G410" s="71">
        <v>1006.9365853658537</v>
      </c>
      <c r="H410" s="72">
        <v>502.95609756097559</v>
      </c>
      <c r="I410" s="72">
        <v>503.98048780487807</v>
      </c>
      <c r="J410" s="72"/>
      <c r="K410" s="72"/>
      <c r="L410" s="73"/>
      <c r="M410" s="71">
        <v>2013.8731707317074</v>
      </c>
      <c r="N410" s="72">
        <v>1005.9121951219512</v>
      </c>
      <c r="O410" s="72">
        <v>1007.9609756097561</v>
      </c>
      <c r="P410" s="72"/>
      <c r="Q410" s="72"/>
      <c r="R410" s="73"/>
      <c r="S410" s="71">
        <v>505.8</v>
      </c>
      <c r="T410" s="72">
        <v>498</v>
      </c>
      <c r="U410" s="72">
        <v>510</v>
      </c>
      <c r="V410" s="72">
        <v>607</v>
      </c>
      <c r="W410" s="72">
        <v>398</v>
      </c>
      <c r="X410" s="73">
        <v>516</v>
      </c>
      <c r="Y410" s="71">
        <v>492.8</v>
      </c>
      <c r="Z410" s="72">
        <v>468</v>
      </c>
      <c r="AA410" s="72">
        <v>504</v>
      </c>
      <c r="AB410" s="72">
        <v>504</v>
      </c>
      <c r="AC410" s="72">
        <v>498</v>
      </c>
      <c r="AD410" s="73">
        <v>490</v>
      </c>
      <c r="AE410" s="71"/>
      <c r="AF410" s="72"/>
      <c r="AG410" s="72"/>
      <c r="AH410" s="72"/>
      <c r="AI410" s="72"/>
      <c r="AJ410" s="73"/>
      <c r="AK410" s="71"/>
      <c r="AL410" s="72"/>
      <c r="AM410" s="72"/>
      <c r="AN410" s="72"/>
      <c r="AO410" s="72"/>
      <c r="AP410" s="73"/>
      <c r="AQ410" s="71"/>
      <c r="AR410" s="72"/>
      <c r="AS410" s="72"/>
      <c r="AT410" s="72"/>
      <c r="AU410" s="72"/>
      <c r="AV410" s="73"/>
      <c r="AW410" s="75">
        <v>-0.82791562914805716</v>
      </c>
      <c r="AX410" s="76">
        <v>-4.0654581391518452</v>
      </c>
      <c r="AY410" s="76">
        <v>0.70147561790894208</v>
      </c>
      <c r="AZ410" s="76">
        <v>10.334654251969265</v>
      </c>
      <c r="BA410" s="76">
        <v>-11.017236534865471</v>
      </c>
      <c r="BB410" s="77">
        <v>-9.3013341601189126E-2</v>
      </c>
      <c r="BC410" s="65"/>
      <c r="BD410" s="78"/>
      <c r="BE410" s="78"/>
      <c r="BF410" s="78"/>
      <c r="BG410" s="78"/>
      <c r="BH410" s="70"/>
      <c r="BI410" s="65"/>
      <c r="BJ410" s="78"/>
      <c r="BK410" s="78"/>
      <c r="BL410" s="78"/>
      <c r="BM410" s="78"/>
      <c r="BN410" s="70"/>
      <c r="BO410" s="65"/>
      <c r="BP410" s="78"/>
      <c r="BQ410" s="78"/>
      <c r="BR410" s="78"/>
      <c r="BS410" s="78"/>
      <c r="BT410" s="70"/>
      <c r="BU410" s="65"/>
      <c r="BV410" s="78"/>
      <c r="BW410" s="78"/>
      <c r="BX410" s="78"/>
      <c r="BY410" s="78"/>
      <c r="BZ410" s="70"/>
      <c r="CA410" s="80"/>
      <c r="CB410" s="78"/>
      <c r="CC410" s="78"/>
      <c r="CD410" s="78"/>
      <c r="CE410" s="78"/>
      <c r="CF410" s="70"/>
    </row>
    <row r="411" spans="1:84" ht="12" customHeight="1">
      <c r="A411" s="2"/>
      <c r="B411" s="64">
        <v>399</v>
      </c>
      <c r="C411" s="65">
        <v>10</v>
      </c>
      <c r="D411" s="66" t="s">
        <v>20</v>
      </c>
      <c r="E411" s="69" t="s">
        <v>164</v>
      </c>
      <c r="F411" s="70"/>
      <c r="G411" s="71">
        <v>1510.9170731707318</v>
      </c>
      <c r="H411" s="72">
        <v>502.95609756097559</v>
      </c>
      <c r="I411" s="72">
        <v>1007.9609756097561</v>
      </c>
      <c r="J411" s="72"/>
      <c r="K411" s="72"/>
      <c r="L411" s="73"/>
      <c r="M411" s="71">
        <v>3021.8341463414636</v>
      </c>
      <c r="N411" s="72">
        <v>1005.9121951219512</v>
      </c>
      <c r="O411" s="72">
        <v>2015.9219512195123</v>
      </c>
      <c r="P411" s="72"/>
      <c r="Q411" s="72"/>
      <c r="R411" s="73"/>
      <c r="S411" s="71">
        <v>512</v>
      </c>
      <c r="T411" s="72">
        <v>463</v>
      </c>
      <c r="U411" s="72">
        <v>575</v>
      </c>
      <c r="V411" s="72">
        <v>512</v>
      </c>
      <c r="W411" s="72">
        <v>509</v>
      </c>
      <c r="X411" s="73">
        <v>501</v>
      </c>
      <c r="Y411" s="71">
        <v>1018.4</v>
      </c>
      <c r="Z411" s="72">
        <v>1036</v>
      </c>
      <c r="AA411" s="72">
        <v>983</v>
      </c>
      <c r="AB411" s="72">
        <v>996</v>
      </c>
      <c r="AC411" s="72">
        <v>1043</v>
      </c>
      <c r="AD411" s="73">
        <v>1034</v>
      </c>
      <c r="AE411" s="71"/>
      <c r="AF411" s="72"/>
      <c r="AG411" s="72"/>
      <c r="AH411" s="72"/>
      <c r="AI411" s="72"/>
      <c r="AJ411" s="73"/>
      <c r="AK411" s="71"/>
      <c r="AL411" s="72"/>
      <c r="AM411" s="72"/>
      <c r="AN411" s="72"/>
      <c r="AO411" s="72"/>
      <c r="AP411" s="73"/>
      <c r="AQ411" s="71"/>
      <c r="AR411" s="72"/>
      <c r="AS411" s="72"/>
      <c r="AT411" s="72"/>
      <c r="AU411" s="72"/>
      <c r="AV411" s="73"/>
      <c r="AW411" s="75">
        <v>1.2894769127456129</v>
      </c>
      <c r="AX411" s="76">
        <v>-0.78873112114109523</v>
      </c>
      <c r="AY411" s="76">
        <v>3.1161820635504878</v>
      </c>
      <c r="AZ411" s="76">
        <v>-0.19306639805255488</v>
      </c>
      <c r="BA411" s="76">
        <v>2.7190722481581053</v>
      </c>
      <c r="BB411" s="77">
        <v>1.5939277712130773</v>
      </c>
      <c r="BC411" s="65"/>
      <c r="BD411" s="78"/>
      <c r="BE411" s="78"/>
      <c r="BF411" s="78"/>
      <c r="BG411" s="78"/>
      <c r="BH411" s="70"/>
      <c r="BI411" s="65"/>
      <c r="BJ411" s="78"/>
      <c r="BK411" s="78"/>
      <c r="BL411" s="78"/>
      <c r="BM411" s="78"/>
      <c r="BN411" s="70"/>
      <c r="BO411" s="65"/>
      <c r="BP411" s="78"/>
      <c r="BQ411" s="78"/>
      <c r="BR411" s="78"/>
      <c r="BS411" s="78"/>
      <c r="BT411" s="70"/>
      <c r="BU411" s="65"/>
      <c r="BV411" s="78"/>
      <c r="BW411" s="78"/>
      <c r="BX411" s="78"/>
      <c r="BY411" s="78"/>
      <c r="BZ411" s="70"/>
      <c r="CA411" s="80"/>
      <c r="CB411" s="78"/>
      <c r="CC411" s="78"/>
      <c r="CD411" s="78"/>
      <c r="CE411" s="78"/>
      <c r="CF411" s="70"/>
    </row>
    <row r="412" spans="1:84" ht="12" customHeight="1">
      <c r="A412" s="2"/>
      <c r="B412" s="64">
        <v>400</v>
      </c>
      <c r="C412" s="65">
        <v>10</v>
      </c>
      <c r="D412" s="66" t="s">
        <v>20</v>
      </c>
      <c r="E412" s="69" t="s">
        <v>165</v>
      </c>
      <c r="F412" s="70"/>
      <c r="G412" s="71">
        <v>1510.9170731707318</v>
      </c>
      <c r="H412" s="72">
        <v>502.95609756097559</v>
      </c>
      <c r="I412" s="72">
        <v>1007.9609756097561</v>
      </c>
      <c r="J412" s="72"/>
      <c r="K412" s="72"/>
      <c r="L412" s="73"/>
      <c r="M412" s="71">
        <v>3021.8341463414636</v>
      </c>
      <c r="N412" s="72">
        <v>1005.9121951219512</v>
      </c>
      <c r="O412" s="72">
        <v>2015.9219512195123</v>
      </c>
      <c r="P412" s="72"/>
      <c r="Q412" s="72"/>
      <c r="R412" s="73"/>
      <c r="S412" s="71">
        <v>502</v>
      </c>
      <c r="T412" s="72">
        <v>493</v>
      </c>
      <c r="U412" s="72">
        <v>502</v>
      </c>
      <c r="V412" s="72">
        <v>514</v>
      </c>
      <c r="W412" s="72">
        <v>499</v>
      </c>
      <c r="X412" s="73">
        <v>502</v>
      </c>
      <c r="Y412" s="71">
        <v>1030</v>
      </c>
      <c r="Z412" s="72">
        <v>1044</v>
      </c>
      <c r="AA412" s="72">
        <v>1068</v>
      </c>
      <c r="AB412" s="72">
        <v>1046</v>
      </c>
      <c r="AC412" s="72">
        <v>996</v>
      </c>
      <c r="AD412" s="73">
        <v>996</v>
      </c>
      <c r="AE412" s="71"/>
      <c r="AF412" s="72"/>
      <c r="AG412" s="72"/>
      <c r="AH412" s="72"/>
      <c r="AI412" s="72"/>
      <c r="AJ412" s="73"/>
      <c r="AK412" s="71"/>
      <c r="AL412" s="72"/>
      <c r="AM412" s="72"/>
      <c r="AN412" s="72"/>
      <c r="AO412" s="72"/>
      <c r="AP412" s="73"/>
      <c r="AQ412" s="71"/>
      <c r="AR412" s="72"/>
      <c r="AS412" s="72"/>
      <c r="AT412" s="72"/>
      <c r="AU412" s="72"/>
      <c r="AV412" s="73"/>
      <c r="AW412" s="75">
        <v>1.3953728635168972</v>
      </c>
      <c r="AX412" s="76">
        <v>1.7262977096772048</v>
      </c>
      <c r="AY412" s="76">
        <v>3.9104016943352082</v>
      </c>
      <c r="AZ412" s="76">
        <v>3.248552002014593</v>
      </c>
      <c r="BA412" s="76">
        <v>-1.0534709980693391</v>
      </c>
      <c r="BB412" s="77">
        <v>-0.85491609037315897</v>
      </c>
      <c r="BC412" s="65"/>
      <c r="BD412" s="78"/>
      <c r="BE412" s="78"/>
      <c r="BF412" s="78"/>
      <c r="BG412" s="78"/>
      <c r="BH412" s="70"/>
      <c r="BI412" s="65"/>
      <c r="BJ412" s="78"/>
      <c r="BK412" s="78"/>
      <c r="BL412" s="78"/>
      <c r="BM412" s="78"/>
      <c r="BN412" s="70"/>
      <c r="BO412" s="65"/>
      <c r="BP412" s="78"/>
      <c r="BQ412" s="78"/>
      <c r="BR412" s="78"/>
      <c r="BS412" s="78"/>
      <c r="BT412" s="70"/>
      <c r="BU412" s="65"/>
      <c r="BV412" s="78"/>
      <c r="BW412" s="78"/>
      <c r="BX412" s="78"/>
      <c r="BY412" s="78"/>
      <c r="BZ412" s="70"/>
      <c r="CA412" s="80"/>
      <c r="CB412" s="78"/>
      <c r="CC412" s="78"/>
      <c r="CD412" s="78"/>
      <c r="CE412" s="78"/>
      <c r="CF412" s="70"/>
    </row>
    <row r="413" spans="1:84" ht="12" customHeight="1">
      <c r="A413" s="2"/>
      <c r="B413" s="64">
        <v>401</v>
      </c>
      <c r="C413" s="65">
        <v>10</v>
      </c>
      <c r="D413" s="66" t="s">
        <v>20</v>
      </c>
      <c r="E413" s="69" t="s">
        <v>152</v>
      </c>
      <c r="F413" s="70"/>
      <c r="G413" s="71">
        <v>1258.4146341463415</v>
      </c>
      <c r="H413" s="72">
        <v>754.43414634146336</v>
      </c>
      <c r="I413" s="72">
        <v>503.98048780487807</v>
      </c>
      <c r="J413" s="72"/>
      <c r="K413" s="72"/>
      <c r="L413" s="73"/>
      <c r="M413" s="71">
        <v>2516.8292682926831</v>
      </c>
      <c r="N413" s="72">
        <v>1508.8682926829267</v>
      </c>
      <c r="O413" s="72">
        <v>1007.9609756097561</v>
      </c>
      <c r="P413" s="72"/>
      <c r="Q413" s="72"/>
      <c r="R413" s="73"/>
      <c r="S413" s="71">
        <v>761.2</v>
      </c>
      <c r="T413" s="72">
        <v>732</v>
      </c>
      <c r="U413" s="72">
        <v>767</v>
      </c>
      <c r="V413" s="72">
        <v>767</v>
      </c>
      <c r="W413" s="72">
        <v>794</v>
      </c>
      <c r="X413" s="73">
        <v>746</v>
      </c>
      <c r="Y413" s="71">
        <v>496.4</v>
      </c>
      <c r="Z413" s="72">
        <v>496</v>
      </c>
      <c r="AA413" s="72">
        <v>493</v>
      </c>
      <c r="AB413" s="72">
        <v>492</v>
      </c>
      <c r="AC413" s="72">
        <v>489</v>
      </c>
      <c r="AD413" s="73">
        <v>512</v>
      </c>
      <c r="AE413" s="71"/>
      <c r="AF413" s="72"/>
      <c r="AG413" s="72"/>
      <c r="AH413" s="72"/>
      <c r="AI413" s="72"/>
      <c r="AJ413" s="73"/>
      <c r="AK413" s="71"/>
      <c r="AL413" s="72"/>
      <c r="AM413" s="72"/>
      <c r="AN413" s="72"/>
      <c r="AO413" s="72"/>
      <c r="AP413" s="73"/>
      <c r="AQ413" s="71"/>
      <c r="AR413" s="72"/>
      <c r="AS413" s="72"/>
      <c r="AT413" s="72"/>
      <c r="AU413" s="72"/>
      <c r="AV413" s="73"/>
      <c r="AW413" s="75">
        <v>-6.4734954937506473E-2</v>
      </c>
      <c r="AX413" s="76">
        <v>-2.4169008624866817</v>
      </c>
      <c r="AY413" s="76">
        <v>0.12598119972864197</v>
      </c>
      <c r="AZ413" s="76">
        <v>4.6516135284413451E-2</v>
      </c>
      <c r="BA413" s="76">
        <v>1.9536776819459201</v>
      </c>
      <c r="BB413" s="77">
        <v>-3.2948929159803964E-2</v>
      </c>
      <c r="BC413" s="65"/>
      <c r="BD413" s="78"/>
      <c r="BE413" s="78"/>
      <c r="BF413" s="78"/>
      <c r="BG413" s="78"/>
      <c r="BH413" s="70"/>
      <c r="BI413" s="65"/>
      <c r="BJ413" s="78"/>
      <c r="BK413" s="78"/>
      <c r="BL413" s="78"/>
      <c r="BM413" s="78"/>
      <c r="BN413" s="70"/>
      <c r="BO413" s="65"/>
      <c r="BP413" s="78"/>
      <c r="BQ413" s="78"/>
      <c r="BR413" s="78"/>
      <c r="BS413" s="78"/>
      <c r="BT413" s="70"/>
      <c r="BU413" s="65"/>
      <c r="BV413" s="78"/>
      <c r="BW413" s="78"/>
      <c r="BX413" s="78"/>
      <c r="BY413" s="78"/>
      <c r="BZ413" s="70"/>
      <c r="CA413" s="80"/>
      <c r="CB413" s="78"/>
      <c r="CC413" s="78"/>
      <c r="CD413" s="78"/>
      <c r="CE413" s="78"/>
      <c r="CF413" s="70"/>
    </row>
    <row r="414" spans="1:84" ht="12" customHeight="1">
      <c r="A414" s="2"/>
      <c r="B414" s="64">
        <v>402</v>
      </c>
      <c r="C414" s="65">
        <v>10</v>
      </c>
      <c r="D414" s="66" t="s">
        <v>20</v>
      </c>
      <c r="E414" s="69" t="s">
        <v>153</v>
      </c>
      <c r="F414" s="70"/>
      <c r="G414" s="71">
        <v>1762.3951219512196</v>
      </c>
      <c r="H414" s="72">
        <v>754.43414634146336</v>
      </c>
      <c r="I414" s="72">
        <v>1007.9609756097561</v>
      </c>
      <c r="J414" s="72"/>
      <c r="K414" s="72"/>
      <c r="L414" s="73"/>
      <c r="M414" s="71">
        <v>3524.7902439024392</v>
      </c>
      <c r="N414" s="72">
        <v>1508.8682926829267</v>
      </c>
      <c r="O414" s="72">
        <v>2015.9219512195123</v>
      </c>
      <c r="P414" s="72"/>
      <c r="Q414" s="72"/>
      <c r="R414" s="73"/>
      <c r="S414" s="71">
        <v>755</v>
      </c>
      <c r="T414" s="72">
        <v>750</v>
      </c>
      <c r="U414" s="72">
        <v>740</v>
      </c>
      <c r="V414" s="72">
        <v>771</v>
      </c>
      <c r="W414" s="72">
        <v>760</v>
      </c>
      <c r="X414" s="73">
        <v>754</v>
      </c>
      <c r="Y414" s="71">
        <v>995.4</v>
      </c>
      <c r="Z414" s="72">
        <v>993</v>
      </c>
      <c r="AA414" s="72">
        <v>997</v>
      </c>
      <c r="AB414" s="72">
        <v>1006</v>
      </c>
      <c r="AC414" s="72">
        <v>1006</v>
      </c>
      <c r="AD414" s="73">
        <v>975</v>
      </c>
      <c r="AE414" s="71"/>
      <c r="AF414" s="72"/>
      <c r="AG414" s="72"/>
      <c r="AH414" s="72"/>
      <c r="AI414" s="72"/>
      <c r="AJ414" s="73"/>
      <c r="AK414" s="71"/>
      <c r="AL414" s="72"/>
      <c r="AM414" s="72"/>
      <c r="AN414" s="72"/>
      <c r="AO414" s="72"/>
      <c r="AP414" s="73"/>
      <c r="AQ414" s="71"/>
      <c r="AR414" s="72"/>
      <c r="AS414" s="72"/>
      <c r="AT414" s="72"/>
      <c r="AU414" s="72"/>
      <c r="AV414" s="73"/>
      <c r="AW414" s="75">
        <v>-0.68061479527583568</v>
      </c>
      <c r="AX414" s="76">
        <v>-1.1004979365663692</v>
      </c>
      <c r="AY414" s="76">
        <v>-1.4409437268019465</v>
      </c>
      <c r="AZ414" s="76">
        <v>0.82869487476853188</v>
      </c>
      <c r="BA414" s="76">
        <v>0.20454425933664755</v>
      </c>
      <c r="BB414" s="77">
        <v>-1.8948714471160422</v>
      </c>
      <c r="BC414" s="65"/>
      <c r="BD414" s="78"/>
      <c r="BE414" s="78"/>
      <c r="BF414" s="78"/>
      <c r="BG414" s="78"/>
      <c r="BH414" s="70"/>
      <c r="BI414" s="65"/>
      <c r="BJ414" s="78"/>
      <c r="BK414" s="78"/>
      <c r="BL414" s="78"/>
      <c r="BM414" s="78"/>
      <c r="BN414" s="70"/>
      <c r="BO414" s="65"/>
      <c r="BP414" s="78"/>
      <c r="BQ414" s="78"/>
      <c r="BR414" s="78"/>
      <c r="BS414" s="78"/>
      <c r="BT414" s="70"/>
      <c r="BU414" s="65"/>
      <c r="BV414" s="78"/>
      <c r="BW414" s="78"/>
      <c r="BX414" s="78"/>
      <c r="BY414" s="78"/>
      <c r="BZ414" s="70"/>
      <c r="CA414" s="80"/>
      <c r="CB414" s="78"/>
      <c r="CC414" s="78"/>
      <c r="CD414" s="78"/>
      <c r="CE414" s="78"/>
      <c r="CF414" s="70"/>
    </row>
    <row r="415" spans="1:84" ht="12" customHeight="1">
      <c r="A415" s="2"/>
      <c r="B415" s="64">
        <v>403</v>
      </c>
      <c r="C415" s="65">
        <v>10</v>
      </c>
      <c r="D415" s="66" t="s">
        <v>20</v>
      </c>
      <c r="E415" s="69" t="s">
        <v>154</v>
      </c>
      <c r="F415" s="70"/>
      <c r="G415" s="71">
        <v>1762.3951219512196</v>
      </c>
      <c r="H415" s="72">
        <v>754.43414634146336</v>
      </c>
      <c r="I415" s="72">
        <v>1007.9609756097561</v>
      </c>
      <c r="J415" s="72"/>
      <c r="K415" s="72"/>
      <c r="L415" s="73"/>
      <c r="M415" s="71">
        <v>3524.7902439024392</v>
      </c>
      <c r="N415" s="72">
        <v>1508.8682926829267</v>
      </c>
      <c r="O415" s="72">
        <v>2015.9219512195123</v>
      </c>
      <c r="P415" s="72"/>
      <c r="Q415" s="72"/>
      <c r="R415" s="73"/>
      <c r="S415" s="71">
        <v>769</v>
      </c>
      <c r="T415" s="72">
        <v>768</v>
      </c>
      <c r="U415" s="72">
        <v>767</v>
      </c>
      <c r="V415" s="72">
        <v>766</v>
      </c>
      <c r="W415" s="72">
        <v>776</v>
      </c>
      <c r="X415" s="73">
        <v>768</v>
      </c>
      <c r="Y415" s="71">
        <v>1018.8</v>
      </c>
      <c r="Z415" s="72">
        <v>1016</v>
      </c>
      <c r="AA415" s="72">
        <v>944</v>
      </c>
      <c r="AB415" s="72">
        <v>1074</v>
      </c>
      <c r="AC415" s="72">
        <v>1038</v>
      </c>
      <c r="AD415" s="73">
        <v>1022</v>
      </c>
      <c r="AE415" s="71"/>
      <c r="AF415" s="72"/>
      <c r="AG415" s="72"/>
      <c r="AH415" s="72"/>
      <c r="AI415" s="72"/>
      <c r="AJ415" s="73"/>
      <c r="AK415" s="71"/>
      <c r="AL415" s="72"/>
      <c r="AM415" s="72"/>
      <c r="AN415" s="72"/>
      <c r="AO415" s="72"/>
      <c r="AP415" s="73"/>
      <c r="AQ415" s="71"/>
      <c r="AR415" s="72"/>
      <c r="AS415" s="72"/>
      <c r="AT415" s="72"/>
      <c r="AU415" s="72"/>
      <c r="AV415" s="73"/>
      <c r="AW415" s="75">
        <v>1.4414972971925621</v>
      </c>
      <c r="AX415" s="76">
        <v>1.2258816300433573</v>
      </c>
      <c r="AY415" s="76">
        <v>-2.916208817822763</v>
      </c>
      <c r="AZ415" s="76">
        <v>4.403375672242027</v>
      </c>
      <c r="BA415" s="76">
        <v>2.9281105812212216</v>
      </c>
      <c r="BB415" s="77">
        <v>1.5663274202789346</v>
      </c>
      <c r="BC415" s="65"/>
      <c r="BD415" s="78"/>
      <c r="BE415" s="78"/>
      <c r="BF415" s="78"/>
      <c r="BG415" s="78"/>
      <c r="BH415" s="70"/>
      <c r="BI415" s="65"/>
      <c r="BJ415" s="78"/>
      <c r="BK415" s="78"/>
      <c r="BL415" s="78"/>
      <c r="BM415" s="78"/>
      <c r="BN415" s="70"/>
      <c r="BO415" s="65"/>
      <c r="BP415" s="78"/>
      <c r="BQ415" s="78"/>
      <c r="BR415" s="78"/>
      <c r="BS415" s="78"/>
      <c r="BT415" s="70"/>
      <c r="BU415" s="65"/>
      <c r="BV415" s="78"/>
      <c r="BW415" s="78"/>
      <c r="BX415" s="78"/>
      <c r="BY415" s="78"/>
      <c r="BZ415" s="70"/>
      <c r="CA415" s="80"/>
      <c r="CB415" s="78"/>
      <c r="CC415" s="78"/>
      <c r="CD415" s="78"/>
      <c r="CE415" s="78"/>
      <c r="CF415" s="70"/>
    </row>
    <row r="416" spans="1:84" ht="12" customHeight="1">
      <c r="A416" s="2"/>
      <c r="B416" s="64">
        <v>404</v>
      </c>
      <c r="C416" s="65">
        <v>10</v>
      </c>
      <c r="D416" s="66" t="s">
        <v>20</v>
      </c>
      <c r="E416" s="69" t="s">
        <v>161</v>
      </c>
      <c r="F416" s="70"/>
      <c r="G416" s="71">
        <v>1510.9170731707318</v>
      </c>
      <c r="H416" s="72">
        <v>502.95609756097559</v>
      </c>
      <c r="I416" s="72">
        <v>1007.9609756097561</v>
      </c>
      <c r="J416" s="72"/>
      <c r="K416" s="72"/>
      <c r="L416" s="73"/>
      <c r="M416" s="71">
        <v>3021.8341463414636</v>
      </c>
      <c r="N416" s="72">
        <v>1005.9121951219512</v>
      </c>
      <c r="O416" s="72">
        <v>2015.9219512195123</v>
      </c>
      <c r="P416" s="72"/>
      <c r="Q416" s="72"/>
      <c r="R416" s="73"/>
      <c r="S416" s="71">
        <v>512</v>
      </c>
      <c r="T416" s="72">
        <v>463</v>
      </c>
      <c r="U416" s="72">
        <v>575</v>
      </c>
      <c r="V416" s="72">
        <v>512</v>
      </c>
      <c r="W416" s="72">
        <v>509</v>
      </c>
      <c r="X416" s="73">
        <v>501</v>
      </c>
      <c r="Y416" s="71">
        <v>1018.4</v>
      </c>
      <c r="Z416" s="72">
        <v>1036</v>
      </c>
      <c r="AA416" s="72">
        <v>983</v>
      </c>
      <c r="AB416" s="72">
        <v>996</v>
      </c>
      <c r="AC416" s="72">
        <v>1043</v>
      </c>
      <c r="AD416" s="73">
        <v>1034</v>
      </c>
      <c r="AE416" s="71"/>
      <c r="AF416" s="72"/>
      <c r="AG416" s="72"/>
      <c r="AH416" s="72"/>
      <c r="AI416" s="72"/>
      <c r="AJ416" s="73"/>
      <c r="AK416" s="71"/>
      <c r="AL416" s="72"/>
      <c r="AM416" s="72"/>
      <c r="AN416" s="72"/>
      <c r="AO416" s="72"/>
      <c r="AP416" s="73"/>
      <c r="AQ416" s="71"/>
      <c r="AR416" s="72"/>
      <c r="AS416" s="72"/>
      <c r="AT416" s="72"/>
      <c r="AU416" s="72"/>
      <c r="AV416" s="73"/>
      <c r="AW416" s="75">
        <v>1.2894769127456129</v>
      </c>
      <c r="AX416" s="76">
        <v>-0.78873112114109523</v>
      </c>
      <c r="AY416" s="76">
        <v>3.1161820635504878</v>
      </c>
      <c r="AZ416" s="76">
        <v>-0.19306639805255488</v>
      </c>
      <c r="BA416" s="76">
        <v>2.7190722481581053</v>
      </c>
      <c r="BB416" s="77">
        <v>1.5939277712130773</v>
      </c>
      <c r="BC416" s="65"/>
      <c r="BD416" s="78"/>
      <c r="BE416" s="78"/>
      <c r="BF416" s="78"/>
      <c r="BG416" s="78"/>
      <c r="BH416" s="70"/>
      <c r="BI416" s="65"/>
      <c r="BJ416" s="78"/>
      <c r="BK416" s="78"/>
      <c r="BL416" s="78"/>
      <c r="BM416" s="78"/>
      <c r="BN416" s="70"/>
      <c r="BO416" s="65"/>
      <c r="BP416" s="78"/>
      <c r="BQ416" s="78"/>
      <c r="BR416" s="78"/>
      <c r="BS416" s="78"/>
      <c r="BT416" s="70"/>
      <c r="BU416" s="65"/>
      <c r="BV416" s="78"/>
      <c r="BW416" s="78"/>
      <c r="BX416" s="78"/>
      <c r="BY416" s="78"/>
      <c r="BZ416" s="70"/>
      <c r="CA416" s="80"/>
      <c r="CB416" s="78"/>
      <c r="CC416" s="78"/>
      <c r="CD416" s="78"/>
      <c r="CE416" s="78"/>
      <c r="CF416" s="70"/>
    </row>
    <row r="417" spans="1:84" ht="12" customHeight="1">
      <c r="A417" s="2"/>
      <c r="B417" s="64">
        <v>405</v>
      </c>
      <c r="C417" s="65">
        <v>10</v>
      </c>
      <c r="D417" s="66" t="s">
        <v>20</v>
      </c>
      <c r="E417" s="69" t="s">
        <v>99</v>
      </c>
      <c r="F417" s="70"/>
      <c r="G417" s="71">
        <v>1510.9170731707318</v>
      </c>
      <c r="H417" s="72">
        <v>502.95609756097559</v>
      </c>
      <c r="I417" s="72">
        <v>1007.9609756097561</v>
      </c>
      <c r="J417" s="72"/>
      <c r="K417" s="72"/>
      <c r="L417" s="73"/>
      <c r="M417" s="71">
        <v>3021.8341463414636</v>
      </c>
      <c r="N417" s="72">
        <v>1005.9121951219512</v>
      </c>
      <c r="O417" s="72">
        <v>2015.9219512195123</v>
      </c>
      <c r="P417" s="72"/>
      <c r="Q417" s="72"/>
      <c r="R417" s="73"/>
      <c r="S417" s="71">
        <v>502</v>
      </c>
      <c r="T417" s="72">
        <v>493</v>
      </c>
      <c r="U417" s="72">
        <v>502</v>
      </c>
      <c r="V417" s="72">
        <v>514</v>
      </c>
      <c r="W417" s="72">
        <v>499</v>
      </c>
      <c r="X417" s="73">
        <v>502</v>
      </c>
      <c r="Y417" s="71">
        <v>1030</v>
      </c>
      <c r="Z417" s="72">
        <v>1044</v>
      </c>
      <c r="AA417" s="72">
        <v>1068</v>
      </c>
      <c r="AB417" s="72">
        <v>1046</v>
      </c>
      <c r="AC417" s="72">
        <v>996</v>
      </c>
      <c r="AD417" s="73">
        <v>996</v>
      </c>
      <c r="AE417" s="71"/>
      <c r="AF417" s="72"/>
      <c r="AG417" s="72"/>
      <c r="AH417" s="72"/>
      <c r="AI417" s="72"/>
      <c r="AJ417" s="73"/>
      <c r="AK417" s="71"/>
      <c r="AL417" s="72"/>
      <c r="AM417" s="72"/>
      <c r="AN417" s="72"/>
      <c r="AO417" s="72"/>
      <c r="AP417" s="73"/>
      <c r="AQ417" s="71"/>
      <c r="AR417" s="72"/>
      <c r="AS417" s="72"/>
      <c r="AT417" s="72"/>
      <c r="AU417" s="72"/>
      <c r="AV417" s="73"/>
      <c r="AW417" s="75">
        <v>1.3953728635168972</v>
      </c>
      <c r="AX417" s="76">
        <v>1.7262977096772048</v>
      </c>
      <c r="AY417" s="76">
        <v>3.9104016943352082</v>
      </c>
      <c r="AZ417" s="76">
        <v>3.248552002014593</v>
      </c>
      <c r="BA417" s="76">
        <v>-1.0534709980693391</v>
      </c>
      <c r="BB417" s="77">
        <v>-0.85491609037315897</v>
      </c>
      <c r="BC417" s="65"/>
      <c r="BD417" s="78"/>
      <c r="BE417" s="78"/>
      <c r="BF417" s="78"/>
      <c r="BG417" s="78"/>
      <c r="BH417" s="70"/>
      <c r="BI417" s="65"/>
      <c r="BJ417" s="78"/>
      <c r="BK417" s="78"/>
      <c r="BL417" s="78"/>
      <c r="BM417" s="78"/>
      <c r="BN417" s="70"/>
      <c r="BO417" s="65"/>
      <c r="BP417" s="78"/>
      <c r="BQ417" s="78"/>
      <c r="BR417" s="78"/>
      <c r="BS417" s="78"/>
      <c r="BT417" s="70"/>
      <c r="BU417" s="65"/>
      <c r="BV417" s="78"/>
      <c r="BW417" s="78"/>
      <c r="BX417" s="78"/>
      <c r="BY417" s="78"/>
      <c r="BZ417" s="70"/>
      <c r="CA417" s="80"/>
      <c r="CB417" s="78"/>
      <c r="CC417" s="78"/>
      <c r="CD417" s="78"/>
      <c r="CE417" s="78"/>
      <c r="CF417" s="70"/>
    </row>
    <row r="418" spans="1:84" ht="12" customHeight="1">
      <c r="A418" s="2"/>
      <c r="B418" s="64">
        <v>406</v>
      </c>
      <c r="C418" s="65">
        <v>10</v>
      </c>
      <c r="D418" s="66" t="s">
        <v>20</v>
      </c>
      <c r="E418" s="69" t="s">
        <v>168</v>
      </c>
      <c r="F418" s="70"/>
      <c r="G418" s="71">
        <v>1006.9365853658537</v>
      </c>
      <c r="H418" s="72">
        <v>502.95609756097559</v>
      </c>
      <c r="I418" s="72">
        <v>503.98048780487807</v>
      </c>
      <c r="J418" s="72"/>
      <c r="K418" s="72"/>
      <c r="L418" s="73"/>
      <c r="M418" s="71">
        <v>2013.8731707317074</v>
      </c>
      <c r="N418" s="72">
        <v>1005.9121951219512</v>
      </c>
      <c r="O418" s="72">
        <v>1007.9609756097561</v>
      </c>
      <c r="P418" s="72"/>
      <c r="Q418" s="72"/>
      <c r="R418" s="73"/>
      <c r="S418" s="71">
        <v>505.8</v>
      </c>
      <c r="T418" s="72">
        <v>498</v>
      </c>
      <c r="U418" s="72">
        <v>510</v>
      </c>
      <c r="V418" s="72">
        <v>607</v>
      </c>
      <c r="W418" s="72">
        <v>398</v>
      </c>
      <c r="X418" s="73">
        <v>516</v>
      </c>
      <c r="Y418" s="71">
        <v>492.8</v>
      </c>
      <c r="Z418" s="72">
        <v>468</v>
      </c>
      <c r="AA418" s="72">
        <v>504</v>
      </c>
      <c r="AB418" s="72">
        <v>504</v>
      </c>
      <c r="AC418" s="72">
        <v>498</v>
      </c>
      <c r="AD418" s="73">
        <v>490</v>
      </c>
      <c r="AE418" s="71"/>
      <c r="AF418" s="72"/>
      <c r="AG418" s="72"/>
      <c r="AH418" s="72"/>
      <c r="AI418" s="72"/>
      <c r="AJ418" s="73"/>
      <c r="AK418" s="71"/>
      <c r="AL418" s="72"/>
      <c r="AM418" s="72"/>
      <c r="AN418" s="72"/>
      <c r="AO418" s="72"/>
      <c r="AP418" s="73"/>
      <c r="AQ418" s="71"/>
      <c r="AR418" s="72"/>
      <c r="AS418" s="72"/>
      <c r="AT418" s="72"/>
      <c r="AU418" s="72"/>
      <c r="AV418" s="73"/>
      <c r="AW418" s="75">
        <v>-0.82791562914805716</v>
      </c>
      <c r="AX418" s="76">
        <v>-4.0654581391518452</v>
      </c>
      <c r="AY418" s="76">
        <v>0.70147561790894208</v>
      </c>
      <c r="AZ418" s="76">
        <v>10.334654251969265</v>
      </c>
      <c r="BA418" s="76">
        <v>-11.017236534865471</v>
      </c>
      <c r="BB418" s="77">
        <v>-9.3013341601189126E-2</v>
      </c>
      <c r="BC418" s="65"/>
      <c r="BD418" s="78"/>
      <c r="BE418" s="78"/>
      <c r="BF418" s="78"/>
      <c r="BG418" s="78"/>
      <c r="BH418" s="70"/>
      <c r="BI418" s="65"/>
      <c r="BJ418" s="78"/>
      <c r="BK418" s="78"/>
      <c r="BL418" s="78"/>
      <c r="BM418" s="78"/>
      <c r="BN418" s="70"/>
      <c r="BO418" s="65"/>
      <c r="BP418" s="78"/>
      <c r="BQ418" s="78"/>
      <c r="BR418" s="78"/>
      <c r="BS418" s="78"/>
      <c r="BT418" s="70"/>
      <c r="BU418" s="65"/>
      <c r="BV418" s="78"/>
      <c r="BW418" s="78"/>
      <c r="BX418" s="78"/>
      <c r="BY418" s="78"/>
      <c r="BZ418" s="70"/>
      <c r="CA418" s="126"/>
      <c r="CB418" s="78"/>
      <c r="CC418" s="78"/>
      <c r="CD418" s="78"/>
      <c r="CE418" s="78"/>
      <c r="CF418" s="70"/>
    </row>
    <row r="419" spans="1:84" ht="12" customHeight="1">
      <c r="A419" s="2"/>
      <c r="B419" s="64">
        <v>407</v>
      </c>
      <c r="C419" s="65">
        <v>10</v>
      </c>
      <c r="D419" s="66" t="s">
        <v>20</v>
      </c>
      <c r="E419" s="69" t="s">
        <v>169</v>
      </c>
      <c r="F419" s="70"/>
      <c r="G419" s="71">
        <v>1510.9170731707318</v>
      </c>
      <c r="H419" s="72">
        <v>502.95609756097559</v>
      </c>
      <c r="I419" s="72">
        <v>1007.9609756097561</v>
      </c>
      <c r="J419" s="72"/>
      <c r="K419" s="72"/>
      <c r="L419" s="73"/>
      <c r="M419" s="71">
        <v>3021.8341463414636</v>
      </c>
      <c r="N419" s="72">
        <v>1005.9121951219512</v>
      </c>
      <c r="O419" s="72">
        <v>2015.9219512195123</v>
      </c>
      <c r="P419" s="72"/>
      <c r="Q419" s="72"/>
      <c r="R419" s="73"/>
      <c r="S419" s="71">
        <v>512</v>
      </c>
      <c r="T419" s="72">
        <v>463</v>
      </c>
      <c r="U419" s="72">
        <v>575</v>
      </c>
      <c r="V419" s="72">
        <v>512</v>
      </c>
      <c r="W419" s="72">
        <v>509</v>
      </c>
      <c r="X419" s="73">
        <v>501</v>
      </c>
      <c r="Y419" s="71">
        <v>1018.4</v>
      </c>
      <c r="Z419" s="72">
        <v>1036</v>
      </c>
      <c r="AA419" s="72">
        <v>983</v>
      </c>
      <c r="AB419" s="72">
        <v>996</v>
      </c>
      <c r="AC419" s="72">
        <v>1043</v>
      </c>
      <c r="AD419" s="73">
        <v>1034</v>
      </c>
      <c r="AE419" s="71"/>
      <c r="AF419" s="72"/>
      <c r="AG419" s="72"/>
      <c r="AH419" s="72"/>
      <c r="AI419" s="72"/>
      <c r="AJ419" s="73"/>
      <c r="AK419" s="71"/>
      <c r="AL419" s="72"/>
      <c r="AM419" s="72"/>
      <c r="AN419" s="72"/>
      <c r="AO419" s="72"/>
      <c r="AP419" s="73"/>
      <c r="AQ419" s="71"/>
      <c r="AR419" s="72"/>
      <c r="AS419" s="72"/>
      <c r="AT419" s="72"/>
      <c r="AU419" s="72"/>
      <c r="AV419" s="73"/>
      <c r="AW419" s="75">
        <v>1.2894769127456129</v>
      </c>
      <c r="AX419" s="76">
        <v>-0.78873112114109523</v>
      </c>
      <c r="AY419" s="76">
        <v>3.1161820635504878</v>
      </c>
      <c r="AZ419" s="76">
        <v>-0.19306639805255488</v>
      </c>
      <c r="BA419" s="76">
        <v>2.7190722481581053</v>
      </c>
      <c r="BB419" s="77">
        <v>1.5939277712130773</v>
      </c>
      <c r="BC419" s="65"/>
      <c r="BD419" s="78"/>
      <c r="BE419" s="78"/>
      <c r="BF419" s="78"/>
      <c r="BG419" s="78"/>
      <c r="BH419" s="70"/>
      <c r="BI419" s="65"/>
      <c r="BJ419" s="78"/>
      <c r="BK419" s="78"/>
      <c r="BL419" s="78"/>
      <c r="BM419" s="78"/>
      <c r="BN419" s="70"/>
      <c r="BO419" s="65"/>
      <c r="BP419" s="78"/>
      <c r="BQ419" s="78"/>
      <c r="BR419" s="78"/>
      <c r="BS419" s="78"/>
      <c r="BT419" s="70"/>
      <c r="BU419" s="65"/>
      <c r="BV419" s="78"/>
      <c r="BW419" s="78"/>
      <c r="BX419" s="78"/>
      <c r="BY419" s="78"/>
      <c r="BZ419" s="70"/>
      <c r="CA419" s="126"/>
      <c r="CB419" s="78"/>
      <c r="CC419" s="78"/>
      <c r="CD419" s="78"/>
      <c r="CE419" s="78"/>
      <c r="CF419" s="70"/>
    </row>
    <row r="420" spans="1:84" ht="12" customHeight="1">
      <c r="A420" s="2"/>
      <c r="B420" s="64">
        <v>408</v>
      </c>
      <c r="C420" s="65">
        <v>10</v>
      </c>
      <c r="D420" s="66" t="s">
        <v>20</v>
      </c>
      <c r="E420" s="69" t="s">
        <v>170</v>
      </c>
      <c r="F420" s="70"/>
      <c r="G420" s="71">
        <v>1510.9170731707318</v>
      </c>
      <c r="H420" s="72">
        <v>502.95609756097559</v>
      </c>
      <c r="I420" s="72">
        <v>1007.9609756097561</v>
      </c>
      <c r="J420" s="72"/>
      <c r="K420" s="72"/>
      <c r="L420" s="73"/>
      <c r="M420" s="71">
        <v>3021.8341463414636</v>
      </c>
      <c r="N420" s="72">
        <v>1005.9121951219512</v>
      </c>
      <c r="O420" s="72">
        <v>2015.9219512195123</v>
      </c>
      <c r="P420" s="72"/>
      <c r="Q420" s="72"/>
      <c r="R420" s="73"/>
      <c r="S420" s="71">
        <v>502</v>
      </c>
      <c r="T420" s="72">
        <v>493</v>
      </c>
      <c r="U420" s="72">
        <v>502</v>
      </c>
      <c r="V420" s="72">
        <v>514</v>
      </c>
      <c r="W420" s="72">
        <v>499</v>
      </c>
      <c r="X420" s="73">
        <v>502</v>
      </c>
      <c r="Y420" s="71">
        <v>1030</v>
      </c>
      <c r="Z420" s="72">
        <v>1044</v>
      </c>
      <c r="AA420" s="72">
        <v>1068</v>
      </c>
      <c r="AB420" s="72">
        <v>1046</v>
      </c>
      <c r="AC420" s="72">
        <v>996</v>
      </c>
      <c r="AD420" s="73">
        <v>996</v>
      </c>
      <c r="AE420" s="71"/>
      <c r="AF420" s="72"/>
      <c r="AG420" s="72"/>
      <c r="AH420" s="72"/>
      <c r="AI420" s="72"/>
      <c r="AJ420" s="73"/>
      <c r="AK420" s="71"/>
      <c r="AL420" s="72"/>
      <c r="AM420" s="72"/>
      <c r="AN420" s="72"/>
      <c r="AO420" s="72"/>
      <c r="AP420" s="73"/>
      <c r="AQ420" s="71"/>
      <c r="AR420" s="72"/>
      <c r="AS420" s="72"/>
      <c r="AT420" s="72"/>
      <c r="AU420" s="72"/>
      <c r="AV420" s="73"/>
      <c r="AW420" s="75">
        <v>1.3953728635168972</v>
      </c>
      <c r="AX420" s="76">
        <v>1.7262977096772048</v>
      </c>
      <c r="AY420" s="76">
        <v>3.9104016943352082</v>
      </c>
      <c r="AZ420" s="76">
        <v>3.248552002014593</v>
      </c>
      <c r="BA420" s="76">
        <v>-1.0534709980693391</v>
      </c>
      <c r="BB420" s="77">
        <v>-0.85491609037315897</v>
      </c>
      <c r="BC420" s="65"/>
      <c r="BD420" s="78"/>
      <c r="BE420" s="78"/>
      <c r="BF420" s="78"/>
      <c r="BG420" s="78"/>
      <c r="BH420" s="70"/>
      <c r="BI420" s="65"/>
      <c r="BJ420" s="78"/>
      <c r="BK420" s="78"/>
      <c r="BL420" s="78"/>
      <c r="BM420" s="78"/>
      <c r="BN420" s="70"/>
      <c r="BO420" s="65"/>
      <c r="BP420" s="78"/>
      <c r="BQ420" s="78"/>
      <c r="BR420" s="78"/>
      <c r="BS420" s="78"/>
      <c r="BT420" s="70"/>
      <c r="BU420" s="65"/>
      <c r="BV420" s="78"/>
      <c r="BW420" s="78"/>
      <c r="BX420" s="78"/>
      <c r="BY420" s="78"/>
      <c r="BZ420" s="70"/>
      <c r="CA420" s="126"/>
      <c r="CB420" s="78"/>
      <c r="CC420" s="78"/>
      <c r="CD420" s="78"/>
      <c r="CE420" s="78"/>
      <c r="CF420" s="70"/>
    </row>
    <row r="421" spans="1:84" ht="12" customHeight="1">
      <c r="A421" s="2"/>
      <c r="B421" s="64">
        <v>409</v>
      </c>
      <c r="C421" s="65">
        <v>10</v>
      </c>
      <c r="D421" s="66" t="s">
        <v>20</v>
      </c>
      <c r="E421" s="69" t="s">
        <v>101</v>
      </c>
      <c r="F421" s="70"/>
      <c r="G421" s="71">
        <v>1258.4146341463415</v>
      </c>
      <c r="H421" s="72">
        <v>754.43414634146336</v>
      </c>
      <c r="I421" s="72">
        <v>503.98048780487807</v>
      </c>
      <c r="J421" s="72"/>
      <c r="K421" s="72"/>
      <c r="L421" s="73"/>
      <c r="M421" s="71">
        <v>2516.8292682926831</v>
      </c>
      <c r="N421" s="72">
        <v>1508.8682926829267</v>
      </c>
      <c r="O421" s="72">
        <v>1007.9609756097561</v>
      </c>
      <c r="P421" s="72"/>
      <c r="Q421" s="72"/>
      <c r="R421" s="73"/>
      <c r="S421" s="71">
        <v>761.2</v>
      </c>
      <c r="T421" s="72">
        <v>732</v>
      </c>
      <c r="U421" s="72">
        <v>767</v>
      </c>
      <c r="V421" s="72">
        <v>767</v>
      </c>
      <c r="W421" s="72">
        <v>794</v>
      </c>
      <c r="X421" s="73">
        <v>746</v>
      </c>
      <c r="Y421" s="71">
        <v>496.4</v>
      </c>
      <c r="Z421" s="72">
        <v>496</v>
      </c>
      <c r="AA421" s="72">
        <v>493</v>
      </c>
      <c r="AB421" s="72">
        <v>492</v>
      </c>
      <c r="AC421" s="72">
        <v>489</v>
      </c>
      <c r="AD421" s="73">
        <v>512</v>
      </c>
      <c r="AE421" s="71"/>
      <c r="AF421" s="72"/>
      <c r="AG421" s="72"/>
      <c r="AH421" s="72"/>
      <c r="AI421" s="72"/>
      <c r="AJ421" s="73"/>
      <c r="AK421" s="71"/>
      <c r="AL421" s="72"/>
      <c r="AM421" s="72"/>
      <c r="AN421" s="72"/>
      <c r="AO421" s="72"/>
      <c r="AP421" s="73"/>
      <c r="AQ421" s="71"/>
      <c r="AR421" s="72"/>
      <c r="AS421" s="72"/>
      <c r="AT421" s="72"/>
      <c r="AU421" s="72"/>
      <c r="AV421" s="73"/>
      <c r="AW421" s="75">
        <v>-6.4734954937506473E-2</v>
      </c>
      <c r="AX421" s="76">
        <v>-2.4169008624866817</v>
      </c>
      <c r="AY421" s="76">
        <v>0.12598119972864197</v>
      </c>
      <c r="AZ421" s="76">
        <v>4.6516135284413451E-2</v>
      </c>
      <c r="BA421" s="76">
        <v>1.9536776819459201</v>
      </c>
      <c r="BB421" s="77">
        <v>-3.2948929159803964E-2</v>
      </c>
      <c r="BC421" s="65"/>
      <c r="BD421" s="78"/>
      <c r="BE421" s="78"/>
      <c r="BF421" s="78"/>
      <c r="BG421" s="78"/>
      <c r="BH421" s="70"/>
      <c r="BI421" s="65"/>
      <c r="BJ421" s="78"/>
      <c r="BK421" s="78"/>
      <c r="BL421" s="78"/>
      <c r="BM421" s="78"/>
      <c r="BN421" s="70"/>
      <c r="BO421" s="65"/>
      <c r="BP421" s="78"/>
      <c r="BQ421" s="78"/>
      <c r="BR421" s="78"/>
      <c r="BS421" s="78"/>
      <c r="BT421" s="70"/>
      <c r="BU421" s="65"/>
      <c r="BV421" s="78"/>
      <c r="BW421" s="78"/>
      <c r="BX421" s="78"/>
      <c r="BY421" s="78"/>
      <c r="BZ421" s="70"/>
      <c r="CA421" s="126"/>
      <c r="CB421" s="78"/>
      <c r="CC421" s="78"/>
      <c r="CD421" s="78"/>
      <c r="CE421" s="78"/>
      <c r="CF421" s="70"/>
    </row>
    <row r="422" spans="1:84" ht="12" customHeight="1">
      <c r="A422" s="2"/>
      <c r="B422" s="64">
        <v>410</v>
      </c>
      <c r="C422" s="65">
        <v>10</v>
      </c>
      <c r="D422" s="66" t="s">
        <v>20</v>
      </c>
      <c r="E422" s="69" t="s">
        <v>162</v>
      </c>
      <c r="F422" s="70"/>
      <c r="G422" s="71">
        <v>1762.3951219512196</v>
      </c>
      <c r="H422" s="72">
        <v>754.43414634146336</v>
      </c>
      <c r="I422" s="72">
        <v>1007.9609756097561</v>
      </c>
      <c r="J422" s="72"/>
      <c r="K422" s="72"/>
      <c r="L422" s="73"/>
      <c r="M422" s="71">
        <v>3524.7902439024392</v>
      </c>
      <c r="N422" s="72">
        <v>1508.8682926829267</v>
      </c>
      <c r="O422" s="72">
        <v>2015.9219512195123</v>
      </c>
      <c r="P422" s="72"/>
      <c r="Q422" s="72"/>
      <c r="R422" s="73"/>
      <c r="S422" s="71">
        <v>755</v>
      </c>
      <c r="T422" s="72">
        <v>750</v>
      </c>
      <c r="U422" s="72">
        <v>740</v>
      </c>
      <c r="V422" s="72">
        <v>771</v>
      </c>
      <c r="W422" s="72">
        <v>760</v>
      </c>
      <c r="X422" s="73">
        <v>754</v>
      </c>
      <c r="Y422" s="71">
        <v>995.4</v>
      </c>
      <c r="Z422" s="72">
        <v>993</v>
      </c>
      <c r="AA422" s="72">
        <v>997</v>
      </c>
      <c r="AB422" s="72">
        <v>1006</v>
      </c>
      <c r="AC422" s="72">
        <v>1006</v>
      </c>
      <c r="AD422" s="73">
        <v>975</v>
      </c>
      <c r="AE422" s="71"/>
      <c r="AF422" s="72"/>
      <c r="AG422" s="72"/>
      <c r="AH422" s="72"/>
      <c r="AI422" s="72"/>
      <c r="AJ422" s="73"/>
      <c r="AK422" s="71"/>
      <c r="AL422" s="72"/>
      <c r="AM422" s="72"/>
      <c r="AN422" s="72"/>
      <c r="AO422" s="72"/>
      <c r="AP422" s="73"/>
      <c r="AQ422" s="71"/>
      <c r="AR422" s="72"/>
      <c r="AS422" s="72"/>
      <c r="AT422" s="72"/>
      <c r="AU422" s="72"/>
      <c r="AV422" s="73"/>
      <c r="AW422" s="75">
        <v>-0.68061479527583568</v>
      </c>
      <c r="AX422" s="76">
        <v>-1.1004979365663692</v>
      </c>
      <c r="AY422" s="76">
        <v>-1.4409437268019465</v>
      </c>
      <c r="AZ422" s="76">
        <v>0.82869487476853188</v>
      </c>
      <c r="BA422" s="76">
        <v>0.20454425933664755</v>
      </c>
      <c r="BB422" s="77">
        <v>-1.8948714471160422</v>
      </c>
      <c r="BC422" s="65"/>
      <c r="BD422" s="78"/>
      <c r="BE422" s="78"/>
      <c r="BF422" s="78"/>
      <c r="BG422" s="78"/>
      <c r="BH422" s="70"/>
      <c r="BI422" s="65"/>
      <c r="BJ422" s="78"/>
      <c r="BK422" s="78"/>
      <c r="BL422" s="78"/>
      <c r="BM422" s="78"/>
      <c r="BN422" s="70"/>
      <c r="BO422" s="65"/>
      <c r="BP422" s="78"/>
      <c r="BQ422" s="78"/>
      <c r="BR422" s="78"/>
      <c r="BS422" s="78"/>
      <c r="BT422" s="70"/>
      <c r="BU422" s="65"/>
      <c r="BV422" s="78"/>
      <c r="BW422" s="78"/>
      <c r="BX422" s="78"/>
      <c r="BY422" s="78"/>
      <c r="BZ422" s="70"/>
      <c r="CA422" s="126"/>
      <c r="CB422" s="78"/>
      <c r="CC422" s="78"/>
      <c r="CD422" s="78"/>
      <c r="CE422" s="78"/>
      <c r="CF422" s="70"/>
    </row>
    <row r="423" spans="1:84" ht="12" customHeight="1">
      <c r="A423" s="2"/>
      <c r="B423" s="64">
        <v>411</v>
      </c>
      <c r="C423" s="65">
        <v>10</v>
      </c>
      <c r="D423" s="66" t="s">
        <v>20</v>
      </c>
      <c r="E423" s="69" t="s">
        <v>102</v>
      </c>
      <c r="F423" s="70"/>
      <c r="G423" s="71">
        <v>1762.3951219512196</v>
      </c>
      <c r="H423" s="72">
        <v>754.43414634146336</v>
      </c>
      <c r="I423" s="72">
        <v>1007.9609756097561</v>
      </c>
      <c r="J423" s="72"/>
      <c r="K423" s="72"/>
      <c r="L423" s="73"/>
      <c r="M423" s="71">
        <v>3524.7902439024392</v>
      </c>
      <c r="N423" s="72">
        <v>1508.8682926829267</v>
      </c>
      <c r="O423" s="72">
        <v>2015.9219512195123</v>
      </c>
      <c r="P423" s="72"/>
      <c r="Q423" s="72"/>
      <c r="R423" s="73"/>
      <c r="S423" s="71">
        <v>769</v>
      </c>
      <c r="T423" s="72">
        <v>768</v>
      </c>
      <c r="U423" s="72">
        <v>767</v>
      </c>
      <c r="V423" s="72">
        <v>766</v>
      </c>
      <c r="W423" s="72">
        <v>776</v>
      </c>
      <c r="X423" s="73">
        <v>768</v>
      </c>
      <c r="Y423" s="71">
        <v>1018.8</v>
      </c>
      <c r="Z423" s="72">
        <v>1016</v>
      </c>
      <c r="AA423" s="72">
        <v>944</v>
      </c>
      <c r="AB423" s="72">
        <v>1074</v>
      </c>
      <c r="AC423" s="72">
        <v>1038</v>
      </c>
      <c r="AD423" s="73">
        <v>1022</v>
      </c>
      <c r="AE423" s="71"/>
      <c r="AF423" s="72"/>
      <c r="AG423" s="72"/>
      <c r="AH423" s="72"/>
      <c r="AI423" s="72"/>
      <c r="AJ423" s="73"/>
      <c r="AK423" s="71"/>
      <c r="AL423" s="72"/>
      <c r="AM423" s="72"/>
      <c r="AN423" s="72"/>
      <c r="AO423" s="72"/>
      <c r="AP423" s="73"/>
      <c r="AQ423" s="71"/>
      <c r="AR423" s="72"/>
      <c r="AS423" s="72"/>
      <c r="AT423" s="72"/>
      <c r="AU423" s="72"/>
      <c r="AV423" s="73"/>
      <c r="AW423" s="75">
        <v>1.4414972971925621</v>
      </c>
      <c r="AX423" s="76">
        <v>1.2258816300433573</v>
      </c>
      <c r="AY423" s="76">
        <v>-2.916208817822763</v>
      </c>
      <c r="AZ423" s="76">
        <v>4.403375672242027</v>
      </c>
      <c r="BA423" s="76">
        <v>2.9281105812212216</v>
      </c>
      <c r="BB423" s="77">
        <v>1.5663274202789346</v>
      </c>
      <c r="BC423" s="65"/>
      <c r="BD423" s="78"/>
      <c r="BE423" s="78"/>
      <c r="BF423" s="78"/>
      <c r="BG423" s="78"/>
      <c r="BH423" s="70"/>
      <c r="BI423" s="65"/>
      <c r="BJ423" s="78"/>
      <c r="BK423" s="78"/>
      <c r="BL423" s="78"/>
      <c r="BM423" s="78"/>
      <c r="BN423" s="70"/>
      <c r="BO423" s="65"/>
      <c r="BP423" s="78"/>
      <c r="BQ423" s="78"/>
      <c r="BR423" s="78"/>
      <c r="BS423" s="78"/>
      <c r="BT423" s="70"/>
      <c r="BU423" s="65"/>
      <c r="BV423" s="78"/>
      <c r="BW423" s="78"/>
      <c r="BX423" s="78"/>
      <c r="BY423" s="78"/>
      <c r="BZ423" s="70"/>
      <c r="CA423" s="126"/>
      <c r="CB423" s="78"/>
      <c r="CC423" s="78"/>
      <c r="CD423" s="78"/>
      <c r="CE423" s="78"/>
      <c r="CF423" s="70"/>
    </row>
    <row r="424" spans="1:84" ht="12" customHeight="1">
      <c r="A424" s="2"/>
      <c r="B424" s="64">
        <v>412</v>
      </c>
      <c r="C424" s="65">
        <v>10</v>
      </c>
      <c r="D424" s="66" t="s">
        <v>21</v>
      </c>
      <c r="E424" s="69" t="s">
        <v>67</v>
      </c>
      <c r="F424" s="70"/>
      <c r="G424" s="71">
        <v>2048.6536585365857</v>
      </c>
      <c r="H424" s="72">
        <v>2048.6536585365857</v>
      </c>
      <c r="I424" s="72"/>
      <c r="J424" s="72"/>
      <c r="K424" s="72"/>
      <c r="L424" s="73">
        <v>0</v>
      </c>
      <c r="M424" s="71">
        <v>4097.3073170731714</v>
      </c>
      <c r="N424" s="72">
        <v>4097.3073170731714</v>
      </c>
      <c r="O424" s="72"/>
      <c r="P424" s="72"/>
      <c r="Q424" s="72"/>
      <c r="R424" s="73">
        <v>0</v>
      </c>
      <c r="S424" s="71">
        <v>2045.6</v>
      </c>
      <c r="T424" s="72">
        <v>2079</v>
      </c>
      <c r="U424" s="72">
        <v>2165</v>
      </c>
      <c r="V424" s="72">
        <v>1945</v>
      </c>
      <c r="W424" s="72">
        <v>1984</v>
      </c>
      <c r="X424" s="73">
        <v>2055</v>
      </c>
      <c r="Y424" s="71"/>
      <c r="Z424" s="72"/>
      <c r="AA424" s="72"/>
      <c r="AB424" s="72"/>
      <c r="AC424" s="72"/>
      <c r="AD424" s="73"/>
      <c r="AE424" s="71"/>
      <c r="AF424" s="72"/>
      <c r="AG424" s="72"/>
      <c r="AH424" s="72"/>
      <c r="AI424" s="72"/>
      <c r="AJ424" s="73"/>
      <c r="AK424" s="71"/>
      <c r="AL424" s="72"/>
      <c r="AM424" s="72"/>
      <c r="AN424" s="72"/>
      <c r="AO424" s="72"/>
      <c r="AP424" s="73"/>
      <c r="AQ424" s="71"/>
      <c r="AR424" s="72"/>
      <c r="AS424" s="72"/>
      <c r="AT424" s="72"/>
      <c r="AU424" s="72"/>
      <c r="AV424" s="73"/>
      <c r="AW424" s="75">
        <v>-0.14905684637622763</v>
      </c>
      <c r="AX424" s="76">
        <v>1.4812821746107874</v>
      </c>
      <c r="AY424" s="76">
        <v>5.6791610909246559</v>
      </c>
      <c r="AZ424" s="76">
        <v>-5.0595989275526776</v>
      </c>
      <c r="BA424" s="76">
        <v>-3.1559096515498708</v>
      </c>
      <c r="BB424" s="77">
        <v>0.30978108168600027</v>
      </c>
      <c r="BC424" s="65"/>
      <c r="BD424" s="78"/>
      <c r="BE424" s="78"/>
      <c r="BF424" s="78"/>
      <c r="BG424" s="78"/>
      <c r="BH424" s="70"/>
      <c r="BI424" s="65"/>
      <c r="BJ424" s="78"/>
      <c r="BK424" s="78"/>
      <c r="BL424" s="78"/>
      <c r="BM424" s="78"/>
      <c r="BN424" s="70"/>
      <c r="BO424" s="65"/>
      <c r="BP424" s="78"/>
      <c r="BQ424" s="78"/>
      <c r="BR424" s="78"/>
      <c r="BS424" s="78"/>
      <c r="BT424" s="70"/>
      <c r="BU424" s="65"/>
      <c r="BV424" s="78"/>
      <c r="BW424" s="78"/>
      <c r="BX424" s="78"/>
      <c r="BY424" s="78"/>
      <c r="BZ424" s="70"/>
      <c r="CA424" s="80"/>
      <c r="CB424" s="78"/>
      <c r="CC424" s="78"/>
      <c r="CD424" s="78"/>
      <c r="CE424" s="78"/>
      <c r="CF424" s="70"/>
    </row>
    <row r="425" spans="1:84" ht="12" customHeight="1">
      <c r="A425" s="2"/>
      <c r="B425" s="64">
        <v>413</v>
      </c>
      <c r="C425" s="65">
        <v>10</v>
      </c>
      <c r="D425" s="66" t="s">
        <v>21</v>
      </c>
      <c r="E425" s="69" t="s">
        <v>148</v>
      </c>
      <c r="F425" s="70"/>
      <c r="G425" s="71">
        <v>2048.6536585365857</v>
      </c>
      <c r="H425" s="72">
        <v>2048.6536585365857</v>
      </c>
      <c r="I425" s="72"/>
      <c r="J425" s="72"/>
      <c r="K425" s="72"/>
      <c r="L425" s="73">
        <v>0</v>
      </c>
      <c r="M425" s="71">
        <v>4097.3073170731714</v>
      </c>
      <c r="N425" s="72">
        <v>4097.3073170731714</v>
      </c>
      <c r="O425" s="72"/>
      <c r="P425" s="72"/>
      <c r="Q425" s="72"/>
      <c r="R425" s="73">
        <v>0</v>
      </c>
      <c r="S425" s="71">
        <v>2045.6</v>
      </c>
      <c r="T425" s="72">
        <v>2079</v>
      </c>
      <c r="U425" s="72">
        <v>2165</v>
      </c>
      <c r="V425" s="72">
        <v>1945</v>
      </c>
      <c r="W425" s="72">
        <v>1984</v>
      </c>
      <c r="X425" s="73">
        <v>2055</v>
      </c>
      <c r="Y425" s="71"/>
      <c r="Z425" s="72"/>
      <c r="AA425" s="72"/>
      <c r="AB425" s="72"/>
      <c r="AC425" s="72"/>
      <c r="AD425" s="73"/>
      <c r="AE425" s="71"/>
      <c r="AF425" s="72"/>
      <c r="AG425" s="72"/>
      <c r="AH425" s="72"/>
      <c r="AI425" s="72"/>
      <c r="AJ425" s="73"/>
      <c r="AK425" s="71"/>
      <c r="AL425" s="72"/>
      <c r="AM425" s="72"/>
      <c r="AN425" s="72"/>
      <c r="AO425" s="72"/>
      <c r="AP425" s="73"/>
      <c r="AQ425" s="71"/>
      <c r="AR425" s="72"/>
      <c r="AS425" s="72"/>
      <c r="AT425" s="72"/>
      <c r="AU425" s="72"/>
      <c r="AV425" s="73"/>
      <c r="AW425" s="75">
        <v>-0.14905684637622763</v>
      </c>
      <c r="AX425" s="76">
        <v>1.4812821746107874</v>
      </c>
      <c r="AY425" s="76">
        <v>5.6791610909246559</v>
      </c>
      <c r="AZ425" s="76">
        <v>-5.0595989275526776</v>
      </c>
      <c r="BA425" s="76">
        <v>-3.1559096515498708</v>
      </c>
      <c r="BB425" s="77">
        <v>0.30978108168600027</v>
      </c>
      <c r="BC425" s="65"/>
      <c r="BD425" s="78"/>
      <c r="BE425" s="78"/>
      <c r="BF425" s="78"/>
      <c r="BG425" s="78"/>
      <c r="BH425" s="70"/>
      <c r="BI425" s="65"/>
      <c r="BJ425" s="78"/>
      <c r="BK425" s="78"/>
      <c r="BL425" s="78"/>
      <c r="BM425" s="78"/>
      <c r="BN425" s="70"/>
      <c r="BO425" s="65"/>
      <c r="BP425" s="78"/>
      <c r="BQ425" s="78"/>
      <c r="BR425" s="78"/>
      <c r="BS425" s="78"/>
      <c r="BT425" s="70"/>
      <c r="BU425" s="65"/>
      <c r="BV425" s="78"/>
      <c r="BW425" s="78"/>
      <c r="BX425" s="78"/>
      <c r="BY425" s="78"/>
      <c r="BZ425" s="70"/>
      <c r="CA425" s="80"/>
      <c r="CB425" s="78"/>
      <c r="CC425" s="78"/>
      <c r="CD425" s="78"/>
      <c r="CE425" s="78"/>
      <c r="CF425" s="70"/>
    </row>
    <row r="426" spans="1:84" ht="12" customHeight="1">
      <c r="A426" s="2"/>
      <c r="B426" s="64">
        <v>414</v>
      </c>
      <c r="C426" s="65">
        <v>10</v>
      </c>
      <c r="D426" s="66" t="s">
        <v>21</v>
      </c>
      <c r="E426" s="69" t="s">
        <v>79</v>
      </c>
      <c r="F426" s="70"/>
      <c r="G426" s="71">
        <v>2458.384390243903</v>
      </c>
      <c r="H426" s="72">
        <v>2048.6536585365857</v>
      </c>
      <c r="I426" s="72"/>
      <c r="J426" s="72"/>
      <c r="K426" s="72"/>
      <c r="L426" s="73">
        <v>409.73073170731715</v>
      </c>
      <c r="M426" s="71">
        <v>4916.768780487806</v>
      </c>
      <c r="N426" s="72">
        <v>4097.3073170731714</v>
      </c>
      <c r="O426" s="72"/>
      <c r="P426" s="72"/>
      <c r="Q426" s="72"/>
      <c r="R426" s="73">
        <v>819.4614634146343</v>
      </c>
      <c r="S426" s="71">
        <v>2051.6</v>
      </c>
      <c r="T426" s="72">
        <v>2123</v>
      </c>
      <c r="U426" s="72">
        <v>2080</v>
      </c>
      <c r="V426" s="72">
        <v>1985</v>
      </c>
      <c r="W426" s="72">
        <v>1927</v>
      </c>
      <c r="X426" s="73">
        <v>2143</v>
      </c>
      <c r="Y426" s="71"/>
      <c r="Z426" s="72"/>
      <c r="AA426" s="72"/>
      <c r="AB426" s="72"/>
      <c r="AC426" s="72"/>
      <c r="AD426" s="73"/>
      <c r="AE426" s="71"/>
      <c r="AF426" s="72"/>
      <c r="AG426" s="72"/>
      <c r="AH426" s="72"/>
      <c r="AI426" s="72"/>
      <c r="AJ426" s="73"/>
      <c r="AK426" s="71"/>
      <c r="AL426" s="72"/>
      <c r="AM426" s="72"/>
      <c r="AN426" s="72"/>
      <c r="AO426" s="72"/>
      <c r="AP426" s="73"/>
      <c r="AQ426" s="71">
        <v>414.6</v>
      </c>
      <c r="AR426" s="72">
        <v>420</v>
      </c>
      <c r="AS426" s="72">
        <v>411</v>
      </c>
      <c r="AT426" s="72">
        <v>402</v>
      </c>
      <c r="AU426" s="72">
        <v>420</v>
      </c>
      <c r="AV426" s="73">
        <v>420</v>
      </c>
      <c r="AW426" s="75">
        <v>0.31791650594239496</v>
      </c>
      <c r="AX426" s="76">
        <v>3.4419194204085457</v>
      </c>
      <c r="AY426" s="76">
        <v>1.3267091137387554</v>
      </c>
      <c r="AZ426" s="76">
        <v>-2.9037114996007918</v>
      </c>
      <c r="BA426" s="76">
        <v>-4.530796350885236</v>
      </c>
      <c r="BB426" s="77">
        <v>4.2554618460507676</v>
      </c>
      <c r="BC426" s="65"/>
      <c r="BD426" s="78"/>
      <c r="BE426" s="78"/>
      <c r="BF426" s="78"/>
      <c r="BG426" s="78"/>
      <c r="BH426" s="70"/>
      <c r="BI426" s="65"/>
      <c r="BJ426" s="78"/>
      <c r="BK426" s="78"/>
      <c r="BL426" s="78"/>
      <c r="BM426" s="78"/>
      <c r="BN426" s="70"/>
      <c r="BO426" s="65"/>
      <c r="BP426" s="78"/>
      <c r="BQ426" s="78"/>
      <c r="BR426" s="78"/>
      <c r="BS426" s="78"/>
      <c r="BT426" s="70"/>
      <c r="BU426" s="65"/>
      <c r="BV426" s="78"/>
      <c r="BW426" s="78"/>
      <c r="BX426" s="78"/>
      <c r="BY426" s="78"/>
      <c r="BZ426" s="70"/>
      <c r="CA426" s="80"/>
      <c r="CB426" s="78"/>
      <c r="CC426" s="78"/>
      <c r="CD426" s="78"/>
      <c r="CE426" s="78"/>
      <c r="CF426" s="70"/>
    </row>
    <row r="427" spans="1:84" ht="12" customHeight="1">
      <c r="A427" s="2"/>
      <c r="B427" s="64">
        <v>415</v>
      </c>
      <c r="C427" s="65">
        <v>10</v>
      </c>
      <c r="D427" s="66" t="s">
        <v>21</v>
      </c>
      <c r="E427" s="69" t="s">
        <v>136</v>
      </c>
      <c r="F427" s="70"/>
      <c r="G427" s="71">
        <v>2663.2497560975612</v>
      </c>
      <c r="H427" s="72">
        <v>2048.6536585365857</v>
      </c>
      <c r="I427" s="72"/>
      <c r="J427" s="72"/>
      <c r="K427" s="72"/>
      <c r="L427" s="73">
        <v>614.59609756097564</v>
      </c>
      <c r="M427" s="71">
        <v>5326.4995121951224</v>
      </c>
      <c r="N427" s="72">
        <v>4097.3073170731714</v>
      </c>
      <c r="O427" s="72"/>
      <c r="P427" s="72"/>
      <c r="Q427" s="72"/>
      <c r="R427" s="73">
        <v>1229.1921951219513</v>
      </c>
      <c r="S427" s="71">
        <v>2063.4</v>
      </c>
      <c r="T427" s="72">
        <v>2073</v>
      </c>
      <c r="U427" s="72">
        <v>2045</v>
      </c>
      <c r="V427" s="72">
        <v>1965</v>
      </c>
      <c r="W427" s="72">
        <v>2155</v>
      </c>
      <c r="X427" s="73">
        <v>2079</v>
      </c>
      <c r="Y427" s="71"/>
      <c r="Z427" s="72"/>
      <c r="AA427" s="72"/>
      <c r="AB427" s="72"/>
      <c r="AC427" s="72"/>
      <c r="AD427" s="73"/>
      <c r="AE427" s="71"/>
      <c r="AF427" s="72"/>
      <c r="AG427" s="72"/>
      <c r="AH427" s="72"/>
      <c r="AI427" s="72"/>
      <c r="AJ427" s="73"/>
      <c r="AK427" s="71"/>
      <c r="AL427" s="72"/>
      <c r="AM427" s="72"/>
      <c r="AN427" s="72"/>
      <c r="AO427" s="72"/>
      <c r="AP427" s="73"/>
      <c r="AQ427" s="71">
        <v>606</v>
      </c>
      <c r="AR427" s="72">
        <v>635</v>
      </c>
      <c r="AS427" s="72">
        <v>575</v>
      </c>
      <c r="AT427" s="72">
        <v>615</v>
      </c>
      <c r="AU427" s="72">
        <v>600</v>
      </c>
      <c r="AV427" s="73">
        <v>605</v>
      </c>
      <c r="AW427" s="75">
        <v>0.23093004658529814</v>
      </c>
      <c r="AX427" s="76">
        <v>1.6802871679602038</v>
      </c>
      <c r="AY427" s="76">
        <v>-1.623946683878974</v>
      </c>
      <c r="AZ427" s="76">
        <v>-3.1258711619876922</v>
      </c>
      <c r="BA427" s="76">
        <v>3.4450484297379402</v>
      </c>
      <c r="BB427" s="77">
        <v>0.77913248109497957</v>
      </c>
      <c r="BC427" s="65"/>
      <c r="BD427" s="78"/>
      <c r="BE427" s="78"/>
      <c r="BF427" s="78"/>
      <c r="BG427" s="78"/>
      <c r="BH427" s="70"/>
      <c r="BI427" s="65"/>
      <c r="BJ427" s="78"/>
      <c r="BK427" s="78"/>
      <c r="BL427" s="78"/>
      <c r="BM427" s="78"/>
      <c r="BN427" s="70"/>
      <c r="BO427" s="65"/>
      <c r="BP427" s="78"/>
      <c r="BQ427" s="78"/>
      <c r="BR427" s="78"/>
      <c r="BS427" s="78"/>
      <c r="BT427" s="70"/>
      <c r="BU427" s="65"/>
      <c r="BV427" s="78"/>
      <c r="BW427" s="78"/>
      <c r="BX427" s="78"/>
      <c r="BY427" s="78"/>
      <c r="BZ427" s="70"/>
      <c r="CA427" s="80"/>
      <c r="CB427" s="78"/>
      <c r="CC427" s="78"/>
      <c r="CD427" s="78"/>
      <c r="CE427" s="78"/>
      <c r="CF427" s="70"/>
    </row>
    <row r="428" spans="1:84" ht="12" customHeight="1">
      <c r="A428" s="2" t="s">
        <v>177</v>
      </c>
      <c r="B428" s="64">
        <v>416</v>
      </c>
      <c r="C428" s="65">
        <v>10</v>
      </c>
      <c r="D428" s="66" t="s">
        <v>21</v>
      </c>
      <c r="E428" s="69" t="s">
        <v>91</v>
      </c>
      <c r="F428" s="70"/>
      <c r="G428" s="71">
        <v>3072.9804878048785</v>
      </c>
      <c r="H428" s="72">
        <v>3072.9804878048785</v>
      </c>
      <c r="I428" s="72"/>
      <c r="J428" s="72"/>
      <c r="K428" s="72"/>
      <c r="L428" s="73">
        <v>0</v>
      </c>
      <c r="M428" s="71">
        <v>6145.960975609757</v>
      </c>
      <c r="N428" s="72">
        <v>6145.960975609757</v>
      </c>
      <c r="O428" s="72"/>
      <c r="P428" s="72"/>
      <c r="Q428" s="72"/>
      <c r="R428" s="73">
        <v>0</v>
      </c>
      <c r="S428" s="71">
        <v>3104.6</v>
      </c>
      <c r="T428" s="72">
        <v>3166</v>
      </c>
      <c r="U428" s="72">
        <v>2978</v>
      </c>
      <c r="V428" s="72">
        <v>3079</v>
      </c>
      <c r="W428" s="72">
        <v>3110</v>
      </c>
      <c r="X428" s="73">
        <v>3190</v>
      </c>
      <c r="Y428" s="71"/>
      <c r="Z428" s="72"/>
      <c r="AA428" s="72"/>
      <c r="AB428" s="72"/>
      <c r="AC428" s="72"/>
      <c r="AD428" s="73"/>
      <c r="AE428" s="71"/>
      <c r="AF428" s="72"/>
      <c r="AG428" s="72"/>
      <c r="AH428" s="72"/>
      <c r="AI428" s="72"/>
      <c r="AJ428" s="73"/>
      <c r="AK428" s="71"/>
      <c r="AL428" s="72"/>
      <c r="AM428" s="72"/>
      <c r="AN428" s="72"/>
      <c r="AO428" s="72"/>
      <c r="AP428" s="73"/>
      <c r="AQ428" s="71"/>
      <c r="AR428" s="72"/>
      <c r="AS428" s="72"/>
      <c r="AT428" s="72"/>
      <c r="AU428" s="72"/>
      <c r="AV428" s="73"/>
      <c r="AW428" s="75">
        <v>1.0289525859537241</v>
      </c>
      <c r="AX428" s="76">
        <v>3.0270127833310179</v>
      </c>
      <c r="AY428" s="76">
        <v>-3.0908262574984913</v>
      </c>
      <c r="AZ428" s="76">
        <v>0.19588514209607499</v>
      </c>
      <c r="BA428" s="76">
        <v>1.2046777498924355</v>
      </c>
      <c r="BB428" s="77">
        <v>3.80801351194755</v>
      </c>
      <c r="BC428" s="65"/>
      <c r="BD428" s="78"/>
      <c r="BE428" s="78"/>
      <c r="BF428" s="78"/>
      <c r="BG428" s="78"/>
      <c r="BH428" s="70"/>
      <c r="BI428" s="65"/>
      <c r="BJ428" s="78"/>
      <c r="BK428" s="78"/>
      <c r="BL428" s="78"/>
      <c r="BM428" s="78"/>
      <c r="BN428" s="70"/>
      <c r="BO428" s="65"/>
      <c r="BP428" s="78"/>
      <c r="BQ428" s="78"/>
      <c r="BR428" s="78"/>
      <c r="BS428" s="78"/>
      <c r="BT428" s="70"/>
      <c r="BU428" s="65"/>
      <c r="BV428" s="78"/>
      <c r="BW428" s="78"/>
      <c r="BX428" s="78"/>
      <c r="BY428" s="78"/>
      <c r="BZ428" s="70"/>
      <c r="CA428" s="80"/>
      <c r="CB428" s="78"/>
      <c r="CC428" s="78"/>
      <c r="CD428" s="78"/>
      <c r="CE428" s="78"/>
      <c r="CF428" s="70"/>
    </row>
    <row r="429" spans="1:84" ht="12" customHeight="1">
      <c r="A429" s="2"/>
      <c r="B429" s="64">
        <v>417</v>
      </c>
      <c r="C429" s="65">
        <v>10</v>
      </c>
      <c r="D429" s="66" t="s">
        <v>21</v>
      </c>
      <c r="E429" s="69" t="s">
        <v>144</v>
      </c>
      <c r="F429" s="70"/>
      <c r="G429" s="71">
        <v>2868.1151219512199</v>
      </c>
      <c r="H429" s="72">
        <v>2868.1151219512199</v>
      </c>
      <c r="I429" s="72"/>
      <c r="J429" s="72"/>
      <c r="K429" s="72"/>
      <c r="L429" s="73">
        <v>0</v>
      </c>
      <c r="M429" s="71">
        <v>5736.2302439024388</v>
      </c>
      <c r="N429" s="72">
        <v>5736.2302439024388</v>
      </c>
      <c r="O429" s="72"/>
      <c r="P429" s="72"/>
      <c r="Q429" s="72"/>
      <c r="R429" s="73">
        <v>0</v>
      </c>
      <c r="S429" s="71">
        <v>2827.8</v>
      </c>
      <c r="T429" s="72">
        <v>2861</v>
      </c>
      <c r="U429" s="72">
        <v>2813</v>
      </c>
      <c r="V429" s="72">
        <v>2846</v>
      </c>
      <c r="W429" s="72">
        <v>2799</v>
      </c>
      <c r="X429" s="73">
        <v>2820</v>
      </c>
      <c r="Y429" s="71"/>
      <c r="Z429" s="72"/>
      <c r="AA429" s="72"/>
      <c r="AB429" s="72"/>
      <c r="AC429" s="72"/>
      <c r="AD429" s="73"/>
      <c r="AE429" s="71"/>
      <c r="AF429" s="72"/>
      <c r="AG429" s="72"/>
      <c r="AH429" s="72"/>
      <c r="AI429" s="72"/>
      <c r="AJ429" s="73"/>
      <c r="AK429" s="71"/>
      <c r="AL429" s="72"/>
      <c r="AM429" s="72"/>
      <c r="AN429" s="72"/>
      <c r="AO429" s="72"/>
      <c r="AP429" s="73"/>
      <c r="AQ429" s="71"/>
      <c r="AR429" s="72"/>
      <c r="AS429" s="72"/>
      <c r="AT429" s="72"/>
      <c r="AU429" s="72"/>
      <c r="AV429" s="73"/>
      <c r="AW429" s="75">
        <v>-1.4056312329538856</v>
      </c>
      <c r="AX429" s="76">
        <v>-0.24807658161152268</v>
      </c>
      <c r="AY429" s="76">
        <v>-1.9216495715041026</v>
      </c>
      <c r="AZ429" s="76">
        <v>-0.77106814095295739</v>
      </c>
      <c r="BA429" s="76">
        <v>-2.4097750268894269</v>
      </c>
      <c r="BB429" s="77">
        <v>-1.6775868438114294</v>
      </c>
      <c r="BC429" s="65"/>
      <c r="BD429" s="78"/>
      <c r="BE429" s="78"/>
      <c r="BF429" s="78"/>
      <c r="BG429" s="78"/>
      <c r="BH429" s="70"/>
      <c r="BI429" s="65"/>
      <c r="BJ429" s="78"/>
      <c r="BK429" s="78"/>
      <c r="BL429" s="78"/>
      <c r="BM429" s="78"/>
      <c r="BN429" s="70"/>
      <c r="BO429" s="65"/>
      <c r="BP429" s="78"/>
      <c r="BQ429" s="78"/>
      <c r="BR429" s="78"/>
      <c r="BS429" s="78"/>
      <c r="BT429" s="70"/>
      <c r="BU429" s="65"/>
      <c r="BV429" s="78"/>
      <c r="BW429" s="78"/>
      <c r="BX429" s="78"/>
      <c r="BY429" s="78"/>
      <c r="BZ429" s="70"/>
      <c r="CA429" s="80"/>
      <c r="CB429" s="78"/>
      <c r="CC429" s="78"/>
      <c r="CD429" s="78"/>
      <c r="CE429" s="78"/>
      <c r="CF429" s="70"/>
    </row>
    <row r="430" spans="1:84" ht="12" customHeight="1">
      <c r="A430" s="2"/>
      <c r="B430" s="64">
        <v>418</v>
      </c>
      <c r="C430" s="65">
        <v>10</v>
      </c>
      <c r="D430" s="66" t="s">
        <v>21</v>
      </c>
      <c r="E430" s="69" t="s">
        <v>92</v>
      </c>
      <c r="F430" s="70"/>
      <c r="G430" s="71">
        <v>3277.8458536585372</v>
      </c>
      <c r="H430" s="72">
        <v>3277.8458536585372</v>
      </c>
      <c r="I430" s="72"/>
      <c r="J430" s="72"/>
      <c r="K430" s="72"/>
      <c r="L430" s="73">
        <v>0</v>
      </c>
      <c r="M430" s="71">
        <v>6555.6917073170744</v>
      </c>
      <c r="N430" s="72">
        <v>6555.6917073170744</v>
      </c>
      <c r="O430" s="72"/>
      <c r="P430" s="72"/>
      <c r="Q430" s="72"/>
      <c r="R430" s="73">
        <v>0</v>
      </c>
      <c r="S430" s="71">
        <v>3290.6</v>
      </c>
      <c r="T430" s="72">
        <v>3377</v>
      </c>
      <c r="U430" s="72">
        <v>3302</v>
      </c>
      <c r="V430" s="72">
        <v>3290</v>
      </c>
      <c r="W430" s="72">
        <v>3192</v>
      </c>
      <c r="X430" s="73">
        <v>3292</v>
      </c>
      <c r="Y430" s="71"/>
      <c r="Z430" s="72"/>
      <c r="AA430" s="72"/>
      <c r="AB430" s="72"/>
      <c r="AC430" s="72"/>
      <c r="AD430" s="73"/>
      <c r="AE430" s="71"/>
      <c r="AF430" s="72"/>
      <c r="AG430" s="72"/>
      <c r="AH430" s="72"/>
      <c r="AI430" s="72"/>
      <c r="AJ430" s="73"/>
      <c r="AK430" s="71"/>
      <c r="AL430" s="72"/>
      <c r="AM430" s="72"/>
      <c r="AN430" s="72"/>
      <c r="AO430" s="72"/>
      <c r="AP430" s="73"/>
      <c r="AQ430" s="71"/>
      <c r="AR430" s="72"/>
      <c r="AS430" s="72"/>
      <c r="AT430" s="72"/>
      <c r="AU430" s="72"/>
      <c r="AV430" s="73"/>
      <c r="AW430" s="75">
        <v>0.38910146818611491</v>
      </c>
      <c r="AX430" s="76">
        <v>3.024978927266897</v>
      </c>
      <c r="AY430" s="76">
        <v>0.73689085514816455</v>
      </c>
      <c r="AZ430" s="76">
        <v>0.37079676360916025</v>
      </c>
      <c r="BA430" s="76">
        <v>-2.6189716506260119</v>
      </c>
      <c r="BB430" s="77">
        <v>0.43181244553232023</v>
      </c>
      <c r="BC430" s="65"/>
      <c r="BD430" s="78"/>
      <c r="BE430" s="78"/>
      <c r="BF430" s="78"/>
      <c r="BG430" s="78"/>
      <c r="BH430" s="70"/>
      <c r="BI430" s="65"/>
      <c r="BJ430" s="78"/>
      <c r="BK430" s="78"/>
      <c r="BL430" s="78"/>
      <c r="BM430" s="78"/>
      <c r="BN430" s="70"/>
      <c r="BO430" s="65"/>
      <c r="BP430" s="78"/>
      <c r="BQ430" s="78"/>
      <c r="BR430" s="78"/>
      <c r="BS430" s="78"/>
      <c r="BT430" s="70"/>
      <c r="BU430" s="65"/>
      <c r="BV430" s="78"/>
      <c r="BW430" s="78"/>
      <c r="BX430" s="78"/>
      <c r="BY430" s="78"/>
      <c r="BZ430" s="70"/>
      <c r="CA430" s="80"/>
      <c r="CB430" s="78"/>
      <c r="CC430" s="78"/>
      <c r="CD430" s="78"/>
      <c r="CE430" s="78"/>
      <c r="CF430" s="70"/>
    </row>
    <row r="431" spans="1:84" ht="12" customHeight="1">
      <c r="A431" s="2"/>
      <c r="B431" s="64">
        <v>419</v>
      </c>
      <c r="C431" s="65">
        <v>10</v>
      </c>
      <c r="D431" s="66" t="s">
        <v>21</v>
      </c>
      <c r="E431" s="69" t="s">
        <v>138</v>
      </c>
      <c r="F431" s="70"/>
      <c r="G431" s="71">
        <v>4097.3073170731714</v>
      </c>
      <c r="H431" s="72">
        <v>2868.1151219512199</v>
      </c>
      <c r="I431" s="72"/>
      <c r="J431" s="72"/>
      <c r="K431" s="72"/>
      <c r="L431" s="73">
        <v>1229.1921951219513</v>
      </c>
      <c r="M431" s="71">
        <v>8194.6146341463409</v>
      </c>
      <c r="N431" s="72">
        <v>5736.2302439024388</v>
      </c>
      <c r="O431" s="72"/>
      <c r="P431" s="72"/>
      <c r="Q431" s="72"/>
      <c r="R431" s="73">
        <v>2458.3843902439025</v>
      </c>
      <c r="S431" s="71">
        <v>2755.6</v>
      </c>
      <c r="T431" s="72">
        <v>2792</v>
      </c>
      <c r="U431" s="72">
        <v>2786</v>
      </c>
      <c r="V431" s="72">
        <v>2692</v>
      </c>
      <c r="W431" s="72">
        <v>2717</v>
      </c>
      <c r="X431" s="73">
        <v>2791</v>
      </c>
      <c r="Y431" s="71"/>
      <c r="Z431" s="72"/>
      <c r="AA431" s="72"/>
      <c r="AB431" s="72"/>
      <c r="AC431" s="72"/>
      <c r="AD431" s="73"/>
      <c r="AE431" s="71"/>
      <c r="AF431" s="72"/>
      <c r="AG431" s="72"/>
      <c r="AH431" s="72"/>
      <c r="AI431" s="72"/>
      <c r="AJ431" s="73"/>
      <c r="AK431" s="71"/>
      <c r="AL431" s="72"/>
      <c r="AM431" s="72"/>
      <c r="AN431" s="72"/>
      <c r="AO431" s="72"/>
      <c r="AP431" s="73"/>
      <c r="AQ431" s="71">
        <v>1250</v>
      </c>
      <c r="AR431" s="72">
        <v>1300</v>
      </c>
      <c r="AS431" s="72">
        <v>1300</v>
      </c>
      <c r="AT431" s="72">
        <v>1180</v>
      </c>
      <c r="AU431" s="72">
        <v>1230</v>
      </c>
      <c r="AV431" s="73">
        <v>1240</v>
      </c>
      <c r="AW431" s="75">
        <v>-2.2382337954254483</v>
      </c>
      <c r="AX431" s="76">
        <v>-0.12953182816081155</v>
      </c>
      <c r="AY431" s="76">
        <v>-0.27596946477640438</v>
      </c>
      <c r="AZ431" s="76">
        <v>-5.4989118373994668</v>
      </c>
      <c r="BA431" s="76">
        <v>-3.6684413797044679</v>
      </c>
      <c r="BB431" s="77">
        <v>-1.6183144670860683</v>
      </c>
      <c r="BC431" s="65"/>
      <c r="BD431" s="78"/>
      <c r="BE431" s="78"/>
      <c r="BF431" s="78"/>
      <c r="BG431" s="78"/>
      <c r="BH431" s="70"/>
      <c r="BI431" s="65"/>
      <c r="BJ431" s="78"/>
      <c r="BK431" s="78"/>
      <c r="BL431" s="78"/>
      <c r="BM431" s="78"/>
      <c r="BN431" s="70"/>
      <c r="BO431" s="65"/>
      <c r="BP431" s="78"/>
      <c r="BQ431" s="78"/>
      <c r="BR431" s="78"/>
      <c r="BS431" s="78"/>
      <c r="BT431" s="70"/>
      <c r="BU431" s="65"/>
      <c r="BV431" s="78"/>
      <c r="BW431" s="78"/>
      <c r="BX431" s="78"/>
      <c r="BY431" s="78"/>
      <c r="BZ431" s="70"/>
      <c r="CA431" s="80"/>
      <c r="CB431" s="78"/>
      <c r="CC431" s="78"/>
      <c r="CD431" s="78"/>
      <c r="CE431" s="78"/>
      <c r="CF431" s="70"/>
    </row>
    <row r="432" spans="1:84" ht="12" customHeight="1">
      <c r="A432" s="2"/>
      <c r="B432" s="64">
        <v>420</v>
      </c>
      <c r="C432" s="65">
        <v>10</v>
      </c>
      <c r="D432" s="66" t="s">
        <v>21</v>
      </c>
      <c r="E432" s="69" t="s">
        <v>139</v>
      </c>
      <c r="F432" s="70"/>
      <c r="G432" s="71">
        <v>3892.4419512195127</v>
      </c>
      <c r="H432" s="72">
        <v>3277.8458536585372</v>
      </c>
      <c r="I432" s="72"/>
      <c r="J432" s="72"/>
      <c r="K432" s="72"/>
      <c r="L432" s="73">
        <v>614.59609756097564</v>
      </c>
      <c r="M432" s="71">
        <v>7784.8839024390254</v>
      </c>
      <c r="N432" s="72">
        <v>6555.6917073170744</v>
      </c>
      <c r="O432" s="72"/>
      <c r="P432" s="72"/>
      <c r="Q432" s="72"/>
      <c r="R432" s="73">
        <v>1229.1921951219513</v>
      </c>
      <c r="S432" s="71">
        <v>3283.6</v>
      </c>
      <c r="T432" s="72">
        <v>3273</v>
      </c>
      <c r="U432" s="72">
        <v>3350</v>
      </c>
      <c r="V432" s="72">
        <v>3269</v>
      </c>
      <c r="W432" s="72">
        <v>3279</v>
      </c>
      <c r="X432" s="73">
        <v>3247</v>
      </c>
      <c r="Y432" s="71"/>
      <c r="Z432" s="72"/>
      <c r="AA432" s="72"/>
      <c r="AB432" s="72"/>
      <c r="AC432" s="72"/>
      <c r="AD432" s="73"/>
      <c r="AE432" s="71"/>
      <c r="AF432" s="72"/>
      <c r="AG432" s="72"/>
      <c r="AH432" s="72"/>
      <c r="AI432" s="72"/>
      <c r="AJ432" s="73"/>
      <c r="AK432" s="71"/>
      <c r="AL432" s="72"/>
      <c r="AM432" s="72"/>
      <c r="AN432" s="72"/>
      <c r="AO432" s="72"/>
      <c r="AP432" s="73"/>
      <c r="AQ432" s="71">
        <v>615</v>
      </c>
      <c r="AR432" s="72">
        <v>635</v>
      </c>
      <c r="AS432" s="72">
        <v>600</v>
      </c>
      <c r="AT432" s="72">
        <v>635</v>
      </c>
      <c r="AU432" s="72">
        <v>615</v>
      </c>
      <c r="AV432" s="73">
        <v>590</v>
      </c>
      <c r="AW432" s="75">
        <v>0.15820528238212894</v>
      </c>
      <c r="AX432" s="76">
        <v>0.39969892873066293</v>
      </c>
      <c r="AY432" s="76">
        <v>1.4787130932666592</v>
      </c>
      <c r="AZ432" s="76">
        <v>0.29693567496533735</v>
      </c>
      <c r="BA432" s="76">
        <v>4.0027540551990093E-2</v>
      </c>
      <c r="BB432" s="77">
        <v>-1.4243488256040049</v>
      </c>
      <c r="BC432" s="65"/>
      <c r="BD432" s="78"/>
      <c r="BE432" s="78"/>
      <c r="BF432" s="78"/>
      <c r="BG432" s="78"/>
      <c r="BH432" s="70"/>
      <c r="BI432" s="65"/>
      <c r="BJ432" s="78"/>
      <c r="BK432" s="78"/>
      <c r="BL432" s="78"/>
      <c r="BM432" s="78"/>
      <c r="BN432" s="70"/>
      <c r="BO432" s="65"/>
      <c r="BP432" s="78"/>
      <c r="BQ432" s="78"/>
      <c r="BR432" s="78"/>
      <c r="BS432" s="78"/>
      <c r="BT432" s="70"/>
      <c r="BU432" s="65"/>
      <c r="BV432" s="78"/>
      <c r="BW432" s="78"/>
      <c r="BX432" s="78"/>
      <c r="BY432" s="78"/>
      <c r="BZ432" s="70"/>
      <c r="CA432" s="80"/>
      <c r="CB432" s="78"/>
      <c r="CC432" s="78"/>
      <c r="CD432" s="78"/>
      <c r="CE432" s="78"/>
      <c r="CF432" s="70"/>
    </row>
    <row r="433" spans="1:84" ht="12" customHeight="1">
      <c r="A433" s="2" t="s">
        <v>177</v>
      </c>
      <c r="B433" s="64">
        <v>421</v>
      </c>
      <c r="C433" s="65">
        <v>10</v>
      </c>
      <c r="D433" s="66" t="s">
        <v>21</v>
      </c>
      <c r="E433" s="69" t="s">
        <v>141</v>
      </c>
      <c r="F433" s="70"/>
      <c r="G433" s="71">
        <v>4302.17268292683</v>
      </c>
      <c r="H433" s="72">
        <v>4302.17268292683</v>
      </c>
      <c r="I433" s="72"/>
      <c r="J433" s="72"/>
      <c r="K433" s="72"/>
      <c r="L433" s="73">
        <v>0</v>
      </c>
      <c r="M433" s="71">
        <v>8604.34536585366</v>
      </c>
      <c r="N433" s="72">
        <v>8604.34536585366</v>
      </c>
      <c r="O433" s="72"/>
      <c r="P433" s="72"/>
      <c r="Q433" s="72"/>
      <c r="R433" s="73">
        <v>0</v>
      </c>
      <c r="S433" s="71">
        <v>4331.6000000000004</v>
      </c>
      <c r="T433" s="72">
        <v>4351</v>
      </c>
      <c r="U433" s="72">
        <v>4203</v>
      </c>
      <c r="V433" s="72">
        <v>4387</v>
      </c>
      <c r="W433" s="72">
        <v>4375</v>
      </c>
      <c r="X433" s="73">
        <v>4342</v>
      </c>
      <c r="Y433" s="71"/>
      <c r="Z433" s="72"/>
      <c r="AA433" s="72"/>
      <c r="AB433" s="72"/>
      <c r="AC433" s="72"/>
      <c r="AD433" s="73"/>
      <c r="AE433" s="71"/>
      <c r="AF433" s="72"/>
      <c r="AG433" s="72"/>
      <c r="AH433" s="72"/>
      <c r="AI433" s="72"/>
      <c r="AJ433" s="73"/>
      <c r="AK433" s="71"/>
      <c r="AL433" s="72"/>
      <c r="AM433" s="72"/>
      <c r="AN433" s="72"/>
      <c r="AO433" s="72"/>
      <c r="AP433" s="73"/>
      <c r="AQ433" s="71"/>
      <c r="AR433" s="72"/>
      <c r="AS433" s="72"/>
      <c r="AT433" s="72"/>
      <c r="AU433" s="72"/>
      <c r="AV433" s="73"/>
      <c r="AW433" s="75">
        <v>0.68401059748142146</v>
      </c>
      <c r="AX433" s="76">
        <v>1.1349455419802368</v>
      </c>
      <c r="AY433" s="76">
        <v>-2.3051767150211511</v>
      </c>
      <c r="AZ433" s="76">
        <v>1.9717320369265323</v>
      </c>
      <c r="BA433" s="76">
        <v>1.6928032052777597</v>
      </c>
      <c r="BB433" s="77">
        <v>0.9257489182436851</v>
      </c>
      <c r="BC433" s="65"/>
      <c r="BD433" s="78"/>
      <c r="BE433" s="78"/>
      <c r="BF433" s="78"/>
      <c r="BG433" s="78"/>
      <c r="BH433" s="70"/>
      <c r="BI433" s="65"/>
      <c r="BJ433" s="78"/>
      <c r="BK433" s="78"/>
      <c r="BL433" s="78"/>
      <c r="BM433" s="78"/>
      <c r="BN433" s="70"/>
      <c r="BO433" s="65"/>
      <c r="BP433" s="78"/>
      <c r="BQ433" s="78"/>
      <c r="BR433" s="78"/>
      <c r="BS433" s="78"/>
      <c r="BT433" s="70"/>
      <c r="BU433" s="65"/>
      <c r="BV433" s="78"/>
      <c r="BW433" s="78"/>
      <c r="BX433" s="78"/>
      <c r="BY433" s="78"/>
      <c r="BZ433" s="70"/>
      <c r="CA433" s="80"/>
      <c r="CB433" s="78"/>
      <c r="CC433" s="78"/>
      <c r="CD433" s="78"/>
      <c r="CE433" s="78"/>
      <c r="CF433" s="70"/>
    </row>
    <row r="434" spans="1:84" ht="12" customHeight="1">
      <c r="A434" s="2" t="s">
        <v>177</v>
      </c>
      <c r="B434" s="64">
        <v>422</v>
      </c>
      <c r="C434" s="65">
        <v>10</v>
      </c>
      <c r="D434" s="66" t="s">
        <v>21</v>
      </c>
      <c r="E434" s="69" t="s">
        <v>98</v>
      </c>
      <c r="F434" s="70"/>
      <c r="G434" s="71">
        <v>4916.768780487806</v>
      </c>
      <c r="H434" s="72">
        <v>4916.768780487806</v>
      </c>
      <c r="I434" s="72"/>
      <c r="J434" s="72"/>
      <c r="K434" s="72"/>
      <c r="L434" s="73">
        <v>0</v>
      </c>
      <c r="M434" s="71">
        <v>9833.537560975612</v>
      </c>
      <c r="N434" s="72">
        <v>9833.537560975612</v>
      </c>
      <c r="O434" s="72"/>
      <c r="P434" s="72"/>
      <c r="Q434" s="72"/>
      <c r="R434" s="73">
        <v>0</v>
      </c>
      <c r="S434" s="71">
        <v>4993.6000000000004</v>
      </c>
      <c r="T434" s="72">
        <v>5214</v>
      </c>
      <c r="U434" s="72">
        <v>5033</v>
      </c>
      <c r="V434" s="72">
        <v>4894</v>
      </c>
      <c r="W434" s="72">
        <v>4950</v>
      </c>
      <c r="X434" s="73">
        <v>4877</v>
      </c>
      <c r="Y434" s="71"/>
      <c r="Z434" s="72"/>
      <c r="AA434" s="72"/>
      <c r="AB434" s="72"/>
      <c r="AC434" s="72"/>
      <c r="AD434" s="73"/>
      <c r="AE434" s="71"/>
      <c r="AF434" s="72"/>
      <c r="AG434" s="72"/>
      <c r="AH434" s="72"/>
      <c r="AI434" s="72"/>
      <c r="AJ434" s="73"/>
      <c r="AK434" s="71"/>
      <c r="AL434" s="72"/>
      <c r="AM434" s="72"/>
      <c r="AN434" s="72"/>
      <c r="AO434" s="72"/>
      <c r="AP434" s="73"/>
      <c r="AQ434" s="71"/>
      <c r="AR434" s="72"/>
      <c r="AS434" s="72"/>
      <c r="AT434" s="72"/>
      <c r="AU434" s="72"/>
      <c r="AV434" s="73"/>
      <c r="AW434" s="75">
        <v>1.5626364171750229</v>
      </c>
      <c r="AX434" s="76">
        <v>6.0452551824636602</v>
      </c>
      <c r="AY434" s="76">
        <v>2.3639757064325861</v>
      </c>
      <c r="AZ434" s="76">
        <v>-0.46308422267412608</v>
      </c>
      <c r="BA434" s="76">
        <v>0.67587517322498236</v>
      </c>
      <c r="BB434" s="77">
        <v>-0.80883975357206594</v>
      </c>
      <c r="BC434" s="65"/>
      <c r="BD434" s="78"/>
      <c r="BE434" s="78"/>
      <c r="BF434" s="78"/>
      <c r="BG434" s="78"/>
      <c r="BH434" s="70"/>
      <c r="BI434" s="65"/>
      <c r="BJ434" s="78"/>
      <c r="BK434" s="78"/>
      <c r="BL434" s="78"/>
      <c r="BM434" s="78"/>
      <c r="BN434" s="70"/>
      <c r="BO434" s="65"/>
      <c r="BP434" s="78"/>
      <c r="BQ434" s="78"/>
      <c r="BR434" s="78"/>
      <c r="BS434" s="78"/>
      <c r="BT434" s="70"/>
      <c r="BU434" s="65"/>
      <c r="BV434" s="78"/>
      <c r="BW434" s="78"/>
      <c r="BX434" s="78"/>
      <c r="BY434" s="78"/>
      <c r="BZ434" s="70"/>
      <c r="CA434" s="80"/>
      <c r="CB434" s="78"/>
      <c r="CC434" s="78"/>
      <c r="CD434" s="78"/>
      <c r="CE434" s="78"/>
      <c r="CF434" s="70"/>
    </row>
    <row r="435" spans="1:84" ht="12" customHeight="1">
      <c r="A435" s="2"/>
      <c r="B435" s="64">
        <v>423</v>
      </c>
      <c r="C435" s="65">
        <v>10</v>
      </c>
      <c r="D435" s="66" t="s">
        <v>21</v>
      </c>
      <c r="E435" s="69" t="s">
        <v>150</v>
      </c>
      <c r="F435" s="70"/>
      <c r="G435" s="71">
        <v>2868.1151219512199</v>
      </c>
      <c r="H435" s="72">
        <v>2868.1151219512199</v>
      </c>
      <c r="I435" s="72"/>
      <c r="J435" s="72"/>
      <c r="K435" s="72"/>
      <c r="L435" s="73">
        <v>0</v>
      </c>
      <c r="M435" s="71">
        <v>5736.2302439024388</v>
      </c>
      <c r="N435" s="72">
        <v>5736.2302439024388</v>
      </c>
      <c r="O435" s="72"/>
      <c r="P435" s="72"/>
      <c r="Q435" s="72"/>
      <c r="R435" s="73">
        <v>0</v>
      </c>
      <c r="S435" s="71">
        <v>2827.8</v>
      </c>
      <c r="T435" s="72">
        <v>2861</v>
      </c>
      <c r="U435" s="72">
        <v>2813</v>
      </c>
      <c r="V435" s="72">
        <v>2846</v>
      </c>
      <c r="W435" s="72">
        <v>2799</v>
      </c>
      <c r="X435" s="73">
        <v>2820</v>
      </c>
      <c r="Y435" s="71"/>
      <c r="Z435" s="72"/>
      <c r="AA435" s="72"/>
      <c r="AB435" s="72"/>
      <c r="AC435" s="72"/>
      <c r="AD435" s="73"/>
      <c r="AE435" s="71"/>
      <c r="AF435" s="72"/>
      <c r="AG435" s="72"/>
      <c r="AH435" s="72"/>
      <c r="AI435" s="72"/>
      <c r="AJ435" s="73"/>
      <c r="AK435" s="71"/>
      <c r="AL435" s="72"/>
      <c r="AM435" s="72"/>
      <c r="AN435" s="72"/>
      <c r="AO435" s="72"/>
      <c r="AP435" s="73"/>
      <c r="AQ435" s="71"/>
      <c r="AR435" s="72"/>
      <c r="AS435" s="72"/>
      <c r="AT435" s="72"/>
      <c r="AU435" s="72"/>
      <c r="AV435" s="73"/>
      <c r="AW435" s="75">
        <v>-1.4056312329538856</v>
      </c>
      <c r="AX435" s="76">
        <v>-0.24807658161152268</v>
      </c>
      <c r="AY435" s="76">
        <v>-1.9216495715041026</v>
      </c>
      <c r="AZ435" s="76">
        <v>-0.77106814095295739</v>
      </c>
      <c r="BA435" s="76">
        <v>-2.4097750268894269</v>
      </c>
      <c r="BB435" s="77">
        <v>-1.6775868438114294</v>
      </c>
      <c r="BC435" s="65"/>
      <c r="BD435" s="78"/>
      <c r="BE435" s="78"/>
      <c r="BF435" s="78"/>
      <c r="BG435" s="78"/>
      <c r="BH435" s="70"/>
      <c r="BI435" s="65"/>
      <c r="BJ435" s="78"/>
      <c r="BK435" s="78"/>
      <c r="BL435" s="78"/>
      <c r="BM435" s="78"/>
      <c r="BN435" s="70"/>
      <c r="BO435" s="65"/>
      <c r="BP435" s="78"/>
      <c r="BQ435" s="78"/>
      <c r="BR435" s="78"/>
      <c r="BS435" s="78"/>
      <c r="BT435" s="70"/>
      <c r="BU435" s="65"/>
      <c r="BV435" s="78"/>
      <c r="BW435" s="78"/>
      <c r="BX435" s="78"/>
      <c r="BY435" s="78"/>
      <c r="BZ435" s="70"/>
      <c r="CA435" s="80"/>
      <c r="CB435" s="78"/>
      <c r="CC435" s="78"/>
      <c r="CD435" s="78"/>
      <c r="CE435" s="78"/>
      <c r="CF435" s="70"/>
    </row>
    <row r="436" spans="1:84" ht="12" customHeight="1">
      <c r="A436" s="2"/>
      <c r="B436" s="64">
        <v>424</v>
      </c>
      <c r="C436" s="65">
        <v>10</v>
      </c>
      <c r="D436" s="66" t="s">
        <v>21</v>
      </c>
      <c r="E436" s="69" t="s">
        <v>151</v>
      </c>
      <c r="F436" s="70"/>
      <c r="G436" s="71">
        <v>3277.8458536585372</v>
      </c>
      <c r="H436" s="72">
        <v>3277.8458536585372</v>
      </c>
      <c r="I436" s="72"/>
      <c r="J436" s="72"/>
      <c r="K436" s="72"/>
      <c r="L436" s="73">
        <v>0</v>
      </c>
      <c r="M436" s="71">
        <v>6555.6917073170744</v>
      </c>
      <c r="N436" s="72">
        <v>6555.6917073170744</v>
      </c>
      <c r="O436" s="72"/>
      <c r="P436" s="72"/>
      <c r="Q436" s="72"/>
      <c r="R436" s="73">
        <v>0</v>
      </c>
      <c r="S436" s="71">
        <v>3290.6</v>
      </c>
      <c r="T436" s="72">
        <v>3377</v>
      </c>
      <c r="U436" s="72">
        <v>3302</v>
      </c>
      <c r="V436" s="72">
        <v>3290</v>
      </c>
      <c r="W436" s="72">
        <v>3192</v>
      </c>
      <c r="X436" s="73">
        <v>3292</v>
      </c>
      <c r="Y436" s="71"/>
      <c r="Z436" s="72"/>
      <c r="AA436" s="72"/>
      <c r="AB436" s="72"/>
      <c r="AC436" s="72"/>
      <c r="AD436" s="73"/>
      <c r="AE436" s="71"/>
      <c r="AF436" s="72"/>
      <c r="AG436" s="72"/>
      <c r="AH436" s="72"/>
      <c r="AI436" s="72"/>
      <c r="AJ436" s="73"/>
      <c r="AK436" s="71"/>
      <c r="AL436" s="72"/>
      <c r="AM436" s="72"/>
      <c r="AN436" s="72"/>
      <c r="AO436" s="72"/>
      <c r="AP436" s="73"/>
      <c r="AQ436" s="71"/>
      <c r="AR436" s="72"/>
      <c r="AS436" s="72"/>
      <c r="AT436" s="72"/>
      <c r="AU436" s="72"/>
      <c r="AV436" s="73"/>
      <c r="AW436" s="75">
        <v>0.38910146818611491</v>
      </c>
      <c r="AX436" s="76">
        <v>3.024978927266897</v>
      </c>
      <c r="AY436" s="76">
        <v>0.73689085514816455</v>
      </c>
      <c r="AZ436" s="76">
        <v>0.37079676360916025</v>
      </c>
      <c r="BA436" s="76">
        <v>-2.6189716506260119</v>
      </c>
      <c r="BB436" s="77">
        <v>0.43181244553232023</v>
      </c>
      <c r="BC436" s="65"/>
      <c r="BD436" s="78"/>
      <c r="BE436" s="78"/>
      <c r="BF436" s="78"/>
      <c r="BG436" s="78"/>
      <c r="BH436" s="70"/>
      <c r="BI436" s="65"/>
      <c r="BJ436" s="78"/>
      <c r="BK436" s="78"/>
      <c r="BL436" s="78"/>
      <c r="BM436" s="78"/>
      <c r="BN436" s="70"/>
      <c r="BO436" s="65"/>
      <c r="BP436" s="78"/>
      <c r="BQ436" s="78"/>
      <c r="BR436" s="78"/>
      <c r="BS436" s="78"/>
      <c r="BT436" s="70"/>
      <c r="BU436" s="65"/>
      <c r="BV436" s="78"/>
      <c r="BW436" s="78"/>
      <c r="BX436" s="78"/>
      <c r="BY436" s="78"/>
      <c r="BZ436" s="70"/>
      <c r="CA436" s="80"/>
      <c r="CB436" s="78"/>
      <c r="CC436" s="78"/>
      <c r="CD436" s="78"/>
      <c r="CE436" s="78"/>
      <c r="CF436" s="70"/>
    </row>
    <row r="437" spans="1:84" ht="12" customHeight="1">
      <c r="A437" s="2"/>
      <c r="B437" s="64">
        <v>425</v>
      </c>
      <c r="C437" s="65">
        <v>10</v>
      </c>
      <c r="D437" s="66" t="s">
        <v>21</v>
      </c>
      <c r="E437" s="69" t="s">
        <v>163</v>
      </c>
      <c r="F437" s="70"/>
      <c r="G437" s="71">
        <v>2663.2497560975612</v>
      </c>
      <c r="H437" s="72">
        <v>2048.6536585365857</v>
      </c>
      <c r="I437" s="72"/>
      <c r="J437" s="72"/>
      <c r="K437" s="72"/>
      <c r="L437" s="73">
        <v>614.59609756097564</v>
      </c>
      <c r="M437" s="71">
        <v>5326.4995121951224</v>
      </c>
      <c r="N437" s="72">
        <v>4097.3073170731714</v>
      </c>
      <c r="O437" s="72"/>
      <c r="P437" s="72"/>
      <c r="Q437" s="72"/>
      <c r="R437" s="73">
        <v>1229.1921951219513</v>
      </c>
      <c r="S437" s="71">
        <v>2063.4</v>
      </c>
      <c r="T437" s="72">
        <v>2073</v>
      </c>
      <c r="U437" s="72">
        <v>2045</v>
      </c>
      <c r="V437" s="72">
        <v>1965</v>
      </c>
      <c r="W437" s="72">
        <v>2155</v>
      </c>
      <c r="X437" s="73">
        <v>2079</v>
      </c>
      <c r="Y437" s="71"/>
      <c r="Z437" s="72"/>
      <c r="AA437" s="72"/>
      <c r="AB437" s="72"/>
      <c r="AC437" s="72"/>
      <c r="AD437" s="73"/>
      <c r="AE437" s="71"/>
      <c r="AF437" s="72"/>
      <c r="AG437" s="72"/>
      <c r="AH437" s="72"/>
      <c r="AI437" s="72"/>
      <c r="AJ437" s="73"/>
      <c r="AK437" s="71"/>
      <c r="AL437" s="72"/>
      <c r="AM437" s="72"/>
      <c r="AN437" s="72"/>
      <c r="AO437" s="72"/>
      <c r="AP437" s="73"/>
      <c r="AQ437" s="71">
        <v>606</v>
      </c>
      <c r="AR437" s="72">
        <v>635</v>
      </c>
      <c r="AS437" s="72">
        <v>575</v>
      </c>
      <c r="AT437" s="72">
        <v>615</v>
      </c>
      <c r="AU437" s="72">
        <v>600</v>
      </c>
      <c r="AV437" s="73">
        <v>605</v>
      </c>
      <c r="AW437" s="75">
        <v>0.23093004658529814</v>
      </c>
      <c r="AX437" s="76">
        <v>1.6802871679602038</v>
      </c>
      <c r="AY437" s="76">
        <v>-1.623946683878974</v>
      </c>
      <c r="AZ437" s="76">
        <v>-3.1258711619876922</v>
      </c>
      <c r="BA437" s="76">
        <v>3.4450484297379402</v>
      </c>
      <c r="BB437" s="77">
        <v>0.77913248109497957</v>
      </c>
      <c r="BC437" s="65"/>
      <c r="BD437" s="78"/>
      <c r="BE437" s="78"/>
      <c r="BF437" s="78"/>
      <c r="BG437" s="78"/>
      <c r="BH437" s="70"/>
      <c r="BI437" s="65"/>
      <c r="BJ437" s="78"/>
      <c r="BK437" s="78"/>
      <c r="BL437" s="78"/>
      <c r="BM437" s="78"/>
      <c r="BN437" s="70"/>
      <c r="BO437" s="65"/>
      <c r="BP437" s="78"/>
      <c r="BQ437" s="78"/>
      <c r="BR437" s="78"/>
      <c r="BS437" s="78"/>
      <c r="BT437" s="70"/>
      <c r="BU437" s="65"/>
      <c r="BV437" s="78"/>
      <c r="BW437" s="78"/>
      <c r="BX437" s="78"/>
      <c r="BY437" s="78"/>
      <c r="BZ437" s="70"/>
      <c r="CA437" s="80"/>
      <c r="CB437" s="78"/>
      <c r="CC437" s="78"/>
      <c r="CD437" s="78"/>
      <c r="CE437" s="78"/>
      <c r="CF437" s="70"/>
    </row>
    <row r="438" spans="1:84" ht="12" customHeight="1">
      <c r="A438" s="2"/>
      <c r="B438" s="64">
        <v>426</v>
      </c>
      <c r="C438" s="65">
        <v>10</v>
      </c>
      <c r="D438" s="66" t="s">
        <v>21</v>
      </c>
      <c r="E438" s="69" t="s">
        <v>164</v>
      </c>
      <c r="F438" s="70"/>
      <c r="G438" s="71">
        <v>4097.3073170731714</v>
      </c>
      <c r="H438" s="72">
        <v>2868.1151219512199</v>
      </c>
      <c r="I438" s="72"/>
      <c r="J438" s="72"/>
      <c r="K438" s="72"/>
      <c r="L438" s="73">
        <v>1229.1921951219513</v>
      </c>
      <c r="M438" s="71">
        <v>8194.6146341463409</v>
      </c>
      <c r="N438" s="72">
        <v>5736.2302439024388</v>
      </c>
      <c r="O438" s="72"/>
      <c r="P438" s="72"/>
      <c r="Q438" s="72"/>
      <c r="R438" s="73">
        <v>2458.3843902439025</v>
      </c>
      <c r="S438" s="71">
        <v>2755.6</v>
      </c>
      <c r="T438" s="72">
        <v>2792</v>
      </c>
      <c r="U438" s="72">
        <v>2786</v>
      </c>
      <c r="V438" s="72">
        <v>2692</v>
      </c>
      <c r="W438" s="72">
        <v>2717</v>
      </c>
      <c r="X438" s="73">
        <v>2791</v>
      </c>
      <c r="Y438" s="71"/>
      <c r="Z438" s="72"/>
      <c r="AA438" s="72"/>
      <c r="AB438" s="72"/>
      <c r="AC438" s="72"/>
      <c r="AD438" s="73"/>
      <c r="AE438" s="71"/>
      <c r="AF438" s="72"/>
      <c r="AG438" s="72"/>
      <c r="AH438" s="72"/>
      <c r="AI438" s="72"/>
      <c r="AJ438" s="73"/>
      <c r="AK438" s="71"/>
      <c r="AL438" s="72"/>
      <c r="AM438" s="72"/>
      <c r="AN438" s="72"/>
      <c r="AO438" s="72"/>
      <c r="AP438" s="73"/>
      <c r="AQ438" s="71">
        <v>1250</v>
      </c>
      <c r="AR438" s="72">
        <v>1300</v>
      </c>
      <c r="AS438" s="72">
        <v>1300</v>
      </c>
      <c r="AT438" s="72">
        <v>1180</v>
      </c>
      <c r="AU438" s="72">
        <v>1230</v>
      </c>
      <c r="AV438" s="73">
        <v>1240</v>
      </c>
      <c r="AW438" s="75">
        <v>-2.2382337954254483</v>
      </c>
      <c r="AX438" s="76">
        <v>-0.12953182816081155</v>
      </c>
      <c r="AY438" s="76">
        <v>-0.27596946477640438</v>
      </c>
      <c r="AZ438" s="76">
        <v>-5.4989118373994668</v>
      </c>
      <c r="BA438" s="76">
        <v>-3.6684413797044679</v>
      </c>
      <c r="BB438" s="77">
        <v>-1.6183144670860683</v>
      </c>
      <c r="BC438" s="65"/>
      <c r="BD438" s="78"/>
      <c r="BE438" s="78"/>
      <c r="BF438" s="78"/>
      <c r="BG438" s="78"/>
      <c r="BH438" s="70"/>
      <c r="BI438" s="65"/>
      <c r="BJ438" s="78"/>
      <c r="BK438" s="78"/>
      <c r="BL438" s="78"/>
      <c r="BM438" s="78"/>
      <c r="BN438" s="70"/>
      <c r="BO438" s="65"/>
      <c r="BP438" s="78"/>
      <c r="BQ438" s="78"/>
      <c r="BR438" s="78"/>
      <c r="BS438" s="78"/>
      <c r="BT438" s="70"/>
      <c r="BU438" s="65"/>
      <c r="BV438" s="78"/>
      <c r="BW438" s="78"/>
      <c r="BX438" s="78"/>
      <c r="BY438" s="78"/>
      <c r="BZ438" s="70"/>
      <c r="CA438" s="80"/>
      <c r="CB438" s="78"/>
      <c r="CC438" s="78"/>
      <c r="CD438" s="78"/>
      <c r="CE438" s="78"/>
      <c r="CF438" s="70"/>
    </row>
    <row r="439" spans="1:84" ht="12" customHeight="1">
      <c r="A439" s="2"/>
      <c r="B439" s="64">
        <v>427</v>
      </c>
      <c r="C439" s="65">
        <v>10</v>
      </c>
      <c r="D439" s="66" t="s">
        <v>21</v>
      </c>
      <c r="E439" s="69" t="s">
        <v>165</v>
      </c>
      <c r="F439" s="70"/>
      <c r="G439" s="71">
        <v>3892.4419512195127</v>
      </c>
      <c r="H439" s="72">
        <v>3277.8458536585372</v>
      </c>
      <c r="I439" s="72"/>
      <c r="J439" s="72"/>
      <c r="K439" s="72"/>
      <c r="L439" s="73">
        <v>614.59609756097564</v>
      </c>
      <c r="M439" s="71">
        <v>7784.8839024390254</v>
      </c>
      <c r="N439" s="72">
        <v>6555.6917073170744</v>
      </c>
      <c r="O439" s="72"/>
      <c r="P439" s="72"/>
      <c r="Q439" s="72"/>
      <c r="R439" s="73">
        <v>1229.1921951219513</v>
      </c>
      <c r="S439" s="71">
        <v>3283.6</v>
      </c>
      <c r="T439" s="72">
        <v>3273</v>
      </c>
      <c r="U439" s="72">
        <v>3350</v>
      </c>
      <c r="V439" s="72">
        <v>3269</v>
      </c>
      <c r="W439" s="72">
        <v>3279</v>
      </c>
      <c r="X439" s="73">
        <v>3247</v>
      </c>
      <c r="Y439" s="71"/>
      <c r="Z439" s="72"/>
      <c r="AA439" s="72"/>
      <c r="AB439" s="72"/>
      <c r="AC439" s="72"/>
      <c r="AD439" s="73"/>
      <c r="AE439" s="71"/>
      <c r="AF439" s="72"/>
      <c r="AG439" s="72"/>
      <c r="AH439" s="72"/>
      <c r="AI439" s="72"/>
      <c r="AJ439" s="73"/>
      <c r="AK439" s="71"/>
      <c r="AL439" s="72"/>
      <c r="AM439" s="72"/>
      <c r="AN439" s="72"/>
      <c r="AO439" s="72"/>
      <c r="AP439" s="73"/>
      <c r="AQ439" s="71">
        <v>615</v>
      </c>
      <c r="AR439" s="72">
        <v>635</v>
      </c>
      <c r="AS439" s="72">
        <v>600</v>
      </c>
      <c r="AT439" s="72">
        <v>635</v>
      </c>
      <c r="AU439" s="72">
        <v>615</v>
      </c>
      <c r="AV439" s="73">
        <v>590</v>
      </c>
      <c r="AW439" s="75">
        <v>0.15820528238212894</v>
      </c>
      <c r="AX439" s="76">
        <v>0.39969892873066293</v>
      </c>
      <c r="AY439" s="76">
        <v>1.4787130932666592</v>
      </c>
      <c r="AZ439" s="76">
        <v>0.29693567496533735</v>
      </c>
      <c r="BA439" s="76">
        <v>4.0027540551990093E-2</v>
      </c>
      <c r="BB439" s="77">
        <v>-1.4243488256040049</v>
      </c>
      <c r="BC439" s="65"/>
      <c r="BD439" s="78"/>
      <c r="BE439" s="78"/>
      <c r="BF439" s="78"/>
      <c r="BG439" s="78"/>
      <c r="BH439" s="70"/>
      <c r="BI439" s="65"/>
      <c r="BJ439" s="78"/>
      <c r="BK439" s="78"/>
      <c r="BL439" s="78"/>
      <c r="BM439" s="78"/>
      <c r="BN439" s="70"/>
      <c r="BO439" s="65"/>
      <c r="BP439" s="78"/>
      <c r="BQ439" s="78"/>
      <c r="BR439" s="78"/>
      <c r="BS439" s="78"/>
      <c r="BT439" s="70"/>
      <c r="BU439" s="65"/>
      <c r="BV439" s="78"/>
      <c r="BW439" s="78"/>
      <c r="BX439" s="78"/>
      <c r="BY439" s="78"/>
      <c r="BZ439" s="70"/>
      <c r="CA439" s="80"/>
      <c r="CB439" s="78"/>
      <c r="CC439" s="78"/>
      <c r="CD439" s="78"/>
      <c r="CE439" s="78"/>
      <c r="CF439" s="70"/>
    </row>
    <row r="440" spans="1:84" ht="12" customHeight="1">
      <c r="A440" s="2" t="s">
        <v>177</v>
      </c>
      <c r="B440" s="64">
        <v>428</v>
      </c>
      <c r="C440" s="65">
        <v>10</v>
      </c>
      <c r="D440" s="66" t="s">
        <v>21</v>
      </c>
      <c r="E440" s="69" t="s">
        <v>155</v>
      </c>
      <c r="F440" s="70"/>
      <c r="G440" s="71">
        <v>3072.9804878048785</v>
      </c>
      <c r="H440" s="72">
        <v>3072.9804878048785</v>
      </c>
      <c r="I440" s="72"/>
      <c r="J440" s="72"/>
      <c r="K440" s="72"/>
      <c r="L440" s="73">
        <v>0</v>
      </c>
      <c r="M440" s="71">
        <v>6145.960975609757</v>
      </c>
      <c r="N440" s="72">
        <v>6145.960975609757</v>
      </c>
      <c r="O440" s="72"/>
      <c r="P440" s="72"/>
      <c r="Q440" s="72"/>
      <c r="R440" s="73">
        <v>0</v>
      </c>
      <c r="S440" s="71">
        <v>3104.6</v>
      </c>
      <c r="T440" s="72">
        <v>3166</v>
      </c>
      <c r="U440" s="72">
        <v>2978</v>
      </c>
      <c r="V440" s="72">
        <v>3079</v>
      </c>
      <c r="W440" s="72">
        <v>3110</v>
      </c>
      <c r="X440" s="73">
        <v>3190</v>
      </c>
      <c r="Y440" s="71"/>
      <c r="Z440" s="72"/>
      <c r="AA440" s="72"/>
      <c r="AB440" s="72"/>
      <c r="AC440" s="72"/>
      <c r="AD440" s="73"/>
      <c r="AE440" s="71"/>
      <c r="AF440" s="72"/>
      <c r="AG440" s="72"/>
      <c r="AH440" s="72"/>
      <c r="AI440" s="72"/>
      <c r="AJ440" s="73"/>
      <c r="AK440" s="71"/>
      <c r="AL440" s="72"/>
      <c r="AM440" s="72"/>
      <c r="AN440" s="72"/>
      <c r="AO440" s="72"/>
      <c r="AP440" s="73"/>
      <c r="AQ440" s="71"/>
      <c r="AR440" s="72"/>
      <c r="AS440" s="72"/>
      <c r="AT440" s="72"/>
      <c r="AU440" s="72"/>
      <c r="AV440" s="73"/>
      <c r="AW440" s="75">
        <v>1.0289525859537241</v>
      </c>
      <c r="AX440" s="76">
        <v>3.0270127833310179</v>
      </c>
      <c r="AY440" s="76">
        <v>-3.0908262574984913</v>
      </c>
      <c r="AZ440" s="76">
        <v>0.19588514209607499</v>
      </c>
      <c r="BA440" s="76">
        <v>1.2046777498924355</v>
      </c>
      <c r="BB440" s="77">
        <v>3.80801351194755</v>
      </c>
      <c r="BC440" s="65"/>
      <c r="BD440" s="78"/>
      <c r="BE440" s="78"/>
      <c r="BF440" s="78"/>
      <c r="BG440" s="78"/>
      <c r="BH440" s="70"/>
      <c r="BI440" s="65"/>
      <c r="BJ440" s="78"/>
      <c r="BK440" s="78"/>
      <c r="BL440" s="78"/>
      <c r="BM440" s="78"/>
      <c r="BN440" s="70"/>
      <c r="BO440" s="65"/>
      <c r="BP440" s="78"/>
      <c r="BQ440" s="78"/>
      <c r="BR440" s="78"/>
      <c r="BS440" s="78"/>
      <c r="BT440" s="70"/>
      <c r="BU440" s="65"/>
      <c r="BV440" s="78"/>
      <c r="BW440" s="78"/>
      <c r="BX440" s="78"/>
      <c r="BY440" s="78"/>
      <c r="BZ440" s="70"/>
      <c r="CA440" s="80"/>
      <c r="CB440" s="78"/>
      <c r="CC440" s="78"/>
      <c r="CD440" s="78"/>
      <c r="CE440" s="78"/>
      <c r="CF440" s="70"/>
    </row>
    <row r="441" spans="1:84" ht="12" customHeight="1">
      <c r="A441" s="2" t="s">
        <v>177</v>
      </c>
      <c r="B441" s="64">
        <v>429</v>
      </c>
      <c r="C441" s="65">
        <v>10</v>
      </c>
      <c r="D441" s="66" t="s">
        <v>21</v>
      </c>
      <c r="E441" s="69" t="s">
        <v>156</v>
      </c>
      <c r="F441" s="70"/>
      <c r="G441" s="71">
        <v>4302.17268292683</v>
      </c>
      <c r="H441" s="72">
        <v>4302.17268292683</v>
      </c>
      <c r="I441" s="72"/>
      <c r="J441" s="72"/>
      <c r="K441" s="72"/>
      <c r="L441" s="73">
        <v>0</v>
      </c>
      <c r="M441" s="71">
        <v>8604.34536585366</v>
      </c>
      <c r="N441" s="72">
        <v>8604.34536585366</v>
      </c>
      <c r="O441" s="72"/>
      <c r="P441" s="72"/>
      <c r="Q441" s="72"/>
      <c r="R441" s="73">
        <v>0</v>
      </c>
      <c r="S441" s="71">
        <v>4331.6000000000004</v>
      </c>
      <c r="T441" s="72">
        <v>4351</v>
      </c>
      <c r="U441" s="72">
        <v>4203</v>
      </c>
      <c r="V441" s="72">
        <v>4387</v>
      </c>
      <c r="W441" s="72">
        <v>4375</v>
      </c>
      <c r="X441" s="73">
        <v>4342</v>
      </c>
      <c r="Y441" s="71"/>
      <c r="Z441" s="72"/>
      <c r="AA441" s="72"/>
      <c r="AB441" s="72"/>
      <c r="AC441" s="72"/>
      <c r="AD441" s="73"/>
      <c r="AE441" s="71"/>
      <c r="AF441" s="72"/>
      <c r="AG441" s="72"/>
      <c r="AH441" s="72"/>
      <c r="AI441" s="72"/>
      <c r="AJ441" s="73"/>
      <c r="AK441" s="71"/>
      <c r="AL441" s="72"/>
      <c r="AM441" s="72"/>
      <c r="AN441" s="72"/>
      <c r="AO441" s="72"/>
      <c r="AP441" s="73"/>
      <c r="AQ441" s="71"/>
      <c r="AR441" s="72"/>
      <c r="AS441" s="72"/>
      <c r="AT441" s="72"/>
      <c r="AU441" s="72"/>
      <c r="AV441" s="73"/>
      <c r="AW441" s="75">
        <v>0.68401059748142146</v>
      </c>
      <c r="AX441" s="76">
        <v>1.1349455419802368</v>
      </c>
      <c r="AY441" s="76">
        <v>-2.3051767150211511</v>
      </c>
      <c r="AZ441" s="76">
        <v>1.9717320369265323</v>
      </c>
      <c r="BA441" s="76">
        <v>1.6928032052777597</v>
      </c>
      <c r="BB441" s="77">
        <v>0.9257489182436851</v>
      </c>
      <c r="BC441" s="65"/>
      <c r="BD441" s="78"/>
      <c r="BE441" s="78"/>
      <c r="BF441" s="78"/>
      <c r="BG441" s="78"/>
      <c r="BH441" s="70"/>
      <c r="BI441" s="65"/>
      <c r="BJ441" s="78"/>
      <c r="BK441" s="78"/>
      <c r="BL441" s="78"/>
      <c r="BM441" s="78"/>
      <c r="BN441" s="70"/>
      <c r="BO441" s="65"/>
      <c r="BP441" s="78"/>
      <c r="BQ441" s="78"/>
      <c r="BR441" s="78"/>
      <c r="BS441" s="78"/>
      <c r="BT441" s="70"/>
      <c r="BU441" s="65"/>
      <c r="BV441" s="78"/>
      <c r="BW441" s="78"/>
      <c r="BX441" s="78"/>
      <c r="BY441" s="78"/>
      <c r="BZ441" s="70"/>
      <c r="CA441" s="80"/>
      <c r="CB441" s="78"/>
      <c r="CC441" s="78"/>
      <c r="CD441" s="78"/>
      <c r="CE441" s="78"/>
      <c r="CF441" s="70"/>
    </row>
    <row r="442" spans="1:84" ht="12" customHeight="1">
      <c r="A442" s="2" t="s">
        <v>177</v>
      </c>
      <c r="B442" s="64">
        <v>430</v>
      </c>
      <c r="C442" s="65">
        <v>10</v>
      </c>
      <c r="D442" s="66" t="s">
        <v>21</v>
      </c>
      <c r="E442" s="69" t="s">
        <v>157</v>
      </c>
      <c r="F442" s="70"/>
      <c r="G442" s="71">
        <v>4916.768780487806</v>
      </c>
      <c r="H442" s="72">
        <v>4916.768780487806</v>
      </c>
      <c r="I442" s="72"/>
      <c r="J442" s="72"/>
      <c r="K442" s="72"/>
      <c r="L442" s="73">
        <v>0</v>
      </c>
      <c r="M442" s="71">
        <v>9833.537560975612</v>
      </c>
      <c r="N442" s="72">
        <v>9833.537560975612</v>
      </c>
      <c r="O442" s="72"/>
      <c r="P442" s="72"/>
      <c r="Q442" s="72"/>
      <c r="R442" s="73">
        <v>0</v>
      </c>
      <c r="S442" s="71">
        <v>4993.6000000000004</v>
      </c>
      <c r="T442" s="72">
        <v>5214</v>
      </c>
      <c r="U442" s="72">
        <v>5033</v>
      </c>
      <c r="V442" s="72">
        <v>4894</v>
      </c>
      <c r="W442" s="72">
        <v>4950</v>
      </c>
      <c r="X442" s="73">
        <v>4877</v>
      </c>
      <c r="Y442" s="71"/>
      <c r="Z442" s="72"/>
      <c r="AA442" s="72"/>
      <c r="AB442" s="72"/>
      <c r="AC442" s="72"/>
      <c r="AD442" s="73"/>
      <c r="AE442" s="71"/>
      <c r="AF442" s="72"/>
      <c r="AG442" s="72"/>
      <c r="AH442" s="72"/>
      <c r="AI442" s="72"/>
      <c r="AJ442" s="73"/>
      <c r="AK442" s="71"/>
      <c r="AL442" s="72"/>
      <c r="AM442" s="72"/>
      <c r="AN442" s="72"/>
      <c r="AO442" s="72"/>
      <c r="AP442" s="73"/>
      <c r="AQ442" s="71"/>
      <c r="AR442" s="72"/>
      <c r="AS442" s="72"/>
      <c r="AT442" s="72"/>
      <c r="AU442" s="72"/>
      <c r="AV442" s="73"/>
      <c r="AW442" s="75">
        <v>1.5626364171750229</v>
      </c>
      <c r="AX442" s="76">
        <v>6.0452551824636602</v>
      </c>
      <c r="AY442" s="76">
        <v>2.3639757064325861</v>
      </c>
      <c r="AZ442" s="76">
        <v>-0.46308422267412608</v>
      </c>
      <c r="BA442" s="76">
        <v>0.67587517322498236</v>
      </c>
      <c r="BB442" s="77">
        <v>-0.80883975357206594</v>
      </c>
      <c r="BC442" s="65"/>
      <c r="BD442" s="78"/>
      <c r="BE442" s="78"/>
      <c r="BF442" s="78"/>
      <c r="BG442" s="78"/>
      <c r="BH442" s="70"/>
      <c r="BI442" s="65"/>
      <c r="BJ442" s="78"/>
      <c r="BK442" s="78"/>
      <c r="BL442" s="78"/>
      <c r="BM442" s="78"/>
      <c r="BN442" s="70"/>
      <c r="BO442" s="65"/>
      <c r="BP442" s="78"/>
      <c r="BQ442" s="78"/>
      <c r="BR442" s="78"/>
      <c r="BS442" s="78"/>
      <c r="BT442" s="70"/>
      <c r="BU442" s="65"/>
      <c r="BV442" s="78"/>
      <c r="BW442" s="78"/>
      <c r="BX442" s="78"/>
      <c r="BY442" s="78"/>
      <c r="BZ442" s="70"/>
      <c r="CA442" s="80"/>
      <c r="CB442" s="78"/>
      <c r="CC442" s="78"/>
      <c r="CD442" s="78"/>
      <c r="CE442" s="78"/>
      <c r="CF442" s="70"/>
    </row>
    <row r="443" spans="1:84" ht="12" customHeight="1">
      <c r="A443" s="2"/>
      <c r="B443" s="64">
        <v>431</v>
      </c>
      <c r="C443" s="65">
        <v>10</v>
      </c>
      <c r="D443" s="66" t="s">
        <v>21</v>
      </c>
      <c r="E443" s="69" t="s">
        <v>161</v>
      </c>
      <c r="F443" s="70"/>
      <c r="G443" s="71">
        <v>3277.8458536585372</v>
      </c>
      <c r="H443" s="72">
        <v>2868.1151219512199</v>
      </c>
      <c r="I443" s="72"/>
      <c r="J443" s="72"/>
      <c r="K443" s="72"/>
      <c r="L443" s="73">
        <v>409.73073170731715</v>
      </c>
      <c r="M443" s="71">
        <v>6555.6917073170735</v>
      </c>
      <c r="N443" s="72">
        <v>5736.2302439024388</v>
      </c>
      <c r="O443" s="72"/>
      <c r="P443" s="72"/>
      <c r="Q443" s="72"/>
      <c r="R443" s="73">
        <v>819.4614634146343</v>
      </c>
      <c r="S443" s="71">
        <v>2827.8</v>
      </c>
      <c r="T443" s="72">
        <v>2861</v>
      </c>
      <c r="U443" s="72">
        <v>2813</v>
      </c>
      <c r="V443" s="72">
        <v>2846</v>
      </c>
      <c r="W443" s="72">
        <v>2799</v>
      </c>
      <c r="X443" s="73">
        <v>2820</v>
      </c>
      <c r="Y443" s="71"/>
      <c r="Z443" s="72"/>
      <c r="AA443" s="72"/>
      <c r="AB443" s="72"/>
      <c r="AC443" s="72"/>
      <c r="AD443" s="73"/>
      <c r="AE443" s="71"/>
      <c r="AF443" s="72"/>
      <c r="AG443" s="72"/>
      <c r="AH443" s="72"/>
      <c r="AI443" s="72"/>
      <c r="AJ443" s="73"/>
      <c r="AK443" s="71"/>
      <c r="AL443" s="72"/>
      <c r="AM443" s="72"/>
      <c r="AN443" s="72"/>
      <c r="AO443" s="72"/>
      <c r="AP443" s="73"/>
      <c r="AQ443" s="71">
        <v>412.8</v>
      </c>
      <c r="AR443" s="72">
        <v>417</v>
      </c>
      <c r="AS443" s="72">
        <v>414</v>
      </c>
      <c r="AT443" s="72">
        <v>420</v>
      </c>
      <c r="AU443" s="72">
        <v>399</v>
      </c>
      <c r="AV443" s="73">
        <v>414</v>
      </c>
      <c r="AW443" s="75">
        <v>-1.1362905798930512</v>
      </c>
      <c r="AX443" s="76">
        <v>4.7026720701559555E-3</v>
      </c>
      <c r="AY443" s="76">
        <v>-1.5511972169705901</v>
      </c>
      <c r="AZ443" s="76">
        <v>-0.36139141946883724</v>
      </c>
      <c r="BA443" s="76">
        <v>-2.4359246048565097</v>
      </c>
      <c r="BB443" s="77">
        <v>-1.337642330239508</v>
      </c>
      <c r="BC443" s="65"/>
      <c r="BD443" s="78"/>
      <c r="BE443" s="78"/>
      <c r="BF443" s="78"/>
      <c r="BG443" s="78"/>
      <c r="BH443" s="70"/>
      <c r="BI443" s="65"/>
      <c r="BJ443" s="78"/>
      <c r="BK443" s="78"/>
      <c r="BL443" s="78"/>
      <c r="BM443" s="78"/>
      <c r="BN443" s="70"/>
      <c r="BO443" s="65"/>
      <c r="BP443" s="78"/>
      <c r="BQ443" s="78"/>
      <c r="BR443" s="78"/>
      <c r="BS443" s="78"/>
      <c r="BT443" s="70"/>
      <c r="BU443" s="65"/>
      <c r="BV443" s="78"/>
      <c r="BW443" s="78"/>
      <c r="BX443" s="78"/>
      <c r="BY443" s="78"/>
      <c r="BZ443" s="70"/>
      <c r="CA443" s="80"/>
      <c r="CB443" s="78"/>
      <c r="CC443" s="78"/>
      <c r="CD443" s="78"/>
      <c r="CE443" s="78"/>
      <c r="CF443" s="70"/>
    </row>
    <row r="444" spans="1:84" ht="12" customHeight="1">
      <c r="A444" s="2"/>
      <c r="B444" s="64">
        <v>432</v>
      </c>
      <c r="C444" s="65">
        <v>10</v>
      </c>
      <c r="D444" s="66" t="s">
        <v>21</v>
      </c>
      <c r="E444" s="69" t="s">
        <v>99</v>
      </c>
      <c r="F444" s="70"/>
      <c r="G444" s="71">
        <v>3687.5765853658545</v>
      </c>
      <c r="H444" s="72">
        <v>3277.8458536585372</v>
      </c>
      <c r="I444" s="72"/>
      <c r="J444" s="72"/>
      <c r="K444" s="72"/>
      <c r="L444" s="73">
        <v>409.73073170731715</v>
      </c>
      <c r="M444" s="71">
        <v>7375.153170731709</v>
      </c>
      <c r="N444" s="72">
        <v>6555.6917073170744</v>
      </c>
      <c r="O444" s="72"/>
      <c r="P444" s="72"/>
      <c r="Q444" s="72"/>
      <c r="R444" s="73">
        <v>819.4614634146343</v>
      </c>
      <c r="S444" s="71">
        <v>3290.6</v>
      </c>
      <c r="T444" s="72">
        <v>3377</v>
      </c>
      <c r="U444" s="72">
        <v>3302</v>
      </c>
      <c r="V444" s="72">
        <v>3290</v>
      </c>
      <c r="W444" s="72">
        <v>3192</v>
      </c>
      <c r="X444" s="73">
        <v>3292</v>
      </c>
      <c r="Y444" s="71"/>
      <c r="Z444" s="72"/>
      <c r="AA444" s="72"/>
      <c r="AB444" s="72"/>
      <c r="AC444" s="72"/>
      <c r="AD444" s="73"/>
      <c r="AE444" s="71"/>
      <c r="AF444" s="72"/>
      <c r="AG444" s="72"/>
      <c r="AH444" s="72"/>
      <c r="AI444" s="72"/>
      <c r="AJ444" s="73"/>
      <c r="AK444" s="71"/>
      <c r="AL444" s="72"/>
      <c r="AM444" s="72"/>
      <c r="AN444" s="72"/>
      <c r="AO444" s="72"/>
      <c r="AP444" s="73"/>
      <c r="AQ444" s="71">
        <v>414</v>
      </c>
      <c r="AR444" s="72">
        <v>414</v>
      </c>
      <c r="AS444" s="72">
        <v>414</v>
      </c>
      <c r="AT444" s="72">
        <v>420</v>
      </c>
      <c r="AU444" s="72">
        <v>411</v>
      </c>
      <c r="AV444" s="73">
        <v>411</v>
      </c>
      <c r="AW444" s="75">
        <v>0.4616423344725229</v>
      </c>
      <c r="AX444" s="76">
        <v>2.8046445203221415</v>
      </c>
      <c r="AY444" s="76">
        <v>0.77078845621658676</v>
      </c>
      <c r="AZ444" s="76">
        <v>0.60807997108813794</v>
      </c>
      <c r="BA444" s="76">
        <v>-2.2935546803691254</v>
      </c>
      <c r="BB444" s="77">
        <v>0.41825340510495135</v>
      </c>
      <c r="BC444" s="65"/>
      <c r="BD444" s="78"/>
      <c r="BE444" s="78"/>
      <c r="BF444" s="78"/>
      <c r="BG444" s="78"/>
      <c r="BH444" s="70"/>
      <c r="BI444" s="65"/>
      <c r="BJ444" s="78"/>
      <c r="BK444" s="78"/>
      <c r="BL444" s="78"/>
      <c r="BM444" s="78"/>
      <c r="BN444" s="70"/>
      <c r="BO444" s="65"/>
      <c r="BP444" s="78"/>
      <c r="BQ444" s="78"/>
      <c r="BR444" s="78"/>
      <c r="BS444" s="78"/>
      <c r="BT444" s="70"/>
      <c r="BU444" s="65"/>
      <c r="BV444" s="78"/>
      <c r="BW444" s="78"/>
      <c r="BX444" s="78"/>
      <c r="BY444" s="78"/>
      <c r="BZ444" s="70"/>
      <c r="CA444" s="80"/>
      <c r="CB444" s="78"/>
      <c r="CC444" s="78"/>
      <c r="CD444" s="78"/>
      <c r="CE444" s="78"/>
      <c r="CF444" s="70"/>
    </row>
    <row r="445" spans="1:84" ht="12" customHeight="1">
      <c r="A445" s="2"/>
      <c r="B445" s="64">
        <v>433</v>
      </c>
      <c r="C445" s="65">
        <v>10</v>
      </c>
      <c r="D445" s="66" t="s">
        <v>21</v>
      </c>
      <c r="E445" s="69" t="s">
        <v>168</v>
      </c>
      <c r="F445" s="70"/>
      <c r="G445" s="71">
        <v>3072.9804878048785</v>
      </c>
      <c r="H445" s="72">
        <v>2048.6536585365857</v>
      </c>
      <c r="I445" s="72"/>
      <c r="J445" s="72"/>
      <c r="K445" s="72"/>
      <c r="L445" s="73">
        <v>1024.3268292682928</v>
      </c>
      <c r="M445" s="71">
        <v>6145.960975609757</v>
      </c>
      <c r="N445" s="72">
        <v>4097.3073170731714</v>
      </c>
      <c r="O445" s="72"/>
      <c r="P445" s="72"/>
      <c r="Q445" s="72"/>
      <c r="R445" s="73">
        <v>2048.6536585365857</v>
      </c>
      <c r="S445" s="71">
        <v>2063.4</v>
      </c>
      <c r="T445" s="72">
        <v>2073</v>
      </c>
      <c r="U445" s="72">
        <v>2045</v>
      </c>
      <c r="V445" s="72">
        <v>1965</v>
      </c>
      <c r="W445" s="72">
        <v>2155</v>
      </c>
      <c r="X445" s="73">
        <v>2079</v>
      </c>
      <c r="Y445" s="71"/>
      <c r="Z445" s="72"/>
      <c r="AA445" s="72"/>
      <c r="AB445" s="72"/>
      <c r="AC445" s="72"/>
      <c r="AD445" s="73"/>
      <c r="AE445" s="71"/>
      <c r="AF445" s="72"/>
      <c r="AG445" s="72"/>
      <c r="AH445" s="72"/>
      <c r="AI445" s="72"/>
      <c r="AJ445" s="73"/>
      <c r="AK445" s="71"/>
      <c r="AL445" s="72"/>
      <c r="AM445" s="72"/>
      <c r="AN445" s="72"/>
      <c r="AO445" s="72"/>
      <c r="AP445" s="73"/>
      <c r="AQ445" s="71">
        <v>1008.2</v>
      </c>
      <c r="AR445" s="72">
        <v>983</v>
      </c>
      <c r="AS445" s="72">
        <v>1014</v>
      </c>
      <c r="AT445" s="72">
        <v>1003</v>
      </c>
      <c r="AU445" s="72">
        <v>1006</v>
      </c>
      <c r="AV445" s="73">
        <v>1035</v>
      </c>
      <c r="AW445" s="75">
        <v>-4.4923415894004837E-2</v>
      </c>
      <c r="AX445" s="76">
        <v>-0.55257388949475628</v>
      </c>
      <c r="AY445" s="76">
        <v>-0.45494879841769809</v>
      </c>
      <c r="AZ445" s="76">
        <v>-3.4162432277553889</v>
      </c>
      <c r="BA445" s="76">
        <v>2.864304298202569</v>
      </c>
      <c r="BB445" s="77">
        <v>1.3348445379951945</v>
      </c>
      <c r="BC445" s="65"/>
      <c r="BD445" s="78"/>
      <c r="BE445" s="78"/>
      <c r="BF445" s="78"/>
      <c r="BG445" s="78"/>
      <c r="BH445" s="70"/>
      <c r="BI445" s="65"/>
      <c r="BJ445" s="78"/>
      <c r="BK445" s="78"/>
      <c r="BL445" s="78"/>
      <c r="BM445" s="78"/>
      <c r="BN445" s="70"/>
      <c r="BO445" s="65"/>
      <c r="BP445" s="78"/>
      <c r="BQ445" s="78"/>
      <c r="BR445" s="78"/>
      <c r="BS445" s="78"/>
      <c r="BT445" s="70"/>
      <c r="BU445" s="65"/>
      <c r="BV445" s="78"/>
      <c r="BW445" s="78"/>
      <c r="BX445" s="78"/>
      <c r="BY445" s="78"/>
      <c r="BZ445" s="70"/>
      <c r="CA445" s="80"/>
      <c r="CB445" s="78"/>
      <c r="CC445" s="78"/>
      <c r="CD445" s="78"/>
      <c r="CE445" s="78"/>
      <c r="CF445" s="70"/>
    </row>
    <row r="446" spans="1:84" ht="12" customHeight="1">
      <c r="A446" s="2"/>
      <c r="B446" s="64">
        <v>434</v>
      </c>
      <c r="C446" s="65">
        <v>10</v>
      </c>
      <c r="D446" s="66" t="s">
        <v>21</v>
      </c>
      <c r="E446" s="69" t="s">
        <v>169</v>
      </c>
      <c r="F446" s="70"/>
      <c r="G446" s="71">
        <v>4507.0380487804887</v>
      </c>
      <c r="H446" s="72">
        <v>2868.1151219512199</v>
      </c>
      <c r="I446" s="72"/>
      <c r="J446" s="72"/>
      <c r="K446" s="72"/>
      <c r="L446" s="73">
        <v>1638.9229268292684</v>
      </c>
      <c r="M446" s="71">
        <v>9014.0760975609755</v>
      </c>
      <c r="N446" s="72">
        <v>5736.2302439024388</v>
      </c>
      <c r="O446" s="72"/>
      <c r="P446" s="72"/>
      <c r="Q446" s="72"/>
      <c r="R446" s="73">
        <v>3277.8458536585367</v>
      </c>
      <c r="S446" s="71">
        <v>2755.6</v>
      </c>
      <c r="T446" s="72">
        <v>2792</v>
      </c>
      <c r="U446" s="72">
        <v>2786</v>
      </c>
      <c r="V446" s="72">
        <v>2692</v>
      </c>
      <c r="W446" s="72">
        <v>2717</v>
      </c>
      <c r="X446" s="73">
        <v>2791</v>
      </c>
      <c r="Y446" s="71"/>
      <c r="Z446" s="72"/>
      <c r="AA446" s="72"/>
      <c r="AB446" s="72"/>
      <c r="AC446" s="72"/>
      <c r="AD446" s="73"/>
      <c r="AE446" s="71"/>
      <c r="AF446" s="72"/>
      <c r="AG446" s="72"/>
      <c r="AH446" s="72"/>
      <c r="AI446" s="72"/>
      <c r="AJ446" s="73"/>
      <c r="AK446" s="71"/>
      <c r="AL446" s="72"/>
      <c r="AM446" s="72"/>
      <c r="AN446" s="72"/>
      <c r="AO446" s="72"/>
      <c r="AP446" s="73"/>
      <c r="AQ446" s="71">
        <v>1628.8</v>
      </c>
      <c r="AR446" s="72">
        <v>1624</v>
      </c>
      <c r="AS446" s="72">
        <v>1646</v>
      </c>
      <c r="AT446" s="72">
        <v>1615</v>
      </c>
      <c r="AU446" s="72">
        <v>1615</v>
      </c>
      <c r="AV446" s="73">
        <v>1644</v>
      </c>
      <c r="AW446" s="75">
        <v>-2.721034245842946</v>
      </c>
      <c r="AX446" s="76">
        <v>-2.0199085917440129</v>
      </c>
      <c r="AY446" s="76">
        <v>-1.6649082605546761</v>
      </c>
      <c r="AZ446" s="76">
        <v>-4.4383483479713437</v>
      </c>
      <c r="BA446" s="76">
        <v>-3.8836603304880146</v>
      </c>
      <c r="BB446" s="77">
        <v>-1.5983456984566713</v>
      </c>
      <c r="BC446" s="65"/>
      <c r="BD446" s="78"/>
      <c r="BE446" s="78"/>
      <c r="BF446" s="78"/>
      <c r="BG446" s="78"/>
      <c r="BH446" s="70"/>
      <c r="BI446" s="65"/>
      <c r="BJ446" s="78"/>
      <c r="BK446" s="78"/>
      <c r="BL446" s="78"/>
      <c r="BM446" s="78"/>
      <c r="BN446" s="70"/>
      <c r="BO446" s="65"/>
      <c r="BP446" s="78"/>
      <c r="BQ446" s="78"/>
      <c r="BR446" s="78"/>
      <c r="BS446" s="78"/>
      <c r="BT446" s="70"/>
      <c r="BU446" s="65"/>
      <c r="BV446" s="78"/>
      <c r="BW446" s="78"/>
      <c r="BX446" s="78"/>
      <c r="BY446" s="78"/>
      <c r="BZ446" s="70"/>
      <c r="CA446" s="80"/>
      <c r="CB446" s="78"/>
      <c r="CC446" s="78"/>
      <c r="CD446" s="78"/>
      <c r="CE446" s="78"/>
      <c r="CF446" s="70"/>
    </row>
    <row r="447" spans="1:84" ht="12" customHeight="1">
      <c r="A447" s="2"/>
      <c r="B447" s="64">
        <v>435</v>
      </c>
      <c r="C447" s="65">
        <v>10</v>
      </c>
      <c r="D447" s="66" t="s">
        <v>21</v>
      </c>
      <c r="E447" s="69" t="s">
        <v>170</v>
      </c>
      <c r="F447" s="70"/>
      <c r="G447" s="71">
        <v>4302.17268292683</v>
      </c>
      <c r="H447" s="72">
        <v>3277.8458536585372</v>
      </c>
      <c r="I447" s="72"/>
      <c r="J447" s="72"/>
      <c r="K447" s="72"/>
      <c r="L447" s="73">
        <v>1024.3268292682928</v>
      </c>
      <c r="M447" s="71">
        <v>8604.34536585366</v>
      </c>
      <c r="N447" s="72">
        <v>6555.6917073170744</v>
      </c>
      <c r="O447" s="72"/>
      <c r="P447" s="72"/>
      <c r="Q447" s="72"/>
      <c r="R447" s="73">
        <v>2048.6536585365857</v>
      </c>
      <c r="S447" s="71">
        <v>3283.6</v>
      </c>
      <c r="T447" s="72">
        <v>3273</v>
      </c>
      <c r="U447" s="72">
        <v>3350</v>
      </c>
      <c r="V447" s="72">
        <v>3269</v>
      </c>
      <c r="W447" s="72">
        <v>3279</v>
      </c>
      <c r="X447" s="73">
        <v>3247</v>
      </c>
      <c r="Y447" s="71"/>
      <c r="Z447" s="72"/>
      <c r="AA447" s="72"/>
      <c r="AB447" s="72"/>
      <c r="AC447" s="72"/>
      <c r="AD447" s="73"/>
      <c r="AE447" s="71"/>
      <c r="AF447" s="72"/>
      <c r="AG447" s="72"/>
      <c r="AH447" s="72"/>
      <c r="AI447" s="72"/>
      <c r="AJ447" s="73"/>
      <c r="AK447" s="71"/>
      <c r="AL447" s="72"/>
      <c r="AM447" s="72"/>
      <c r="AN447" s="72"/>
      <c r="AO447" s="72"/>
      <c r="AP447" s="73"/>
      <c r="AQ447" s="71">
        <v>1011.6</v>
      </c>
      <c r="AR447" s="72">
        <v>985</v>
      </c>
      <c r="AS447" s="72">
        <v>1009</v>
      </c>
      <c r="AT447" s="72">
        <v>1031</v>
      </c>
      <c r="AU447" s="72">
        <v>1004</v>
      </c>
      <c r="AV447" s="73">
        <v>1029</v>
      </c>
      <c r="AW447" s="75">
        <v>-0.16207352518650131</v>
      </c>
      <c r="AX447" s="76">
        <v>-1.0267529032976563</v>
      </c>
      <c r="AY447" s="76">
        <v>1.3208980964127592</v>
      </c>
      <c r="AZ447" s="76">
        <v>-5.050199252699672E-2</v>
      </c>
      <c r="BA447" s="76">
        <v>-0.44565117069607085</v>
      </c>
      <c r="BB447" s="77">
        <v>-0.60835965582451967</v>
      </c>
      <c r="BC447" s="65"/>
      <c r="BD447" s="78"/>
      <c r="BE447" s="78"/>
      <c r="BF447" s="78"/>
      <c r="BG447" s="78"/>
      <c r="BH447" s="70"/>
      <c r="BI447" s="65"/>
      <c r="BJ447" s="78"/>
      <c r="BK447" s="78"/>
      <c r="BL447" s="78"/>
      <c r="BM447" s="78"/>
      <c r="BN447" s="70"/>
      <c r="BO447" s="65"/>
      <c r="BP447" s="78"/>
      <c r="BQ447" s="78"/>
      <c r="BR447" s="78"/>
      <c r="BS447" s="78"/>
      <c r="BT447" s="70"/>
      <c r="BU447" s="65"/>
      <c r="BV447" s="78"/>
      <c r="BW447" s="78"/>
      <c r="BX447" s="78"/>
      <c r="BY447" s="78"/>
      <c r="BZ447" s="70"/>
      <c r="CA447" s="80"/>
      <c r="CB447" s="78"/>
      <c r="CC447" s="78"/>
      <c r="CD447" s="78"/>
      <c r="CE447" s="78"/>
      <c r="CF447" s="70"/>
    </row>
    <row r="448" spans="1:84" ht="12" customHeight="1">
      <c r="A448" s="2" t="s">
        <v>177</v>
      </c>
      <c r="B448" s="64">
        <v>436</v>
      </c>
      <c r="C448" s="65">
        <v>10</v>
      </c>
      <c r="D448" s="66" t="s">
        <v>21</v>
      </c>
      <c r="E448" s="69" t="s">
        <v>103</v>
      </c>
      <c r="F448" s="70"/>
      <c r="G448" s="71">
        <v>3482.7112195121958</v>
      </c>
      <c r="H448" s="72">
        <v>3072.9804878048785</v>
      </c>
      <c r="I448" s="72"/>
      <c r="J448" s="72"/>
      <c r="K448" s="72"/>
      <c r="L448" s="73">
        <v>409.73073170731715</v>
      </c>
      <c r="M448" s="71">
        <v>6965.4224390243917</v>
      </c>
      <c r="N448" s="72">
        <v>6145.960975609757</v>
      </c>
      <c r="O448" s="72"/>
      <c r="P448" s="72"/>
      <c r="Q448" s="72"/>
      <c r="R448" s="73">
        <v>819.4614634146343</v>
      </c>
      <c r="S448" s="71">
        <v>3104.6</v>
      </c>
      <c r="T448" s="72">
        <v>3166</v>
      </c>
      <c r="U448" s="72">
        <v>2978</v>
      </c>
      <c r="V448" s="72">
        <v>3079</v>
      </c>
      <c r="W448" s="72">
        <v>3110</v>
      </c>
      <c r="X448" s="73">
        <v>3190</v>
      </c>
      <c r="Y448" s="71"/>
      <c r="Z448" s="72"/>
      <c r="AA448" s="72"/>
      <c r="AB448" s="72"/>
      <c r="AC448" s="72"/>
      <c r="AD448" s="73"/>
      <c r="AE448" s="71"/>
      <c r="AF448" s="72"/>
      <c r="AG448" s="72"/>
      <c r="AH448" s="72"/>
      <c r="AI448" s="72"/>
      <c r="AJ448" s="73"/>
      <c r="AK448" s="71"/>
      <c r="AL448" s="72"/>
      <c r="AM448" s="72"/>
      <c r="AN448" s="72"/>
      <c r="AO448" s="72"/>
      <c r="AP448" s="73"/>
      <c r="AQ448" s="71">
        <v>412.8</v>
      </c>
      <c r="AR448" s="72">
        <v>417</v>
      </c>
      <c r="AS448" s="72">
        <v>414</v>
      </c>
      <c r="AT448" s="72">
        <v>420</v>
      </c>
      <c r="AU448" s="72">
        <v>399</v>
      </c>
      <c r="AV448" s="73">
        <v>414</v>
      </c>
      <c r="AW448" s="75">
        <v>0.99602804543361678</v>
      </c>
      <c r="AX448" s="76">
        <v>2.879618037979359</v>
      </c>
      <c r="AY448" s="76">
        <v>-2.6046150195852658</v>
      </c>
      <c r="AZ448" s="76">
        <v>0.46770402313418558</v>
      </c>
      <c r="BA448" s="76">
        <v>0.75483664394908612</v>
      </c>
      <c r="BB448" s="77">
        <v>3.4825965416906524</v>
      </c>
      <c r="BC448" s="65"/>
      <c r="BD448" s="78"/>
      <c r="BE448" s="78"/>
      <c r="BF448" s="78"/>
      <c r="BG448" s="78"/>
      <c r="BH448" s="70"/>
      <c r="BI448" s="65"/>
      <c r="BJ448" s="78"/>
      <c r="BK448" s="78"/>
      <c r="BL448" s="78"/>
      <c r="BM448" s="78"/>
      <c r="BN448" s="70"/>
      <c r="BO448" s="65"/>
      <c r="BP448" s="78"/>
      <c r="BQ448" s="78"/>
      <c r="BR448" s="78"/>
      <c r="BS448" s="78"/>
      <c r="BT448" s="70"/>
      <c r="BU448" s="65"/>
      <c r="BV448" s="78"/>
      <c r="BW448" s="78"/>
      <c r="BX448" s="78"/>
      <c r="BY448" s="78"/>
      <c r="BZ448" s="70"/>
      <c r="CA448" s="80"/>
      <c r="CB448" s="78"/>
      <c r="CC448" s="78"/>
      <c r="CD448" s="78"/>
      <c r="CE448" s="78"/>
      <c r="CF448" s="70"/>
    </row>
    <row r="449" spans="1:84" ht="12" customHeight="1">
      <c r="A449" s="2" t="s">
        <v>177</v>
      </c>
      <c r="B449" s="64">
        <v>437</v>
      </c>
      <c r="C449" s="65">
        <v>10</v>
      </c>
      <c r="D449" s="66" t="s">
        <v>21</v>
      </c>
      <c r="E449" s="69" t="s">
        <v>171</v>
      </c>
      <c r="F449" s="70"/>
      <c r="G449" s="71">
        <v>4711.9034146341473</v>
      </c>
      <c r="H449" s="72">
        <v>4302.17268292683</v>
      </c>
      <c r="I449" s="72"/>
      <c r="J449" s="72"/>
      <c r="K449" s="72"/>
      <c r="L449" s="73">
        <v>409.73073170731715</v>
      </c>
      <c r="M449" s="71">
        <v>9423.8068292682947</v>
      </c>
      <c r="N449" s="72">
        <v>8604.34536585366</v>
      </c>
      <c r="O449" s="72"/>
      <c r="P449" s="72"/>
      <c r="Q449" s="72"/>
      <c r="R449" s="73">
        <v>819.4614634146343</v>
      </c>
      <c r="S449" s="71">
        <v>4331.6000000000004</v>
      </c>
      <c r="T449" s="72">
        <v>4351</v>
      </c>
      <c r="U449" s="72">
        <v>4203</v>
      </c>
      <c r="V449" s="72">
        <v>4387</v>
      </c>
      <c r="W449" s="72">
        <v>4375</v>
      </c>
      <c r="X449" s="73">
        <v>4342</v>
      </c>
      <c r="Y449" s="71"/>
      <c r="Z449" s="72"/>
      <c r="AA449" s="72"/>
      <c r="AB449" s="72"/>
      <c r="AC449" s="72"/>
      <c r="AD449" s="73"/>
      <c r="AE449" s="71"/>
      <c r="AF449" s="72"/>
      <c r="AG449" s="72"/>
      <c r="AH449" s="72"/>
      <c r="AI449" s="72"/>
      <c r="AJ449" s="73"/>
      <c r="AK449" s="71"/>
      <c r="AL449" s="72"/>
      <c r="AM449" s="72"/>
      <c r="AN449" s="72"/>
      <c r="AO449" s="72"/>
      <c r="AP449" s="73"/>
      <c r="AQ449" s="71">
        <v>412.8</v>
      </c>
      <c r="AR449" s="72">
        <v>417</v>
      </c>
      <c r="AS449" s="72">
        <v>414</v>
      </c>
      <c r="AT449" s="72">
        <v>420</v>
      </c>
      <c r="AU449" s="72">
        <v>399</v>
      </c>
      <c r="AV449" s="73">
        <v>414</v>
      </c>
      <c r="AW449" s="75">
        <v>0.68967002305111436</v>
      </c>
      <c r="AX449" s="76">
        <v>1.1905291859682254</v>
      </c>
      <c r="AY449" s="76">
        <v>-2.014120542865927</v>
      </c>
      <c r="AZ449" s="76">
        <v>2.0182201755346574</v>
      </c>
      <c r="BA449" s="76">
        <v>1.317866261286138</v>
      </c>
      <c r="BB449" s="77">
        <v>0.93585503533240022</v>
      </c>
      <c r="BC449" s="65"/>
      <c r="BD449" s="78"/>
      <c r="BE449" s="78"/>
      <c r="BF449" s="78"/>
      <c r="BG449" s="78"/>
      <c r="BH449" s="70"/>
      <c r="BI449" s="65"/>
      <c r="BJ449" s="78"/>
      <c r="BK449" s="78"/>
      <c r="BL449" s="78"/>
      <c r="BM449" s="78"/>
      <c r="BN449" s="70"/>
      <c r="BO449" s="65"/>
      <c r="BP449" s="78"/>
      <c r="BQ449" s="78"/>
      <c r="BR449" s="78"/>
      <c r="BS449" s="78"/>
      <c r="BT449" s="70"/>
      <c r="BU449" s="65"/>
      <c r="BV449" s="78"/>
      <c r="BW449" s="78"/>
      <c r="BX449" s="78"/>
      <c r="BY449" s="78"/>
      <c r="BZ449" s="70"/>
      <c r="CA449" s="80"/>
      <c r="CB449" s="78"/>
      <c r="CC449" s="78"/>
      <c r="CD449" s="78"/>
      <c r="CE449" s="78"/>
      <c r="CF449" s="70"/>
    </row>
    <row r="450" spans="1:84" ht="12" customHeight="1">
      <c r="A450" s="2" t="s">
        <v>177</v>
      </c>
      <c r="B450" s="64">
        <v>438</v>
      </c>
      <c r="C450" s="65">
        <v>10</v>
      </c>
      <c r="D450" s="66" t="s">
        <v>21</v>
      </c>
      <c r="E450" s="69" t="s">
        <v>108</v>
      </c>
      <c r="F450" s="70"/>
      <c r="G450" s="71">
        <v>5326.4995121951233</v>
      </c>
      <c r="H450" s="72">
        <v>4916.768780487806</v>
      </c>
      <c r="I450" s="72"/>
      <c r="J450" s="72"/>
      <c r="K450" s="72"/>
      <c r="L450" s="73">
        <v>409.73073170731715</v>
      </c>
      <c r="M450" s="71">
        <v>10652.999024390247</v>
      </c>
      <c r="N450" s="72">
        <v>9833.537560975612</v>
      </c>
      <c r="O450" s="72"/>
      <c r="P450" s="72"/>
      <c r="Q450" s="72"/>
      <c r="R450" s="73">
        <v>819.4614634146343</v>
      </c>
      <c r="S450" s="71">
        <v>4993.6000000000004</v>
      </c>
      <c r="T450" s="72">
        <v>5214</v>
      </c>
      <c r="U450" s="72">
        <v>5033</v>
      </c>
      <c r="V450" s="72">
        <v>4894</v>
      </c>
      <c r="W450" s="72">
        <v>4950</v>
      </c>
      <c r="X450" s="73">
        <v>4877</v>
      </c>
      <c r="Y450" s="71"/>
      <c r="Z450" s="72"/>
      <c r="AA450" s="72"/>
      <c r="AB450" s="72"/>
      <c r="AC450" s="72"/>
      <c r="AD450" s="73"/>
      <c r="AE450" s="71"/>
      <c r="AF450" s="72"/>
      <c r="AG450" s="72"/>
      <c r="AH450" s="72"/>
      <c r="AI450" s="72"/>
      <c r="AJ450" s="73"/>
      <c r="AK450" s="71"/>
      <c r="AL450" s="72"/>
      <c r="AM450" s="72"/>
      <c r="AN450" s="72"/>
      <c r="AO450" s="72"/>
      <c r="AP450" s="73"/>
      <c r="AQ450" s="71">
        <v>412.8</v>
      </c>
      <c r="AR450" s="72">
        <v>417</v>
      </c>
      <c r="AS450" s="72">
        <v>414</v>
      </c>
      <c r="AT450" s="72">
        <v>420</v>
      </c>
      <c r="AU450" s="72">
        <v>399</v>
      </c>
      <c r="AV450" s="73">
        <v>414</v>
      </c>
      <c r="AW450" s="75">
        <v>1.5000562305871545</v>
      </c>
      <c r="AX450" s="76">
        <v>5.7167092028773681</v>
      </c>
      <c r="AY450" s="76">
        <v>2.2622829032273195</v>
      </c>
      <c r="AZ450" s="76">
        <v>-0.23466654162842548</v>
      </c>
      <c r="BA450" s="76">
        <v>0.42242541754413665</v>
      </c>
      <c r="BB450" s="77">
        <v>-0.66646982908468155</v>
      </c>
      <c r="BC450" s="65"/>
      <c r="BD450" s="78"/>
      <c r="BE450" s="78"/>
      <c r="BF450" s="78"/>
      <c r="BG450" s="78"/>
      <c r="BH450" s="70"/>
      <c r="BI450" s="65"/>
      <c r="BJ450" s="78"/>
      <c r="BK450" s="78"/>
      <c r="BL450" s="78"/>
      <c r="BM450" s="78"/>
      <c r="BN450" s="70"/>
      <c r="BO450" s="65"/>
      <c r="BP450" s="78"/>
      <c r="BQ450" s="78"/>
      <c r="BR450" s="78"/>
      <c r="BS450" s="78"/>
      <c r="BT450" s="70"/>
      <c r="BU450" s="65"/>
      <c r="BV450" s="78"/>
      <c r="BW450" s="78"/>
      <c r="BX450" s="78"/>
      <c r="BY450" s="78"/>
      <c r="BZ450" s="70"/>
      <c r="CA450" s="80"/>
      <c r="CB450" s="78"/>
      <c r="CC450" s="78"/>
      <c r="CD450" s="78"/>
      <c r="CE450" s="78"/>
      <c r="CF450" s="70"/>
    </row>
    <row r="451" spans="1:84" ht="12" customHeight="1">
      <c r="A451" s="2"/>
      <c r="B451" s="64">
        <v>439</v>
      </c>
      <c r="C451" s="65">
        <v>10</v>
      </c>
      <c r="D451" s="66" t="s">
        <v>22</v>
      </c>
      <c r="E451" s="69" t="s">
        <v>67</v>
      </c>
      <c r="F451" s="70"/>
      <c r="G451" s="71">
        <v>2152.5951219512194</v>
      </c>
      <c r="H451" s="72">
        <v>2152.5951219512194</v>
      </c>
      <c r="I451" s="72"/>
      <c r="J451" s="72"/>
      <c r="K451" s="72"/>
      <c r="L451" s="73">
        <v>0</v>
      </c>
      <c r="M451" s="71">
        <v>4305.1902439024389</v>
      </c>
      <c r="N451" s="72">
        <v>4305.1902439024389</v>
      </c>
      <c r="O451" s="72"/>
      <c r="P451" s="72"/>
      <c r="Q451" s="72"/>
      <c r="R451" s="73"/>
      <c r="S451" s="71">
        <v>2139.1999999999998</v>
      </c>
      <c r="T451" s="72">
        <v>2116</v>
      </c>
      <c r="U451" s="72">
        <v>2239</v>
      </c>
      <c r="V451" s="72">
        <v>2123</v>
      </c>
      <c r="W451" s="72">
        <v>2135</v>
      </c>
      <c r="X451" s="73">
        <v>2083</v>
      </c>
      <c r="Y451" s="71"/>
      <c r="Z451" s="72"/>
      <c r="AA451" s="72"/>
      <c r="AB451" s="72"/>
      <c r="AC451" s="72"/>
      <c r="AD451" s="73"/>
      <c r="AE451" s="71"/>
      <c r="AF451" s="72"/>
      <c r="AG451" s="72"/>
      <c r="AH451" s="72"/>
      <c r="AI451" s="72"/>
      <c r="AJ451" s="73"/>
      <c r="AK451" s="71"/>
      <c r="AL451" s="72"/>
      <c r="AM451" s="72"/>
      <c r="AN451" s="72"/>
      <c r="AO451" s="72"/>
      <c r="AP451" s="73"/>
      <c r="AQ451" s="71"/>
      <c r="AR451" s="72"/>
      <c r="AS451" s="72"/>
      <c r="AT451" s="72"/>
      <c r="AU451" s="72"/>
      <c r="AV451" s="73"/>
      <c r="AW451" s="75">
        <v>-0.62227781781265534</v>
      </c>
      <c r="AX451" s="76">
        <v>-1.7000466821669558</v>
      </c>
      <c r="AY451" s="76">
        <v>4.0139865210908177</v>
      </c>
      <c r="AZ451" s="76">
        <v>-1.3748578006807399</v>
      </c>
      <c r="BA451" s="76">
        <v>-0.81739114670437152</v>
      </c>
      <c r="BB451" s="77">
        <v>-3.2330799806019717</v>
      </c>
      <c r="BC451" s="65"/>
      <c r="BD451" s="78"/>
      <c r="BE451" s="78"/>
      <c r="BF451" s="78"/>
      <c r="BG451" s="78"/>
      <c r="BH451" s="70"/>
      <c r="BI451" s="65"/>
      <c r="BJ451" s="78"/>
      <c r="BK451" s="78"/>
      <c r="BL451" s="78"/>
      <c r="BM451" s="78"/>
      <c r="BN451" s="70"/>
      <c r="BO451" s="65"/>
      <c r="BP451" s="78"/>
      <c r="BQ451" s="78"/>
      <c r="BR451" s="78"/>
      <c r="BS451" s="78"/>
      <c r="BT451" s="70"/>
      <c r="BU451" s="65"/>
      <c r="BV451" s="78"/>
      <c r="BW451" s="78"/>
      <c r="BX451" s="78"/>
      <c r="BY451" s="78"/>
      <c r="BZ451" s="70"/>
      <c r="CA451" s="80"/>
      <c r="CB451" s="78"/>
      <c r="CC451" s="78"/>
      <c r="CD451" s="78"/>
      <c r="CE451" s="78"/>
      <c r="CF451" s="70"/>
    </row>
    <row r="452" spans="1:84" ht="12" customHeight="1">
      <c r="A452" s="2"/>
      <c r="B452" s="64">
        <v>440</v>
      </c>
      <c r="C452" s="65">
        <v>10</v>
      </c>
      <c r="D452" s="66" t="s">
        <v>22</v>
      </c>
      <c r="E452" s="69" t="s">
        <v>148</v>
      </c>
      <c r="F452" s="70"/>
      <c r="G452" s="71">
        <v>2152.5951219512194</v>
      </c>
      <c r="H452" s="72">
        <v>2152.5951219512194</v>
      </c>
      <c r="I452" s="72"/>
      <c r="J452" s="72"/>
      <c r="K452" s="72"/>
      <c r="L452" s="73">
        <v>0</v>
      </c>
      <c r="M452" s="71">
        <v>4305.1902439024389</v>
      </c>
      <c r="N452" s="72">
        <v>4305.1902439024389</v>
      </c>
      <c r="O452" s="72"/>
      <c r="P452" s="72"/>
      <c r="Q452" s="72"/>
      <c r="R452" s="73"/>
      <c r="S452" s="71">
        <v>2139.1999999999998</v>
      </c>
      <c r="T452" s="72">
        <v>2116</v>
      </c>
      <c r="U452" s="72">
        <v>2239</v>
      </c>
      <c r="V452" s="72">
        <v>2123</v>
      </c>
      <c r="W452" s="72">
        <v>2135</v>
      </c>
      <c r="X452" s="73">
        <v>2083</v>
      </c>
      <c r="Y452" s="71"/>
      <c r="Z452" s="72"/>
      <c r="AA452" s="72"/>
      <c r="AB452" s="72"/>
      <c r="AC452" s="72"/>
      <c r="AD452" s="73"/>
      <c r="AE452" s="71"/>
      <c r="AF452" s="72"/>
      <c r="AG452" s="72"/>
      <c r="AH452" s="72"/>
      <c r="AI452" s="72"/>
      <c r="AJ452" s="73"/>
      <c r="AK452" s="71"/>
      <c r="AL452" s="72"/>
      <c r="AM452" s="72"/>
      <c r="AN452" s="72"/>
      <c r="AO452" s="72"/>
      <c r="AP452" s="73"/>
      <c r="AQ452" s="71"/>
      <c r="AR452" s="72"/>
      <c r="AS452" s="72"/>
      <c r="AT452" s="72"/>
      <c r="AU452" s="72"/>
      <c r="AV452" s="73"/>
      <c r="AW452" s="75">
        <v>-0.62227781781265534</v>
      </c>
      <c r="AX452" s="76">
        <v>-1.7000466821669558</v>
      </c>
      <c r="AY452" s="76">
        <v>4.0139865210908177</v>
      </c>
      <c r="AZ452" s="76">
        <v>-1.3748578006807399</v>
      </c>
      <c r="BA452" s="76">
        <v>-0.81739114670437152</v>
      </c>
      <c r="BB452" s="77">
        <v>-3.2330799806019717</v>
      </c>
      <c r="BC452" s="65"/>
      <c r="BD452" s="78"/>
      <c r="BE452" s="78"/>
      <c r="BF452" s="78"/>
      <c r="BG452" s="78"/>
      <c r="BH452" s="70"/>
      <c r="BI452" s="65"/>
      <c r="BJ452" s="78"/>
      <c r="BK452" s="78"/>
      <c r="BL452" s="78"/>
      <c r="BM452" s="78"/>
      <c r="BN452" s="70"/>
      <c r="BO452" s="65"/>
      <c r="BP452" s="78"/>
      <c r="BQ452" s="78"/>
      <c r="BR452" s="78"/>
      <c r="BS452" s="78"/>
      <c r="BT452" s="70"/>
      <c r="BU452" s="65"/>
      <c r="BV452" s="78"/>
      <c r="BW452" s="78"/>
      <c r="BX452" s="78"/>
      <c r="BY452" s="78"/>
      <c r="BZ452" s="70"/>
      <c r="CA452" s="80"/>
      <c r="CB452" s="78"/>
      <c r="CC452" s="78"/>
      <c r="CD452" s="78"/>
      <c r="CE452" s="78"/>
      <c r="CF452" s="70"/>
    </row>
    <row r="453" spans="1:84" ht="12" customHeight="1">
      <c r="A453" s="2"/>
      <c r="B453" s="64">
        <v>441</v>
      </c>
      <c r="C453" s="65">
        <v>10</v>
      </c>
      <c r="D453" s="66" t="s">
        <v>22</v>
      </c>
      <c r="E453" s="69" t="s">
        <v>136</v>
      </c>
      <c r="F453" s="70"/>
      <c r="G453" s="71">
        <v>2798.3736585365855</v>
      </c>
      <c r="H453" s="72">
        <v>2798.3736585365855</v>
      </c>
      <c r="I453" s="72"/>
      <c r="J453" s="72"/>
      <c r="K453" s="72"/>
      <c r="L453" s="73">
        <v>0</v>
      </c>
      <c r="M453" s="71">
        <v>5596.747317073171</v>
      </c>
      <c r="N453" s="72">
        <v>5596.747317073171</v>
      </c>
      <c r="O453" s="72"/>
      <c r="P453" s="72"/>
      <c r="Q453" s="72"/>
      <c r="R453" s="73"/>
      <c r="S453" s="71">
        <v>2760.6</v>
      </c>
      <c r="T453" s="72">
        <v>2778</v>
      </c>
      <c r="U453" s="72">
        <v>2668</v>
      </c>
      <c r="V453" s="72">
        <v>2836</v>
      </c>
      <c r="W453" s="72">
        <v>2827</v>
      </c>
      <c r="X453" s="73">
        <v>2694</v>
      </c>
      <c r="Y453" s="71"/>
      <c r="Z453" s="72"/>
      <c r="AA453" s="72"/>
      <c r="AB453" s="72"/>
      <c r="AC453" s="72"/>
      <c r="AD453" s="73"/>
      <c r="AE453" s="71"/>
      <c r="AF453" s="72"/>
      <c r="AG453" s="72"/>
      <c r="AH453" s="72"/>
      <c r="AI453" s="72"/>
      <c r="AJ453" s="73"/>
      <c r="AK453" s="71"/>
      <c r="AL453" s="72"/>
      <c r="AM453" s="72"/>
      <c r="AN453" s="72"/>
      <c r="AO453" s="72"/>
      <c r="AP453" s="73"/>
      <c r="AQ453" s="71"/>
      <c r="AR453" s="72"/>
      <c r="AS453" s="72"/>
      <c r="AT453" s="72"/>
      <c r="AU453" s="72"/>
      <c r="AV453" s="73"/>
      <c r="AW453" s="75">
        <v>-1.3498432713356601</v>
      </c>
      <c r="AX453" s="76">
        <v>-0.72805354190047522</v>
      </c>
      <c r="AY453" s="76">
        <v>-4.6589081532723009</v>
      </c>
      <c r="AZ453" s="76">
        <v>1.3445788895501298</v>
      </c>
      <c r="BA453" s="76">
        <v>1.0229635122560587</v>
      </c>
      <c r="BB453" s="77">
        <v>-3.7297970633116906</v>
      </c>
      <c r="BC453" s="65"/>
      <c r="BD453" s="78"/>
      <c r="BE453" s="78"/>
      <c r="BF453" s="78"/>
      <c r="BG453" s="78"/>
      <c r="BH453" s="70"/>
      <c r="BI453" s="65"/>
      <c r="BJ453" s="78"/>
      <c r="BK453" s="78"/>
      <c r="BL453" s="78"/>
      <c r="BM453" s="78"/>
      <c r="BN453" s="70"/>
      <c r="BO453" s="65"/>
      <c r="BP453" s="78"/>
      <c r="BQ453" s="78"/>
      <c r="BR453" s="78"/>
      <c r="BS453" s="78"/>
      <c r="BT453" s="70"/>
      <c r="BU453" s="65"/>
      <c r="BV453" s="78"/>
      <c r="BW453" s="78"/>
      <c r="BX453" s="78"/>
      <c r="BY453" s="78"/>
      <c r="BZ453" s="70"/>
      <c r="CA453" s="80"/>
      <c r="CB453" s="78"/>
      <c r="CC453" s="78"/>
      <c r="CD453" s="78"/>
      <c r="CE453" s="78"/>
      <c r="CF453" s="70"/>
    </row>
    <row r="454" spans="1:84" ht="12" customHeight="1">
      <c r="A454" s="2"/>
      <c r="B454" s="64">
        <v>442</v>
      </c>
      <c r="C454" s="65">
        <v>10</v>
      </c>
      <c r="D454" s="66" t="s">
        <v>22</v>
      </c>
      <c r="E454" s="69" t="s">
        <v>89</v>
      </c>
      <c r="F454" s="70"/>
      <c r="G454" s="71">
        <v>2152.5951219512194</v>
      </c>
      <c r="H454" s="72">
        <v>2152.5951219512194</v>
      </c>
      <c r="I454" s="72"/>
      <c r="J454" s="72"/>
      <c r="K454" s="72"/>
      <c r="L454" s="73">
        <v>0</v>
      </c>
      <c r="M454" s="71">
        <v>4305.1902439024389</v>
      </c>
      <c r="N454" s="72">
        <v>4305.1902439024389</v>
      </c>
      <c r="O454" s="72"/>
      <c r="P454" s="72"/>
      <c r="Q454" s="72"/>
      <c r="R454" s="73"/>
      <c r="S454" s="71">
        <v>2139.1999999999998</v>
      </c>
      <c r="T454" s="72">
        <v>2116</v>
      </c>
      <c r="U454" s="72">
        <v>2239</v>
      </c>
      <c r="V454" s="72">
        <v>2123</v>
      </c>
      <c r="W454" s="72">
        <v>2135</v>
      </c>
      <c r="X454" s="73">
        <v>2083</v>
      </c>
      <c r="Y454" s="71"/>
      <c r="Z454" s="72"/>
      <c r="AA454" s="72"/>
      <c r="AB454" s="72"/>
      <c r="AC454" s="72"/>
      <c r="AD454" s="73"/>
      <c r="AE454" s="71"/>
      <c r="AF454" s="72"/>
      <c r="AG454" s="72"/>
      <c r="AH454" s="72"/>
      <c r="AI454" s="72"/>
      <c r="AJ454" s="73"/>
      <c r="AK454" s="71"/>
      <c r="AL454" s="72"/>
      <c r="AM454" s="72"/>
      <c r="AN454" s="72"/>
      <c r="AO454" s="72"/>
      <c r="AP454" s="73"/>
      <c r="AQ454" s="71"/>
      <c r="AR454" s="72"/>
      <c r="AS454" s="72"/>
      <c r="AT454" s="72"/>
      <c r="AU454" s="72"/>
      <c r="AV454" s="73"/>
      <c r="AW454" s="75">
        <v>-0.62227781781265534</v>
      </c>
      <c r="AX454" s="76">
        <v>-1.7000466821669558</v>
      </c>
      <c r="AY454" s="76">
        <v>4.0139865210908177</v>
      </c>
      <c r="AZ454" s="76">
        <v>-1.3748578006807399</v>
      </c>
      <c r="BA454" s="76">
        <v>-0.81739114670437152</v>
      </c>
      <c r="BB454" s="77">
        <v>-3.2330799806019717</v>
      </c>
      <c r="BC454" s="65"/>
      <c r="BD454" s="78"/>
      <c r="BE454" s="78"/>
      <c r="BF454" s="78"/>
      <c r="BG454" s="78"/>
      <c r="BH454" s="70"/>
      <c r="BI454" s="65"/>
      <c r="BJ454" s="78"/>
      <c r="BK454" s="78"/>
      <c r="BL454" s="78"/>
      <c r="BM454" s="78"/>
      <c r="BN454" s="70"/>
      <c r="BO454" s="65"/>
      <c r="BP454" s="78"/>
      <c r="BQ454" s="78"/>
      <c r="BR454" s="78"/>
      <c r="BS454" s="78"/>
      <c r="BT454" s="70"/>
      <c r="BU454" s="65"/>
      <c r="BV454" s="78"/>
      <c r="BW454" s="78"/>
      <c r="BX454" s="78"/>
      <c r="BY454" s="78"/>
      <c r="BZ454" s="70"/>
      <c r="CA454" s="80"/>
      <c r="CB454" s="78"/>
      <c r="CC454" s="78"/>
      <c r="CD454" s="78"/>
      <c r="CE454" s="78"/>
      <c r="CF454" s="70"/>
    </row>
    <row r="455" spans="1:84" ht="12" customHeight="1">
      <c r="A455" s="2"/>
      <c r="B455" s="64">
        <v>443</v>
      </c>
      <c r="C455" s="65">
        <v>10</v>
      </c>
      <c r="D455" s="66" t="s">
        <v>22</v>
      </c>
      <c r="E455" s="69" t="s">
        <v>91</v>
      </c>
      <c r="F455" s="70"/>
      <c r="G455" s="71">
        <v>3013.6331707317072</v>
      </c>
      <c r="H455" s="72">
        <v>2152.5951219512194</v>
      </c>
      <c r="I455" s="72"/>
      <c r="J455" s="72"/>
      <c r="K455" s="72"/>
      <c r="L455" s="73">
        <v>861.03804878048777</v>
      </c>
      <c r="M455" s="71">
        <v>4305.1902439024389</v>
      </c>
      <c r="N455" s="72">
        <v>4305.1902439024389</v>
      </c>
      <c r="O455" s="72"/>
      <c r="P455" s="72"/>
      <c r="Q455" s="72"/>
      <c r="R455" s="73"/>
      <c r="S455" s="71">
        <v>2170.4</v>
      </c>
      <c r="T455" s="72">
        <v>2132</v>
      </c>
      <c r="U455" s="72">
        <v>2170</v>
      </c>
      <c r="V455" s="72">
        <v>2150</v>
      </c>
      <c r="W455" s="72">
        <v>2217</v>
      </c>
      <c r="X455" s="73">
        <v>2183</v>
      </c>
      <c r="Y455" s="71"/>
      <c r="Z455" s="72"/>
      <c r="AA455" s="72"/>
      <c r="AB455" s="72"/>
      <c r="AC455" s="72"/>
      <c r="AD455" s="73"/>
      <c r="AE455" s="71"/>
      <c r="AF455" s="72"/>
      <c r="AG455" s="72"/>
      <c r="AH455" s="72"/>
      <c r="AI455" s="72"/>
      <c r="AJ455" s="73"/>
      <c r="AK455" s="71"/>
      <c r="AL455" s="72"/>
      <c r="AM455" s="72"/>
      <c r="AN455" s="72"/>
      <c r="AO455" s="72"/>
      <c r="AP455" s="73"/>
      <c r="AQ455" s="71">
        <v>847</v>
      </c>
      <c r="AR455" s="72">
        <v>880</v>
      </c>
      <c r="AS455" s="72">
        <v>805</v>
      </c>
      <c r="AT455" s="72">
        <v>830</v>
      </c>
      <c r="AU455" s="72">
        <v>890</v>
      </c>
      <c r="AV455" s="73">
        <v>830</v>
      </c>
      <c r="AW455" s="75">
        <v>0.12499295882710815</v>
      </c>
      <c r="AX455" s="76">
        <v>-5.419275137957813E-2</v>
      </c>
      <c r="AY455" s="76">
        <v>-1.2819466916846767</v>
      </c>
      <c r="AZ455" s="76">
        <v>-1.1160339970488597</v>
      </c>
      <c r="BA455" s="76">
        <v>3.0981484467010878</v>
      </c>
      <c r="BB455" s="77">
        <v>-2.1010212452410304E-2</v>
      </c>
      <c r="BC455" s="65"/>
      <c r="BD455" s="78"/>
      <c r="BE455" s="78"/>
      <c r="BF455" s="78"/>
      <c r="BG455" s="78"/>
      <c r="BH455" s="70"/>
      <c r="BI455" s="65"/>
      <c r="BJ455" s="78"/>
      <c r="BK455" s="78"/>
      <c r="BL455" s="78"/>
      <c r="BM455" s="78"/>
      <c r="BN455" s="70"/>
      <c r="BO455" s="65"/>
      <c r="BP455" s="78"/>
      <c r="BQ455" s="78"/>
      <c r="BR455" s="78"/>
      <c r="BS455" s="78"/>
      <c r="BT455" s="70"/>
      <c r="BU455" s="65"/>
      <c r="BV455" s="78"/>
      <c r="BW455" s="78"/>
      <c r="BX455" s="78"/>
      <c r="BY455" s="78"/>
      <c r="BZ455" s="70"/>
      <c r="CA455" s="80"/>
      <c r="CB455" s="78"/>
      <c r="CC455" s="78"/>
      <c r="CD455" s="78"/>
      <c r="CE455" s="78"/>
      <c r="CF455" s="70"/>
    </row>
    <row r="456" spans="1:84" ht="12" customHeight="1">
      <c r="A456" s="2"/>
      <c r="B456" s="64">
        <v>444</v>
      </c>
      <c r="C456" s="65">
        <v>10</v>
      </c>
      <c r="D456" s="66" t="s">
        <v>22</v>
      </c>
      <c r="E456" s="69" t="s">
        <v>92</v>
      </c>
      <c r="F456" s="70"/>
      <c r="G456" s="71">
        <v>2152.5951219512194</v>
      </c>
      <c r="H456" s="72">
        <v>2152.5951219512194</v>
      </c>
      <c r="I456" s="72"/>
      <c r="J456" s="72"/>
      <c r="K456" s="72"/>
      <c r="L456" s="73">
        <v>0</v>
      </c>
      <c r="M456" s="71">
        <v>4305.1902439024389</v>
      </c>
      <c r="N456" s="72">
        <v>4305.1902439024389</v>
      </c>
      <c r="O456" s="72"/>
      <c r="P456" s="72"/>
      <c r="Q456" s="72"/>
      <c r="R456" s="73"/>
      <c r="S456" s="71">
        <v>2170.4</v>
      </c>
      <c r="T456" s="72">
        <v>2132</v>
      </c>
      <c r="U456" s="72">
        <v>2170</v>
      </c>
      <c r="V456" s="72">
        <v>2150</v>
      </c>
      <c r="W456" s="72">
        <v>2217</v>
      </c>
      <c r="X456" s="73">
        <v>2183</v>
      </c>
      <c r="Y456" s="71"/>
      <c r="Z456" s="72"/>
      <c r="AA456" s="72"/>
      <c r="AB456" s="72"/>
      <c r="AC456" s="72"/>
      <c r="AD456" s="73"/>
      <c r="AE456" s="71"/>
      <c r="AF456" s="72"/>
      <c r="AG456" s="72"/>
      <c r="AH456" s="72"/>
      <c r="AI456" s="72"/>
      <c r="AJ456" s="73"/>
      <c r="AK456" s="71"/>
      <c r="AL456" s="72"/>
      <c r="AM456" s="72"/>
      <c r="AN456" s="72"/>
      <c r="AO456" s="72"/>
      <c r="AP456" s="73"/>
      <c r="AQ456" s="71"/>
      <c r="AR456" s="72"/>
      <c r="AS456" s="72"/>
      <c r="AT456" s="72"/>
      <c r="AU456" s="72"/>
      <c r="AV456" s="73"/>
      <c r="AW456" s="75">
        <v>0.82713548252593139</v>
      </c>
      <c r="AX456" s="76">
        <v>-0.95675781019846085</v>
      </c>
      <c r="AY456" s="76">
        <v>0.80855326072670763</v>
      </c>
      <c r="AZ456" s="76">
        <v>-0.12055782923391378</v>
      </c>
      <c r="BA456" s="76">
        <v>2.9919643221341552</v>
      </c>
      <c r="BB456" s="77">
        <v>1.4124754692011132</v>
      </c>
      <c r="BC456" s="65"/>
      <c r="BD456" s="78"/>
      <c r="BE456" s="78"/>
      <c r="BF456" s="78"/>
      <c r="BG456" s="78"/>
      <c r="BH456" s="70"/>
      <c r="BI456" s="65"/>
      <c r="BJ456" s="78"/>
      <c r="BK456" s="78"/>
      <c r="BL456" s="78"/>
      <c r="BM456" s="78"/>
      <c r="BN456" s="70"/>
      <c r="BO456" s="65"/>
      <c r="BP456" s="78"/>
      <c r="BQ456" s="78"/>
      <c r="BR456" s="78"/>
      <c r="BS456" s="78"/>
      <c r="BT456" s="70"/>
      <c r="BU456" s="65"/>
      <c r="BV456" s="78"/>
      <c r="BW456" s="78"/>
      <c r="BX456" s="78"/>
      <c r="BY456" s="78"/>
      <c r="BZ456" s="70"/>
      <c r="CA456" s="80"/>
      <c r="CB456" s="78"/>
      <c r="CC456" s="78"/>
      <c r="CD456" s="78"/>
      <c r="CE456" s="78"/>
      <c r="CF456" s="70"/>
    </row>
    <row r="457" spans="1:84" ht="12" customHeight="1">
      <c r="A457" s="2"/>
      <c r="B457" s="64">
        <v>445</v>
      </c>
      <c r="C457" s="65">
        <v>10</v>
      </c>
      <c r="D457" s="66" t="s">
        <v>22</v>
      </c>
      <c r="E457" s="69" t="s">
        <v>139</v>
      </c>
      <c r="F457" s="70"/>
      <c r="G457" s="71">
        <v>2798.3736585365855</v>
      </c>
      <c r="H457" s="72">
        <v>2798.3736585365855</v>
      </c>
      <c r="I457" s="72"/>
      <c r="J457" s="72"/>
      <c r="K457" s="72"/>
      <c r="L457" s="73">
        <v>0</v>
      </c>
      <c r="M457" s="71">
        <v>5596.747317073171</v>
      </c>
      <c r="N457" s="72">
        <v>5596.747317073171</v>
      </c>
      <c r="O457" s="72"/>
      <c r="P457" s="72"/>
      <c r="Q457" s="72"/>
      <c r="R457" s="73"/>
      <c r="S457" s="71">
        <v>2760.6</v>
      </c>
      <c r="T457" s="72">
        <v>2778</v>
      </c>
      <c r="U457" s="72">
        <v>2668</v>
      </c>
      <c r="V457" s="72">
        <v>2836</v>
      </c>
      <c r="W457" s="72">
        <v>2827</v>
      </c>
      <c r="X457" s="73">
        <v>2694</v>
      </c>
      <c r="Y457" s="71"/>
      <c r="Z457" s="72"/>
      <c r="AA457" s="72"/>
      <c r="AB457" s="72"/>
      <c r="AC457" s="72"/>
      <c r="AD457" s="73"/>
      <c r="AE457" s="71"/>
      <c r="AF457" s="72"/>
      <c r="AG457" s="72"/>
      <c r="AH457" s="72"/>
      <c r="AI457" s="72"/>
      <c r="AJ457" s="73"/>
      <c r="AK457" s="71"/>
      <c r="AL457" s="72"/>
      <c r="AM457" s="72"/>
      <c r="AN457" s="72"/>
      <c r="AO457" s="72"/>
      <c r="AP457" s="73"/>
      <c r="AQ457" s="71"/>
      <c r="AR457" s="72"/>
      <c r="AS457" s="72"/>
      <c r="AT457" s="72"/>
      <c r="AU457" s="72"/>
      <c r="AV457" s="73"/>
      <c r="AW457" s="75">
        <v>-1.3498432713356601</v>
      </c>
      <c r="AX457" s="76">
        <v>-0.72805354190047522</v>
      </c>
      <c r="AY457" s="76">
        <v>-4.6589081532723009</v>
      </c>
      <c r="AZ457" s="76">
        <v>1.3445788895501298</v>
      </c>
      <c r="BA457" s="76">
        <v>1.0229635122560587</v>
      </c>
      <c r="BB457" s="77">
        <v>-3.7297970633116906</v>
      </c>
      <c r="BC457" s="65"/>
      <c r="BD457" s="78"/>
      <c r="BE457" s="78"/>
      <c r="BF457" s="78"/>
      <c r="BG457" s="78"/>
      <c r="BH457" s="70"/>
      <c r="BI457" s="65"/>
      <c r="BJ457" s="78"/>
      <c r="BK457" s="78"/>
      <c r="BL457" s="78"/>
      <c r="BM457" s="78"/>
      <c r="BN457" s="70"/>
      <c r="BO457" s="65"/>
      <c r="BP457" s="78"/>
      <c r="BQ457" s="78"/>
      <c r="BR457" s="78"/>
      <c r="BS457" s="78"/>
      <c r="BT457" s="70"/>
      <c r="BU457" s="65"/>
      <c r="BV457" s="78"/>
      <c r="BW457" s="78"/>
      <c r="BX457" s="78"/>
      <c r="BY457" s="78"/>
      <c r="BZ457" s="70"/>
      <c r="CA457" s="80"/>
      <c r="CB457" s="78"/>
      <c r="CC457" s="78"/>
      <c r="CD457" s="78"/>
      <c r="CE457" s="78"/>
      <c r="CF457" s="70"/>
    </row>
    <row r="458" spans="1:84" ht="12" customHeight="1">
      <c r="A458" s="2"/>
      <c r="B458" s="64">
        <v>446</v>
      </c>
      <c r="C458" s="65">
        <v>10</v>
      </c>
      <c r="D458" s="66" t="s">
        <v>22</v>
      </c>
      <c r="E458" s="69" t="s">
        <v>95</v>
      </c>
      <c r="F458" s="70"/>
      <c r="G458" s="71">
        <v>2152.5951219512194</v>
      </c>
      <c r="H458" s="72">
        <v>2152.5951219512194</v>
      </c>
      <c r="I458" s="72"/>
      <c r="J458" s="72"/>
      <c r="K458" s="72"/>
      <c r="L458" s="73">
        <v>0</v>
      </c>
      <c r="M458" s="71">
        <v>4305.1902439024389</v>
      </c>
      <c r="N458" s="72">
        <v>4305.1902439024389</v>
      </c>
      <c r="O458" s="72"/>
      <c r="P458" s="72"/>
      <c r="Q458" s="72"/>
      <c r="R458" s="73"/>
      <c r="S458" s="71">
        <v>2170.4</v>
      </c>
      <c r="T458" s="72">
        <v>2132</v>
      </c>
      <c r="U458" s="72">
        <v>2170</v>
      </c>
      <c r="V458" s="72">
        <v>2150</v>
      </c>
      <c r="W458" s="72">
        <v>2217</v>
      </c>
      <c r="X458" s="73">
        <v>2183</v>
      </c>
      <c r="Y458" s="71"/>
      <c r="Z458" s="72"/>
      <c r="AA458" s="72"/>
      <c r="AB458" s="72"/>
      <c r="AC458" s="72"/>
      <c r="AD458" s="73"/>
      <c r="AE458" s="71"/>
      <c r="AF458" s="72"/>
      <c r="AG458" s="72"/>
      <c r="AH458" s="72"/>
      <c r="AI458" s="72"/>
      <c r="AJ458" s="73"/>
      <c r="AK458" s="71"/>
      <c r="AL458" s="72"/>
      <c r="AM458" s="72"/>
      <c r="AN458" s="72"/>
      <c r="AO458" s="72"/>
      <c r="AP458" s="73"/>
      <c r="AQ458" s="71"/>
      <c r="AR458" s="72"/>
      <c r="AS458" s="72"/>
      <c r="AT458" s="72"/>
      <c r="AU458" s="72"/>
      <c r="AV458" s="73"/>
      <c r="AW458" s="75">
        <v>0.82713548252593139</v>
      </c>
      <c r="AX458" s="76">
        <v>-0.95675781019846085</v>
      </c>
      <c r="AY458" s="76">
        <v>0.80855326072670763</v>
      </c>
      <c r="AZ458" s="76">
        <v>-0.12055782923391378</v>
      </c>
      <c r="BA458" s="76">
        <v>2.9919643221341552</v>
      </c>
      <c r="BB458" s="77">
        <v>1.4124754692011132</v>
      </c>
      <c r="BC458" s="65"/>
      <c r="BD458" s="78"/>
      <c r="BE458" s="78"/>
      <c r="BF458" s="78"/>
      <c r="BG458" s="78"/>
      <c r="BH458" s="70"/>
      <c r="BI458" s="65"/>
      <c r="BJ458" s="78"/>
      <c r="BK458" s="78"/>
      <c r="BL458" s="78"/>
      <c r="BM458" s="78"/>
      <c r="BN458" s="70"/>
      <c r="BO458" s="65"/>
      <c r="BP458" s="78"/>
      <c r="BQ458" s="78"/>
      <c r="BR458" s="78"/>
      <c r="BS458" s="78"/>
      <c r="BT458" s="70"/>
      <c r="BU458" s="65"/>
      <c r="BV458" s="78"/>
      <c r="BW458" s="78"/>
      <c r="BX458" s="78"/>
      <c r="BY458" s="78"/>
      <c r="BZ458" s="70"/>
      <c r="CA458" s="80"/>
      <c r="CB458" s="78"/>
      <c r="CC458" s="78"/>
      <c r="CD458" s="78"/>
      <c r="CE458" s="78"/>
      <c r="CF458" s="70"/>
    </row>
    <row r="459" spans="1:84" ht="12" customHeight="1">
      <c r="A459" s="2"/>
      <c r="B459" s="64">
        <v>447</v>
      </c>
      <c r="C459" s="65">
        <v>10</v>
      </c>
      <c r="D459" s="66" t="s">
        <v>22</v>
      </c>
      <c r="E459" s="69" t="s">
        <v>98</v>
      </c>
      <c r="F459" s="70"/>
      <c r="G459" s="71">
        <v>3013.6331707317072</v>
      </c>
      <c r="H459" s="72">
        <v>2152.5951219512194</v>
      </c>
      <c r="I459" s="72"/>
      <c r="J459" s="72"/>
      <c r="K459" s="72"/>
      <c r="L459" s="73">
        <v>861.03804878048777</v>
      </c>
      <c r="M459" s="71">
        <v>4305.1902439024389</v>
      </c>
      <c r="N459" s="72">
        <v>4305.1902439024389</v>
      </c>
      <c r="O459" s="72"/>
      <c r="P459" s="72"/>
      <c r="Q459" s="72"/>
      <c r="R459" s="73"/>
      <c r="S459" s="71">
        <v>2170.4</v>
      </c>
      <c r="T459" s="72">
        <v>2132</v>
      </c>
      <c r="U459" s="72">
        <v>2170</v>
      </c>
      <c r="V459" s="72">
        <v>2150</v>
      </c>
      <c r="W459" s="72">
        <v>2217</v>
      </c>
      <c r="X459" s="73">
        <v>2183</v>
      </c>
      <c r="Y459" s="71"/>
      <c r="Z459" s="72"/>
      <c r="AA459" s="72"/>
      <c r="AB459" s="72"/>
      <c r="AC459" s="72"/>
      <c r="AD459" s="73"/>
      <c r="AE459" s="71"/>
      <c r="AF459" s="72"/>
      <c r="AG459" s="72"/>
      <c r="AH459" s="72"/>
      <c r="AI459" s="72"/>
      <c r="AJ459" s="73"/>
      <c r="AK459" s="71"/>
      <c r="AL459" s="72"/>
      <c r="AM459" s="72"/>
      <c r="AN459" s="72"/>
      <c r="AO459" s="72"/>
      <c r="AP459" s="73"/>
      <c r="AQ459" s="71">
        <v>847</v>
      </c>
      <c r="AR459" s="72">
        <v>880</v>
      </c>
      <c r="AS459" s="72">
        <v>805</v>
      </c>
      <c r="AT459" s="72">
        <v>830</v>
      </c>
      <c r="AU459" s="72">
        <v>890</v>
      </c>
      <c r="AV459" s="73">
        <v>830</v>
      </c>
      <c r="AW459" s="75">
        <v>0.12499295882710815</v>
      </c>
      <c r="AX459" s="76">
        <v>-5.419275137957813E-2</v>
      </c>
      <c r="AY459" s="76">
        <v>-1.2819466916846767</v>
      </c>
      <c r="AZ459" s="76">
        <v>-1.1160339970488597</v>
      </c>
      <c r="BA459" s="76">
        <v>3.0981484467010878</v>
      </c>
      <c r="BB459" s="77">
        <v>-2.1010212452410304E-2</v>
      </c>
      <c r="BC459" s="65"/>
      <c r="BD459" s="78"/>
      <c r="BE459" s="78"/>
      <c r="BF459" s="78"/>
      <c r="BG459" s="78"/>
      <c r="BH459" s="70"/>
      <c r="BI459" s="65"/>
      <c r="BJ459" s="78"/>
      <c r="BK459" s="78"/>
      <c r="BL459" s="78"/>
      <c r="BM459" s="78"/>
      <c r="BN459" s="70"/>
      <c r="BO459" s="65"/>
      <c r="BP459" s="78"/>
      <c r="BQ459" s="78"/>
      <c r="BR459" s="78"/>
      <c r="BS459" s="78"/>
      <c r="BT459" s="70"/>
      <c r="BU459" s="65"/>
      <c r="BV459" s="78"/>
      <c r="BW459" s="78"/>
      <c r="BX459" s="78"/>
      <c r="BY459" s="78"/>
      <c r="BZ459" s="70"/>
      <c r="CA459" s="80"/>
      <c r="CB459" s="78"/>
      <c r="CC459" s="78"/>
      <c r="CD459" s="78"/>
      <c r="CE459" s="78"/>
      <c r="CF459" s="70"/>
    </row>
    <row r="460" spans="1:84" ht="12" customHeight="1">
      <c r="A460" s="2"/>
      <c r="B460" s="64">
        <v>448</v>
      </c>
      <c r="C460" s="65">
        <v>10</v>
      </c>
      <c r="D460" s="66" t="s">
        <v>22</v>
      </c>
      <c r="E460" s="69" t="s">
        <v>151</v>
      </c>
      <c r="F460" s="70"/>
      <c r="G460" s="71">
        <v>2152.5951219512194</v>
      </c>
      <c r="H460" s="72">
        <v>2152.5951219512194</v>
      </c>
      <c r="I460" s="72"/>
      <c r="J460" s="72"/>
      <c r="K460" s="72"/>
      <c r="L460" s="73">
        <v>0</v>
      </c>
      <c r="M460" s="71">
        <v>4305.1902439024389</v>
      </c>
      <c r="N460" s="72">
        <v>4305.1902439024389</v>
      </c>
      <c r="O460" s="72"/>
      <c r="P460" s="72"/>
      <c r="Q460" s="72"/>
      <c r="R460" s="73"/>
      <c r="S460" s="71">
        <v>2170.4</v>
      </c>
      <c r="T460" s="72">
        <v>2132</v>
      </c>
      <c r="U460" s="72">
        <v>2170</v>
      </c>
      <c r="V460" s="72">
        <v>2150</v>
      </c>
      <c r="W460" s="72">
        <v>2217</v>
      </c>
      <c r="X460" s="73">
        <v>2183</v>
      </c>
      <c r="Y460" s="71"/>
      <c r="Z460" s="72"/>
      <c r="AA460" s="72"/>
      <c r="AB460" s="72"/>
      <c r="AC460" s="72"/>
      <c r="AD460" s="73"/>
      <c r="AE460" s="71"/>
      <c r="AF460" s="72"/>
      <c r="AG460" s="72"/>
      <c r="AH460" s="72"/>
      <c r="AI460" s="72"/>
      <c r="AJ460" s="73"/>
      <c r="AK460" s="71"/>
      <c r="AL460" s="72"/>
      <c r="AM460" s="72"/>
      <c r="AN460" s="72"/>
      <c r="AO460" s="72"/>
      <c r="AP460" s="73"/>
      <c r="AQ460" s="71"/>
      <c r="AR460" s="72"/>
      <c r="AS460" s="72"/>
      <c r="AT460" s="72"/>
      <c r="AU460" s="72"/>
      <c r="AV460" s="73"/>
      <c r="AW460" s="75">
        <v>0.82713548252593139</v>
      </c>
      <c r="AX460" s="76">
        <v>-0.95675781019846085</v>
      </c>
      <c r="AY460" s="76">
        <v>0.80855326072670763</v>
      </c>
      <c r="AZ460" s="76">
        <v>-0.12055782923391378</v>
      </c>
      <c r="BA460" s="76">
        <v>2.9919643221341552</v>
      </c>
      <c r="BB460" s="77">
        <v>1.4124754692011132</v>
      </c>
      <c r="BC460" s="65"/>
      <c r="BD460" s="78"/>
      <c r="BE460" s="78"/>
      <c r="BF460" s="78"/>
      <c r="BG460" s="78"/>
      <c r="BH460" s="70"/>
      <c r="BI460" s="65"/>
      <c r="BJ460" s="78"/>
      <c r="BK460" s="78"/>
      <c r="BL460" s="78"/>
      <c r="BM460" s="78"/>
      <c r="BN460" s="70"/>
      <c r="BO460" s="65"/>
      <c r="BP460" s="78"/>
      <c r="BQ460" s="78"/>
      <c r="BR460" s="78"/>
      <c r="BS460" s="78"/>
      <c r="BT460" s="70"/>
      <c r="BU460" s="65"/>
      <c r="BV460" s="78"/>
      <c r="BW460" s="78"/>
      <c r="BX460" s="78"/>
      <c r="BY460" s="78"/>
      <c r="BZ460" s="70"/>
      <c r="CA460" s="80"/>
      <c r="CB460" s="78"/>
      <c r="CC460" s="78"/>
      <c r="CD460" s="78"/>
      <c r="CE460" s="78"/>
      <c r="CF460" s="70"/>
    </row>
    <row r="461" spans="1:84" ht="12" customHeight="1">
      <c r="A461" s="2"/>
      <c r="B461" s="64">
        <v>449</v>
      </c>
      <c r="C461" s="65">
        <v>10</v>
      </c>
      <c r="D461" s="66" t="s">
        <v>22</v>
      </c>
      <c r="E461" s="69" t="s">
        <v>163</v>
      </c>
      <c r="F461" s="70"/>
      <c r="G461" s="71">
        <v>2798.3736585365855</v>
      </c>
      <c r="H461" s="72">
        <v>2798.3736585365855</v>
      </c>
      <c r="I461" s="72"/>
      <c r="J461" s="72"/>
      <c r="K461" s="72"/>
      <c r="L461" s="73">
        <v>0</v>
      </c>
      <c r="M461" s="71">
        <v>5596.747317073171</v>
      </c>
      <c r="N461" s="72">
        <v>5596.747317073171</v>
      </c>
      <c r="O461" s="72"/>
      <c r="P461" s="72"/>
      <c r="Q461" s="72"/>
      <c r="R461" s="73"/>
      <c r="S461" s="71">
        <v>2760.6</v>
      </c>
      <c r="T461" s="72">
        <v>2778</v>
      </c>
      <c r="U461" s="72">
        <v>2668</v>
      </c>
      <c r="V461" s="72">
        <v>2836</v>
      </c>
      <c r="W461" s="72">
        <v>2827</v>
      </c>
      <c r="X461" s="73">
        <v>2694</v>
      </c>
      <c r="Y461" s="71"/>
      <c r="Z461" s="72"/>
      <c r="AA461" s="72"/>
      <c r="AB461" s="72"/>
      <c r="AC461" s="72"/>
      <c r="AD461" s="73"/>
      <c r="AE461" s="71"/>
      <c r="AF461" s="72"/>
      <c r="AG461" s="72"/>
      <c r="AH461" s="72"/>
      <c r="AI461" s="72"/>
      <c r="AJ461" s="73"/>
      <c r="AK461" s="71"/>
      <c r="AL461" s="72"/>
      <c r="AM461" s="72"/>
      <c r="AN461" s="72"/>
      <c r="AO461" s="72"/>
      <c r="AP461" s="73"/>
      <c r="AQ461" s="71"/>
      <c r="AR461" s="72"/>
      <c r="AS461" s="72"/>
      <c r="AT461" s="72"/>
      <c r="AU461" s="72"/>
      <c r="AV461" s="73"/>
      <c r="AW461" s="75">
        <v>-1.3498432713356601</v>
      </c>
      <c r="AX461" s="76">
        <v>-0.72805354190047522</v>
      </c>
      <c r="AY461" s="76">
        <v>-4.6589081532723009</v>
      </c>
      <c r="AZ461" s="76">
        <v>1.3445788895501298</v>
      </c>
      <c r="BA461" s="76">
        <v>1.0229635122560587</v>
      </c>
      <c r="BB461" s="77">
        <v>-3.7297970633116906</v>
      </c>
      <c r="BC461" s="65"/>
      <c r="BD461" s="78"/>
      <c r="BE461" s="78"/>
      <c r="BF461" s="78"/>
      <c r="BG461" s="78"/>
      <c r="BH461" s="70"/>
      <c r="BI461" s="65"/>
      <c r="BJ461" s="78"/>
      <c r="BK461" s="78"/>
      <c r="BL461" s="78"/>
      <c r="BM461" s="78"/>
      <c r="BN461" s="70"/>
      <c r="BO461" s="65"/>
      <c r="BP461" s="78"/>
      <c r="BQ461" s="78"/>
      <c r="BR461" s="78"/>
      <c r="BS461" s="78"/>
      <c r="BT461" s="70"/>
      <c r="BU461" s="65"/>
      <c r="BV461" s="78"/>
      <c r="BW461" s="78"/>
      <c r="BX461" s="78"/>
      <c r="BY461" s="78"/>
      <c r="BZ461" s="70"/>
      <c r="CA461" s="80"/>
      <c r="CB461" s="78"/>
      <c r="CC461" s="78"/>
      <c r="CD461" s="78"/>
      <c r="CE461" s="78"/>
      <c r="CF461" s="70"/>
    </row>
    <row r="462" spans="1:84" ht="12" customHeight="1">
      <c r="A462" s="2"/>
      <c r="B462" s="64">
        <v>450</v>
      </c>
      <c r="C462" s="65">
        <v>10</v>
      </c>
      <c r="D462" s="66" t="s">
        <v>22</v>
      </c>
      <c r="E462" s="69" t="s">
        <v>165</v>
      </c>
      <c r="F462" s="70"/>
      <c r="G462" s="71">
        <v>2798.3736585365855</v>
      </c>
      <c r="H462" s="72">
        <v>2798.3736585365855</v>
      </c>
      <c r="I462" s="72"/>
      <c r="J462" s="72"/>
      <c r="K462" s="72"/>
      <c r="L462" s="73">
        <v>0</v>
      </c>
      <c r="M462" s="71">
        <v>5596.747317073171</v>
      </c>
      <c r="N462" s="72">
        <v>5596.747317073171</v>
      </c>
      <c r="O462" s="72"/>
      <c r="P462" s="72"/>
      <c r="Q462" s="72"/>
      <c r="R462" s="73"/>
      <c r="S462" s="71">
        <v>2760.6</v>
      </c>
      <c r="T462" s="72">
        <v>2778</v>
      </c>
      <c r="U462" s="72">
        <v>2668</v>
      </c>
      <c r="V462" s="72">
        <v>2836</v>
      </c>
      <c r="W462" s="72">
        <v>2827</v>
      </c>
      <c r="X462" s="73">
        <v>2694</v>
      </c>
      <c r="Y462" s="71"/>
      <c r="Z462" s="72"/>
      <c r="AA462" s="72"/>
      <c r="AB462" s="72"/>
      <c r="AC462" s="72"/>
      <c r="AD462" s="73"/>
      <c r="AE462" s="71"/>
      <c r="AF462" s="72"/>
      <c r="AG462" s="72"/>
      <c r="AH462" s="72"/>
      <c r="AI462" s="72"/>
      <c r="AJ462" s="73"/>
      <c r="AK462" s="71"/>
      <c r="AL462" s="72"/>
      <c r="AM462" s="72"/>
      <c r="AN462" s="72"/>
      <c r="AO462" s="72"/>
      <c r="AP462" s="73"/>
      <c r="AQ462" s="71"/>
      <c r="AR462" s="72"/>
      <c r="AS462" s="72"/>
      <c r="AT462" s="72"/>
      <c r="AU462" s="72"/>
      <c r="AV462" s="73"/>
      <c r="AW462" s="75">
        <v>-1.3498432713356601</v>
      </c>
      <c r="AX462" s="76">
        <v>-0.72805354190047522</v>
      </c>
      <c r="AY462" s="76">
        <v>-4.6589081532723009</v>
      </c>
      <c r="AZ462" s="76">
        <v>1.3445788895501298</v>
      </c>
      <c r="BA462" s="76">
        <v>1.0229635122560587</v>
      </c>
      <c r="BB462" s="77">
        <v>-3.7297970633116906</v>
      </c>
      <c r="BC462" s="65"/>
      <c r="BD462" s="78"/>
      <c r="BE462" s="78"/>
      <c r="BF462" s="78"/>
      <c r="BG462" s="78"/>
      <c r="BH462" s="70"/>
      <c r="BI462" s="65"/>
      <c r="BJ462" s="78"/>
      <c r="BK462" s="78"/>
      <c r="BL462" s="78"/>
      <c r="BM462" s="78"/>
      <c r="BN462" s="70"/>
      <c r="BO462" s="65"/>
      <c r="BP462" s="78"/>
      <c r="BQ462" s="78"/>
      <c r="BR462" s="78"/>
      <c r="BS462" s="78"/>
      <c r="BT462" s="70"/>
      <c r="BU462" s="65"/>
      <c r="BV462" s="78"/>
      <c r="BW462" s="78"/>
      <c r="BX462" s="78"/>
      <c r="BY462" s="78"/>
      <c r="BZ462" s="70"/>
      <c r="CA462" s="80"/>
      <c r="CB462" s="78"/>
      <c r="CC462" s="78"/>
      <c r="CD462" s="78"/>
      <c r="CE462" s="78"/>
      <c r="CF462" s="70"/>
    </row>
    <row r="463" spans="1:84" ht="12" customHeight="1">
      <c r="A463" s="2"/>
      <c r="B463" s="64">
        <v>451</v>
      </c>
      <c r="C463" s="65">
        <v>10</v>
      </c>
      <c r="D463" s="66" t="s">
        <v>22</v>
      </c>
      <c r="E463" s="69" t="s">
        <v>152</v>
      </c>
      <c r="F463" s="70"/>
      <c r="G463" s="71">
        <v>2152.5951219512194</v>
      </c>
      <c r="H463" s="72">
        <v>2152.5951219512194</v>
      </c>
      <c r="I463" s="72"/>
      <c r="J463" s="72"/>
      <c r="K463" s="72"/>
      <c r="L463" s="73">
        <v>0</v>
      </c>
      <c r="M463" s="71">
        <v>4305.1902439024389</v>
      </c>
      <c r="N463" s="72">
        <v>4305.1902439024389</v>
      </c>
      <c r="O463" s="72"/>
      <c r="P463" s="72"/>
      <c r="Q463" s="72"/>
      <c r="R463" s="73"/>
      <c r="S463" s="71">
        <v>2170.4</v>
      </c>
      <c r="T463" s="72">
        <v>2132</v>
      </c>
      <c r="U463" s="72">
        <v>2170</v>
      </c>
      <c r="V463" s="72">
        <v>2150</v>
      </c>
      <c r="W463" s="72">
        <v>2217</v>
      </c>
      <c r="X463" s="73">
        <v>2183</v>
      </c>
      <c r="Y463" s="71"/>
      <c r="Z463" s="72"/>
      <c r="AA463" s="72"/>
      <c r="AB463" s="72"/>
      <c r="AC463" s="72"/>
      <c r="AD463" s="73"/>
      <c r="AE463" s="71"/>
      <c r="AF463" s="72"/>
      <c r="AG463" s="72"/>
      <c r="AH463" s="72"/>
      <c r="AI463" s="72"/>
      <c r="AJ463" s="73"/>
      <c r="AK463" s="71"/>
      <c r="AL463" s="72"/>
      <c r="AM463" s="72"/>
      <c r="AN463" s="72"/>
      <c r="AO463" s="72"/>
      <c r="AP463" s="73"/>
      <c r="AQ463" s="71"/>
      <c r="AR463" s="72"/>
      <c r="AS463" s="72"/>
      <c r="AT463" s="72"/>
      <c r="AU463" s="72"/>
      <c r="AV463" s="73"/>
      <c r="AW463" s="75">
        <v>0.82713548252593139</v>
      </c>
      <c r="AX463" s="76">
        <v>-0.95675781019846085</v>
      </c>
      <c r="AY463" s="76">
        <v>0.80855326072670763</v>
      </c>
      <c r="AZ463" s="76">
        <v>-0.12055782923391378</v>
      </c>
      <c r="BA463" s="76">
        <v>2.9919643221341552</v>
      </c>
      <c r="BB463" s="77">
        <v>1.4124754692011132</v>
      </c>
      <c r="BC463" s="65"/>
      <c r="BD463" s="78"/>
      <c r="BE463" s="78"/>
      <c r="BF463" s="78"/>
      <c r="BG463" s="78"/>
      <c r="BH463" s="70"/>
      <c r="BI463" s="65"/>
      <c r="BJ463" s="78"/>
      <c r="BK463" s="78"/>
      <c r="BL463" s="78"/>
      <c r="BM463" s="78"/>
      <c r="BN463" s="70"/>
      <c r="BO463" s="65"/>
      <c r="BP463" s="78"/>
      <c r="BQ463" s="78"/>
      <c r="BR463" s="78"/>
      <c r="BS463" s="78"/>
      <c r="BT463" s="70"/>
      <c r="BU463" s="65"/>
      <c r="BV463" s="78"/>
      <c r="BW463" s="78"/>
      <c r="BX463" s="78"/>
      <c r="BY463" s="78"/>
      <c r="BZ463" s="70"/>
      <c r="CA463" s="80"/>
      <c r="CB463" s="78"/>
      <c r="CC463" s="78"/>
      <c r="CD463" s="78"/>
      <c r="CE463" s="78"/>
      <c r="CF463" s="70"/>
    </row>
    <row r="464" spans="1:84" ht="12" customHeight="1">
      <c r="A464" s="2"/>
      <c r="B464" s="64">
        <v>452</v>
      </c>
      <c r="C464" s="65">
        <v>10</v>
      </c>
      <c r="D464" s="66" t="s">
        <v>22</v>
      </c>
      <c r="E464" s="69" t="s">
        <v>154</v>
      </c>
      <c r="F464" s="70"/>
      <c r="G464" s="71">
        <v>2152.5951219512194</v>
      </c>
      <c r="H464" s="72">
        <v>2152.5951219512194</v>
      </c>
      <c r="I464" s="72"/>
      <c r="J464" s="72"/>
      <c r="K464" s="72"/>
      <c r="L464" s="73">
        <v>0</v>
      </c>
      <c r="M464" s="71">
        <v>4305.1902439024389</v>
      </c>
      <c r="N464" s="72">
        <v>4305.1902439024389</v>
      </c>
      <c r="O464" s="72"/>
      <c r="P464" s="72"/>
      <c r="Q464" s="72"/>
      <c r="R464" s="73"/>
      <c r="S464" s="71">
        <v>2170.4</v>
      </c>
      <c r="T464" s="72">
        <v>2132</v>
      </c>
      <c r="U464" s="72">
        <v>2170</v>
      </c>
      <c r="V464" s="72">
        <v>2150</v>
      </c>
      <c r="W464" s="72">
        <v>2217</v>
      </c>
      <c r="X464" s="73">
        <v>2183</v>
      </c>
      <c r="Y464" s="71"/>
      <c r="Z464" s="72"/>
      <c r="AA464" s="72"/>
      <c r="AB464" s="72"/>
      <c r="AC464" s="72"/>
      <c r="AD464" s="73"/>
      <c r="AE464" s="71"/>
      <c r="AF464" s="72"/>
      <c r="AG464" s="72"/>
      <c r="AH464" s="72"/>
      <c r="AI464" s="72"/>
      <c r="AJ464" s="73"/>
      <c r="AK464" s="71"/>
      <c r="AL464" s="72"/>
      <c r="AM464" s="72"/>
      <c r="AN464" s="72"/>
      <c r="AO464" s="72"/>
      <c r="AP464" s="73"/>
      <c r="AQ464" s="71"/>
      <c r="AR464" s="72"/>
      <c r="AS464" s="72"/>
      <c r="AT464" s="72"/>
      <c r="AU464" s="72"/>
      <c r="AV464" s="73"/>
      <c r="AW464" s="75">
        <v>0.82713548252593139</v>
      </c>
      <c r="AX464" s="76">
        <v>-0.95675781019846085</v>
      </c>
      <c r="AY464" s="76">
        <v>0.80855326072670763</v>
      </c>
      <c r="AZ464" s="76">
        <v>-0.12055782923391378</v>
      </c>
      <c r="BA464" s="76">
        <v>2.9919643221341552</v>
      </c>
      <c r="BB464" s="77">
        <v>1.4124754692011132</v>
      </c>
      <c r="BC464" s="65"/>
      <c r="BD464" s="78"/>
      <c r="BE464" s="78"/>
      <c r="BF464" s="78"/>
      <c r="BG464" s="78"/>
      <c r="BH464" s="70"/>
      <c r="BI464" s="65"/>
      <c r="BJ464" s="78"/>
      <c r="BK464" s="78"/>
      <c r="BL464" s="78"/>
      <c r="BM464" s="78"/>
      <c r="BN464" s="70"/>
      <c r="BO464" s="65"/>
      <c r="BP464" s="78"/>
      <c r="BQ464" s="78"/>
      <c r="BR464" s="78"/>
      <c r="BS464" s="78"/>
      <c r="BT464" s="70"/>
      <c r="BU464" s="65"/>
      <c r="BV464" s="78"/>
      <c r="BW464" s="78"/>
      <c r="BX464" s="78"/>
      <c r="BY464" s="78"/>
      <c r="BZ464" s="70"/>
      <c r="CA464" s="80"/>
      <c r="CB464" s="78"/>
      <c r="CC464" s="78"/>
      <c r="CD464" s="78"/>
      <c r="CE464" s="78"/>
      <c r="CF464" s="70"/>
    </row>
    <row r="465" spans="1:84" ht="12" customHeight="1">
      <c r="A465" s="2"/>
      <c r="B465" s="64">
        <v>453</v>
      </c>
      <c r="C465" s="65">
        <v>10</v>
      </c>
      <c r="D465" s="66" t="s">
        <v>22</v>
      </c>
      <c r="E465" s="69" t="s">
        <v>155</v>
      </c>
      <c r="F465" s="70"/>
      <c r="G465" s="71">
        <v>3013.6331707317072</v>
      </c>
      <c r="H465" s="72">
        <v>2152.5951219512194</v>
      </c>
      <c r="I465" s="72"/>
      <c r="J465" s="72"/>
      <c r="K465" s="72"/>
      <c r="L465" s="73">
        <v>861.03804878048777</v>
      </c>
      <c r="M465" s="71">
        <v>4305.1902439024389</v>
      </c>
      <c r="N465" s="72">
        <v>4305.1902439024389</v>
      </c>
      <c r="O465" s="72"/>
      <c r="P465" s="72"/>
      <c r="Q465" s="72"/>
      <c r="R465" s="73"/>
      <c r="S465" s="71">
        <v>2170.4</v>
      </c>
      <c r="T465" s="72">
        <v>2132</v>
      </c>
      <c r="U465" s="72">
        <v>2170</v>
      </c>
      <c r="V465" s="72">
        <v>2150</v>
      </c>
      <c r="W465" s="72">
        <v>2217</v>
      </c>
      <c r="X465" s="73">
        <v>2183</v>
      </c>
      <c r="Y465" s="71"/>
      <c r="Z465" s="72"/>
      <c r="AA465" s="72"/>
      <c r="AB465" s="72"/>
      <c r="AC465" s="72"/>
      <c r="AD465" s="73"/>
      <c r="AE465" s="71"/>
      <c r="AF465" s="72"/>
      <c r="AG465" s="72"/>
      <c r="AH465" s="72"/>
      <c r="AI465" s="72"/>
      <c r="AJ465" s="73"/>
      <c r="AK465" s="71"/>
      <c r="AL465" s="72"/>
      <c r="AM465" s="72"/>
      <c r="AN465" s="72"/>
      <c r="AO465" s="72"/>
      <c r="AP465" s="73"/>
      <c r="AQ465" s="71">
        <v>847</v>
      </c>
      <c r="AR465" s="72">
        <v>880</v>
      </c>
      <c r="AS465" s="72">
        <v>805</v>
      </c>
      <c r="AT465" s="72">
        <v>830</v>
      </c>
      <c r="AU465" s="72">
        <v>890</v>
      </c>
      <c r="AV465" s="73">
        <v>830</v>
      </c>
      <c r="AW465" s="75">
        <v>0.12499295882710815</v>
      </c>
      <c r="AX465" s="76">
        <v>-5.419275137957813E-2</v>
      </c>
      <c r="AY465" s="76">
        <v>-1.2819466916846767</v>
      </c>
      <c r="AZ465" s="76">
        <v>-1.1160339970488597</v>
      </c>
      <c r="BA465" s="76">
        <v>3.0981484467010878</v>
      </c>
      <c r="BB465" s="77">
        <v>-2.1010212452410304E-2</v>
      </c>
      <c r="BC465" s="65"/>
      <c r="BD465" s="78"/>
      <c r="BE465" s="78"/>
      <c r="BF465" s="78"/>
      <c r="BG465" s="78"/>
      <c r="BH465" s="70"/>
      <c r="BI465" s="65"/>
      <c r="BJ465" s="78"/>
      <c r="BK465" s="78"/>
      <c r="BL465" s="78"/>
      <c r="BM465" s="78"/>
      <c r="BN465" s="70"/>
      <c r="BO465" s="65"/>
      <c r="BP465" s="78"/>
      <c r="BQ465" s="78"/>
      <c r="BR465" s="78"/>
      <c r="BS465" s="78"/>
      <c r="BT465" s="70"/>
      <c r="BU465" s="65"/>
      <c r="BV465" s="78"/>
      <c r="BW465" s="78"/>
      <c r="BX465" s="78"/>
      <c r="BY465" s="78"/>
      <c r="BZ465" s="70"/>
      <c r="CA465" s="80"/>
      <c r="CB465" s="78"/>
      <c r="CC465" s="78"/>
      <c r="CD465" s="78"/>
      <c r="CE465" s="78"/>
      <c r="CF465" s="70"/>
    </row>
    <row r="466" spans="1:84" ht="12" customHeight="1">
      <c r="A466" s="2"/>
      <c r="B466" s="127">
        <v>454</v>
      </c>
      <c r="C466" s="128">
        <v>10</v>
      </c>
      <c r="D466" s="129" t="s">
        <v>22</v>
      </c>
      <c r="E466" s="130" t="s">
        <v>157</v>
      </c>
      <c r="F466" s="131"/>
      <c r="G466" s="132">
        <v>3013.6331707317072</v>
      </c>
      <c r="H466" s="133">
        <v>2152.5951219512194</v>
      </c>
      <c r="I466" s="133"/>
      <c r="J466" s="133"/>
      <c r="K466" s="133"/>
      <c r="L466" s="134">
        <v>861.03804878048777</v>
      </c>
      <c r="M466" s="132">
        <v>4305.1902439024389</v>
      </c>
      <c r="N466" s="133">
        <v>4305.1902439024389</v>
      </c>
      <c r="O466" s="133"/>
      <c r="P466" s="133"/>
      <c r="Q466" s="133"/>
      <c r="R466" s="134"/>
      <c r="S466" s="132">
        <v>2170.4</v>
      </c>
      <c r="T466" s="133">
        <v>2132</v>
      </c>
      <c r="U466" s="133">
        <v>2170</v>
      </c>
      <c r="V466" s="133">
        <v>2150</v>
      </c>
      <c r="W466" s="133">
        <v>2217</v>
      </c>
      <c r="X466" s="134">
        <v>2183</v>
      </c>
      <c r="Y466" s="132"/>
      <c r="Z466" s="133"/>
      <c r="AA466" s="133"/>
      <c r="AB466" s="133"/>
      <c r="AC466" s="133"/>
      <c r="AD466" s="134"/>
      <c r="AE466" s="132"/>
      <c r="AF466" s="133"/>
      <c r="AG466" s="133"/>
      <c r="AH466" s="133"/>
      <c r="AI466" s="133"/>
      <c r="AJ466" s="134"/>
      <c r="AK466" s="132"/>
      <c r="AL466" s="133"/>
      <c r="AM466" s="133"/>
      <c r="AN466" s="133"/>
      <c r="AO466" s="133"/>
      <c r="AP466" s="134"/>
      <c r="AQ466" s="132">
        <v>847</v>
      </c>
      <c r="AR466" s="133">
        <v>880</v>
      </c>
      <c r="AS466" s="133">
        <v>805</v>
      </c>
      <c r="AT466" s="133">
        <v>830</v>
      </c>
      <c r="AU466" s="133">
        <v>890</v>
      </c>
      <c r="AV466" s="134">
        <v>830</v>
      </c>
      <c r="AW466" s="135">
        <v>0.12499295882710815</v>
      </c>
      <c r="AX466" s="136">
        <v>-5.419275137957813E-2</v>
      </c>
      <c r="AY466" s="136">
        <v>-1.2819466916846767</v>
      </c>
      <c r="AZ466" s="136">
        <v>-1.1160339970488597</v>
      </c>
      <c r="BA466" s="136">
        <v>3.0981484467010878</v>
      </c>
      <c r="BB466" s="137">
        <v>-2.1010212452410304E-2</v>
      </c>
      <c r="BC466" s="128"/>
      <c r="BD466" s="138"/>
      <c r="BE466" s="138"/>
      <c r="BF466" s="138"/>
      <c r="BG466" s="138"/>
      <c r="BH466" s="131"/>
      <c r="BI466" s="128"/>
      <c r="BJ466" s="138"/>
      <c r="BK466" s="138"/>
      <c r="BL466" s="138"/>
      <c r="BM466" s="138"/>
      <c r="BN466" s="131"/>
      <c r="BO466" s="128"/>
      <c r="BP466" s="138"/>
      <c r="BQ466" s="138"/>
      <c r="BR466" s="138"/>
      <c r="BS466" s="138"/>
      <c r="BT466" s="131"/>
      <c r="BU466" s="128"/>
      <c r="BV466" s="138"/>
      <c r="BW466" s="138"/>
      <c r="BX466" s="138"/>
      <c r="BY466" s="138"/>
      <c r="BZ466" s="131"/>
      <c r="CA466" s="139"/>
      <c r="CB466" s="138"/>
      <c r="CC466" s="138"/>
      <c r="CD466" s="138"/>
      <c r="CE466" s="138"/>
      <c r="CF466" s="131"/>
    </row>
  </sheetData>
  <mergeCells count="19">
    <mergeCell ref="B2:Q3"/>
    <mergeCell ref="B4:N5"/>
    <mergeCell ref="B6:N7"/>
    <mergeCell ref="Q6:AI7"/>
    <mergeCell ref="G10:R10"/>
    <mergeCell ref="AQ11:AV11"/>
    <mergeCell ref="AW11:BB11"/>
    <mergeCell ref="S10:CF10"/>
    <mergeCell ref="G11:L11"/>
    <mergeCell ref="M11:R11"/>
    <mergeCell ref="S11:X11"/>
    <mergeCell ref="Y11:AD11"/>
    <mergeCell ref="AE11:AJ11"/>
    <mergeCell ref="AK11:AP11"/>
    <mergeCell ref="BI11:BN11"/>
    <mergeCell ref="BO11:BT11"/>
    <mergeCell ref="BC11:BH11"/>
    <mergeCell ref="CA11:CF11"/>
    <mergeCell ref="BU11:BZ11"/>
  </mergeCells>
  <phoneticPr fontId="15" type="noConversion"/>
  <dataValidations count="2">
    <dataValidation type="list" allowBlank="1" showErrorMessage="1" sqref="C13:C466">
      <formula1>$C$14:$C$17</formula1>
    </dataValidation>
    <dataValidation type="list" allowBlank="1" showErrorMessage="1" sqref="F107:F142 F215:F268 F317:F388">
      <formula1>#REF!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S977"/>
  <sheetViews>
    <sheetView tabSelected="1" topLeftCell="A61" workbookViewId="0">
      <selection activeCell="I90" sqref="I90"/>
    </sheetView>
  </sheetViews>
  <sheetFormatPr defaultColWidth="12.625" defaultRowHeight="15" customHeight="1"/>
  <cols>
    <col min="1" max="6" width="7.875" customWidth="1"/>
    <col min="7" max="7" width="11.625" customWidth="1"/>
    <col min="8" max="71" width="7.875" customWidth="1"/>
  </cols>
  <sheetData>
    <row r="1" spans="2:5" s="146" customFormat="1" ht="12" customHeight="1"/>
    <row r="2" spans="2:5" s="146" customFormat="1" ht="12" customHeight="1">
      <c r="B2" s="195" t="s">
        <v>190</v>
      </c>
      <c r="C2" s="195"/>
      <c r="D2" s="147"/>
      <c r="E2" s="147"/>
    </row>
    <row r="3" spans="2:5" s="146" customFormat="1" ht="12" customHeight="1">
      <c r="B3" s="148" t="s">
        <v>188</v>
      </c>
      <c r="C3" s="149">
        <v>533</v>
      </c>
      <c r="D3" s="147"/>
      <c r="E3" s="147"/>
    </row>
    <row r="4" spans="2:5" s="146" customFormat="1" ht="12" customHeight="1">
      <c r="B4" s="148" t="s">
        <v>209</v>
      </c>
      <c r="C4" s="149">
        <v>640</v>
      </c>
      <c r="D4" s="147"/>
      <c r="E4" s="147"/>
    </row>
    <row r="5" spans="2:5" s="146" customFormat="1" ht="12" customHeight="1">
      <c r="B5" s="148" t="s">
        <v>210</v>
      </c>
      <c r="C5" s="149">
        <v>12</v>
      </c>
      <c r="D5" s="147"/>
      <c r="E5" s="147"/>
    </row>
    <row r="6" spans="2:5" s="146" customFormat="1" ht="12" customHeight="1">
      <c r="B6" s="150" t="s">
        <v>191</v>
      </c>
      <c r="C6" s="151">
        <v>358.5</v>
      </c>
      <c r="D6" s="152"/>
      <c r="E6" s="147"/>
    </row>
    <row r="7" spans="2:5" s="146" customFormat="1" ht="12" customHeight="1">
      <c r="B7" s="150" t="s">
        <v>192</v>
      </c>
      <c r="C7" s="153">
        <v>2333</v>
      </c>
    </row>
    <row r="8" spans="2:5" s="146" customFormat="1" ht="12" customHeight="1">
      <c r="B8" s="150" t="s">
        <v>193</v>
      </c>
      <c r="C8" s="149">
        <v>68</v>
      </c>
      <c r="D8" s="152"/>
    </row>
    <row r="9" spans="2:5" s="146" customFormat="1" ht="27.75" customHeight="1">
      <c r="B9" s="154" t="s">
        <v>194</v>
      </c>
      <c r="C9" s="155"/>
      <c r="D9" s="147"/>
      <c r="E9" s="147"/>
    </row>
    <row r="10" spans="2:5" s="146" customFormat="1" ht="12" customHeight="1">
      <c r="B10" s="196" t="s">
        <v>195</v>
      </c>
      <c r="C10" s="196"/>
      <c r="D10" s="156"/>
      <c r="E10" s="156"/>
    </row>
    <row r="11" spans="2:5" s="146" customFormat="1" ht="12" customHeight="1">
      <c r="B11" s="196" t="s">
        <v>196</v>
      </c>
      <c r="C11" s="196"/>
      <c r="D11" s="156"/>
      <c r="E11" s="156"/>
    </row>
    <row r="12" spans="2:5" s="146" customFormat="1" ht="12" customHeight="1">
      <c r="B12" s="157"/>
      <c r="C12" s="156"/>
      <c r="D12" s="156"/>
      <c r="E12" s="156"/>
    </row>
    <row r="13" spans="2:5" s="146" customFormat="1" ht="12" customHeight="1">
      <c r="B13" s="157"/>
      <c r="C13" s="156"/>
      <c r="D13" s="156"/>
      <c r="E13" s="156"/>
    </row>
    <row r="14" spans="2:5" s="146" customFormat="1" ht="12" customHeight="1">
      <c r="B14" s="157"/>
      <c r="C14" s="156"/>
      <c r="D14" s="156"/>
      <c r="E14" s="156"/>
    </row>
    <row r="15" spans="2:5" s="146" customFormat="1" ht="12" customHeight="1">
      <c r="B15" s="157"/>
      <c r="C15" s="147"/>
      <c r="D15" s="147"/>
      <c r="E15" s="147"/>
    </row>
    <row r="16" spans="2:5" s="146" customFormat="1" ht="12" customHeight="1">
      <c r="B16" s="158" t="s">
        <v>189</v>
      </c>
      <c r="C16" s="158" t="s">
        <v>197</v>
      </c>
      <c r="D16" s="158" t="s">
        <v>198</v>
      </c>
      <c r="E16" s="159" t="s">
        <v>199</v>
      </c>
    </row>
    <row r="17" spans="2:5" s="146" customFormat="1" ht="12" customHeight="1">
      <c r="B17" s="160">
        <f>(C3*0.0357)-0.0268</f>
        <v>19.001300000000001</v>
      </c>
      <c r="C17" s="160">
        <f>(+C5*0.0172)-0.0611</f>
        <v>0.14529999999999998</v>
      </c>
      <c r="D17" s="160">
        <f>(+C5*0.0214)-0.0186</f>
        <v>0.23819999999999997</v>
      </c>
      <c r="E17" s="160">
        <v>200</v>
      </c>
    </row>
    <row r="18" spans="2:5" s="146" customFormat="1" ht="12" customHeight="1">
      <c r="B18" s="161"/>
      <c r="C18" s="161"/>
      <c r="D18" s="161"/>
      <c r="E18" s="161"/>
    </row>
    <row r="19" spans="2:5" s="146" customFormat="1" ht="12" customHeight="1">
      <c r="B19" s="197" t="s">
        <v>200</v>
      </c>
      <c r="C19" s="162" t="s">
        <v>201</v>
      </c>
      <c r="D19" s="163">
        <f>(0.1073*$C$4)-0.0612</f>
        <v>68.610799999999998</v>
      </c>
      <c r="E19" s="161"/>
    </row>
    <row r="20" spans="2:5" s="146" customFormat="1" ht="12" customHeight="1">
      <c r="B20" s="198"/>
      <c r="C20" s="162" t="s">
        <v>202</v>
      </c>
      <c r="D20" s="163">
        <f>($C$4*0.0357)-0.0518</f>
        <v>22.796200000000002</v>
      </c>
      <c r="E20" s="161"/>
    </row>
    <row r="21" spans="2:5" s="146" customFormat="1" ht="12" customHeight="1">
      <c r="B21" s="198"/>
      <c r="C21" s="162" t="s">
        <v>203</v>
      </c>
      <c r="D21" s="163">
        <f>($C$4*0.0287)-0.0552</f>
        <v>18.312799999999999</v>
      </c>
      <c r="E21" s="161"/>
    </row>
    <row r="22" spans="2:5" s="146" customFormat="1" ht="12" customHeight="1">
      <c r="B22" s="199"/>
      <c r="C22" s="162" t="s">
        <v>204</v>
      </c>
      <c r="D22" s="163">
        <f>(D21*6)/10</f>
        <v>10.987680000000001</v>
      </c>
      <c r="E22" s="161"/>
    </row>
    <row r="23" spans="2:5" s="146" customFormat="1" ht="12" customHeight="1">
      <c r="B23" s="164"/>
      <c r="C23" s="161"/>
      <c r="D23" s="161"/>
      <c r="E23" s="161"/>
    </row>
    <row r="24" spans="2:5" s="146" customFormat="1" ht="12" customHeight="1">
      <c r="B24" s="162" t="s">
        <v>205</v>
      </c>
      <c r="C24" s="163">
        <v>1.2</v>
      </c>
      <c r="D24" s="161"/>
      <c r="E24" s="161"/>
    </row>
    <row r="25" spans="2:5" s="146" customFormat="1" ht="12" customHeight="1">
      <c r="B25" s="162" t="s">
        <v>206</v>
      </c>
      <c r="C25" s="163">
        <v>8</v>
      </c>
      <c r="D25" s="161"/>
      <c r="E25" s="161"/>
    </row>
    <row r="26" spans="2:5" s="146" customFormat="1" ht="12" customHeight="1">
      <c r="B26" s="161"/>
      <c r="C26" s="161"/>
      <c r="D26" s="161"/>
      <c r="E26" s="161"/>
    </row>
    <row r="27" spans="2:5" s="146" customFormat="1" ht="12" customHeight="1">
      <c r="B27" s="162" t="s">
        <v>207</v>
      </c>
      <c r="C27" s="163">
        <v>1.5</v>
      </c>
      <c r="D27" s="161"/>
      <c r="E27" s="161"/>
    </row>
    <row r="28" spans="2:5" s="146" customFormat="1" ht="12" customHeight="1">
      <c r="B28" s="161"/>
      <c r="C28" s="161"/>
      <c r="D28" s="161"/>
      <c r="E28" s="161"/>
    </row>
    <row r="29" spans="2:5" s="146" customFormat="1" ht="12" customHeight="1">
      <c r="B29" s="162" t="s">
        <v>208</v>
      </c>
      <c r="C29" s="163">
        <f>(C6*C7*0.001526)+C8</f>
        <v>1344.3166430000001</v>
      </c>
      <c r="D29" s="161"/>
      <c r="E29" s="161"/>
    </row>
    <row r="30" spans="2:5" s="146" customFormat="1" ht="12" customHeight="1"/>
    <row r="31" spans="2:5" ht="12" customHeight="1"/>
    <row r="32" spans="2:5" ht="12" customHeight="1"/>
    <row r="33" spans="1:71" ht="12" customHeight="1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</row>
    <row r="34" spans="1:71" ht="12" customHeight="1">
      <c r="A34" s="2"/>
      <c r="B34" s="5" t="s">
        <v>1</v>
      </c>
      <c r="C34" s="6" t="s">
        <v>2</v>
      </c>
      <c r="D34" s="6" t="s">
        <v>3</v>
      </c>
      <c r="E34" s="6" t="s">
        <v>4</v>
      </c>
      <c r="F34" s="6"/>
      <c r="G34" s="6" t="s">
        <v>5</v>
      </c>
      <c r="H34" s="6" t="s">
        <v>6</v>
      </c>
      <c r="I34" s="6" t="s">
        <v>7</v>
      </c>
      <c r="J34" s="6" t="s">
        <v>8</v>
      </c>
      <c r="K34" s="6"/>
      <c r="L34" s="6" t="s">
        <v>9</v>
      </c>
      <c r="M34" s="6"/>
      <c r="N34" s="6" t="s">
        <v>10</v>
      </c>
      <c r="O34" s="6" t="s">
        <v>11</v>
      </c>
      <c r="P34" s="6"/>
      <c r="Q34" s="6" t="s">
        <v>12</v>
      </c>
      <c r="R34" s="6" t="s">
        <v>13</v>
      </c>
      <c r="S34" s="6"/>
      <c r="T34" s="6" t="s">
        <v>14</v>
      </c>
      <c r="U34" s="6"/>
      <c r="V34" s="6"/>
      <c r="W34" s="6" t="s">
        <v>15</v>
      </c>
      <c r="X34" s="6" t="s">
        <v>16</v>
      </c>
      <c r="Y34" s="6" t="s">
        <v>17</v>
      </c>
      <c r="Z34" s="6" t="s">
        <v>18</v>
      </c>
      <c r="AA34" s="6"/>
      <c r="AB34" s="6" t="s">
        <v>19</v>
      </c>
      <c r="AC34" s="6"/>
      <c r="AD34" s="6" t="s">
        <v>20</v>
      </c>
      <c r="AE34" s="6"/>
      <c r="AF34" s="6" t="s">
        <v>21</v>
      </c>
      <c r="AG34" s="9" t="s">
        <v>22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</row>
    <row r="35" spans="1:71" ht="12" customHeight="1">
      <c r="A35" s="2"/>
      <c r="B35" s="10" t="s">
        <v>24</v>
      </c>
      <c r="C35" s="1">
        <v>8</v>
      </c>
      <c r="D35" s="1">
        <v>6</v>
      </c>
      <c r="E35" s="1">
        <v>12</v>
      </c>
      <c r="F35" s="1"/>
      <c r="G35" s="1">
        <v>8</v>
      </c>
      <c r="H35" s="1">
        <v>20</v>
      </c>
      <c r="I35" s="1">
        <v>9</v>
      </c>
      <c r="J35" s="1">
        <v>24</v>
      </c>
      <c r="K35" s="1"/>
      <c r="L35" s="1">
        <v>36</v>
      </c>
      <c r="M35" s="1"/>
      <c r="N35" s="1">
        <v>16</v>
      </c>
      <c r="O35" s="1">
        <v>30</v>
      </c>
      <c r="P35" s="1"/>
      <c r="Q35" s="1">
        <v>24</v>
      </c>
      <c r="R35" s="1">
        <v>24</v>
      </c>
      <c r="S35" s="1"/>
      <c r="T35" s="1">
        <v>36</v>
      </c>
      <c r="U35" s="1"/>
      <c r="V35" s="1"/>
      <c r="W35" s="1">
        <v>30</v>
      </c>
      <c r="X35" s="1">
        <v>6</v>
      </c>
      <c r="Y35" s="1">
        <v>8</v>
      </c>
      <c r="Z35" s="1">
        <v>24</v>
      </c>
      <c r="AA35" s="1"/>
      <c r="AB35" s="1">
        <v>24</v>
      </c>
      <c r="AC35" s="1"/>
      <c r="AD35" s="1">
        <v>18</v>
      </c>
      <c r="AE35" s="1"/>
      <c r="AF35" s="1">
        <v>36</v>
      </c>
      <c r="AG35" s="11">
        <v>30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</row>
    <row r="36" spans="1:71" ht="12" customHeight="1">
      <c r="A36" s="2"/>
      <c r="B36" s="10">
        <v>1</v>
      </c>
      <c r="C36" s="1">
        <v>209</v>
      </c>
      <c r="D36" s="1">
        <v>123</v>
      </c>
      <c r="E36" s="1">
        <v>40</v>
      </c>
      <c r="F36" s="1">
        <v>159</v>
      </c>
      <c r="G36" s="1">
        <v>18</v>
      </c>
      <c r="H36" s="1">
        <v>403</v>
      </c>
      <c r="I36" s="1">
        <v>78</v>
      </c>
      <c r="J36" s="1">
        <v>152</v>
      </c>
      <c r="K36" s="1">
        <v>193</v>
      </c>
      <c r="L36" s="1">
        <v>489</v>
      </c>
      <c r="M36" s="1">
        <v>41</v>
      </c>
      <c r="N36" s="1">
        <v>574</v>
      </c>
      <c r="O36" s="1">
        <v>116</v>
      </c>
      <c r="P36" s="1">
        <v>46</v>
      </c>
      <c r="Q36" s="1">
        <v>491</v>
      </c>
      <c r="R36" s="1">
        <v>385</v>
      </c>
      <c r="S36" s="1">
        <v>215</v>
      </c>
      <c r="T36" s="1">
        <v>171</v>
      </c>
      <c r="U36" s="1">
        <v>171</v>
      </c>
      <c r="V36" s="1">
        <v>231</v>
      </c>
      <c r="W36" s="1">
        <v>161</v>
      </c>
      <c r="X36" s="1">
        <v>72</v>
      </c>
      <c r="Y36" s="1">
        <v>67</v>
      </c>
      <c r="Z36" s="1">
        <v>230</v>
      </c>
      <c r="AA36" s="1">
        <v>156</v>
      </c>
      <c r="AB36" s="1">
        <v>120</v>
      </c>
      <c r="AC36" s="1">
        <v>203</v>
      </c>
      <c r="AD36" s="1">
        <v>174</v>
      </c>
      <c r="AE36" s="1">
        <v>173</v>
      </c>
      <c r="AF36" s="1">
        <v>705</v>
      </c>
      <c r="AG36" s="11">
        <v>740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</row>
    <row r="37" spans="1:71" ht="12" customHeight="1">
      <c r="A37" s="2"/>
      <c r="B37" s="10">
        <v>4</v>
      </c>
      <c r="C37" s="1">
        <v>599</v>
      </c>
      <c r="D37" s="1">
        <v>326</v>
      </c>
      <c r="E37" s="1">
        <v>104</v>
      </c>
      <c r="F37" s="1">
        <v>417</v>
      </c>
      <c r="G37" s="1">
        <v>48</v>
      </c>
      <c r="H37" s="1">
        <v>1070</v>
      </c>
      <c r="I37" s="1">
        <v>207</v>
      </c>
      <c r="J37" s="1">
        <v>403</v>
      </c>
      <c r="K37" s="1">
        <v>514</v>
      </c>
      <c r="L37" s="1">
        <v>1298</v>
      </c>
      <c r="M37" s="1">
        <v>107</v>
      </c>
      <c r="N37" s="1">
        <v>1524</v>
      </c>
      <c r="O37" s="1">
        <v>307</v>
      </c>
      <c r="P37" s="1">
        <v>122</v>
      </c>
      <c r="Q37" s="1">
        <v>1305</v>
      </c>
      <c r="R37" s="1">
        <v>1030</v>
      </c>
      <c r="S37" s="1">
        <v>571</v>
      </c>
      <c r="T37" s="1">
        <v>453</v>
      </c>
      <c r="U37" s="1">
        <v>453</v>
      </c>
      <c r="V37" s="1">
        <v>614</v>
      </c>
      <c r="W37" s="1">
        <v>427</v>
      </c>
      <c r="X37" s="1">
        <v>193</v>
      </c>
      <c r="Y37" s="1">
        <v>176</v>
      </c>
      <c r="Z37" s="1">
        <v>613</v>
      </c>
      <c r="AA37" s="1">
        <v>414</v>
      </c>
      <c r="AB37" s="1">
        <v>318</v>
      </c>
      <c r="AC37" s="1">
        <v>536</v>
      </c>
      <c r="AD37" s="1">
        <v>462</v>
      </c>
      <c r="AE37" s="1">
        <v>460</v>
      </c>
      <c r="AF37" s="1">
        <v>1872</v>
      </c>
      <c r="AG37" s="11">
        <v>1996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</row>
    <row r="38" spans="1:71" ht="12" customHeight="1">
      <c r="A38" s="2"/>
      <c r="B38" s="10">
        <v>7</v>
      </c>
      <c r="C38" s="1">
        <v>722</v>
      </c>
      <c r="D38" s="1">
        <v>419</v>
      </c>
      <c r="E38" s="1">
        <v>135</v>
      </c>
      <c r="F38" s="1">
        <v>542</v>
      </c>
      <c r="G38" s="1">
        <v>61</v>
      </c>
      <c r="H38" s="1">
        <v>1380</v>
      </c>
      <c r="I38" s="1">
        <v>267</v>
      </c>
      <c r="J38" s="1">
        <v>520</v>
      </c>
      <c r="K38" s="1">
        <v>663</v>
      </c>
      <c r="L38" s="1">
        <v>1676</v>
      </c>
      <c r="M38" s="1">
        <v>139</v>
      </c>
      <c r="N38" s="1">
        <v>1965</v>
      </c>
      <c r="O38" s="1">
        <v>396</v>
      </c>
      <c r="P38" s="1">
        <v>158</v>
      </c>
      <c r="Q38" s="1">
        <v>1683</v>
      </c>
      <c r="R38" s="1">
        <v>1327</v>
      </c>
      <c r="S38" s="1">
        <v>737</v>
      </c>
      <c r="T38" s="1">
        <v>585</v>
      </c>
      <c r="U38" s="1">
        <v>585</v>
      </c>
      <c r="V38" s="1">
        <v>792</v>
      </c>
      <c r="W38" s="1">
        <v>552</v>
      </c>
      <c r="X38" s="1">
        <v>249</v>
      </c>
      <c r="Y38" s="1">
        <v>228</v>
      </c>
      <c r="Z38" s="1">
        <v>791</v>
      </c>
      <c r="AA38" s="1">
        <v>536</v>
      </c>
      <c r="AB38" s="1">
        <v>412</v>
      </c>
      <c r="AC38" s="1">
        <v>694</v>
      </c>
      <c r="AD38" s="1">
        <v>595</v>
      </c>
      <c r="AE38" s="1">
        <v>594</v>
      </c>
      <c r="AF38" s="1">
        <v>2415</v>
      </c>
      <c r="AG38" s="11">
        <v>2537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</row>
    <row r="39" spans="1:71" ht="12" customHeight="1">
      <c r="A39" s="2"/>
      <c r="B39" s="10">
        <v>10</v>
      </c>
      <c r="C39" s="1">
        <v>827</v>
      </c>
      <c r="D39" s="1">
        <v>479</v>
      </c>
      <c r="E39" s="1">
        <v>154</v>
      </c>
      <c r="F39" s="1">
        <v>618</v>
      </c>
      <c r="G39" s="1">
        <v>69</v>
      </c>
      <c r="H39" s="1">
        <v>1577</v>
      </c>
      <c r="I39" s="1">
        <v>305</v>
      </c>
      <c r="J39" s="1">
        <v>595</v>
      </c>
      <c r="K39" s="1">
        <v>759</v>
      </c>
      <c r="L39" s="1">
        <v>1916</v>
      </c>
      <c r="M39" s="1">
        <v>157</v>
      </c>
      <c r="N39" s="1">
        <v>2245</v>
      </c>
      <c r="O39" s="1">
        <v>452</v>
      </c>
      <c r="P39" s="1">
        <v>180</v>
      </c>
      <c r="Q39" s="1">
        <v>1925</v>
      </c>
      <c r="R39" s="1">
        <v>1530</v>
      </c>
      <c r="S39" s="1">
        <v>844</v>
      </c>
      <c r="T39" s="1">
        <v>670</v>
      </c>
      <c r="U39" s="1">
        <v>670</v>
      </c>
      <c r="V39" s="1">
        <v>906</v>
      </c>
      <c r="W39" s="1">
        <v>629</v>
      </c>
      <c r="X39" s="1">
        <v>284</v>
      </c>
      <c r="Y39" s="1">
        <v>262</v>
      </c>
      <c r="Z39" s="1">
        <v>907</v>
      </c>
      <c r="AA39" s="1">
        <v>614</v>
      </c>
      <c r="AB39" s="1">
        <v>471</v>
      </c>
      <c r="AC39" s="1">
        <v>794</v>
      </c>
      <c r="AD39" s="1">
        <v>677</v>
      </c>
      <c r="AE39" s="1">
        <v>680</v>
      </c>
      <c r="AF39" s="1">
        <v>2761</v>
      </c>
      <c r="AG39" s="11">
        <v>2901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</row>
    <row r="40" spans="1:71" ht="12" customHeight="1">
      <c r="A40" s="2"/>
      <c r="B40" s="10">
        <v>1</v>
      </c>
      <c r="C40" s="13">
        <v>3.7225609756097562</v>
      </c>
      <c r="D40" s="13">
        <v>2.1981707317073171</v>
      </c>
      <c r="E40" s="13">
        <v>0.69817073170731703</v>
      </c>
      <c r="F40" s="13">
        <v>2.7957317073170733</v>
      </c>
      <c r="G40" s="13">
        <v>0.31707317073170732</v>
      </c>
      <c r="H40" s="13">
        <v>7.2164634146341466</v>
      </c>
      <c r="I40" s="13">
        <v>1.3932926829268293</v>
      </c>
      <c r="J40" s="13">
        <v>2.7134146341463414</v>
      </c>
      <c r="K40" s="13">
        <v>3.4664634146341462</v>
      </c>
      <c r="L40" s="13">
        <v>8.75</v>
      </c>
      <c r="M40" s="13">
        <v>0.72865853658536583</v>
      </c>
      <c r="N40" s="13">
        <v>10.301829268292684</v>
      </c>
      <c r="O40" s="13">
        <v>2.0731707317073171</v>
      </c>
      <c r="P40" s="13">
        <v>0.82926829268292679</v>
      </c>
      <c r="Q40" s="13">
        <v>8.7896341463414629</v>
      </c>
      <c r="R40" s="13">
        <v>6.8414634146341466</v>
      </c>
      <c r="S40" s="13">
        <v>3.8475609756097562</v>
      </c>
      <c r="T40" s="13">
        <v>2.8841463414634148</v>
      </c>
      <c r="U40" s="13">
        <v>2.8841463414634148</v>
      </c>
      <c r="V40" s="13">
        <v>4.1371951219512191</v>
      </c>
      <c r="W40" s="13">
        <v>2.8689024390243905</v>
      </c>
      <c r="X40" s="13">
        <v>1.2896341463414633</v>
      </c>
      <c r="Y40" s="13">
        <v>1.1890243902439024</v>
      </c>
      <c r="Z40" s="13">
        <v>4.1463414634146343</v>
      </c>
      <c r="AA40" s="13">
        <v>2.7987804878048781</v>
      </c>
      <c r="AB40" s="13">
        <v>2.1402439024390243</v>
      </c>
      <c r="AC40" s="13">
        <v>3.6128048780487805</v>
      </c>
      <c r="AD40" s="13">
        <v>3.100609756097561</v>
      </c>
      <c r="AE40" s="13">
        <v>3.100609756097561</v>
      </c>
      <c r="AF40" s="13">
        <v>12.609756097560975</v>
      </c>
      <c r="AG40" s="15">
        <v>13.25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</row>
    <row r="41" spans="1:71" ht="12" customHeight="1">
      <c r="A41" s="2"/>
      <c r="B41" s="10">
        <v>4</v>
      </c>
      <c r="C41" s="13">
        <v>4.2987804878048781</v>
      </c>
      <c r="D41" s="13">
        <v>2.6097560975609757</v>
      </c>
      <c r="E41" s="13">
        <v>0.83231707317073167</v>
      </c>
      <c r="F41" s="13">
        <v>3.3201219512195124</v>
      </c>
      <c r="G41" s="13">
        <v>0.37804878048780488</v>
      </c>
      <c r="H41" s="13">
        <v>8.5640243902439028</v>
      </c>
      <c r="I41" s="13">
        <v>1.6554878048780488</v>
      </c>
      <c r="J41" s="13">
        <v>3.225609756097561</v>
      </c>
      <c r="K41" s="13">
        <v>4.1128048780487809</v>
      </c>
      <c r="L41" s="13">
        <v>10.390243902439025</v>
      </c>
      <c r="M41" s="13">
        <v>0.86585365853658536</v>
      </c>
      <c r="N41" s="13">
        <v>12.228658536585366</v>
      </c>
      <c r="O41" s="13">
        <v>2.4603658536585367</v>
      </c>
      <c r="P41" s="13">
        <v>0.9847560975609756</v>
      </c>
      <c r="Q41" s="13">
        <v>10.435975609756097</v>
      </c>
      <c r="R41" s="13">
        <v>8.1219512195121943</v>
      </c>
      <c r="S41" s="13">
        <v>4.5701219512195124</v>
      </c>
      <c r="T41" s="13">
        <v>3.6402439024390243</v>
      </c>
      <c r="U41" s="13">
        <v>3.6402439024390243</v>
      </c>
      <c r="V41" s="13">
        <v>4.9146341463414638</v>
      </c>
      <c r="W41" s="13">
        <v>3.4054878048780486</v>
      </c>
      <c r="X41" s="13">
        <v>1.5304878048780488</v>
      </c>
      <c r="Y41" s="13">
        <v>1.4115853658536586</v>
      </c>
      <c r="Z41" s="13">
        <v>4.9207317073170733</v>
      </c>
      <c r="AA41" s="13">
        <v>3.3231707317073171</v>
      </c>
      <c r="AB41" s="13">
        <v>2.5426829268292681</v>
      </c>
      <c r="AC41" s="13">
        <v>4.2896341463414638</v>
      </c>
      <c r="AD41" s="13">
        <v>3.6798780487804876</v>
      </c>
      <c r="AE41" s="13">
        <v>3.6798780487804876</v>
      </c>
      <c r="AF41" s="13">
        <v>14.972560975609756</v>
      </c>
      <c r="AG41" s="15">
        <v>15.640243902439025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</row>
    <row r="42" spans="1:71" ht="12" customHeight="1">
      <c r="A42" s="2"/>
      <c r="B42" s="10">
        <v>7</v>
      </c>
      <c r="C42" s="13">
        <v>4.6768292682926829</v>
      </c>
      <c r="D42" s="13">
        <v>2.7652439024390243</v>
      </c>
      <c r="E42" s="13">
        <v>0.88109756097560976</v>
      </c>
      <c r="F42" s="13">
        <v>3.5121951219512195</v>
      </c>
      <c r="G42" s="13">
        <v>0.39939024390243905</v>
      </c>
      <c r="H42" s="13">
        <v>8.7713414634146343</v>
      </c>
      <c r="I42" s="13">
        <v>1.7530487804878048</v>
      </c>
      <c r="J42" s="13">
        <v>3.4146341463414633</v>
      </c>
      <c r="K42" s="13">
        <v>4.3628048780487809</v>
      </c>
      <c r="L42" s="13">
        <v>11.009146341463415</v>
      </c>
      <c r="M42" s="13">
        <v>0.91768292682926833</v>
      </c>
      <c r="N42" s="13">
        <v>12.957317073170731</v>
      </c>
      <c r="O42" s="13">
        <v>2.6097560975609757</v>
      </c>
      <c r="P42" s="13">
        <v>1.0426829268292683</v>
      </c>
      <c r="Q42" s="13">
        <v>11.060975609756097</v>
      </c>
      <c r="R42" s="13">
        <v>8.6158536585365848</v>
      </c>
      <c r="S42" s="13">
        <v>4.8414634146341466</v>
      </c>
      <c r="T42" s="13">
        <v>3.8567073170731709</v>
      </c>
      <c r="U42" s="13">
        <v>3.8567073170731709</v>
      </c>
      <c r="V42" s="13">
        <v>5.2073170731707314</v>
      </c>
      <c r="W42" s="13">
        <v>3.6097560975609757</v>
      </c>
      <c r="X42" s="13">
        <v>1.6219512195121952</v>
      </c>
      <c r="Y42" s="13">
        <v>1.4939024390243902</v>
      </c>
      <c r="Z42" s="13">
        <v>5.2164634146341466</v>
      </c>
      <c r="AA42" s="13">
        <v>3.5213414634146343</v>
      </c>
      <c r="AB42" s="13">
        <v>2.6920731707317072</v>
      </c>
      <c r="AC42" s="13">
        <v>4.5426829268292686</v>
      </c>
      <c r="AD42" s="13">
        <v>3.899390243902439</v>
      </c>
      <c r="AE42" s="13">
        <v>3.899390243902439</v>
      </c>
      <c r="AF42" s="13">
        <v>15.865853658536585</v>
      </c>
      <c r="AG42" s="15">
        <v>16.670731707317074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</row>
    <row r="43" spans="1:71" ht="12" customHeight="1">
      <c r="A43" s="2"/>
      <c r="B43" s="10">
        <v>10</v>
      </c>
      <c r="C43" s="13">
        <v>4.8323170731707314</v>
      </c>
      <c r="D43" s="13">
        <v>2.8597560975609757</v>
      </c>
      <c r="E43" s="13">
        <v>0.90853658536585369</v>
      </c>
      <c r="F43" s="13">
        <v>3.6280487804878048</v>
      </c>
      <c r="G43" s="13">
        <v>0.41158536585365851</v>
      </c>
      <c r="H43" s="13">
        <v>9.3810975609756095</v>
      </c>
      <c r="I43" s="13">
        <v>1.8140243902439024</v>
      </c>
      <c r="J43" s="13">
        <v>3.5304878048780486</v>
      </c>
      <c r="K43" s="13">
        <v>4.5060975609756095</v>
      </c>
      <c r="L43" s="13">
        <v>11.378048780487806</v>
      </c>
      <c r="M43" s="13">
        <v>0.94817073170731703</v>
      </c>
      <c r="N43" s="13">
        <v>13.390243902439025</v>
      </c>
      <c r="O43" s="13">
        <v>2.6951219512195124</v>
      </c>
      <c r="P43" s="13">
        <v>1.0762195121951219</v>
      </c>
      <c r="Q43" s="13">
        <v>11.426829268292684</v>
      </c>
      <c r="R43" s="13">
        <v>8.8993902439024382</v>
      </c>
      <c r="S43" s="13">
        <v>5.0030487804878048</v>
      </c>
      <c r="T43" s="13">
        <v>3.9847560975609757</v>
      </c>
      <c r="U43" s="13">
        <v>3.9847560975609757</v>
      </c>
      <c r="V43" s="13">
        <v>5.3841463414634143</v>
      </c>
      <c r="W43" s="13">
        <v>3.7317073170731709</v>
      </c>
      <c r="X43" s="13">
        <v>1.6737804878048781</v>
      </c>
      <c r="Y43" s="13">
        <v>1.5426829268292683</v>
      </c>
      <c r="Z43" s="13">
        <v>5.3932926829268295</v>
      </c>
      <c r="AA43" s="13">
        <v>3.6371951219512195</v>
      </c>
      <c r="AB43" s="13">
        <v>2.7835365853658538</v>
      </c>
      <c r="AC43" s="13">
        <v>4.6951219512195124</v>
      </c>
      <c r="AD43" s="13">
        <v>4.0304878048780486</v>
      </c>
      <c r="AE43" s="13">
        <v>4.0274390243902438</v>
      </c>
      <c r="AF43" s="13">
        <v>16.39329268292683</v>
      </c>
      <c r="AG43" s="15">
        <v>17.225609756097562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</row>
    <row r="44" spans="1:71" ht="12" customHeight="1">
      <c r="A44" s="2"/>
      <c r="B44" s="10" t="s">
        <v>33</v>
      </c>
      <c r="C44" s="1" t="s">
        <v>34</v>
      </c>
      <c r="D44" s="1" t="s">
        <v>34</v>
      </c>
      <c r="E44" s="1" t="s">
        <v>34</v>
      </c>
      <c r="F44" s="1"/>
      <c r="G44" s="1" t="s">
        <v>34</v>
      </c>
      <c r="H44" s="1" t="s">
        <v>34</v>
      </c>
      <c r="I44" s="1" t="s">
        <v>34</v>
      </c>
      <c r="J44" s="1" t="s">
        <v>35</v>
      </c>
      <c r="K44" s="1"/>
      <c r="L44" s="1" t="s">
        <v>36</v>
      </c>
      <c r="M44" s="1"/>
      <c r="N44" s="1" t="s">
        <v>34</v>
      </c>
      <c r="O44" s="1" t="s">
        <v>35</v>
      </c>
      <c r="P44" s="1"/>
      <c r="Q44" s="1" t="s">
        <v>36</v>
      </c>
      <c r="R44" s="1" t="s">
        <v>34</v>
      </c>
      <c r="S44" s="1"/>
      <c r="T44" s="1" t="s">
        <v>35</v>
      </c>
      <c r="U44" s="1"/>
      <c r="V44" s="1"/>
      <c r="W44" s="1" t="s">
        <v>36</v>
      </c>
      <c r="X44" s="1" t="s">
        <v>34</v>
      </c>
      <c r="Y44" s="1" t="s">
        <v>34</v>
      </c>
      <c r="Z44" s="1" t="s">
        <v>35</v>
      </c>
      <c r="AA44" s="1"/>
      <c r="AB44" s="1" t="s">
        <v>36</v>
      </c>
      <c r="AC44" s="1"/>
      <c r="AD44" s="1" t="s">
        <v>34</v>
      </c>
      <c r="AE44" s="1"/>
      <c r="AF44" s="1" t="s">
        <v>35</v>
      </c>
      <c r="AG44" s="11" t="s">
        <v>36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</row>
    <row r="45" spans="1:71" ht="12" customHeight="1">
      <c r="A45" s="2"/>
      <c r="B45" s="10">
        <v>1</v>
      </c>
      <c r="C45" s="1">
        <v>53</v>
      </c>
      <c r="D45" s="1">
        <v>45</v>
      </c>
      <c r="E45" s="1">
        <v>67</v>
      </c>
      <c r="F45" s="1"/>
      <c r="G45" s="1">
        <v>53</v>
      </c>
      <c r="H45" s="1">
        <v>91</v>
      </c>
      <c r="I45" s="1">
        <v>57</v>
      </c>
      <c r="J45" s="1">
        <v>101</v>
      </c>
      <c r="K45" s="1"/>
      <c r="L45" s="1">
        <v>127</v>
      </c>
      <c r="M45" s="1"/>
      <c r="N45" s="1">
        <v>80</v>
      </c>
      <c r="O45" s="1">
        <v>114</v>
      </c>
      <c r="P45" s="1"/>
      <c r="Q45" s="1">
        <v>101</v>
      </c>
      <c r="R45" s="1">
        <v>101</v>
      </c>
      <c r="S45" s="1"/>
      <c r="T45" s="1">
        <v>127</v>
      </c>
      <c r="U45" s="1"/>
      <c r="V45" s="1"/>
      <c r="W45" s="1">
        <v>114</v>
      </c>
      <c r="X45" s="1">
        <v>45</v>
      </c>
      <c r="Y45" s="1">
        <v>53</v>
      </c>
      <c r="Z45" s="1">
        <v>101</v>
      </c>
      <c r="AA45" s="1"/>
      <c r="AB45" s="1">
        <v>101</v>
      </c>
      <c r="AC45" s="1"/>
      <c r="AD45" s="1">
        <v>85</v>
      </c>
      <c r="AE45" s="1"/>
      <c r="AF45" s="1">
        <v>127</v>
      </c>
      <c r="AG45" s="11">
        <v>114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</row>
    <row r="46" spans="1:71" ht="12" customHeight="1">
      <c r="A46" s="2"/>
      <c r="B46" s="10">
        <v>4</v>
      </c>
      <c r="C46" s="1">
        <v>106</v>
      </c>
      <c r="D46" s="1">
        <v>90</v>
      </c>
      <c r="E46" s="1">
        <v>134</v>
      </c>
      <c r="F46" s="1"/>
      <c r="G46" s="1">
        <v>106</v>
      </c>
      <c r="H46" s="1">
        <v>179</v>
      </c>
      <c r="I46" s="1">
        <v>113</v>
      </c>
      <c r="J46" s="1">
        <v>199</v>
      </c>
      <c r="K46" s="1"/>
      <c r="L46" s="1">
        <v>252</v>
      </c>
      <c r="M46" s="1"/>
      <c r="N46" s="1">
        <v>158</v>
      </c>
      <c r="O46" s="1">
        <v>227</v>
      </c>
      <c r="P46" s="1"/>
      <c r="Q46" s="1">
        <v>199</v>
      </c>
      <c r="R46" s="1">
        <v>199</v>
      </c>
      <c r="S46" s="1"/>
      <c r="T46" s="1">
        <v>252</v>
      </c>
      <c r="U46" s="1"/>
      <c r="V46" s="1"/>
      <c r="W46" s="1">
        <v>227</v>
      </c>
      <c r="X46" s="1">
        <v>90</v>
      </c>
      <c r="Y46" s="1">
        <v>106</v>
      </c>
      <c r="Z46" s="1">
        <v>199</v>
      </c>
      <c r="AA46" s="1"/>
      <c r="AB46" s="1">
        <v>199</v>
      </c>
      <c r="AC46" s="1"/>
      <c r="AD46" s="1">
        <v>169</v>
      </c>
      <c r="AE46" s="1"/>
      <c r="AF46" s="1">
        <v>252</v>
      </c>
      <c r="AG46" s="11">
        <v>227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</row>
    <row r="47" spans="1:71" ht="12" customHeight="1">
      <c r="A47" s="2"/>
      <c r="B47" s="10">
        <v>7</v>
      </c>
      <c r="C47" s="1">
        <v>193</v>
      </c>
      <c r="D47" s="1">
        <v>163</v>
      </c>
      <c r="E47" s="1">
        <v>243</v>
      </c>
      <c r="F47" s="1"/>
      <c r="G47" s="1">
        <v>193</v>
      </c>
      <c r="H47" s="1">
        <v>326</v>
      </c>
      <c r="I47" s="1">
        <v>206</v>
      </c>
      <c r="J47" s="1">
        <v>363</v>
      </c>
      <c r="K47" s="1"/>
      <c r="L47" s="1">
        <v>458</v>
      </c>
      <c r="M47" s="1"/>
      <c r="N47" s="1">
        <v>287</v>
      </c>
      <c r="O47" s="1">
        <v>412</v>
      </c>
      <c r="P47" s="1"/>
      <c r="Q47" s="1">
        <v>363</v>
      </c>
      <c r="R47" s="1">
        <v>363</v>
      </c>
      <c r="S47" s="1"/>
      <c r="T47" s="1">
        <v>458</v>
      </c>
      <c r="U47" s="1"/>
      <c r="V47" s="1"/>
      <c r="W47" s="1">
        <v>412</v>
      </c>
      <c r="X47" s="1">
        <v>163</v>
      </c>
      <c r="Y47" s="1">
        <v>193</v>
      </c>
      <c r="Z47" s="1">
        <v>363</v>
      </c>
      <c r="AA47" s="1"/>
      <c r="AB47" s="1">
        <v>363</v>
      </c>
      <c r="AC47" s="1"/>
      <c r="AD47" s="1">
        <v>307</v>
      </c>
      <c r="AE47" s="1"/>
      <c r="AF47" s="1">
        <v>458</v>
      </c>
      <c r="AG47" s="11">
        <v>412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</row>
    <row r="48" spans="1:71" ht="12" customHeight="1">
      <c r="A48" s="2"/>
      <c r="B48" s="10">
        <v>10</v>
      </c>
      <c r="C48" s="1">
        <v>277</v>
      </c>
      <c r="D48" s="1">
        <v>235</v>
      </c>
      <c r="E48" s="1">
        <v>349</v>
      </c>
      <c r="F48" s="1"/>
      <c r="G48" s="1">
        <v>277</v>
      </c>
      <c r="H48" s="1">
        <v>469</v>
      </c>
      <c r="I48" s="1">
        <v>296</v>
      </c>
      <c r="J48" s="1">
        <v>521</v>
      </c>
      <c r="K48" s="1"/>
      <c r="L48" s="1">
        <v>657</v>
      </c>
      <c r="M48" s="1"/>
      <c r="N48" s="1">
        <v>412</v>
      </c>
      <c r="O48" s="1">
        <v>592</v>
      </c>
      <c r="P48" s="1"/>
      <c r="Q48" s="1">
        <v>521</v>
      </c>
      <c r="R48" s="1">
        <v>521</v>
      </c>
      <c r="S48" s="1"/>
      <c r="T48" s="1">
        <v>657</v>
      </c>
      <c r="U48" s="1"/>
      <c r="V48" s="1"/>
      <c r="W48" s="1">
        <v>592</v>
      </c>
      <c r="X48" s="1">
        <v>235</v>
      </c>
      <c r="Y48" s="1">
        <v>277</v>
      </c>
      <c r="Z48" s="1">
        <v>521</v>
      </c>
      <c r="AA48" s="1"/>
      <c r="AB48" s="1">
        <v>521</v>
      </c>
      <c r="AC48" s="1"/>
      <c r="AD48" s="1">
        <v>441</v>
      </c>
      <c r="AE48" s="1"/>
      <c r="AF48" s="1">
        <v>657</v>
      </c>
      <c r="AG48" s="11">
        <v>592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</row>
    <row r="49" spans="1:71" ht="12" customHeight="1" thickBot="1">
      <c r="A49" s="2"/>
      <c r="B49" s="16">
        <v>1</v>
      </c>
      <c r="C49" s="17">
        <v>2</v>
      </c>
      <c r="D49" s="17">
        <v>3</v>
      </c>
      <c r="E49" s="17">
        <v>4</v>
      </c>
      <c r="F49" s="17">
        <v>5</v>
      </c>
      <c r="G49" s="17">
        <v>6</v>
      </c>
      <c r="H49" s="17">
        <v>7</v>
      </c>
      <c r="I49" s="17">
        <v>8</v>
      </c>
      <c r="J49" s="17">
        <v>9</v>
      </c>
      <c r="K49" s="17">
        <v>10</v>
      </c>
      <c r="L49" s="17">
        <v>11</v>
      </c>
      <c r="M49" s="17">
        <v>12</v>
      </c>
      <c r="N49" s="17">
        <v>13</v>
      </c>
      <c r="O49" s="17">
        <v>14</v>
      </c>
      <c r="P49" s="17">
        <v>15</v>
      </c>
      <c r="Q49" s="17">
        <v>16</v>
      </c>
      <c r="R49" s="17">
        <v>17</v>
      </c>
      <c r="S49" s="17">
        <v>18</v>
      </c>
      <c r="T49" s="17">
        <v>19</v>
      </c>
      <c r="U49" s="17">
        <v>20</v>
      </c>
      <c r="V49" s="17">
        <v>21</v>
      </c>
      <c r="W49" s="17">
        <v>22</v>
      </c>
      <c r="X49" s="17">
        <v>23</v>
      </c>
      <c r="Y49" s="17">
        <v>24</v>
      </c>
      <c r="Z49" s="17">
        <v>25</v>
      </c>
      <c r="AA49" s="17">
        <v>26</v>
      </c>
      <c r="AB49" s="17">
        <v>27</v>
      </c>
      <c r="AC49" s="17">
        <v>28</v>
      </c>
      <c r="AD49" s="17">
        <v>29</v>
      </c>
      <c r="AE49" s="17">
        <v>30</v>
      </c>
      <c r="AF49" s="17">
        <v>31</v>
      </c>
      <c r="AG49" s="21">
        <v>32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</row>
    <row r="50" spans="1:71" ht="12" customHeight="1" thickBot="1">
      <c r="A50" s="2"/>
      <c r="B50" s="20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4"/>
      <c r="Q50" s="25" t="s">
        <v>53</v>
      </c>
      <c r="R50" s="26" t="s">
        <v>54</v>
      </c>
      <c r="S50" s="27"/>
      <c r="T50" s="27"/>
      <c r="U50" s="27"/>
      <c r="V50" s="27"/>
      <c r="W50" s="29"/>
      <c r="X50" s="26" t="s">
        <v>55</v>
      </c>
      <c r="Y50" s="27"/>
      <c r="Z50" s="27"/>
      <c r="AA50" s="27"/>
      <c r="AB50" s="27"/>
      <c r="AC50" s="29"/>
      <c r="AD50" s="26" t="s">
        <v>56</v>
      </c>
      <c r="AE50" s="27"/>
      <c r="AF50" s="27"/>
      <c r="AG50" s="29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2"/>
      <c r="AX50" s="2"/>
      <c r="AY50" s="2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</row>
    <row r="51" spans="1:71" ht="12" customHeight="1" thickBot="1">
      <c r="A51" s="2"/>
      <c r="B51" s="3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33"/>
      <c r="Q51" s="35" t="s">
        <v>49</v>
      </c>
      <c r="R51" s="37">
        <v>1</v>
      </c>
      <c r="S51" s="39"/>
      <c r="T51" s="37">
        <v>2</v>
      </c>
      <c r="U51" s="39"/>
      <c r="V51" s="37">
        <v>3</v>
      </c>
      <c r="W51" s="39"/>
      <c r="X51" s="37">
        <v>1</v>
      </c>
      <c r="Y51" s="39"/>
      <c r="Z51" s="37">
        <v>2</v>
      </c>
      <c r="AA51" s="39"/>
      <c r="AB51" s="43">
        <v>3</v>
      </c>
      <c r="AC51" s="39"/>
      <c r="AD51" s="37">
        <v>1</v>
      </c>
      <c r="AE51" s="39"/>
      <c r="AF51" s="43">
        <v>2</v>
      </c>
      <c r="AG51" s="39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2"/>
      <c r="AX51" s="2"/>
      <c r="AY51" s="2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</row>
    <row r="52" spans="1:71" ht="12" customHeight="1">
      <c r="A52" s="2"/>
      <c r="B52" s="31"/>
      <c r="C52" s="2"/>
      <c r="D52" s="2"/>
      <c r="E52" s="2"/>
      <c r="F52" s="185" t="s">
        <v>66</v>
      </c>
      <c r="G52" s="186"/>
      <c r="H52" s="186"/>
      <c r="I52" s="186"/>
      <c r="J52" s="186"/>
      <c r="K52" s="186"/>
      <c r="L52" s="186"/>
      <c r="M52" s="186"/>
      <c r="N52" s="186"/>
      <c r="O52" s="186"/>
      <c r="P52" s="33"/>
      <c r="Q52" s="45" t="s">
        <v>2</v>
      </c>
      <c r="R52" s="20"/>
      <c r="S52" s="24"/>
      <c r="T52" s="20">
        <v>0</v>
      </c>
      <c r="U52" s="24">
        <v>1</v>
      </c>
      <c r="V52" s="20">
        <v>0</v>
      </c>
      <c r="W52" s="24">
        <v>15</v>
      </c>
      <c r="X52" s="20"/>
      <c r="Y52" s="24"/>
      <c r="Z52" s="20">
        <v>1</v>
      </c>
      <c r="AA52" s="24">
        <v>1.18</v>
      </c>
      <c r="AB52" s="20">
        <v>1</v>
      </c>
      <c r="AC52" s="24">
        <v>1.3</v>
      </c>
      <c r="AD52" s="20"/>
      <c r="AE52" s="24"/>
      <c r="AF52" s="22">
        <v>1</v>
      </c>
      <c r="AG52" s="24">
        <v>1</v>
      </c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2"/>
      <c r="AX52" s="2"/>
      <c r="AY52" s="2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</row>
    <row r="53" spans="1:71" ht="12" customHeight="1" thickBot="1">
      <c r="A53" s="2"/>
      <c r="B53" s="31"/>
      <c r="C53" s="2"/>
      <c r="D53" s="2"/>
      <c r="E53" s="2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33"/>
      <c r="Q53" s="47" t="s">
        <v>3</v>
      </c>
      <c r="R53" s="31"/>
      <c r="S53" s="33"/>
      <c r="T53" s="31"/>
      <c r="U53" s="33"/>
      <c r="V53" s="31"/>
      <c r="W53" s="33"/>
      <c r="X53" s="31">
        <v>1</v>
      </c>
      <c r="Y53" s="33">
        <v>1.5</v>
      </c>
      <c r="Z53" s="31">
        <v>1</v>
      </c>
      <c r="AA53" s="33">
        <v>0.5</v>
      </c>
      <c r="AB53" s="31">
        <v>1</v>
      </c>
      <c r="AC53" s="33">
        <f>0.25*0.25</f>
        <v>6.25E-2</v>
      </c>
      <c r="AD53" s="31">
        <v>1</v>
      </c>
      <c r="AE53" s="33">
        <v>1.2</v>
      </c>
      <c r="AF53" s="2">
        <v>0</v>
      </c>
      <c r="AG53" s="33">
        <v>1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2"/>
      <c r="AX53" s="2"/>
      <c r="AY53" s="2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</row>
    <row r="54" spans="1:71" ht="12" customHeight="1">
      <c r="A54" s="2"/>
      <c r="B54" s="31"/>
      <c r="C54" s="54" t="s">
        <v>68</v>
      </c>
      <c r="D54" s="56">
        <f>C29</f>
        <v>1344.3166430000001</v>
      </c>
      <c r="E54" s="2"/>
      <c r="F54" s="185" t="s">
        <v>69</v>
      </c>
      <c r="G54" s="186"/>
      <c r="H54" s="186"/>
      <c r="I54" s="186"/>
      <c r="J54" s="186"/>
      <c r="K54" s="186"/>
      <c r="L54" s="186"/>
      <c r="M54" s="186"/>
      <c r="N54" s="186"/>
      <c r="O54" s="186"/>
      <c r="P54" s="33"/>
      <c r="Q54" s="47" t="s">
        <v>4</v>
      </c>
      <c r="R54" s="31"/>
      <c r="S54" s="33"/>
      <c r="T54" s="31"/>
      <c r="U54" s="33"/>
      <c r="V54" s="31">
        <v>1</v>
      </c>
      <c r="W54" s="33">
        <v>1.5</v>
      </c>
      <c r="X54" s="31"/>
      <c r="Y54" s="33"/>
      <c r="Z54" s="31"/>
      <c r="AA54" s="33"/>
      <c r="AB54" s="31">
        <v>1</v>
      </c>
      <c r="AC54" s="33">
        <v>1.4</v>
      </c>
      <c r="AD54" s="31">
        <v>1</v>
      </c>
      <c r="AE54" s="33">
        <v>2</v>
      </c>
      <c r="AF54" s="2">
        <v>1</v>
      </c>
      <c r="AG54" s="33">
        <v>1.7250000000000001</v>
      </c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2"/>
      <c r="AX54" s="2"/>
      <c r="AY54" s="2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</row>
    <row r="55" spans="1:71" ht="12" customHeight="1">
      <c r="A55" s="2"/>
      <c r="B55" s="31"/>
      <c r="C55" s="25" t="s">
        <v>70</v>
      </c>
      <c r="D55" s="50">
        <v>101</v>
      </c>
      <c r="E55" s="2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33"/>
      <c r="Q55" s="47" t="s">
        <v>5</v>
      </c>
      <c r="R55" s="31"/>
      <c r="S55" s="33"/>
      <c r="T55" s="31">
        <v>1</v>
      </c>
      <c r="U55" s="33">
        <v>0.8</v>
      </c>
      <c r="V55" s="31"/>
      <c r="W55" s="33"/>
      <c r="X55" s="31">
        <v>1</v>
      </c>
      <c r="Y55" s="33">
        <v>1.25</v>
      </c>
      <c r="Z55" s="31"/>
      <c r="AA55" s="33"/>
      <c r="AB55" s="31">
        <v>1</v>
      </c>
      <c r="AC55" s="60">
        <v>1.2133333333333334</v>
      </c>
      <c r="AD55" s="31">
        <v>1</v>
      </c>
      <c r="AE55" s="33">
        <v>1.5</v>
      </c>
      <c r="AF55" s="2">
        <v>1</v>
      </c>
      <c r="AG55" s="33">
        <v>2.4</v>
      </c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2"/>
      <c r="AX55" s="2"/>
      <c r="AY55" s="2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</row>
    <row r="56" spans="1:71" ht="12" customHeight="1">
      <c r="A56" s="2"/>
      <c r="B56" s="31"/>
      <c r="C56" s="25" t="s">
        <v>72</v>
      </c>
      <c r="D56" s="50">
        <v>2817</v>
      </c>
      <c r="E56" s="2"/>
      <c r="F56" s="185" t="s">
        <v>74</v>
      </c>
      <c r="G56" s="186"/>
      <c r="H56" s="186"/>
      <c r="I56" s="186"/>
      <c r="J56" s="186"/>
      <c r="K56" s="186"/>
      <c r="L56" s="186"/>
      <c r="M56" s="186"/>
      <c r="N56" s="186"/>
      <c r="O56" s="186"/>
      <c r="P56" s="33"/>
      <c r="Q56" s="47" t="s">
        <v>6</v>
      </c>
      <c r="R56" s="31">
        <v>1</v>
      </c>
      <c r="S56" s="33">
        <v>0.5</v>
      </c>
      <c r="T56" s="31"/>
      <c r="U56" s="33"/>
      <c r="V56" s="31">
        <v>1</v>
      </c>
      <c r="W56" s="33">
        <v>1.2</v>
      </c>
      <c r="X56" s="31"/>
      <c r="Y56" s="33"/>
      <c r="Z56" s="31">
        <v>0</v>
      </c>
      <c r="AA56" s="33">
        <v>60</v>
      </c>
      <c r="AB56" s="31">
        <v>1</v>
      </c>
      <c r="AC56" s="33">
        <v>1.24</v>
      </c>
      <c r="AD56" s="31">
        <v>1</v>
      </c>
      <c r="AE56" s="33">
        <v>1.6</v>
      </c>
      <c r="AF56" s="2">
        <v>1</v>
      </c>
      <c r="AG56" s="33">
        <v>1.4</v>
      </c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2"/>
      <c r="AX56" s="2"/>
      <c r="AY56" s="2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</row>
    <row r="57" spans="1:71" ht="12" customHeight="1">
      <c r="A57" s="2"/>
      <c r="B57" s="31"/>
      <c r="C57" s="25" t="s">
        <v>75</v>
      </c>
      <c r="D57" s="165">
        <f>B17</f>
        <v>19.001300000000001</v>
      </c>
      <c r="E57" s="2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33"/>
      <c r="Q57" s="47" t="s">
        <v>7</v>
      </c>
      <c r="R57" s="31">
        <v>1</v>
      </c>
      <c r="S57" s="33">
        <v>0.5</v>
      </c>
      <c r="T57" s="31">
        <v>0</v>
      </c>
      <c r="U57" s="33">
        <v>0.625</v>
      </c>
      <c r="V57" s="31"/>
      <c r="W57" s="33"/>
      <c r="X57" s="31">
        <v>1</v>
      </c>
      <c r="Y57" s="33">
        <v>0.8</v>
      </c>
      <c r="Z57" s="31">
        <v>1</v>
      </c>
      <c r="AA57" s="33">
        <v>1.5</v>
      </c>
      <c r="AB57" s="31"/>
      <c r="AC57" s="33"/>
      <c r="AD57" s="31">
        <v>1</v>
      </c>
      <c r="AE57" s="33">
        <v>2</v>
      </c>
      <c r="AF57" s="2">
        <v>0</v>
      </c>
      <c r="AG57" s="33">
        <v>3</v>
      </c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2"/>
      <c r="AX57" s="2"/>
      <c r="AY57" s="2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</row>
    <row r="58" spans="1:71" ht="12" customHeight="1">
      <c r="A58" s="2"/>
      <c r="B58" s="31"/>
      <c r="C58" s="25" t="s">
        <v>76</v>
      </c>
      <c r="D58" s="63">
        <v>200</v>
      </c>
      <c r="E58" s="2"/>
      <c r="F58" s="185" t="s">
        <v>77</v>
      </c>
      <c r="G58" s="186"/>
      <c r="H58" s="186"/>
      <c r="I58" s="186"/>
      <c r="J58" s="186"/>
      <c r="K58" s="186"/>
      <c r="L58" s="186"/>
      <c r="M58" s="186"/>
      <c r="N58" s="186"/>
      <c r="O58" s="186"/>
      <c r="P58" s="33"/>
      <c r="Q58" s="47" t="s">
        <v>8</v>
      </c>
      <c r="R58" s="31">
        <v>1</v>
      </c>
      <c r="S58" s="33">
        <v>1.2</v>
      </c>
      <c r="T58" s="31"/>
      <c r="U58" s="33"/>
      <c r="V58" s="31"/>
      <c r="W58" s="33"/>
      <c r="X58" s="31">
        <v>0</v>
      </c>
      <c r="Y58" s="33">
        <v>25</v>
      </c>
      <c r="Z58" s="31"/>
      <c r="AA58" s="33"/>
      <c r="AB58" s="31">
        <v>1</v>
      </c>
      <c r="AC58" s="33">
        <v>1.24</v>
      </c>
      <c r="AD58" s="31">
        <v>1</v>
      </c>
      <c r="AE58" s="33">
        <v>1.5</v>
      </c>
      <c r="AF58" s="2">
        <v>1</v>
      </c>
      <c r="AG58" s="33">
        <v>1.2</v>
      </c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2"/>
      <c r="AX58" s="2"/>
      <c r="AY58" s="2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</row>
    <row r="59" spans="1:71" ht="12" customHeight="1" thickBot="1">
      <c r="A59" s="2"/>
      <c r="B59" s="31"/>
      <c r="C59" s="67" t="s">
        <v>78</v>
      </c>
      <c r="D59" s="68">
        <v>40</v>
      </c>
      <c r="E59" s="2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33"/>
      <c r="Q59" s="47" t="s">
        <v>9</v>
      </c>
      <c r="R59" s="31"/>
      <c r="S59" s="33"/>
      <c r="T59" s="31">
        <v>0</v>
      </c>
      <c r="U59" s="33">
        <v>1</v>
      </c>
      <c r="V59" s="31">
        <v>0</v>
      </c>
      <c r="W59" s="33">
        <v>1</v>
      </c>
      <c r="X59" s="31">
        <v>1</v>
      </c>
      <c r="Y59" s="33">
        <v>1.5</v>
      </c>
      <c r="Z59" s="31"/>
      <c r="AA59" s="33"/>
      <c r="AB59" s="31">
        <v>0</v>
      </c>
      <c r="AC59" s="33">
        <v>60</v>
      </c>
      <c r="AD59" s="31">
        <v>1</v>
      </c>
      <c r="AE59" s="33">
        <v>3</v>
      </c>
      <c r="AF59" s="2">
        <v>1</v>
      </c>
      <c r="AG59" s="33">
        <v>1.3</v>
      </c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2"/>
      <c r="AX59" s="2"/>
      <c r="AY59" s="2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</row>
    <row r="60" spans="1:71" ht="12" customHeight="1">
      <c r="A60" s="2"/>
      <c r="B60" s="31"/>
      <c r="C60" s="54" t="s">
        <v>80</v>
      </c>
      <c r="D60" s="23">
        <v>1</v>
      </c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33"/>
      <c r="Q60" s="47" t="s">
        <v>10</v>
      </c>
      <c r="R60" s="31">
        <v>1</v>
      </c>
      <c r="S60" s="33">
        <v>0.85</v>
      </c>
      <c r="T60" s="31">
        <v>1</v>
      </c>
      <c r="U60" s="33">
        <v>1.18</v>
      </c>
      <c r="V60" s="31"/>
      <c r="W60" s="33"/>
      <c r="X60" s="31">
        <v>1</v>
      </c>
      <c r="Y60" s="33">
        <v>1.25</v>
      </c>
      <c r="Z60" s="31">
        <v>0</v>
      </c>
      <c r="AA60" s="33">
        <v>30</v>
      </c>
      <c r="AB60" s="31"/>
      <c r="AC60" s="33"/>
      <c r="AD60" s="31">
        <v>1</v>
      </c>
      <c r="AE60" s="33">
        <v>1</v>
      </c>
      <c r="AF60" s="2">
        <v>0</v>
      </c>
      <c r="AG60" s="33">
        <v>100</v>
      </c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2"/>
      <c r="AX60" s="2"/>
      <c r="AY60" s="2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</row>
    <row r="61" spans="1:71" ht="12" customHeight="1" thickBot="1">
      <c r="A61" s="2"/>
      <c r="B61" s="31"/>
      <c r="C61" s="67" t="s">
        <v>81</v>
      </c>
      <c r="D61" s="68">
        <v>1.5</v>
      </c>
      <c r="E61" s="2"/>
      <c r="F61" s="1"/>
      <c r="G61" s="1"/>
      <c r="H61" s="1"/>
      <c r="I61" s="1"/>
      <c r="J61" s="1"/>
      <c r="K61" s="1"/>
      <c r="L61" s="1"/>
      <c r="M61" s="1"/>
      <c r="N61" s="1"/>
      <c r="O61" s="1"/>
      <c r="P61" s="33"/>
      <c r="Q61" s="47" t="s">
        <v>11</v>
      </c>
      <c r="R61" s="31">
        <v>0</v>
      </c>
      <c r="S61" s="33">
        <v>5</v>
      </c>
      <c r="T61" s="31">
        <v>0</v>
      </c>
      <c r="U61" s="33">
        <v>15</v>
      </c>
      <c r="V61" s="31"/>
      <c r="W61" s="33"/>
      <c r="X61" s="31"/>
      <c r="Y61" s="33"/>
      <c r="Z61" s="31">
        <v>1</v>
      </c>
      <c r="AA61" s="33">
        <v>1.5</v>
      </c>
      <c r="AB61" s="31"/>
      <c r="AC61" s="33"/>
      <c r="AD61" s="31">
        <v>1</v>
      </c>
      <c r="AE61" s="33">
        <v>6</v>
      </c>
      <c r="AF61" s="2"/>
      <c r="AG61" s="33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2"/>
      <c r="AX61" s="2"/>
      <c r="AY61" s="2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</row>
    <row r="62" spans="1:71" ht="12" customHeight="1">
      <c r="A62" s="2"/>
      <c r="B62" s="31"/>
      <c r="C62" s="2"/>
      <c r="D62" s="1"/>
      <c r="E62" s="2"/>
      <c r="F62" s="185" t="s">
        <v>85</v>
      </c>
      <c r="G62" s="186"/>
      <c r="H62" s="186"/>
      <c r="I62" s="186"/>
      <c r="J62" s="186"/>
      <c r="K62" s="186"/>
      <c r="L62" s="186"/>
      <c r="M62" s="186"/>
      <c r="N62" s="186"/>
      <c r="O62" s="186"/>
      <c r="P62" s="33"/>
      <c r="Q62" s="47" t="s">
        <v>12</v>
      </c>
      <c r="R62" s="31"/>
      <c r="S62" s="33"/>
      <c r="T62" s="31"/>
      <c r="U62" s="33"/>
      <c r="V62" s="31"/>
      <c r="W62" s="33"/>
      <c r="X62" s="31">
        <v>1</v>
      </c>
      <c r="Y62" s="33">
        <v>1.3</v>
      </c>
      <c r="Z62" s="31">
        <v>0</v>
      </c>
      <c r="AA62" s="33">
        <v>40</v>
      </c>
      <c r="AB62" s="31">
        <v>1</v>
      </c>
      <c r="AC62" s="33">
        <v>1.4</v>
      </c>
      <c r="AD62" s="31">
        <v>0</v>
      </c>
      <c r="AE62" s="33">
        <v>0.5</v>
      </c>
      <c r="AF62" s="2">
        <v>0</v>
      </c>
      <c r="AG62" s="33">
        <v>0.6</v>
      </c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2"/>
      <c r="AX62" s="2"/>
      <c r="AY62" s="2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</row>
    <row r="63" spans="1:71" ht="12" customHeight="1">
      <c r="A63" s="2"/>
      <c r="B63" s="31"/>
      <c r="C63" s="2"/>
      <c r="D63" s="1"/>
      <c r="E63" s="2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33"/>
      <c r="Q63" s="47" t="s">
        <v>13</v>
      </c>
      <c r="R63" s="31"/>
      <c r="S63" s="33"/>
      <c r="T63" s="31"/>
      <c r="U63" s="33"/>
      <c r="V63" s="31">
        <v>0</v>
      </c>
      <c r="W63" s="33">
        <v>40</v>
      </c>
      <c r="X63" s="31">
        <v>1</v>
      </c>
      <c r="Y63" s="33">
        <v>1.3</v>
      </c>
      <c r="Z63" s="31"/>
      <c r="AA63" s="33"/>
      <c r="AB63" s="31">
        <v>1</v>
      </c>
      <c r="AC63" s="33">
        <v>2</v>
      </c>
      <c r="AD63" s="31"/>
      <c r="AE63" s="33"/>
      <c r="AF63" s="2">
        <v>1</v>
      </c>
      <c r="AG63" s="33">
        <v>1.33</v>
      </c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2"/>
      <c r="AX63" s="2"/>
      <c r="AY63" s="2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</row>
    <row r="64" spans="1:71" ht="12" customHeight="1">
      <c r="A64" s="2"/>
      <c r="B64" s="31"/>
      <c r="C64" s="2"/>
      <c r="D64" s="2"/>
      <c r="E64" s="2"/>
      <c r="F64" s="185" t="s">
        <v>88</v>
      </c>
      <c r="G64" s="186"/>
      <c r="H64" s="186"/>
      <c r="I64" s="186"/>
      <c r="J64" s="186"/>
      <c r="K64" s="186"/>
      <c r="L64" s="186"/>
      <c r="M64" s="186"/>
      <c r="N64" s="186"/>
      <c r="O64" s="186"/>
      <c r="P64" s="33"/>
      <c r="Q64" s="47" t="s">
        <v>14</v>
      </c>
      <c r="R64" s="31">
        <v>0</v>
      </c>
      <c r="S64" s="33">
        <v>50</v>
      </c>
      <c r="T64" s="31">
        <v>1</v>
      </c>
      <c r="U64" s="33">
        <v>0.5</v>
      </c>
      <c r="V64" s="31"/>
      <c r="W64" s="33"/>
      <c r="X64" s="31">
        <v>0</v>
      </c>
      <c r="Y64" s="33">
        <v>25</v>
      </c>
      <c r="Z64" s="31"/>
      <c r="AA64" s="33"/>
      <c r="AB64" s="31">
        <v>1</v>
      </c>
      <c r="AC64" s="33">
        <v>1.36</v>
      </c>
      <c r="AD64" s="31">
        <v>1</v>
      </c>
      <c r="AE64" s="33">
        <v>0.6</v>
      </c>
      <c r="AF64" s="2">
        <v>1</v>
      </c>
      <c r="AG64" s="33">
        <v>1.2</v>
      </c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2"/>
      <c r="AX64" s="2"/>
      <c r="AY64" s="2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</row>
    <row r="65" spans="1:71" ht="12" customHeight="1">
      <c r="A65" s="2"/>
      <c r="B65" s="31"/>
      <c r="C65" s="2"/>
      <c r="D65" s="2"/>
      <c r="E65" s="2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33"/>
      <c r="Q65" s="47" t="s">
        <v>15</v>
      </c>
      <c r="R65" s="31"/>
      <c r="S65" s="33"/>
      <c r="T65" s="31">
        <v>1</v>
      </c>
      <c r="U65" s="33">
        <v>1.25</v>
      </c>
      <c r="V65" s="31">
        <v>0</v>
      </c>
      <c r="W65" s="74">
        <v>1</v>
      </c>
      <c r="X65" s="31">
        <v>1</v>
      </c>
      <c r="Y65" s="33">
        <v>0.8</v>
      </c>
      <c r="Z65" s="31"/>
      <c r="AA65" s="33"/>
      <c r="AB65" s="31">
        <v>1</v>
      </c>
      <c r="AC65" s="33">
        <v>0.2</v>
      </c>
      <c r="AD65" s="31">
        <v>0</v>
      </c>
      <c r="AE65" s="33">
        <v>40</v>
      </c>
      <c r="AF65" s="2">
        <v>1</v>
      </c>
      <c r="AG65" s="33">
        <v>1.3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2"/>
      <c r="AX65" s="2"/>
      <c r="AY65" s="2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ht="12" customHeight="1">
      <c r="A66" s="2"/>
      <c r="B66" s="31"/>
      <c r="C66" s="2"/>
      <c r="D66" s="2"/>
      <c r="E66" s="2"/>
      <c r="F66" s="194" t="s">
        <v>90</v>
      </c>
      <c r="G66" s="186"/>
      <c r="H66" s="186"/>
      <c r="I66" s="186"/>
      <c r="J66" s="186"/>
      <c r="K66" s="186"/>
      <c r="L66" s="186"/>
      <c r="M66" s="186"/>
      <c r="N66" s="186"/>
      <c r="O66" s="186"/>
      <c r="P66" s="33"/>
      <c r="Q66" s="47" t="s">
        <v>16</v>
      </c>
      <c r="R66" s="31">
        <v>1</v>
      </c>
      <c r="S66" s="33">
        <v>0.5</v>
      </c>
      <c r="T66" s="31">
        <v>1</v>
      </c>
      <c r="U66" s="33">
        <v>0.9</v>
      </c>
      <c r="V66" s="31">
        <v>0</v>
      </c>
      <c r="W66" s="33">
        <v>15</v>
      </c>
      <c r="X66" s="31">
        <v>1</v>
      </c>
      <c r="Y66" s="33">
        <v>1.4</v>
      </c>
      <c r="Z66" s="31"/>
      <c r="AA66" s="33"/>
      <c r="AB66" s="31"/>
      <c r="AC66" s="33"/>
      <c r="AD66" s="31">
        <v>1</v>
      </c>
      <c r="AE66" s="33">
        <v>1.5</v>
      </c>
      <c r="AF66" s="2">
        <v>1</v>
      </c>
      <c r="AG66" s="33">
        <v>1.5</v>
      </c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2"/>
      <c r="AX66" s="2"/>
      <c r="AY66" s="2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ht="12" customHeight="1">
      <c r="A67" s="2"/>
      <c r="B67" s="31"/>
      <c r="C67" s="2"/>
      <c r="D67" s="2"/>
      <c r="E67" s="2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33"/>
      <c r="Q67" s="47" t="s">
        <v>17</v>
      </c>
      <c r="R67" s="31">
        <v>1</v>
      </c>
      <c r="S67" s="33">
        <v>0.8</v>
      </c>
      <c r="T67" s="31"/>
      <c r="U67" s="33"/>
      <c r="V67" s="31">
        <v>0</v>
      </c>
      <c r="W67" s="33">
        <v>1</v>
      </c>
      <c r="X67" s="31"/>
      <c r="Y67" s="33"/>
      <c r="Z67" s="31">
        <v>1</v>
      </c>
      <c r="AA67" s="33">
        <v>1.5</v>
      </c>
      <c r="AB67" s="31">
        <v>1</v>
      </c>
      <c r="AC67" s="33">
        <v>1.4</v>
      </c>
      <c r="AD67" s="31">
        <v>0</v>
      </c>
      <c r="AE67" s="33">
        <v>150</v>
      </c>
      <c r="AF67" s="2">
        <v>0</v>
      </c>
      <c r="AG67" s="33">
        <v>1</v>
      </c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2"/>
      <c r="AX67" s="2"/>
      <c r="AY67" s="2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ht="12" customHeight="1">
      <c r="A68" s="2"/>
      <c r="B68" s="31"/>
      <c r="C68" s="2"/>
      <c r="D68" s="2"/>
      <c r="E68" s="2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33"/>
      <c r="Q68" s="47" t="s">
        <v>18</v>
      </c>
      <c r="R68" s="31">
        <v>0</v>
      </c>
      <c r="S68" s="33">
        <v>4</v>
      </c>
      <c r="T68" s="31">
        <v>1</v>
      </c>
      <c r="U68" s="33">
        <v>0.8</v>
      </c>
      <c r="V68" s="31">
        <v>1</v>
      </c>
      <c r="W68" s="33">
        <v>1.2</v>
      </c>
      <c r="X68" s="31">
        <v>0</v>
      </c>
      <c r="Y68" s="33">
        <v>40</v>
      </c>
      <c r="Z68" s="31">
        <v>0</v>
      </c>
      <c r="AA68" s="33">
        <v>1</v>
      </c>
      <c r="AB68" s="31" t="s">
        <v>86</v>
      </c>
      <c r="AC68" s="33">
        <v>5</v>
      </c>
      <c r="AD68" s="31">
        <v>1</v>
      </c>
      <c r="AE68" s="33">
        <v>2.8</v>
      </c>
      <c r="AF68" s="2">
        <v>1</v>
      </c>
      <c r="AG68" s="33">
        <v>3</v>
      </c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2"/>
      <c r="AX68" s="2"/>
      <c r="AY68" s="2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ht="12" customHeight="1">
      <c r="A69" s="2"/>
      <c r="B69" s="31"/>
      <c r="C69" s="2"/>
      <c r="D69" s="2"/>
      <c r="E69" s="2"/>
      <c r="F69" s="194" t="s">
        <v>94</v>
      </c>
      <c r="G69" s="186"/>
      <c r="H69" s="186"/>
      <c r="I69" s="186"/>
      <c r="J69" s="186"/>
      <c r="K69" s="186"/>
      <c r="L69" s="186"/>
      <c r="M69" s="186"/>
      <c r="N69" s="186"/>
      <c r="O69" s="186"/>
      <c r="P69" s="33"/>
      <c r="Q69" s="47" t="s">
        <v>19</v>
      </c>
      <c r="R69" s="31"/>
      <c r="S69" s="33"/>
      <c r="T69" s="31"/>
      <c r="U69" s="33"/>
      <c r="V69" s="31">
        <v>0</v>
      </c>
      <c r="W69" s="33">
        <v>100</v>
      </c>
      <c r="X69" s="31">
        <v>1</v>
      </c>
      <c r="Y69" s="33">
        <v>1.25</v>
      </c>
      <c r="Z69" s="31"/>
      <c r="AA69" s="33"/>
      <c r="AB69" s="31"/>
      <c r="AC69" s="33"/>
      <c r="AD69" s="31">
        <v>0</v>
      </c>
      <c r="AE69" s="33">
        <v>1</v>
      </c>
      <c r="AF69" s="2">
        <v>1</v>
      </c>
      <c r="AG69" s="33">
        <v>2</v>
      </c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2"/>
      <c r="AX69" s="2"/>
      <c r="AY69" s="2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12" customHeight="1">
      <c r="A70" s="2"/>
      <c r="B70" s="31"/>
      <c r="C70" s="2"/>
      <c r="D70" s="2"/>
      <c r="E70" s="2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33"/>
      <c r="Q70" s="47" t="s">
        <v>20</v>
      </c>
      <c r="R70" s="31">
        <v>0</v>
      </c>
      <c r="S70" s="33">
        <v>3</v>
      </c>
      <c r="T70" s="31">
        <v>1</v>
      </c>
      <c r="U70" s="33">
        <v>0.5</v>
      </c>
      <c r="V70" s="31"/>
      <c r="W70" s="33"/>
      <c r="X70" s="31">
        <v>0</v>
      </c>
      <c r="Y70" s="33">
        <v>60</v>
      </c>
      <c r="Z70" s="31">
        <v>1</v>
      </c>
      <c r="AA70" s="33">
        <v>1.5</v>
      </c>
      <c r="AB70" s="31"/>
      <c r="AC70" s="33"/>
      <c r="AD70" s="31">
        <v>1</v>
      </c>
      <c r="AE70" s="33">
        <v>2</v>
      </c>
      <c r="AF70" s="2">
        <v>1</v>
      </c>
      <c r="AG70" s="33">
        <v>2</v>
      </c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2"/>
      <c r="AX70" s="2"/>
      <c r="AY70" s="2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ht="12" customHeight="1">
      <c r="A71" s="2"/>
      <c r="B71" s="31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33"/>
      <c r="Q71" s="47" t="s">
        <v>21</v>
      </c>
      <c r="R71" s="31">
        <v>0</v>
      </c>
      <c r="S71" s="33">
        <v>6</v>
      </c>
      <c r="T71" s="31">
        <v>0</v>
      </c>
      <c r="U71" s="33">
        <v>0.2</v>
      </c>
      <c r="V71" s="31"/>
      <c r="W71" s="33"/>
      <c r="X71" s="31">
        <v>0</v>
      </c>
      <c r="Y71" s="33">
        <v>0.3</v>
      </c>
      <c r="Z71" s="31"/>
      <c r="AA71" s="33"/>
      <c r="AB71" s="31">
        <v>1</v>
      </c>
      <c r="AC71" s="33">
        <v>1.5</v>
      </c>
      <c r="AD71" s="31">
        <v>1</v>
      </c>
      <c r="AE71" s="33">
        <v>1.4</v>
      </c>
      <c r="AF71" s="2">
        <v>1</v>
      </c>
      <c r="AG71" s="33">
        <v>1.6</v>
      </c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2"/>
      <c r="AX71" s="2"/>
      <c r="AY71" s="2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ht="12" customHeight="1" thickBot="1">
      <c r="A72" s="2"/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3"/>
      <c r="Q72" s="84" t="s">
        <v>22</v>
      </c>
      <c r="R72" s="81">
        <v>1</v>
      </c>
      <c r="S72" s="83">
        <v>0.5</v>
      </c>
      <c r="T72" s="81"/>
      <c r="U72" s="83"/>
      <c r="V72" s="81"/>
      <c r="W72" s="83"/>
      <c r="X72" s="81">
        <v>1</v>
      </c>
      <c r="Y72" s="83">
        <v>1.3</v>
      </c>
      <c r="Z72" s="81"/>
      <c r="AA72" s="83"/>
      <c r="AB72" s="81">
        <v>0</v>
      </c>
      <c r="AC72" s="83">
        <v>0.4</v>
      </c>
      <c r="AD72" s="81"/>
      <c r="AE72" s="83"/>
      <c r="AF72" s="82">
        <v>0</v>
      </c>
      <c r="AG72" s="83">
        <v>100</v>
      </c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</row>
    <row r="73" spans="1:71" ht="12" customHeight="1" thickBot="1">
      <c r="A73" s="2"/>
      <c r="B73" s="86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</row>
    <row r="74" spans="1:71" ht="12" customHeight="1" thickBot="1">
      <c r="A74" s="2"/>
      <c r="B74" s="2"/>
      <c r="C74" s="2"/>
      <c r="D74" s="2"/>
      <c r="E74" s="1"/>
      <c r="F74" s="190" t="s">
        <v>93</v>
      </c>
      <c r="G74" s="191"/>
      <c r="H74" s="192"/>
      <c r="I74" s="190" t="s">
        <v>96</v>
      </c>
      <c r="J74" s="191"/>
      <c r="K74" s="191"/>
      <c r="L74" s="191"/>
      <c r="M74" s="191"/>
      <c r="N74" s="191"/>
      <c r="O74" s="191"/>
      <c r="P74" s="191"/>
      <c r="Q74" s="191"/>
      <c r="R74" s="192"/>
      <c r="S74" s="187" t="s">
        <v>97</v>
      </c>
      <c r="T74" s="188"/>
      <c r="U74" s="188"/>
      <c r="V74" s="188"/>
      <c r="W74" s="188"/>
      <c r="X74" s="189"/>
      <c r="Y74" s="187" t="s">
        <v>100</v>
      </c>
      <c r="Z74" s="188"/>
      <c r="AA74" s="188"/>
      <c r="AB74" s="188"/>
      <c r="AC74" s="188"/>
      <c r="AD74" s="189"/>
      <c r="AE74" s="1"/>
      <c r="AF74" s="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87" t="s">
        <v>54</v>
      </c>
      <c r="AS74" s="88"/>
      <c r="AT74" s="88"/>
      <c r="AU74" s="87" t="s">
        <v>55</v>
      </c>
      <c r="AV74" s="88"/>
      <c r="AW74" s="88"/>
      <c r="AX74" s="87" t="s">
        <v>56</v>
      </c>
      <c r="AY74" s="9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</row>
    <row r="75" spans="1:71" ht="12" customHeight="1" thickBot="1">
      <c r="A75" s="1"/>
      <c r="B75" s="18" t="s">
        <v>47</v>
      </c>
      <c r="C75" s="20" t="s">
        <v>48</v>
      </c>
      <c r="D75" s="8" t="s">
        <v>49</v>
      </c>
      <c r="E75" s="22" t="s">
        <v>50</v>
      </c>
      <c r="F75" s="22" t="s">
        <v>104</v>
      </c>
      <c r="G75" s="22" t="s">
        <v>105</v>
      </c>
      <c r="H75" s="8" t="s">
        <v>51</v>
      </c>
      <c r="I75" s="38" t="s">
        <v>106</v>
      </c>
      <c r="J75" s="40" t="s">
        <v>107</v>
      </c>
      <c r="K75" s="40" t="s">
        <v>109</v>
      </c>
      <c r="L75" s="41" t="s">
        <v>110</v>
      </c>
      <c r="M75" s="6" t="s">
        <v>112</v>
      </c>
      <c r="N75" s="6" t="s">
        <v>113</v>
      </c>
      <c r="O75" s="6" t="s">
        <v>114</v>
      </c>
      <c r="P75" s="6" t="s">
        <v>115</v>
      </c>
      <c r="Q75" s="6" t="s">
        <v>116</v>
      </c>
      <c r="R75" s="9" t="s">
        <v>118</v>
      </c>
      <c r="S75" s="5" t="s">
        <v>52</v>
      </c>
      <c r="T75" s="6" t="s">
        <v>31</v>
      </c>
      <c r="U75" s="6" t="s">
        <v>32</v>
      </c>
      <c r="V75" s="6" t="s">
        <v>37</v>
      </c>
      <c r="W75" s="6" t="s">
        <v>38</v>
      </c>
      <c r="X75" s="9" t="s">
        <v>39</v>
      </c>
      <c r="Y75" s="5" t="s">
        <v>57</v>
      </c>
      <c r="Z75" s="6" t="s">
        <v>31</v>
      </c>
      <c r="AA75" s="6" t="s">
        <v>32</v>
      </c>
      <c r="AB75" s="6" t="s">
        <v>37</v>
      </c>
      <c r="AC75" s="6" t="s">
        <v>38</v>
      </c>
      <c r="AD75" s="9" t="s">
        <v>39</v>
      </c>
      <c r="AE75" s="95" t="s">
        <v>119</v>
      </c>
      <c r="AF75" s="96" t="s">
        <v>120</v>
      </c>
      <c r="AG75" s="96" t="s">
        <v>121</v>
      </c>
      <c r="AH75" s="96" t="s">
        <v>122</v>
      </c>
      <c r="AI75" s="96" t="s">
        <v>123</v>
      </c>
      <c r="AJ75" s="96" t="s">
        <v>124</v>
      </c>
      <c r="AK75" s="8" t="s">
        <v>125</v>
      </c>
      <c r="AL75" s="8" t="s">
        <v>126</v>
      </c>
      <c r="AM75" s="8" t="s">
        <v>127</v>
      </c>
      <c r="AN75" s="8" t="s">
        <v>128</v>
      </c>
      <c r="AO75" s="8" t="s">
        <v>129</v>
      </c>
      <c r="AP75" s="8" t="s">
        <v>130</v>
      </c>
      <c r="AQ75" s="8" t="s">
        <v>131</v>
      </c>
      <c r="AR75" s="37">
        <v>1</v>
      </c>
      <c r="AS75" s="43">
        <v>2</v>
      </c>
      <c r="AT75" s="43">
        <v>3</v>
      </c>
      <c r="AU75" s="43">
        <v>1</v>
      </c>
      <c r="AV75" s="43">
        <v>2</v>
      </c>
      <c r="AW75" s="43">
        <v>3</v>
      </c>
      <c r="AX75" s="43">
        <v>1</v>
      </c>
      <c r="AY75" s="39">
        <v>2</v>
      </c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</row>
    <row r="76" spans="1:71" ht="12" hidden="1" customHeight="1">
      <c r="A76" s="2"/>
      <c r="B76" s="97">
        <v>679</v>
      </c>
      <c r="C76" s="20">
        <v>10</v>
      </c>
      <c r="D76" s="123" t="s">
        <v>18</v>
      </c>
      <c r="E76" s="22" t="s">
        <v>157</v>
      </c>
      <c r="F76" s="22" t="s">
        <v>149</v>
      </c>
      <c r="G76" s="22" t="s">
        <v>186</v>
      </c>
      <c r="H76" s="24" t="s">
        <v>81</v>
      </c>
      <c r="I76" s="169">
        <f>M76/AE76</f>
        <v>3509.673845460698</v>
      </c>
      <c r="J76" s="170">
        <f>AH76/AE76</f>
        <v>81.064611807018906</v>
      </c>
      <c r="K76" s="206">
        <f>RANK(I76,$I$76:$I$977)</f>
        <v>1</v>
      </c>
      <c r="L76" s="206" t="e">
        <f>RANK(I76,$I$451:$I$866)</f>
        <v>#N/A</v>
      </c>
      <c r="M76" s="169">
        <f>SUM(N76:R76)</f>
        <v>22556.575954968073</v>
      </c>
      <c r="N76" s="174">
        <f>T76*(1+((AG76+IF(F76="백어택",8,0))/100)*(AI76/100-1))</f>
        <v>7459.1051759142356</v>
      </c>
      <c r="O76" s="170">
        <f>U76*(1+(($D$57+IF(F76="백어택",8,0))/100)*(AI76/100-1))</f>
        <v>15097.47077905384</v>
      </c>
      <c r="P76" s="170"/>
      <c r="Q76" s="170"/>
      <c r="R76" s="171"/>
      <c r="S76" s="169">
        <f>SUM(T76:X76)</f>
        <v>17760.901624603903</v>
      </c>
      <c r="T76" s="170">
        <f>AL76*IF(H76="근접",AT76,IF(AV76=1,AT76,1))*AX76*IF(F76="백어택",1.2,1)</f>
        <v>5873.2510422446348</v>
      </c>
      <c r="U76" s="170">
        <f>IF(AX76=1,AM76*IF(H76="근접",AT76,IF(AV76=1,AT76,1)),0)*AY76*IF(AX76=1,1,0)*IF(F76="백어택",1.2,1)</f>
        <v>11887.650582359267</v>
      </c>
      <c r="V76" s="170"/>
      <c r="W76" s="170"/>
      <c r="X76" s="171"/>
      <c r="Y76" s="169">
        <f>SUM(Z76:AD76)</f>
        <v>35521.803249207805</v>
      </c>
      <c r="Z76" s="170">
        <f>T76*$D$58/100</f>
        <v>11746.50208448927</v>
      </c>
      <c r="AA76" s="170">
        <f>U76*$D$58/100</f>
        <v>23775.301164718534</v>
      </c>
      <c r="AB76" s="170"/>
      <c r="AC76" s="170"/>
      <c r="AD76" s="171"/>
      <c r="AE76" s="169">
        <f>(AO76*(1-$D$20/100)*(1-$D$17/100)-AR76)*IF(AW76="보스대상",1,POWER(0.85,AW76))</f>
        <v>6.4269721199712162</v>
      </c>
      <c r="AF76" s="170">
        <f>AP76</f>
        <v>36</v>
      </c>
      <c r="AG76" s="170">
        <f>IF($D$57+AU76&gt;100,100,$D$57+AU76)</f>
        <v>19.001300000000001</v>
      </c>
      <c r="AH76" s="170">
        <f>AQ76</f>
        <v>521</v>
      </c>
      <c r="AI76" s="170">
        <f>$D$58</f>
        <v>200</v>
      </c>
      <c r="AJ76" s="170">
        <f>10*AS76/IF(AX76=1,IF(AY76=1,4.5,4),4)</f>
        <v>2.5</v>
      </c>
      <c r="AK76" s="170">
        <f>SUM(AL76:AN76)</f>
        <v>8196.5010303036597</v>
      </c>
      <c r="AL76" s="170">
        <f>IF(AV76=1,$D$61*(VLOOKUP(C76,$B$36:$AG$39,25,FALSE)+VLOOKUP(C76,$B$40:$AG$43,25,FALSE)*$D$54),(IF(H76="근접",$D$61*(VLOOKUP(C76,$B$36:$AG$39,25,FALSE)+VLOOKUP(C76,$B$40:$AG$43,25,FALSE)*$D$54),$D$60*(VLOOKUP(C76,$B$36:$AG$39,25,FALSE)+VLOOKUP(C76,$B$40:$AG$43,25,FALSE)*$D$54))))*$D$59/100</f>
        <v>4894.3758685371959</v>
      </c>
      <c r="AM76" s="170">
        <f>(IF(AV76=1,$D$61*(VLOOKUP(C76,$B$36:$AG$39,26,FALSE)+VLOOKUP(C76,$B$40:$AG$43,26,FALSE)*$D$54),IF(H76="근접",$D$61*(VLOOKUP(C76,$B$36:$AG$39,26,FALSE)+VLOOKUP(C76,$B$40:$AG$43,26,FALSE)*$D$54),$D$60*(VLOOKUP(C76,$B$36:$AG$39,26,FALSE)+VLOOKUP(C76,$B$40:$AG$43,26,FALSE)*$D$54))))*$D$59/100</f>
        <v>3302.1251617664634</v>
      </c>
      <c r="AN76" s="170"/>
      <c r="AO76" s="172">
        <v>24</v>
      </c>
      <c r="AP76" s="170">
        <v>36</v>
      </c>
      <c r="AQ76" s="171">
        <f>VLOOKUP(C76,$B$45:$AA$48,25,FALSE)</f>
        <v>521</v>
      </c>
      <c r="AR76" s="31">
        <f>IF(LEFT(E76,1)*1=1,$S$68,$R$68)</f>
        <v>4</v>
      </c>
      <c r="AS76" s="2">
        <f>IF(LEFT(E76,1)*1=2,$U$68,$T$68)</f>
        <v>1</v>
      </c>
      <c r="AT76" s="33">
        <f>IF(LEFT(E76,1)*1=3,$W$68,$V$68)</f>
        <v>1</v>
      </c>
      <c r="AU76" s="31">
        <f>IF(MID(E76,3,1)*1=1,$Y$68,$X$68)</f>
        <v>0</v>
      </c>
      <c r="AV76" s="2">
        <f>IF(MID(E76,3,1)*1=2,$AA$68,$Z$68)</f>
        <v>0</v>
      </c>
      <c r="AW76" s="33">
        <f>IF(MID(E76,3,1)*1=3,$AC$68,$AB$68)</f>
        <v>5</v>
      </c>
      <c r="AX76" s="31">
        <f>IF(MID(E76,5,1)*1=1,$AE$68,$AD$68)</f>
        <v>1</v>
      </c>
      <c r="AY76" s="33">
        <f>IF(MID(E76,5,1)*1=2,$AG$68,$AF$68)</f>
        <v>3</v>
      </c>
      <c r="AZ76" s="2"/>
      <c r="BA76" s="101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 ht="12" hidden="1" customHeight="1">
      <c r="A77" s="2"/>
      <c r="B77" s="107">
        <v>685</v>
      </c>
      <c r="C77" s="31">
        <v>10</v>
      </c>
      <c r="D77" s="111" t="s">
        <v>18</v>
      </c>
      <c r="E77" s="2" t="s">
        <v>135</v>
      </c>
      <c r="F77" s="2" t="s">
        <v>149</v>
      </c>
      <c r="G77" s="2" t="s">
        <v>186</v>
      </c>
      <c r="H77" s="33" t="s">
        <v>81</v>
      </c>
      <c r="I77" s="173">
        <f>M77/AE77</f>
        <v>3300.2405602003955</v>
      </c>
      <c r="J77" s="174">
        <f>AH77/AE77</f>
        <v>63.522692720778515</v>
      </c>
      <c r="K77" s="207">
        <f>RANK(I77,$I$76:$I$977)</f>
        <v>2</v>
      </c>
      <c r="L77" s="208" t="e">
        <f>RANK(I77,$I$451:$I$866)</f>
        <v>#N/A</v>
      </c>
      <c r="M77" s="173">
        <f>SUM(N77:R77)</f>
        <v>27067.891145961694</v>
      </c>
      <c r="N77" s="174">
        <f>T77*(1+((AG77+IF(F77="백어택",8,0))/100)*(AI77/100-1))</f>
        <v>8950.9262110970831</v>
      </c>
      <c r="O77" s="174">
        <f>U77*(1+(($D$57+IF(F77="백어택",8,0))/100)*(AI77/100-1))</f>
        <v>18116.964934864609</v>
      </c>
      <c r="P77" s="174"/>
      <c r="Q77" s="174"/>
      <c r="R77" s="175"/>
      <c r="S77" s="173">
        <f>SUM(T77:X77)</f>
        <v>21313.081949524683</v>
      </c>
      <c r="T77" s="174">
        <f>AL77*IF(H77="근접",AT77,IF(AV77=1,AT77,1))*AX77*IF(F77="백어택",1.2,1)</f>
        <v>7047.9012506935615</v>
      </c>
      <c r="U77" s="174">
        <f>IF(AX77=1,AM77*IF(H77="근접",AT77,IF(AV77=1,AT77,1)),0)*AY77*IF(AX77=1,1,0)*IF(F77="백어택",1.2,1)</f>
        <v>14265.18069883112</v>
      </c>
      <c r="V77" s="174"/>
      <c r="W77" s="174"/>
      <c r="X77" s="175"/>
      <c r="Y77" s="173">
        <f>SUM(Z77:AD77)</f>
        <v>42626.163899049367</v>
      </c>
      <c r="Z77" s="174">
        <f>T77*$D$58/100</f>
        <v>14095.802501387123</v>
      </c>
      <c r="AA77" s="174">
        <f>U77*$D$58/100</f>
        <v>28530.361397662244</v>
      </c>
      <c r="AB77" s="174"/>
      <c r="AC77" s="174"/>
      <c r="AD77" s="175"/>
      <c r="AE77" s="205">
        <f>(AO77*(1-$D$20/100)*(1-$D$17/100)-AR77)*IF(AW77="보스대상",1,POWER(0.85,AW77))</f>
        <v>8.2017933699712149</v>
      </c>
      <c r="AF77" s="174">
        <f>AP77</f>
        <v>36</v>
      </c>
      <c r="AG77" s="174">
        <f>IF($D$57+AU77&gt;100,100,$D$57+AU77)</f>
        <v>19.001300000000001</v>
      </c>
      <c r="AH77" s="174">
        <f>AQ77</f>
        <v>521</v>
      </c>
      <c r="AI77" s="174">
        <f>$D$58</f>
        <v>200</v>
      </c>
      <c r="AJ77" s="174">
        <f>10*AS77/IF(AX77=1,IF(AY77=1,4.5,4),4)</f>
        <v>2.5</v>
      </c>
      <c r="AK77" s="174">
        <f>SUM(AL77:AN77)</f>
        <v>8196.5010303036597</v>
      </c>
      <c r="AL77" s="174">
        <f>IF(AV77=1,$D$61*(VLOOKUP(C77,$B$36:$AG$39,25,FALSE)+VLOOKUP(C77,$B$40:$AG$43,25,FALSE)*$D$54),(IF(H77="근접",$D$61*(VLOOKUP(C77,$B$36:$AG$39,25,FALSE)+VLOOKUP(C77,$B$40:$AG$43,25,FALSE)*$D$54),$D$60*(VLOOKUP(C77,$B$36:$AG$39,25,FALSE)+VLOOKUP(C77,$B$40:$AG$43,25,FALSE)*$D$54))))*$D$59/100</f>
        <v>4894.3758685371959</v>
      </c>
      <c r="AM77" s="174">
        <f>(IF(AV77=1,$D$61*(VLOOKUP(C77,$B$36:$AG$39,26,FALSE)+VLOOKUP(C77,$B$40:$AG$43,26,FALSE)*$D$54),IF(H77="근접",$D$61*(VLOOKUP(C77,$B$36:$AG$39,26,FALSE)+VLOOKUP(C77,$B$40:$AG$43,26,FALSE)*$D$54),$D$60*(VLOOKUP(C77,$B$36:$AG$39,26,FALSE)+VLOOKUP(C77,$B$40:$AG$43,26,FALSE)*$D$54))))*$D$59/100</f>
        <v>3302.1251617664634</v>
      </c>
      <c r="AN77" s="174"/>
      <c r="AO77" s="176">
        <v>24</v>
      </c>
      <c r="AP77" s="174">
        <v>36</v>
      </c>
      <c r="AQ77" s="175">
        <f>VLOOKUP(C77,$B$45:$AA$48,25,FALSE)</f>
        <v>521</v>
      </c>
      <c r="AR77" s="31">
        <f>IF(LEFT(E77,1)*1=1,$S$68,$R$68)</f>
        <v>0</v>
      </c>
      <c r="AS77" s="2">
        <f>IF(LEFT(E77,1)*1=2,$U$68,$T$68)</f>
        <v>1</v>
      </c>
      <c r="AT77" s="33">
        <f>IF(LEFT(E77,1)*1=3,$W$68,$V$68)</f>
        <v>1.2</v>
      </c>
      <c r="AU77" s="31">
        <f>IF(MID(E77,3,1)*1=1,$Y$68,$X$68)</f>
        <v>0</v>
      </c>
      <c r="AV77" s="2">
        <f>IF(MID(E77,3,1)*1=2,$AA$68,$Z$68)</f>
        <v>0</v>
      </c>
      <c r="AW77" s="33">
        <f>IF(MID(E77,3,1)*1=3,$AC$68,$AB$68)</f>
        <v>5</v>
      </c>
      <c r="AX77" s="31">
        <f>IF(MID(E77,5,1)*1=1,$AE$68,$AD$68)</f>
        <v>1</v>
      </c>
      <c r="AY77" s="33">
        <f>IF(MID(E77,5,1)*1=2,$AG$68,$AF$68)</f>
        <v>3</v>
      </c>
      <c r="AZ77" s="2"/>
      <c r="BA77" s="101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 ht="12" hidden="1" customHeight="1">
      <c r="A78" s="2"/>
      <c r="B78" s="107">
        <v>670</v>
      </c>
      <c r="C78" s="31">
        <v>10</v>
      </c>
      <c r="D78" s="111" t="s">
        <v>18</v>
      </c>
      <c r="E78" s="2" t="s">
        <v>156</v>
      </c>
      <c r="F78" s="2" t="s">
        <v>149</v>
      </c>
      <c r="G78" s="2" t="s">
        <v>186</v>
      </c>
      <c r="H78" s="33" t="s">
        <v>81</v>
      </c>
      <c r="I78" s="173">
        <f>M78/AE78</f>
        <v>3249.6631543896287</v>
      </c>
      <c r="J78" s="174">
        <f>AH78/AE78</f>
        <v>81.064611807018906</v>
      </c>
      <c r="K78" s="207">
        <f>RANK(I78,$I$76:$I$977)</f>
        <v>3</v>
      </c>
      <c r="L78" s="208" t="e">
        <f>RANK(I78,$I$451:$I$866)</f>
        <v>#N/A</v>
      </c>
      <c r="M78" s="173">
        <f>SUM(N78:R78)</f>
        <v>20885.494492559861</v>
      </c>
      <c r="N78" s="174">
        <f>T78*(1+((AG78+IF(F78="백어택",8,0))/100)*(AI78/100-1))</f>
        <v>20885.494492559861</v>
      </c>
      <c r="O78" s="174">
        <f>U78*(1+(($D$57+IF(F78="백어택",8,0))/100)*(AI78/100-1))</f>
        <v>0</v>
      </c>
      <c r="P78" s="174"/>
      <c r="Q78" s="174"/>
      <c r="R78" s="175"/>
      <c r="S78" s="173">
        <f>SUM(T78:X78)</f>
        <v>16445.102918284978</v>
      </c>
      <c r="T78" s="174">
        <f>AL78*IF(H78="근접",AT78,IF(AV78=1,AT78,1))*AX78*IF(F78="백어택",1.2,1)</f>
        <v>16445.102918284978</v>
      </c>
      <c r="U78" s="174">
        <f>IF(AX78=1,AM78*IF(H78="근접",AT78,IF(AV78=1,AT78,1)),0)*AY78*IF(AX78=1,1,0)*IF(F78="백어택",1.2,1)</f>
        <v>0</v>
      </c>
      <c r="V78" s="174"/>
      <c r="W78" s="174"/>
      <c r="X78" s="175"/>
      <c r="Y78" s="173">
        <f>SUM(Z78:AD78)</f>
        <v>32890.205836569956</v>
      </c>
      <c r="Z78" s="174">
        <f>T78*$D$58/100</f>
        <v>32890.205836569956</v>
      </c>
      <c r="AA78" s="174">
        <f>U78*$D$58/100</f>
        <v>0</v>
      </c>
      <c r="AB78" s="174"/>
      <c r="AC78" s="174"/>
      <c r="AD78" s="175"/>
      <c r="AE78" s="205">
        <f>(AO78*(1-$D$20/100)*(1-$D$17/100)-AR78)*IF(AW78="보스대상",1,POWER(0.85,AW78))</f>
        <v>6.4269721199712162</v>
      </c>
      <c r="AF78" s="174">
        <f>AP78</f>
        <v>36</v>
      </c>
      <c r="AG78" s="174">
        <f>IF($D$57+AU78&gt;100,100,$D$57+AU78)</f>
        <v>19.001300000000001</v>
      </c>
      <c r="AH78" s="174">
        <f>AQ78</f>
        <v>521</v>
      </c>
      <c r="AI78" s="174">
        <f>$D$58</f>
        <v>200</v>
      </c>
      <c r="AJ78" s="174">
        <f>10*AS78/IF(AX78=1,IF(AY78=1,4.5,4),4)</f>
        <v>2.5</v>
      </c>
      <c r="AK78" s="174">
        <f>SUM(AL78:AN78)</f>
        <v>8196.5010303036597</v>
      </c>
      <c r="AL78" s="174">
        <f>IF(AV78=1,$D$61*(VLOOKUP(C78,$B$36:$AG$39,25,FALSE)+VLOOKUP(C78,$B$40:$AG$43,25,FALSE)*$D$54),(IF(H78="근접",$D$61*(VLOOKUP(C78,$B$36:$AG$39,25,FALSE)+VLOOKUP(C78,$B$40:$AG$43,25,FALSE)*$D$54),$D$60*(VLOOKUP(C78,$B$36:$AG$39,25,FALSE)+VLOOKUP(C78,$B$40:$AG$43,25,FALSE)*$D$54))))*$D$59/100</f>
        <v>4894.3758685371959</v>
      </c>
      <c r="AM78" s="174">
        <f>(IF(AV78=1,$D$61*(VLOOKUP(C78,$B$36:$AG$39,26,FALSE)+VLOOKUP(C78,$B$40:$AG$43,26,FALSE)*$D$54),IF(H78="근접",$D$61*(VLOOKUP(C78,$B$36:$AG$39,26,FALSE)+VLOOKUP(C78,$B$40:$AG$43,26,FALSE)*$D$54),$D$60*(VLOOKUP(C78,$B$36:$AG$39,26,FALSE)+VLOOKUP(C78,$B$40:$AG$43,26,FALSE)*$D$54))))*$D$59/100</f>
        <v>3302.1251617664634</v>
      </c>
      <c r="AN78" s="174"/>
      <c r="AO78" s="176">
        <v>24</v>
      </c>
      <c r="AP78" s="174">
        <v>36</v>
      </c>
      <c r="AQ78" s="175">
        <f>VLOOKUP(C78,$B$45:$AA$48,25,FALSE)</f>
        <v>521</v>
      </c>
      <c r="AR78" s="31">
        <f>IF(LEFT(E78,1)*1=1,$S$68,$R$68)</f>
        <v>4</v>
      </c>
      <c r="AS78" s="2">
        <f>IF(LEFT(E78,1)*1=2,$U$68,$T$68)</f>
        <v>1</v>
      </c>
      <c r="AT78" s="33">
        <f>IF(LEFT(E78,1)*1=3,$W$68,$V$68)</f>
        <v>1</v>
      </c>
      <c r="AU78" s="31">
        <f>IF(MID(E78,3,1)*1=1,$Y$68,$X$68)</f>
        <v>0</v>
      </c>
      <c r="AV78" s="2">
        <f>IF(MID(E78,3,1)*1=2,$AA$68,$Z$68)</f>
        <v>0</v>
      </c>
      <c r="AW78" s="33">
        <f>IF(MID(E78,3,1)*1=3,$AC$68,$AB$68)</f>
        <v>5</v>
      </c>
      <c r="AX78" s="31">
        <f>IF(MID(E78,5,1)*1=1,$AE$68,$AD$68)</f>
        <v>2.8</v>
      </c>
      <c r="AY78" s="33">
        <f>IF(MID(E78,5,1)*1=2,$AG$68,$AF$68)</f>
        <v>1</v>
      </c>
      <c r="AZ78" s="2"/>
      <c r="BA78" s="101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 ht="12" hidden="1" customHeight="1">
      <c r="A79" s="2"/>
      <c r="B79" s="107">
        <v>676</v>
      </c>
      <c r="C79" s="31">
        <v>10</v>
      </c>
      <c r="D79" s="111" t="s">
        <v>18</v>
      </c>
      <c r="E79" s="2" t="s">
        <v>147</v>
      </c>
      <c r="F79" s="2" t="s">
        <v>149</v>
      </c>
      <c r="G79" s="2" t="s">
        <v>186</v>
      </c>
      <c r="H79" s="33" t="s">
        <v>81</v>
      </c>
      <c r="I79" s="173">
        <f>M79/AE79</f>
        <v>3055.7455254642423</v>
      </c>
      <c r="J79" s="174">
        <f>AH79/AE79</f>
        <v>63.522692720778515</v>
      </c>
      <c r="K79" s="207">
        <f>RANK(I79,$I$76:$I$977)</f>
        <v>4</v>
      </c>
      <c r="L79" s="208" t="e">
        <f>RANK(I79,$I$451:$I$866)</f>
        <v>#N/A</v>
      </c>
      <c r="M79" s="173">
        <f>SUM(N79:R79)</f>
        <v>25062.59339107183</v>
      </c>
      <c r="N79" s="174">
        <f>T79*(1+((AG79+IF(F79="백어택",8,0))/100)*(AI79/100-1))</f>
        <v>25062.59339107183</v>
      </c>
      <c r="O79" s="174">
        <f>U79*(1+(($D$57+IF(F79="백어택",8,0))/100)*(AI79/100-1))</f>
        <v>0</v>
      </c>
      <c r="P79" s="174"/>
      <c r="Q79" s="174"/>
      <c r="R79" s="175"/>
      <c r="S79" s="173">
        <f>SUM(T79:X79)</f>
        <v>19734.123501941973</v>
      </c>
      <c r="T79" s="174">
        <f>AL79*IF(H79="근접",AT79,IF(AV79=1,AT79,1))*AX79*IF(F79="백어택",1.2,1)</f>
        <v>19734.123501941973</v>
      </c>
      <c r="U79" s="174">
        <f>IF(AX79=1,AM79*IF(H79="근접",AT79,IF(AV79=1,AT79,1)),0)*AY79*IF(AX79=1,1,0)*IF(F79="백어택",1.2,1)</f>
        <v>0</v>
      </c>
      <c r="V79" s="174"/>
      <c r="W79" s="174"/>
      <c r="X79" s="175"/>
      <c r="Y79" s="173">
        <f>SUM(Z79:AD79)</f>
        <v>39468.247003883946</v>
      </c>
      <c r="Z79" s="174">
        <f>T79*$D$58/100</f>
        <v>39468.247003883946</v>
      </c>
      <c r="AA79" s="174">
        <f>U79*$D$58/100</f>
        <v>0</v>
      </c>
      <c r="AB79" s="174"/>
      <c r="AC79" s="174"/>
      <c r="AD79" s="175"/>
      <c r="AE79" s="205">
        <f>(AO79*(1-$D$20/100)*(1-$D$17/100)-AR79)*IF(AW79="보스대상",1,POWER(0.85,AW79))</f>
        <v>8.2017933699712149</v>
      </c>
      <c r="AF79" s="174">
        <f>AP79</f>
        <v>36</v>
      </c>
      <c r="AG79" s="174">
        <f>IF($D$57+AU79&gt;100,100,$D$57+AU79)</f>
        <v>19.001300000000001</v>
      </c>
      <c r="AH79" s="174">
        <f>AQ79</f>
        <v>521</v>
      </c>
      <c r="AI79" s="174">
        <f>$D$58</f>
        <v>200</v>
      </c>
      <c r="AJ79" s="174">
        <f>10*AS79/IF(AX79=1,IF(AY79=1,4.5,4),4)</f>
        <v>2.5</v>
      </c>
      <c r="AK79" s="174">
        <f>SUM(AL79:AN79)</f>
        <v>8196.5010303036597</v>
      </c>
      <c r="AL79" s="174">
        <f>IF(AV79=1,$D$61*(VLOOKUP(C79,$B$36:$AG$39,25,FALSE)+VLOOKUP(C79,$B$40:$AG$43,25,FALSE)*$D$54),(IF(H79="근접",$D$61*(VLOOKUP(C79,$B$36:$AG$39,25,FALSE)+VLOOKUP(C79,$B$40:$AG$43,25,FALSE)*$D$54),$D$60*(VLOOKUP(C79,$B$36:$AG$39,25,FALSE)+VLOOKUP(C79,$B$40:$AG$43,25,FALSE)*$D$54))))*$D$59/100</f>
        <v>4894.3758685371959</v>
      </c>
      <c r="AM79" s="174">
        <f>(IF(AV79=1,$D$61*(VLOOKUP(C79,$B$36:$AG$39,26,FALSE)+VLOOKUP(C79,$B$40:$AG$43,26,FALSE)*$D$54),IF(H79="근접",$D$61*(VLOOKUP(C79,$B$36:$AG$39,26,FALSE)+VLOOKUP(C79,$B$40:$AG$43,26,FALSE)*$D$54),$D$60*(VLOOKUP(C79,$B$36:$AG$39,26,FALSE)+VLOOKUP(C79,$B$40:$AG$43,26,FALSE)*$D$54))))*$D$59/100</f>
        <v>3302.1251617664634</v>
      </c>
      <c r="AN79" s="174"/>
      <c r="AO79" s="176">
        <v>24</v>
      </c>
      <c r="AP79" s="174">
        <v>36</v>
      </c>
      <c r="AQ79" s="175">
        <f>VLOOKUP(C79,$B$45:$AA$48,25,FALSE)</f>
        <v>521</v>
      </c>
      <c r="AR79" s="31">
        <f>IF(LEFT(E79,1)*1=1,$S$68,$R$68)</f>
        <v>0</v>
      </c>
      <c r="AS79" s="2">
        <f>IF(LEFT(E79,1)*1=2,$U$68,$T$68)</f>
        <v>1</v>
      </c>
      <c r="AT79" s="33">
        <f>IF(LEFT(E79,1)*1=3,$W$68,$V$68)</f>
        <v>1.2</v>
      </c>
      <c r="AU79" s="31">
        <f>IF(MID(E79,3,1)*1=1,$Y$68,$X$68)</f>
        <v>0</v>
      </c>
      <c r="AV79" s="2">
        <f>IF(MID(E79,3,1)*1=2,$AA$68,$Z$68)</f>
        <v>0</v>
      </c>
      <c r="AW79" s="33">
        <f>IF(MID(E79,3,1)*1=3,$AC$68,$AB$68)</f>
        <v>5</v>
      </c>
      <c r="AX79" s="31">
        <f>IF(MID(E79,5,1)*1=1,$AE$68,$AD$68)</f>
        <v>2.8</v>
      </c>
      <c r="AY79" s="33">
        <f>IF(MID(E79,5,1)*1=2,$AG$68,$AF$68)</f>
        <v>1</v>
      </c>
      <c r="AZ79" s="2"/>
      <c r="BA79" s="101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 ht="12" hidden="1" customHeight="1">
      <c r="A80" s="2"/>
      <c r="B80" s="107">
        <v>682</v>
      </c>
      <c r="C80" s="31">
        <v>10</v>
      </c>
      <c r="D80" s="111" t="s">
        <v>18</v>
      </c>
      <c r="E80" s="2" t="s">
        <v>108</v>
      </c>
      <c r="F80" s="2" t="s">
        <v>149</v>
      </c>
      <c r="G80" s="2" t="s">
        <v>186</v>
      </c>
      <c r="H80" s="33" t="s">
        <v>81</v>
      </c>
      <c r="I80" s="173">
        <f>M80/AE80</f>
        <v>2750.2004668336626</v>
      </c>
      <c r="J80" s="174">
        <f>AH80/AE80</f>
        <v>63.522692720778515</v>
      </c>
      <c r="K80" s="207">
        <f>RANK(I80,$I$76:$I$977)</f>
        <v>5</v>
      </c>
      <c r="L80" s="208" t="e">
        <f>RANK(I80,$I$451:$I$866)</f>
        <v>#N/A</v>
      </c>
      <c r="M80" s="173">
        <f>SUM(N80:R80)</f>
        <v>22556.575954968073</v>
      </c>
      <c r="N80" s="174">
        <f>T80*(1+((AG80+IF(F80="백어택",8,0))/100)*(AI80/100-1))</f>
        <v>7459.1051759142356</v>
      </c>
      <c r="O80" s="174">
        <f>U80*(1+(($D$57+IF(F80="백어택",8,0))/100)*(AI80/100-1))</f>
        <v>15097.47077905384</v>
      </c>
      <c r="P80" s="174"/>
      <c r="Q80" s="174"/>
      <c r="R80" s="175"/>
      <c r="S80" s="173">
        <f>SUM(T80:X80)</f>
        <v>17760.901624603903</v>
      </c>
      <c r="T80" s="174">
        <f>AL80*IF(H80="근접",AT80,IF(AV80=1,AT80,1))*AX80*IF(F80="백어택",1.2,1)</f>
        <v>5873.2510422446348</v>
      </c>
      <c r="U80" s="174">
        <f>IF(AX80=1,AM80*IF(H80="근접",AT80,IF(AV80=1,AT80,1)),0)*AY80*IF(AX80=1,1,0)*IF(F80="백어택",1.2,1)</f>
        <v>11887.650582359267</v>
      </c>
      <c r="V80" s="174"/>
      <c r="W80" s="174"/>
      <c r="X80" s="175"/>
      <c r="Y80" s="173">
        <f>SUM(Z80:AD80)</f>
        <v>35521.803249207805</v>
      </c>
      <c r="Z80" s="174">
        <f>T80*$D$58/100</f>
        <v>11746.50208448927</v>
      </c>
      <c r="AA80" s="174">
        <f>U80*$D$58/100</f>
        <v>23775.301164718534</v>
      </c>
      <c r="AB80" s="174"/>
      <c r="AC80" s="174"/>
      <c r="AD80" s="175"/>
      <c r="AE80" s="205">
        <f>(AO80*(1-$D$20/100)*(1-$D$17/100)-AR80)*IF(AW80="보스대상",1,POWER(0.85,AW80))</f>
        <v>8.2017933699712149</v>
      </c>
      <c r="AF80" s="174">
        <f>AP80</f>
        <v>36</v>
      </c>
      <c r="AG80" s="174">
        <f>IF($D$57+AU80&gt;100,100,$D$57+AU80)</f>
        <v>19.001300000000001</v>
      </c>
      <c r="AH80" s="174">
        <f>AQ80</f>
        <v>521</v>
      </c>
      <c r="AI80" s="174">
        <f>$D$58</f>
        <v>200</v>
      </c>
      <c r="AJ80" s="174">
        <f>10*AS80/IF(AX80=1,IF(AY80=1,4.5,4),4)</f>
        <v>2</v>
      </c>
      <c r="AK80" s="174">
        <f>SUM(AL80:AN80)</f>
        <v>8196.5010303036597</v>
      </c>
      <c r="AL80" s="174">
        <f>IF(AV80=1,$D$61*(VLOOKUP(C80,$B$36:$AG$39,25,FALSE)+VLOOKUP(C80,$B$40:$AG$43,25,FALSE)*$D$54),(IF(H80="근접",$D$61*(VLOOKUP(C80,$B$36:$AG$39,25,FALSE)+VLOOKUP(C80,$B$40:$AG$43,25,FALSE)*$D$54),$D$60*(VLOOKUP(C80,$B$36:$AG$39,25,FALSE)+VLOOKUP(C80,$B$40:$AG$43,25,FALSE)*$D$54))))*$D$59/100</f>
        <v>4894.3758685371959</v>
      </c>
      <c r="AM80" s="174">
        <f>(IF(AV80=1,$D$61*(VLOOKUP(C80,$B$36:$AG$39,26,FALSE)+VLOOKUP(C80,$B$40:$AG$43,26,FALSE)*$D$54),IF(H80="근접",$D$61*(VLOOKUP(C80,$B$36:$AG$39,26,FALSE)+VLOOKUP(C80,$B$40:$AG$43,26,FALSE)*$D$54),$D$60*(VLOOKUP(C80,$B$36:$AG$39,26,FALSE)+VLOOKUP(C80,$B$40:$AG$43,26,FALSE)*$D$54))))*$D$59/100</f>
        <v>3302.1251617664634</v>
      </c>
      <c r="AN80" s="174"/>
      <c r="AO80" s="176">
        <v>24</v>
      </c>
      <c r="AP80" s="174">
        <v>36</v>
      </c>
      <c r="AQ80" s="175">
        <f>VLOOKUP(C80,$B$45:$AA$48,25,FALSE)</f>
        <v>521</v>
      </c>
      <c r="AR80" s="31">
        <f>IF(LEFT(E80,1)*1=1,$S$68,$R$68)</f>
        <v>0</v>
      </c>
      <c r="AS80" s="2">
        <f>IF(LEFT(E80,1)*1=2,$U$68,$T$68)</f>
        <v>0.8</v>
      </c>
      <c r="AT80" s="33">
        <f>IF(LEFT(E80,1)*1=3,$W$68,$V$68)</f>
        <v>1</v>
      </c>
      <c r="AU80" s="31">
        <f>IF(MID(E80,3,1)*1=1,$Y$68,$X$68)</f>
        <v>0</v>
      </c>
      <c r="AV80" s="2">
        <f>IF(MID(E80,3,1)*1=2,$AA$68,$Z$68)</f>
        <v>0</v>
      </c>
      <c r="AW80" s="33">
        <f>IF(MID(E80,3,1)*1=3,$AC$68,$AB$68)</f>
        <v>5</v>
      </c>
      <c r="AX80" s="31">
        <f>IF(MID(E80,5,1)*1=1,$AE$68,$AD$68)</f>
        <v>1</v>
      </c>
      <c r="AY80" s="33">
        <f>IF(MID(E80,5,1)*1=2,$AG$68,$AF$68)</f>
        <v>3</v>
      </c>
      <c r="AZ80" s="2"/>
      <c r="BA80" s="101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 ht="12" hidden="1" customHeight="1">
      <c r="A81" s="2"/>
      <c r="B81" s="107">
        <v>617</v>
      </c>
      <c r="C81" s="31">
        <v>10</v>
      </c>
      <c r="D81" s="111" t="s">
        <v>18</v>
      </c>
      <c r="E81" s="2" t="s">
        <v>157</v>
      </c>
      <c r="F81" s="2"/>
      <c r="G81" s="2" t="s">
        <v>186</v>
      </c>
      <c r="H81" s="33" t="s">
        <v>81</v>
      </c>
      <c r="I81" s="173">
        <f>M81/AE81</f>
        <v>2740.4952428690513</v>
      </c>
      <c r="J81" s="174">
        <f>AH81/AE81</f>
        <v>81.064611807018906</v>
      </c>
      <c r="K81" s="207">
        <f>RANK(I81,$I$76:$I$977)</f>
        <v>6</v>
      </c>
      <c r="L81" s="208" t="e">
        <f>RANK(I81,$I$451:$I$866)</f>
        <v>#N/A</v>
      </c>
      <c r="M81" s="173">
        <f>SUM(N81:R81)</f>
        <v>17613.086520833138</v>
      </c>
      <c r="N81" s="174">
        <f>T81*(1+((AG81+IF(F81="백어택",8,0))/100)*(AI81/100-1))</f>
        <v>5824.3709104455538</v>
      </c>
      <c r="O81" s="174">
        <f>U81*(1+(($D$57+IF(F81="백어택",8,0))/100)*(AI81/100-1))</f>
        <v>11788.715610387582</v>
      </c>
      <c r="P81" s="174"/>
      <c r="Q81" s="174"/>
      <c r="R81" s="175"/>
      <c r="S81" s="173">
        <f>SUM(T81:X81)</f>
        <v>14800.751353836586</v>
      </c>
      <c r="T81" s="174">
        <f>AL81*IF(H81="근접",AT81,IF(AV81=1,AT81,1))*AX81*IF(F81="백어택",1.2,1)</f>
        <v>4894.3758685371959</v>
      </c>
      <c r="U81" s="174">
        <f>IF(AX81=1,AM81*IF(H81="근접",AT81,IF(AV81=1,AT81,1)),0)*AY81*IF(AX81=1,1,0)*IF(F81="백어택",1.2,1)</f>
        <v>9906.3754852993898</v>
      </c>
      <c r="V81" s="174"/>
      <c r="W81" s="174"/>
      <c r="X81" s="175"/>
      <c r="Y81" s="173">
        <f>SUM(Z81:AD81)</f>
        <v>29601.502707673171</v>
      </c>
      <c r="Z81" s="174">
        <f>T81*$D$58/100</f>
        <v>9788.7517370743917</v>
      </c>
      <c r="AA81" s="174">
        <f>U81*$D$58/100</f>
        <v>19812.75097059878</v>
      </c>
      <c r="AB81" s="174"/>
      <c r="AC81" s="174"/>
      <c r="AD81" s="175"/>
      <c r="AE81" s="205">
        <f>(AO81*(1-$D$20/100)*(1-$D$17/100)-AR81)*IF(AW81="보스대상",1,POWER(0.85,AW81))</f>
        <v>6.4269721199712162</v>
      </c>
      <c r="AF81" s="174">
        <f>AP81</f>
        <v>36</v>
      </c>
      <c r="AG81" s="174">
        <f>IF($D$57+AU81&gt;100,100,$D$57+AU81)</f>
        <v>19.001300000000001</v>
      </c>
      <c r="AH81" s="174">
        <f>AQ81</f>
        <v>521</v>
      </c>
      <c r="AI81" s="174">
        <f>$D$58</f>
        <v>200</v>
      </c>
      <c r="AJ81" s="174">
        <f>10*AS81/IF(AX81=1,IF(AY81=1,4.5,4),4)</f>
        <v>2.5</v>
      </c>
      <c r="AK81" s="174">
        <f>SUM(AL81:AN81)</f>
        <v>8196.5010303036597</v>
      </c>
      <c r="AL81" s="174">
        <f>IF(AV81=1,$D$61*(VLOOKUP(C81,$B$36:$AG$39,25,FALSE)+VLOOKUP(C81,$B$40:$AG$43,25,FALSE)*$D$54),(IF(H81="근접",$D$61*(VLOOKUP(C81,$B$36:$AG$39,25,FALSE)+VLOOKUP(C81,$B$40:$AG$43,25,FALSE)*$D$54),$D$60*(VLOOKUP(C81,$B$36:$AG$39,25,FALSE)+VLOOKUP(C81,$B$40:$AG$43,25,FALSE)*$D$54))))*$D$59/100</f>
        <v>4894.3758685371959</v>
      </c>
      <c r="AM81" s="174">
        <f>(IF(AV81=1,$D$61*(VLOOKUP(C81,$B$36:$AG$39,26,FALSE)+VLOOKUP(C81,$B$40:$AG$43,26,FALSE)*$D$54),IF(H81="근접",$D$61*(VLOOKUP(C81,$B$36:$AG$39,26,FALSE)+VLOOKUP(C81,$B$40:$AG$43,26,FALSE)*$D$54),$D$60*(VLOOKUP(C81,$B$36:$AG$39,26,FALSE)+VLOOKUP(C81,$B$40:$AG$43,26,FALSE)*$D$54))))*$D$59/100</f>
        <v>3302.1251617664634</v>
      </c>
      <c r="AN81" s="174"/>
      <c r="AO81" s="176">
        <v>24</v>
      </c>
      <c r="AP81" s="174">
        <v>36</v>
      </c>
      <c r="AQ81" s="175">
        <f>VLOOKUP(C81,$B$45:$AA$48,25,FALSE)</f>
        <v>521</v>
      </c>
      <c r="AR81" s="31">
        <f>IF(LEFT(E81,1)*1=1,$S$68,$R$68)</f>
        <v>4</v>
      </c>
      <c r="AS81" s="2">
        <f>IF(LEFT(E81,1)*1=2,$U$68,$T$68)</f>
        <v>1</v>
      </c>
      <c r="AT81" s="33">
        <f>IF(LEFT(E81,1)*1=3,$W$68,$V$68)</f>
        <v>1</v>
      </c>
      <c r="AU81" s="31">
        <f>IF(MID(E81,3,1)*1=1,$Y$68,$X$68)</f>
        <v>0</v>
      </c>
      <c r="AV81" s="2">
        <f>IF(MID(E81,3,1)*1=2,$AA$68,$Z$68)</f>
        <v>0</v>
      </c>
      <c r="AW81" s="33">
        <f>IF(MID(E81,3,1)*1=3,$AC$68,$AB$68)</f>
        <v>5</v>
      </c>
      <c r="AX81" s="31">
        <f>IF(MID(E81,5,1)*1=1,$AE$68,$AD$68)</f>
        <v>1</v>
      </c>
      <c r="AY81" s="33">
        <f>IF(MID(E81,5,1)*1=2,$AG$68,$AF$68)</f>
        <v>3</v>
      </c>
      <c r="AZ81" s="2"/>
      <c r="BA81" s="101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 ht="12" hidden="1" customHeight="1">
      <c r="A82" s="2"/>
      <c r="B82" s="107">
        <v>623</v>
      </c>
      <c r="C82" s="31">
        <v>10</v>
      </c>
      <c r="D82" s="111" t="s">
        <v>18</v>
      </c>
      <c r="E82" s="2" t="s">
        <v>135</v>
      </c>
      <c r="F82" s="2"/>
      <c r="G82" s="2" t="s">
        <v>186</v>
      </c>
      <c r="H82" s="33" t="s">
        <v>81</v>
      </c>
      <c r="I82" s="173">
        <f>M82/AE82</f>
        <v>2576.9612658595838</v>
      </c>
      <c r="J82" s="174">
        <f>AH82/AE82</f>
        <v>63.522692720778515</v>
      </c>
      <c r="K82" s="207">
        <f>RANK(I82,$I$76:$I$977)</f>
        <v>7</v>
      </c>
      <c r="L82" s="208" t="e">
        <f>RANK(I82,$I$451:$I$866)</f>
        <v>#N/A</v>
      </c>
      <c r="M82" s="173">
        <f>SUM(N82:R82)</f>
        <v>21135.703824999764</v>
      </c>
      <c r="N82" s="174">
        <f>T82*(1+((AG82+IF(F82="백어택",8,0))/100)*(AI82/100-1))</f>
        <v>6989.2450925346648</v>
      </c>
      <c r="O82" s="174">
        <f>U82*(1+(($D$57+IF(F82="백어택",8,0))/100)*(AI82/100-1))</f>
        <v>14146.458732465098</v>
      </c>
      <c r="P82" s="174"/>
      <c r="Q82" s="174"/>
      <c r="R82" s="175"/>
      <c r="S82" s="173">
        <f>SUM(T82:X82)</f>
        <v>17760.901624603903</v>
      </c>
      <c r="T82" s="174">
        <f>AL82*IF(H82="근접",AT82,IF(AV82=1,AT82,1))*AX82*IF(F82="백어택",1.2,1)</f>
        <v>5873.2510422446348</v>
      </c>
      <c r="U82" s="174">
        <f>IF(AX82=1,AM82*IF(H82="근접",AT82,IF(AV82=1,AT82,1)),0)*AY82*IF(AX82=1,1,0)*IF(F82="백어택",1.2,1)</f>
        <v>11887.650582359267</v>
      </c>
      <c r="V82" s="174"/>
      <c r="W82" s="174"/>
      <c r="X82" s="175"/>
      <c r="Y82" s="173">
        <f>SUM(Z82:AD82)</f>
        <v>35521.803249207805</v>
      </c>
      <c r="Z82" s="174">
        <f>T82*$D$58/100</f>
        <v>11746.50208448927</v>
      </c>
      <c r="AA82" s="174">
        <f>U82*$D$58/100</f>
        <v>23775.301164718534</v>
      </c>
      <c r="AB82" s="174"/>
      <c r="AC82" s="174"/>
      <c r="AD82" s="175"/>
      <c r="AE82" s="205">
        <f>(AO82*(1-$D$20/100)*(1-$D$17/100)-AR82)*IF(AW82="보스대상",1,POWER(0.85,AW82))</f>
        <v>8.2017933699712149</v>
      </c>
      <c r="AF82" s="174">
        <f>AP82</f>
        <v>36</v>
      </c>
      <c r="AG82" s="174">
        <f>IF($D$57+AU82&gt;100,100,$D$57+AU82)</f>
        <v>19.001300000000001</v>
      </c>
      <c r="AH82" s="174">
        <f>AQ82</f>
        <v>521</v>
      </c>
      <c r="AI82" s="174">
        <f>$D$58</f>
        <v>200</v>
      </c>
      <c r="AJ82" s="174">
        <f>10*AS82/IF(AX82=1,IF(AY82=1,4.5,4),4)</f>
        <v>2.5</v>
      </c>
      <c r="AK82" s="174">
        <f>SUM(AL82:AN82)</f>
        <v>8196.5010303036597</v>
      </c>
      <c r="AL82" s="174">
        <f>IF(AV82=1,$D$61*(VLOOKUP(C82,$B$36:$AG$39,25,FALSE)+VLOOKUP(C82,$B$40:$AG$43,25,FALSE)*$D$54),(IF(H82="근접",$D$61*(VLOOKUP(C82,$B$36:$AG$39,25,FALSE)+VLOOKUP(C82,$B$40:$AG$43,25,FALSE)*$D$54),$D$60*(VLOOKUP(C82,$B$36:$AG$39,25,FALSE)+VLOOKUP(C82,$B$40:$AG$43,25,FALSE)*$D$54))))*$D$59/100</f>
        <v>4894.3758685371959</v>
      </c>
      <c r="AM82" s="174">
        <f>(IF(AV82=1,$D$61*(VLOOKUP(C82,$B$36:$AG$39,26,FALSE)+VLOOKUP(C82,$B$40:$AG$43,26,FALSE)*$D$54),IF(H82="근접",$D$61*(VLOOKUP(C82,$B$36:$AG$39,26,FALSE)+VLOOKUP(C82,$B$40:$AG$43,26,FALSE)*$D$54),$D$60*(VLOOKUP(C82,$B$36:$AG$39,26,FALSE)+VLOOKUP(C82,$B$40:$AG$43,26,FALSE)*$D$54))))*$D$59/100</f>
        <v>3302.1251617664634</v>
      </c>
      <c r="AN82" s="174"/>
      <c r="AO82" s="176">
        <v>24</v>
      </c>
      <c r="AP82" s="174">
        <v>36</v>
      </c>
      <c r="AQ82" s="175">
        <f>VLOOKUP(C82,$B$45:$AA$48,25,FALSE)</f>
        <v>521</v>
      </c>
      <c r="AR82" s="31">
        <f>IF(LEFT(E82,1)*1=1,$S$68,$R$68)</f>
        <v>0</v>
      </c>
      <c r="AS82" s="2">
        <f>IF(LEFT(E82,1)*1=2,$U$68,$T$68)</f>
        <v>1</v>
      </c>
      <c r="AT82" s="33">
        <f>IF(LEFT(E82,1)*1=3,$W$68,$V$68)</f>
        <v>1.2</v>
      </c>
      <c r="AU82" s="31">
        <f>IF(MID(E82,3,1)*1=1,$Y$68,$X$68)</f>
        <v>0</v>
      </c>
      <c r="AV82" s="2">
        <f>IF(MID(E82,3,1)*1=2,$AA$68,$Z$68)</f>
        <v>0</v>
      </c>
      <c r="AW82" s="33">
        <f>IF(MID(E82,3,1)*1=3,$AC$68,$AB$68)</f>
        <v>5</v>
      </c>
      <c r="AX82" s="31">
        <f>IF(MID(E82,5,1)*1=1,$AE$68,$AD$68)</f>
        <v>1</v>
      </c>
      <c r="AY82" s="33">
        <f>IF(MID(E82,5,1)*1=2,$AG$68,$AF$68)</f>
        <v>3</v>
      </c>
      <c r="AZ82" s="2"/>
      <c r="BA82" s="101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 ht="12" hidden="1" customHeight="1">
      <c r="A83" s="2"/>
      <c r="B83" s="107">
        <v>673</v>
      </c>
      <c r="C83" s="31">
        <v>10</v>
      </c>
      <c r="D83" s="111" t="s">
        <v>18</v>
      </c>
      <c r="E83" s="2" t="s">
        <v>171</v>
      </c>
      <c r="F83" s="2" t="s">
        <v>149</v>
      </c>
      <c r="G83" s="2" t="s">
        <v>186</v>
      </c>
      <c r="H83" s="33" t="s">
        <v>81</v>
      </c>
      <c r="I83" s="173">
        <f>M83/AE83</f>
        <v>2546.4546045535358</v>
      </c>
      <c r="J83" s="174">
        <f>AH83/AE83</f>
        <v>63.522692720778515</v>
      </c>
      <c r="K83" s="207">
        <f>RANK(I83,$I$76:$I$977)</f>
        <v>8</v>
      </c>
      <c r="L83" s="208" t="e">
        <f>RANK(I83,$I$451:$I$866)</f>
        <v>#N/A</v>
      </c>
      <c r="M83" s="173">
        <f>SUM(N83:R83)</f>
        <v>20885.494492559861</v>
      </c>
      <c r="N83" s="174">
        <f>T83*(1+((AG83+IF(F83="백어택",8,0))/100)*(AI83/100-1))</f>
        <v>20885.494492559861</v>
      </c>
      <c r="O83" s="174">
        <f>U83*(1+(($D$57+IF(F83="백어택",8,0))/100)*(AI83/100-1))</f>
        <v>0</v>
      </c>
      <c r="P83" s="174"/>
      <c r="Q83" s="174"/>
      <c r="R83" s="175"/>
      <c r="S83" s="173">
        <f>SUM(T83:X83)</f>
        <v>16445.102918284978</v>
      </c>
      <c r="T83" s="174">
        <f>AL83*IF(H83="근접",AT83,IF(AV83=1,AT83,1))*AX83*IF(F83="백어택",1.2,1)</f>
        <v>16445.102918284978</v>
      </c>
      <c r="U83" s="174">
        <f>IF(AX83=1,AM83*IF(H83="근접",AT83,IF(AV83=1,AT83,1)),0)*AY83*IF(AX83=1,1,0)*IF(F83="백어택",1.2,1)</f>
        <v>0</v>
      </c>
      <c r="V83" s="174"/>
      <c r="W83" s="174"/>
      <c r="X83" s="175"/>
      <c r="Y83" s="173">
        <f>SUM(Z83:AD83)</f>
        <v>32890.205836569956</v>
      </c>
      <c r="Z83" s="174">
        <f>T83*$D$58/100</f>
        <v>32890.205836569956</v>
      </c>
      <c r="AA83" s="174">
        <f>U83*$D$58/100</f>
        <v>0</v>
      </c>
      <c r="AB83" s="174"/>
      <c r="AC83" s="174"/>
      <c r="AD83" s="175"/>
      <c r="AE83" s="205">
        <f>(AO83*(1-$D$20/100)*(1-$D$17/100)-AR83)*IF(AW83="보스대상",1,POWER(0.85,AW83))</f>
        <v>8.2017933699712149</v>
      </c>
      <c r="AF83" s="174">
        <f>AP83</f>
        <v>36</v>
      </c>
      <c r="AG83" s="174">
        <f>IF($D$57+AU83&gt;100,100,$D$57+AU83)</f>
        <v>19.001300000000001</v>
      </c>
      <c r="AH83" s="174">
        <f>AQ83</f>
        <v>521</v>
      </c>
      <c r="AI83" s="174">
        <f>$D$58</f>
        <v>200</v>
      </c>
      <c r="AJ83" s="174">
        <f>10*AS83/IF(AX83=1,IF(AY83=1,4.5,4),4)</f>
        <v>2</v>
      </c>
      <c r="AK83" s="174">
        <f>SUM(AL83:AN83)</f>
        <v>8196.5010303036597</v>
      </c>
      <c r="AL83" s="174">
        <f>IF(AV83=1,$D$61*(VLOOKUP(C83,$B$36:$AG$39,25,FALSE)+VLOOKUP(C83,$B$40:$AG$43,25,FALSE)*$D$54),(IF(H83="근접",$D$61*(VLOOKUP(C83,$B$36:$AG$39,25,FALSE)+VLOOKUP(C83,$B$40:$AG$43,25,FALSE)*$D$54),$D$60*(VLOOKUP(C83,$B$36:$AG$39,25,FALSE)+VLOOKUP(C83,$B$40:$AG$43,25,FALSE)*$D$54))))*$D$59/100</f>
        <v>4894.3758685371959</v>
      </c>
      <c r="AM83" s="174">
        <f>(IF(AV83=1,$D$61*(VLOOKUP(C83,$B$36:$AG$39,26,FALSE)+VLOOKUP(C83,$B$40:$AG$43,26,FALSE)*$D$54),IF(H83="근접",$D$61*(VLOOKUP(C83,$B$36:$AG$39,26,FALSE)+VLOOKUP(C83,$B$40:$AG$43,26,FALSE)*$D$54),$D$60*(VLOOKUP(C83,$B$36:$AG$39,26,FALSE)+VLOOKUP(C83,$B$40:$AG$43,26,FALSE)*$D$54))))*$D$59/100</f>
        <v>3302.1251617664634</v>
      </c>
      <c r="AN83" s="174"/>
      <c r="AO83" s="176">
        <v>24</v>
      </c>
      <c r="AP83" s="174">
        <v>36</v>
      </c>
      <c r="AQ83" s="175">
        <f>VLOOKUP(C83,$B$45:$AA$48,25,FALSE)</f>
        <v>521</v>
      </c>
      <c r="AR83" s="31">
        <f>IF(LEFT(E83,1)*1=1,$S$68,$R$68)</f>
        <v>0</v>
      </c>
      <c r="AS83" s="2">
        <f>IF(LEFT(E83,1)*1=2,$U$68,$T$68)</f>
        <v>0.8</v>
      </c>
      <c r="AT83" s="33">
        <f>IF(LEFT(E83,1)*1=3,$W$68,$V$68)</f>
        <v>1</v>
      </c>
      <c r="AU83" s="31">
        <f>IF(MID(E83,3,1)*1=1,$Y$68,$X$68)</f>
        <v>0</v>
      </c>
      <c r="AV83" s="2">
        <f>IF(MID(E83,3,1)*1=2,$AA$68,$Z$68)</f>
        <v>0</v>
      </c>
      <c r="AW83" s="33">
        <f>IF(MID(E83,3,1)*1=3,$AC$68,$AB$68)</f>
        <v>5</v>
      </c>
      <c r="AX83" s="31">
        <f>IF(MID(E83,5,1)*1=1,$AE$68,$AD$68)</f>
        <v>2.8</v>
      </c>
      <c r="AY83" s="33">
        <f>IF(MID(E83,5,1)*1=2,$AG$68,$AF$68)</f>
        <v>1</v>
      </c>
      <c r="AZ83" s="2"/>
      <c r="BA83" s="101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 ht="12" hidden="1" customHeight="1">
      <c r="A84" s="2"/>
      <c r="B84" s="107">
        <v>608</v>
      </c>
      <c r="C84" s="31">
        <v>10</v>
      </c>
      <c r="D84" s="111" t="s">
        <v>18</v>
      </c>
      <c r="E84" s="2" t="s">
        <v>156</v>
      </c>
      <c r="F84" s="2"/>
      <c r="G84" s="2" t="s">
        <v>186</v>
      </c>
      <c r="H84" s="33" t="s">
        <v>81</v>
      </c>
      <c r="I84" s="173">
        <f>M84/AE84</f>
        <v>2537.4683824395661</v>
      </c>
      <c r="J84" s="174">
        <f>AH84/AE84</f>
        <v>81.064611807018906</v>
      </c>
      <c r="K84" s="207">
        <f>RANK(I84,$I$76:$I$977)</f>
        <v>9</v>
      </c>
      <c r="L84" s="208" t="e">
        <f>RANK(I84,$I$451:$I$866)</f>
        <v>#N/A</v>
      </c>
      <c r="M84" s="173">
        <f>SUM(N84:R84)</f>
        <v>16308.23854924755</v>
      </c>
      <c r="N84" s="174">
        <f>T84*(1+((AG84+IF(F84="백어택",8,0))/100)*(AI84/100-1))</f>
        <v>16308.23854924755</v>
      </c>
      <c r="O84" s="174">
        <f>U84*(1+(($D$57+IF(F84="백어택",8,0))/100)*(AI84/100-1))</f>
        <v>0</v>
      </c>
      <c r="P84" s="174"/>
      <c r="Q84" s="174"/>
      <c r="R84" s="175"/>
      <c r="S84" s="173">
        <f>SUM(T84:X84)</f>
        <v>13704.252431904148</v>
      </c>
      <c r="T84" s="174">
        <f>AL84*IF(H84="근접",AT84,IF(AV84=1,AT84,1))*AX84*IF(F84="백어택",1.2,1)</f>
        <v>13704.252431904148</v>
      </c>
      <c r="U84" s="174">
        <f>IF(AX84=1,AM84*IF(H84="근접",AT84,IF(AV84=1,AT84,1)),0)*AY84*IF(AX84=1,1,0)*IF(F84="백어택",1.2,1)</f>
        <v>0</v>
      </c>
      <c r="V84" s="174"/>
      <c r="W84" s="174"/>
      <c r="X84" s="175"/>
      <c r="Y84" s="173">
        <f>SUM(Z84:AD84)</f>
        <v>27408.504863808295</v>
      </c>
      <c r="Z84" s="174">
        <f>T84*$D$58/100</f>
        <v>27408.504863808295</v>
      </c>
      <c r="AA84" s="174">
        <f>U84*$D$58/100</f>
        <v>0</v>
      </c>
      <c r="AB84" s="174"/>
      <c r="AC84" s="174"/>
      <c r="AD84" s="175"/>
      <c r="AE84" s="205">
        <f>(AO84*(1-$D$20/100)*(1-$D$17/100)-AR84)*IF(AW84="보스대상",1,POWER(0.85,AW84))</f>
        <v>6.4269721199712162</v>
      </c>
      <c r="AF84" s="174">
        <f>AP84</f>
        <v>36</v>
      </c>
      <c r="AG84" s="174">
        <f>IF($D$57+AU84&gt;100,100,$D$57+AU84)</f>
        <v>19.001300000000001</v>
      </c>
      <c r="AH84" s="174">
        <f>AQ84</f>
        <v>521</v>
      </c>
      <c r="AI84" s="174">
        <f>$D$58</f>
        <v>200</v>
      </c>
      <c r="AJ84" s="174">
        <f>10*AS84/IF(AX84=1,IF(AY84=1,4.5,4),4)</f>
        <v>2.5</v>
      </c>
      <c r="AK84" s="174">
        <f>SUM(AL84:AN84)</f>
        <v>8196.5010303036597</v>
      </c>
      <c r="AL84" s="174">
        <f>IF(AV84=1,$D$61*(VLOOKUP(C84,$B$36:$AG$39,25,FALSE)+VLOOKUP(C84,$B$40:$AG$43,25,FALSE)*$D$54),(IF(H84="근접",$D$61*(VLOOKUP(C84,$B$36:$AG$39,25,FALSE)+VLOOKUP(C84,$B$40:$AG$43,25,FALSE)*$D$54),$D$60*(VLOOKUP(C84,$B$36:$AG$39,25,FALSE)+VLOOKUP(C84,$B$40:$AG$43,25,FALSE)*$D$54))))*$D$59/100</f>
        <v>4894.3758685371959</v>
      </c>
      <c r="AM84" s="174">
        <f>(IF(AV84=1,$D$61*(VLOOKUP(C84,$B$36:$AG$39,26,FALSE)+VLOOKUP(C84,$B$40:$AG$43,26,FALSE)*$D$54),IF(H84="근접",$D$61*(VLOOKUP(C84,$B$36:$AG$39,26,FALSE)+VLOOKUP(C84,$B$40:$AG$43,26,FALSE)*$D$54),$D$60*(VLOOKUP(C84,$B$36:$AG$39,26,FALSE)+VLOOKUP(C84,$B$40:$AG$43,26,FALSE)*$D$54))))*$D$59/100</f>
        <v>3302.1251617664634</v>
      </c>
      <c r="AN84" s="174"/>
      <c r="AO84" s="176">
        <v>24</v>
      </c>
      <c r="AP84" s="174">
        <v>36</v>
      </c>
      <c r="AQ84" s="175">
        <f>VLOOKUP(C84,$B$45:$AA$48,25,FALSE)</f>
        <v>521</v>
      </c>
      <c r="AR84" s="31">
        <f>IF(LEFT(E84,1)*1=1,$S$68,$R$68)</f>
        <v>4</v>
      </c>
      <c r="AS84" s="2">
        <f>IF(LEFT(E84,1)*1=2,$U$68,$T$68)</f>
        <v>1</v>
      </c>
      <c r="AT84" s="33">
        <f>IF(LEFT(E84,1)*1=3,$W$68,$V$68)</f>
        <v>1</v>
      </c>
      <c r="AU84" s="31">
        <f>IF(MID(E84,3,1)*1=1,$Y$68,$X$68)</f>
        <v>0</v>
      </c>
      <c r="AV84" s="2">
        <f>IF(MID(E84,3,1)*1=2,$AA$68,$Z$68)</f>
        <v>0</v>
      </c>
      <c r="AW84" s="33">
        <f>IF(MID(E84,3,1)*1=3,$AC$68,$AB$68)</f>
        <v>5</v>
      </c>
      <c r="AX84" s="31">
        <f>IF(MID(E84,5,1)*1=1,$AE$68,$AD$68)</f>
        <v>2.8</v>
      </c>
      <c r="AY84" s="33">
        <f>IF(MID(E84,5,1)*1=2,$AG$68,$AF$68)</f>
        <v>1</v>
      </c>
      <c r="AZ84" s="2"/>
      <c r="BA84" s="101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 ht="12" hidden="1" customHeight="1">
      <c r="A85" s="2"/>
      <c r="B85" s="107">
        <v>614</v>
      </c>
      <c r="C85" s="31">
        <v>10</v>
      </c>
      <c r="D85" s="111" t="s">
        <v>18</v>
      </c>
      <c r="E85" s="2" t="s">
        <v>147</v>
      </c>
      <c r="F85" s="2"/>
      <c r="G85" s="2" t="s">
        <v>186</v>
      </c>
      <c r="H85" s="33" t="s">
        <v>81</v>
      </c>
      <c r="I85" s="173">
        <f>M85/AE85</f>
        <v>2386.0496572307261</v>
      </c>
      <c r="J85" s="174">
        <f>AH85/AE85</f>
        <v>63.522692720778515</v>
      </c>
      <c r="K85" s="207">
        <f>RANK(I85,$I$76:$I$977)</f>
        <v>10</v>
      </c>
      <c r="L85" s="208" t="e">
        <f>RANK(I85,$I$451:$I$866)</f>
        <v>#N/A</v>
      </c>
      <c r="M85" s="173">
        <f>SUM(N85:R85)</f>
        <v>19569.88625909706</v>
      </c>
      <c r="N85" s="174">
        <f>T85*(1+((AG85+IF(F85="백어택",8,0))/100)*(AI85/100-1))</f>
        <v>19569.88625909706</v>
      </c>
      <c r="O85" s="174">
        <f>U85*(1+(($D$57+IF(F85="백어택",8,0))/100)*(AI85/100-1))</f>
        <v>0</v>
      </c>
      <c r="P85" s="174"/>
      <c r="Q85" s="174"/>
      <c r="R85" s="175"/>
      <c r="S85" s="173">
        <f>SUM(T85:X85)</f>
        <v>16445.102918284978</v>
      </c>
      <c r="T85" s="174">
        <f>AL85*IF(H85="근접",AT85,IF(AV85=1,AT85,1))*AX85*IF(F85="백어택",1.2,1)</f>
        <v>16445.102918284978</v>
      </c>
      <c r="U85" s="174">
        <f>IF(AX85=1,AM85*IF(H85="근접",AT85,IF(AV85=1,AT85,1)),0)*AY85*IF(AX85=1,1,0)*IF(F85="백어택",1.2,1)</f>
        <v>0</v>
      </c>
      <c r="V85" s="174"/>
      <c r="W85" s="174"/>
      <c r="X85" s="175"/>
      <c r="Y85" s="173">
        <f>SUM(Z85:AD85)</f>
        <v>32890.205836569956</v>
      </c>
      <c r="Z85" s="174">
        <f>T85*$D$58/100</f>
        <v>32890.205836569956</v>
      </c>
      <c r="AA85" s="174">
        <f>U85*$D$58/100</f>
        <v>0</v>
      </c>
      <c r="AB85" s="174"/>
      <c r="AC85" s="174"/>
      <c r="AD85" s="175"/>
      <c r="AE85" s="205">
        <f>(AO85*(1-$D$20/100)*(1-$D$17/100)-AR85)*IF(AW85="보스대상",1,POWER(0.85,AW85))</f>
        <v>8.2017933699712149</v>
      </c>
      <c r="AF85" s="174">
        <f>AP85</f>
        <v>36</v>
      </c>
      <c r="AG85" s="174">
        <f>IF($D$57+AU85&gt;100,100,$D$57+AU85)</f>
        <v>19.001300000000001</v>
      </c>
      <c r="AH85" s="174">
        <f>AQ85</f>
        <v>521</v>
      </c>
      <c r="AI85" s="174">
        <f>$D$58</f>
        <v>200</v>
      </c>
      <c r="AJ85" s="174">
        <f>10*AS85/IF(AX85=1,IF(AY85=1,4.5,4),4)</f>
        <v>2.5</v>
      </c>
      <c r="AK85" s="174">
        <f>SUM(AL85:AN85)</f>
        <v>8196.5010303036597</v>
      </c>
      <c r="AL85" s="174">
        <f>IF(AV85=1,$D$61*(VLOOKUP(C85,$B$36:$AG$39,25,FALSE)+VLOOKUP(C85,$B$40:$AG$43,25,FALSE)*$D$54),(IF(H85="근접",$D$61*(VLOOKUP(C85,$B$36:$AG$39,25,FALSE)+VLOOKUP(C85,$B$40:$AG$43,25,FALSE)*$D$54),$D$60*(VLOOKUP(C85,$B$36:$AG$39,25,FALSE)+VLOOKUP(C85,$B$40:$AG$43,25,FALSE)*$D$54))))*$D$59/100</f>
        <v>4894.3758685371959</v>
      </c>
      <c r="AM85" s="174">
        <f>(IF(AV85=1,$D$61*(VLOOKUP(C85,$B$36:$AG$39,26,FALSE)+VLOOKUP(C85,$B$40:$AG$43,26,FALSE)*$D$54),IF(H85="근접",$D$61*(VLOOKUP(C85,$B$36:$AG$39,26,FALSE)+VLOOKUP(C85,$B$40:$AG$43,26,FALSE)*$D$54),$D$60*(VLOOKUP(C85,$B$36:$AG$39,26,FALSE)+VLOOKUP(C85,$B$40:$AG$43,26,FALSE)*$D$54))))*$D$59/100</f>
        <v>3302.1251617664634</v>
      </c>
      <c r="AN85" s="174"/>
      <c r="AO85" s="176">
        <v>24</v>
      </c>
      <c r="AP85" s="174">
        <v>36</v>
      </c>
      <c r="AQ85" s="175">
        <f>VLOOKUP(C85,$B$45:$AA$48,25,FALSE)</f>
        <v>521</v>
      </c>
      <c r="AR85" s="31">
        <f>IF(LEFT(E85,1)*1=1,$S$68,$R$68)</f>
        <v>0</v>
      </c>
      <c r="AS85" s="2">
        <f>IF(LEFT(E85,1)*1=2,$U$68,$T$68)</f>
        <v>1</v>
      </c>
      <c r="AT85" s="33">
        <f>IF(LEFT(E85,1)*1=3,$W$68,$V$68)</f>
        <v>1.2</v>
      </c>
      <c r="AU85" s="31">
        <f>IF(MID(E85,3,1)*1=1,$Y$68,$X$68)</f>
        <v>0</v>
      </c>
      <c r="AV85" s="2">
        <f>IF(MID(E85,3,1)*1=2,$AA$68,$Z$68)</f>
        <v>0</v>
      </c>
      <c r="AW85" s="33">
        <f>IF(MID(E85,3,1)*1=3,$AC$68,$AB$68)</f>
        <v>5</v>
      </c>
      <c r="AX85" s="31">
        <f>IF(MID(E85,5,1)*1=1,$AE$68,$AD$68)</f>
        <v>2.8</v>
      </c>
      <c r="AY85" s="33">
        <f>IF(MID(E85,5,1)*1=2,$AG$68,$AF$68)</f>
        <v>1</v>
      </c>
      <c r="AZ85" s="2"/>
      <c r="BA85" s="101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 ht="12" hidden="1" customHeight="1">
      <c r="A86" s="2"/>
      <c r="B86" s="107">
        <v>710</v>
      </c>
      <c r="C86" s="31">
        <v>10</v>
      </c>
      <c r="D86" s="111" t="s">
        <v>18</v>
      </c>
      <c r="E86" s="2" t="s">
        <v>157</v>
      </c>
      <c r="F86" s="2" t="s">
        <v>149</v>
      </c>
      <c r="G86" s="2" t="s">
        <v>186</v>
      </c>
      <c r="H86" s="33" t="s">
        <v>80</v>
      </c>
      <c r="I86" s="173">
        <f>M86/AE86</f>
        <v>2339.7825636404659</v>
      </c>
      <c r="J86" s="174">
        <f>AH86/AE86</f>
        <v>81.064611807018906</v>
      </c>
      <c r="K86" s="207">
        <f>RANK(I86,$I$76:$I$977)</f>
        <v>11</v>
      </c>
      <c r="L86" s="208" t="e">
        <f>RANK(I86,$I$451:$I$866)</f>
        <v>#N/A</v>
      </c>
      <c r="M86" s="173">
        <f>SUM(N86:R86)</f>
        <v>15037.717303312053</v>
      </c>
      <c r="N86" s="174">
        <f>T86*(1+((AG86+IF(F86="백어택",8,0))/100)*(AI86/100-1))</f>
        <v>4972.7367839428234</v>
      </c>
      <c r="O86" s="174">
        <f>U86*(1+(($D$57+IF(F86="백어택",8,0))/100)*(AI86/100-1))</f>
        <v>10064.980519369228</v>
      </c>
      <c r="P86" s="174"/>
      <c r="Q86" s="174"/>
      <c r="R86" s="175"/>
      <c r="S86" s="173">
        <f>SUM(T86:X86)</f>
        <v>11840.601083069268</v>
      </c>
      <c r="T86" s="174">
        <f>AL86*IF(H86="근접",AT86,IF(AV86=1,AT86,1))*AX86*IF(F86="백어택",1.2,1)</f>
        <v>3915.5006948297564</v>
      </c>
      <c r="U86" s="174">
        <f>IF(AX86=1,AM86*IF(H86="근접",AT86,IF(AV86=1,AT86,1)),0)*AY86*IF(AX86=1,1,0)*IF(F86="백어택",1.2,1)</f>
        <v>7925.1003882395125</v>
      </c>
      <c r="V86" s="174"/>
      <c r="W86" s="174"/>
      <c r="X86" s="175"/>
      <c r="Y86" s="173">
        <f>SUM(Z86:AD86)</f>
        <v>23681.202166138537</v>
      </c>
      <c r="Z86" s="174">
        <f>T86*$D$58/100</f>
        <v>7831.0013896595128</v>
      </c>
      <c r="AA86" s="174">
        <f>U86*$D$58/100</f>
        <v>15850.200776479025</v>
      </c>
      <c r="AB86" s="174"/>
      <c r="AC86" s="174"/>
      <c r="AD86" s="175"/>
      <c r="AE86" s="205">
        <f>(AO86*(1-$D$20/100)*(1-$D$17/100)-AR86)*IF(AW86="보스대상",1,POWER(0.85,AW86))</f>
        <v>6.4269721199712162</v>
      </c>
      <c r="AF86" s="174">
        <f>AP86</f>
        <v>36</v>
      </c>
      <c r="AG86" s="174">
        <f>IF($D$57+AU86&gt;100,100,$D$57+AU86)</f>
        <v>19.001300000000001</v>
      </c>
      <c r="AH86" s="174">
        <f>AQ86</f>
        <v>521</v>
      </c>
      <c r="AI86" s="174">
        <f>$D$58</f>
        <v>200</v>
      </c>
      <c r="AJ86" s="174">
        <f>10*AS86/IF(AX86=1,IF(AY86=1,4.5,4),4)</f>
        <v>2.5</v>
      </c>
      <c r="AK86" s="174">
        <f>SUM(AL86:AN86)</f>
        <v>5464.3340202024392</v>
      </c>
      <c r="AL86" s="174">
        <f>IF(AV86=1,$D$61*(VLOOKUP(C86,$B$36:$AG$39,25,FALSE)+VLOOKUP(C86,$B$40:$AG$43,25,FALSE)*$D$54),(IF(H86="근접",$D$61*(VLOOKUP(C86,$B$36:$AG$39,25,FALSE)+VLOOKUP(C86,$B$40:$AG$43,25,FALSE)*$D$54),$D$60*(VLOOKUP(C86,$B$36:$AG$39,25,FALSE)+VLOOKUP(C86,$B$40:$AG$43,25,FALSE)*$D$54))))*$D$59/100</f>
        <v>3262.9172456914639</v>
      </c>
      <c r="AM86" s="174">
        <f>(IF(AV86=1,$D$61*(VLOOKUP(C86,$B$36:$AG$39,26,FALSE)+VLOOKUP(C86,$B$40:$AG$43,26,FALSE)*$D$54),IF(H86="근접",$D$61*(VLOOKUP(C86,$B$36:$AG$39,26,FALSE)+VLOOKUP(C86,$B$40:$AG$43,26,FALSE)*$D$54),$D$60*(VLOOKUP(C86,$B$36:$AG$39,26,FALSE)+VLOOKUP(C86,$B$40:$AG$43,26,FALSE)*$D$54))))*$D$59/100</f>
        <v>2201.4167745109758</v>
      </c>
      <c r="AN86" s="174"/>
      <c r="AO86" s="176">
        <v>24</v>
      </c>
      <c r="AP86" s="174">
        <v>36</v>
      </c>
      <c r="AQ86" s="175">
        <f>VLOOKUP(C86,$B$45:$AA$48,25,FALSE)</f>
        <v>521</v>
      </c>
      <c r="AR86" s="31">
        <f>IF(LEFT(E86,1)*1=1,$S$68,$R$68)</f>
        <v>4</v>
      </c>
      <c r="AS86" s="2">
        <f>IF(LEFT(E86,1)*1=2,$U$68,$T$68)</f>
        <v>1</v>
      </c>
      <c r="AT86" s="33">
        <f>IF(LEFT(E86,1)*1=3,$W$68,$V$68)</f>
        <v>1</v>
      </c>
      <c r="AU86" s="31">
        <f>IF(MID(E86,3,1)*1=1,$Y$68,$X$68)</f>
        <v>0</v>
      </c>
      <c r="AV86" s="2">
        <f>IF(MID(E86,3,1)*1=2,$AA$68,$Z$68)</f>
        <v>0</v>
      </c>
      <c r="AW86" s="33">
        <f>IF(MID(E86,3,1)*1=3,$AC$68,$AB$68)</f>
        <v>5</v>
      </c>
      <c r="AX86" s="31">
        <f>IF(MID(E86,5,1)*1=1,$AE$68,$AD$68)</f>
        <v>1</v>
      </c>
      <c r="AY86" s="33">
        <f>IF(MID(E86,5,1)*1=2,$AG$68,$AF$68)</f>
        <v>3</v>
      </c>
      <c r="AZ86" s="2"/>
      <c r="BA86" s="101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 ht="12" hidden="1" customHeight="1">
      <c r="A87" s="2"/>
      <c r="B87" s="107">
        <v>701</v>
      </c>
      <c r="C87" s="31">
        <v>10</v>
      </c>
      <c r="D87" s="111" t="s">
        <v>18</v>
      </c>
      <c r="E87" s="2" t="s">
        <v>156</v>
      </c>
      <c r="F87" s="2" t="s">
        <v>149</v>
      </c>
      <c r="G87" s="2" t="s">
        <v>186</v>
      </c>
      <c r="H87" s="33" t="s">
        <v>80</v>
      </c>
      <c r="I87" s="173">
        <f>M87/AE87</f>
        <v>2166.442102926419</v>
      </c>
      <c r="J87" s="174">
        <f>AH87/AE87</f>
        <v>81.064611807018906</v>
      </c>
      <c r="K87" s="207">
        <f>RANK(I87,$I$76:$I$977)</f>
        <v>12</v>
      </c>
      <c r="L87" s="208" t="e">
        <f>RANK(I87,$I$451:$I$866)</f>
        <v>#N/A</v>
      </c>
      <c r="M87" s="173">
        <f>SUM(N87:R87)</f>
        <v>13923.662995039906</v>
      </c>
      <c r="N87" s="174">
        <f>T87*(1+((AG87+IF(F87="백어택",8,0))/100)*(AI87/100-1))</f>
        <v>13923.662995039906</v>
      </c>
      <c r="O87" s="174">
        <f>U87*(1+(($D$57+IF(F87="백어택",8,0))/100)*(AI87/100-1))</f>
        <v>0</v>
      </c>
      <c r="P87" s="174"/>
      <c r="Q87" s="174"/>
      <c r="R87" s="175"/>
      <c r="S87" s="173">
        <f>SUM(T87:X87)</f>
        <v>10963.401945523317</v>
      </c>
      <c r="T87" s="174">
        <f>AL87*IF(H87="근접",AT87,IF(AV87=1,AT87,1))*AX87*IF(F87="백어택",1.2,1)</f>
        <v>10963.401945523317</v>
      </c>
      <c r="U87" s="174">
        <f>IF(AX87=1,AM87*IF(H87="근접",AT87,IF(AV87=1,AT87,1)),0)*AY87*IF(AX87=1,1,0)*IF(F87="백어택",1.2,1)</f>
        <v>0</v>
      </c>
      <c r="V87" s="174"/>
      <c r="W87" s="174"/>
      <c r="X87" s="175"/>
      <c r="Y87" s="173">
        <f>SUM(Z87:AD87)</f>
        <v>21926.803891046635</v>
      </c>
      <c r="Z87" s="174">
        <f>T87*$D$58/100</f>
        <v>21926.803891046635</v>
      </c>
      <c r="AA87" s="174">
        <f>U87*$D$58/100</f>
        <v>0</v>
      </c>
      <c r="AB87" s="174"/>
      <c r="AC87" s="174"/>
      <c r="AD87" s="175"/>
      <c r="AE87" s="205">
        <f>(AO87*(1-$D$20/100)*(1-$D$17/100)-AR87)*IF(AW87="보스대상",1,POWER(0.85,AW87))</f>
        <v>6.4269721199712162</v>
      </c>
      <c r="AF87" s="174">
        <f>AP87</f>
        <v>36</v>
      </c>
      <c r="AG87" s="174">
        <f>IF($D$57+AU87&gt;100,100,$D$57+AU87)</f>
        <v>19.001300000000001</v>
      </c>
      <c r="AH87" s="174">
        <f>AQ87</f>
        <v>521</v>
      </c>
      <c r="AI87" s="174">
        <f>$D$58</f>
        <v>200</v>
      </c>
      <c r="AJ87" s="174">
        <f>10*AS87/IF(AX87=1,IF(AY87=1,4.5,4),4)</f>
        <v>2.5</v>
      </c>
      <c r="AK87" s="174">
        <f>SUM(AL87:AN87)</f>
        <v>5464.3340202024392</v>
      </c>
      <c r="AL87" s="174">
        <f>IF(AV87=1,$D$61*(VLOOKUP(C87,$B$36:$AG$39,25,FALSE)+VLOOKUP(C87,$B$40:$AG$43,25,FALSE)*$D$54),(IF(H87="근접",$D$61*(VLOOKUP(C87,$B$36:$AG$39,25,FALSE)+VLOOKUP(C87,$B$40:$AG$43,25,FALSE)*$D$54),$D$60*(VLOOKUP(C87,$B$36:$AG$39,25,FALSE)+VLOOKUP(C87,$B$40:$AG$43,25,FALSE)*$D$54))))*$D$59/100</f>
        <v>3262.9172456914639</v>
      </c>
      <c r="AM87" s="174">
        <f>(IF(AV87=1,$D$61*(VLOOKUP(C87,$B$36:$AG$39,26,FALSE)+VLOOKUP(C87,$B$40:$AG$43,26,FALSE)*$D$54),IF(H87="근접",$D$61*(VLOOKUP(C87,$B$36:$AG$39,26,FALSE)+VLOOKUP(C87,$B$40:$AG$43,26,FALSE)*$D$54),$D$60*(VLOOKUP(C87,$B$36:$AG$39,26,FALSE)+VLOOKUP(C87,$B$40:$AG$43,26,FALSE)*$D$54))))*$D$59/100</f>
        <v>2201.4167745109758</v>
      </c>
      <c r="AN87" s="174"/>
      <c r="AO87" s="176">
        <v>24</v>
      </c>
      <c r="AP87" s="174">
        <v>36</v>
      </c>
      <c r="AQ87" s="175">
        <f>VLOOKUP(C87,$B$45:$AA$48,25,FALSE)</f>
        <v>521</v>
      </c>
      <c r="AR87" s="31">
        <f>IF(LEFT(E87,1)*1=1,$S$68,$R$68)</f>
        <v>4</v>
      </c>
      <c r="AS87" s="2">
        <f>IF(LEFT(E87,1)*1=2,$U$68,$T$68)</f>
        <v>1</v>
      </c>
      <c r="AT87" s="33">
        <f>IF(LEFT(E87,1)*1=3,$W$68,$V$68)</f>
        <v>1</v>
      </c>
      <c r="AU87" s="31">
        <f>IF(MID(E87,3,1)*1=1,$Y$68,$X$68)</f>
        <v>0</v>
      </c>
      <c r="AV87" s="2">
        <f>IF(MID(E87,3,1)*1=2,$AA$68,$Z$68)</f>
        <v>0</v>
      </c>
      <c r="AW87" s="33">
        <f>IF(MID(E87,3,1)*1=3,$AC$68,$AB$68)</f>
        <v>5</v>
      </c>
      <c r="AX87" s="31">
        <f>IF(MID(E87,5,1)*1=1,$AE$68,$AD$68)</f>
        <v>2.8</v>
      </c>
      <c r="AY87" s="33">
        <f>IF(MID(E87,5,1)*1=2,$AG$68,$AF$68)</f>
        <v>1</v>
      </c>
      <c r="AZ87" s="2"/>
      <c r="BA87" s="101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 ht="12" hidden="1" customHeight="1">
      <c r="A88" s="2"/>
      <c r="B88" s="107">
        <v>620</v>
      </c>
      <c r="C88" s="31">
        <v>10</v>
      </c>
      <c r="D88" s="111" t="s">
        <v>18</v>
      </c>
      <c r="E88" s="2" t="s">
        <v>108</v>
      </c>
      <c r="F88" s="2"/>
      <c r="G88" s="2" t="s">
        <v>186</v>
      </c>
      <c r="H88" s="33" t="s">
        <v>81</v>
      </c>
      <c r="I88" s="173">
        <f>M88/AE88</f>
        <v>2147.4677215496536</v>
      </c>
      <c r="J88" s="174">
        <f>AH88/AE88</f>
        <v>63.522692720778515</v>
      </c>
      <c r="K88" s="207">
        <f>RANK(I88,$I$76:$I$977)</f>
        <v>13</v>
      </c>
      <c r="L88" s="208" t="e">
        <f>RANK(I88,$I$451:$I$866)</f>
        <v>#N/A</v>
      </c>
      <c r="M88" s="173">
        <f>SUM(N88:R88)</f>
        <v>17613.086520833138</v>
      </c>
      <c r="N88" s="174">
        <f>T88*(1+((AG88+IF(F88="백어택",8,0))/100)*(AI88/100-1))</f>
        <v>5824.3709104455538</v>
      </c>
      <c r="O88" s="174">
        <f>U88*(1+(($D$57+IF(F88="백어택",8,0))/100)*(AI88/100-1))</f>
        <v>11788.715610387582</v>
      </c>
      <c r="P88" s="174"/>
      <c r="Q88" s="174"/>
      <c r="R88" s="175"/>
      <c r="S88" s="173">
        <f>SUM(T88:X88)</f>
        <v>14800.751353836586</v>
      </c>
      <c r="T88" s="174">
        <f>AL88*IF(H88="근접",AT88,IF(AV88=1,AT88,1))*AX88*IF(F88="백어택",1.2,1)</f>
        <v>4894.3758685371959</v>
      </c>
      <c r="U88" s="174">
        <f>IF(AX88=1,AM88*IF(H88="근접",AT88,IF(AV88=1,AT88,1)),0)*AY88*IF(AX88=1,1,0)*IF(F88="백어택",1.2,1)</f>
        <v>9906.3754852993898</v>
      </c>
      <c r="V88" s="174"/>
      <c r="W88" s="174"/>
      <c r="X88" s="175"/>
      <c r="Y88" s="173">
        <f>SUM(Z88:AD88)</f>
        <v>29601.502707673171</v>
      </c>
      <c r="Z88" s="174">
        <f>T88*$D$58/100</f>
        <v>9788.7517370743917</v>
      </c>
      <c r="AA88" s="174">
        <f>U88*$D$58/100</f>
        <v>19812.75097059878</v>
      </c>
      <c r="AB88" s="174"/>
      <c r="AC88" s="174"/>
      <c r="AD88" s="175"/>
      <c r="AE88" s="205">
        <f>(AO88*(1-$D$20/100)*(1-$D$17/100)-AR88)*IF(AW88="보스대상",1,POWER(0.85,AW88))</f>
        <v>8.2017933699712149</v>
      </c>
      <c r="AF88" s="174">
        <f>AP88</f>
        <v>36</v>
      </c>
      <c r="AG88" s="174">
        <f>IF($D$57+AU88&gt;100,100,$D$57+AU88)</f>
        <v>19.001300000000001</v>
      </c>
      <c r="AH88" s="174">
        <f>AQ88</f>
        <v>521</v>
      </c>
      <c r="AI88" s="174">
        <f>$D$58</f>
        <v>200</v>
      </c>
      <c r="AJ88" s="174">
        <f>10*AS88/IF(AX88=1,IF(AY88=1,4.5,4),4)</f>
        <v>2</v>
      </c>
      <c r="AK88" s="174">
        <f>SUM(AL88:AN88)</f>
        <v>8196.5010303036597</v>
      </c>
      <c r="AL88" s="174">
        <f>IF(AV88=1,$D$61*(VLOOKUP(C88,$B$36:$AG$39,25,FALSE)+VLOOKUP(C88,$B$40:$AG$43,25,FALSE)*$D$54),(IF(H88="근접",$D$61*(VLOOKUP(C88,$B$36:$AG$39,25,FALSE)+VLOOKUP(C88,$B$40:$AG$43,25,FALSE)*$D$54),$D$60*(VLOOKUP(C88,$B$36:$AG$39,25,FALSE)+VLOOKUP(C88,$B$40:$AG$43,25,FALSE)*$D$54))))*$D$59/100</f>
        <v>4894.3758685371959</v>
      </c>
      <c r="AM88" s="174">
        <f>(IF(AV88=1,$D$61*(VLOOKUP(C88,$B$36:$AG$39,26,FALSE)+VLOOKUP(C88,$B$40:$AG$43,26,FALSE)*$D$54),IF(H88="근접",$D$61*(VLOOKUP(C88,$B$36:$AG$39,26,FALSE)+VLOOKUP(C88,$B$40:$AG$43,26,FALSE)*$D$54),$D$60*(VLOOKUP(C88,$B$36:$AG$39,26,FALSE)+VLOOKUP(C88,$B$40:$AG$43,26,FALSE)*$D$54))))*$D$59/100</f>
        <v>3302.1251617664634</v>
      </c>
      <c r="AN88" s="174"/>
      <c r="AO88" s="176">
        <v>24</v>
      </c>
      <c r="AP88" s="174">
        <v>36</v>
      </c>
      <c r="AQ88" s="175">
        <f>VLOOKUP(C88,$B$45:$AA$48,25,FALSE)</f>
        <v>521</v>
      </c>
      <c r="AR88" s="31">
        <f>IF(LEFT(E88,1)*1=1,$S$68,$R$68)</f>
        <v>0</v>
      </c>
      <c r="AS88" s="2">
        <f>IF(LEFT(E88,1)*1=2,$U$68,$T$68)</f>
        <v>0.8</v>
      </c>
      <c r="AT88" s="33">
        <f>IF(LEFT(E88,1)*1=3,$W$68,$V$68)</f>
        <v>1</v>
      </c>
      <c r="AU88" s="31">
        <f>IF(MID(E88,3,1)*1=1,$Y$68,$X$68)</f>
        <v>0</v>
      </c>
      <c r="AV88" s="2">
        <f>IF(MID(E88,3,1)*1=2,$AA$68,$Z$68)</f>
        <v>0</v>
      </c>
      <c r="AW88" s="33">
        <f>IF(MID(E88,3,1)*1=3,$AC$68,$AB$68)</f>
        <v>5</v>
      </c>
      <c r="AX88" s="31">
        <f>IF(MID(E88,5,1)*1=1,$AE$68,$AD$68)</f>
        <v>1</v>
      </c>
      <c r="AY88" s="33">
        <f>IF(MID(E88,5,1)*1=2,$AG$68,$AF$68)</f>
        <v>3</v>
      </c>
      <c r="AZ88" s="2"/>
      <c r="BA88" s="101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 ht="12" hidden="1" customHeight="1">
      <c r="A89" s="2"/>
      <c r="B89" s="107">
        <v>611</v>
      </c>
      <c r="C89" s="31">
        <v>10</v>
      </c>
      <c r="D89" s="111" t="s">
        <v>18</v>
      </c>
      <c r="E89" s="2" t="s">
        <v>171</v>
      </c>
      <c r="F89" s="2"/>
      <c r="G89" s="2" t="s">
        <v>186</v>
      </c>
      <c r="H89" s="33" t="s">
        <v>81</v>
      </c>
      <c r="I89" s="173">
        <f>M89/AE89</f>
        <v>1988.3747143589385</v>
      </c>
      <c r="J89" s="174">
        <f>AH89/AE89</f>
        <v>63.522692720778515</v>
      </c>
      <c r="K89" s="207">
        <f>RANK(I89,$I$76:$I$977)</f>
        <v>14</v>
      </c>
      <c r="L89" s="208" t="e">
        <f>RANK(I89,$I$451:$I$866)</f>
        <v>#N/A</v>
      </c>
      <c r="M89" s="173">
        <f>SUM(N89:R89)</f>
        <v>16308.23854924755</v>
      </c>
      <c r="N89" s="174">
        <f>T89*(1+((AG89+IF(F89="백어택",8,0))/100)*(AI89/100-1))</f>
        <v>16308.23854924755</v>
      </c>
      <c r="O89" s="174">
        <f>U89*(1+(($D$57+IF(F89="백어택",8,0))/100)*(AI89/100-1))</f>
        <v>0</v>
      </c>
      <c r="P89" s="174"/>
      <c r="Q89" s="174"/>
      <c r="R89" s="175"/>
      <c r="S89" s="173">
        <f>SUM(T89:X89)</f>
        <v>13704.252431904148</v>
      </c>
      <c r="T89" s="174">
        <f>AL89*IF(H89="근접",AT89,IF(AV89=1,AT89,1))*AX89*IF(F89="백어택",1.2,1)</f>
        <v>13704.252431904148</v>
      </c>
      <c r="U89" s="174">
        <f>IF(AX89=1,AM89*IF(H89="근접",AT89,IF(AV89=1,AT89,1)),0)*AY89*IF(AX89=1,1,0)*IF(F89="백어택",1.2,1)</f>
        <v>0</v>
      </c>
      <c r="V89" s="174"/>
      <c r="W89" s="174"/>
      <c r="X89" s="175"/>
      <c r="Y89" s="173">
        <f>SUM(Z89:AD89)</f>
        <v>27408.504863808295</v>
      </c>
      <c r="Z89" s="174">
        <f>T89*$D$58/100</f>
        <v>27408.504863808295</v>
      </c>
      <c r="AA89" s="174">
        <f>U89*$D$58/100</f>
        <v>0</v>
      </c>
      <c r="AB89" s="174"/>
      <c r="AC89" s="174"/>
      <c r="AD89" s="175"/>
      <c r="AE89" s="205">
        <f>(AO89*(1-$D$20/100)*(1-$D$17/100)-AR89)*IF(AW89="보스대상",1,POWER(0.85,AW89))</f>
        <v>8.2017933699712149</v>
      </c>
      <c r="AF89" s="174">
        <f>AP89</f>
        <v>36</v>
      </c>
      <c r="AG89" s="174">
        <f>IF($D$57+AU89&gt;100,100,$D$57+AU89)</f>
        <v>19.001300000000001</v>
      </c>
      <c r="AH89" s="174">
        <f>AQ89</f>
        <v>521</v>
      </c>
      <c r="AI89" s="174">
        <f>$D$58</f>
        <v>200</v>
      </c>
      <c r="AJ89" s="174">
        <f>10*AS89/IF(AX89=1,IF(AY89=1,4.5,4),4)</f>
        <v>2</v>
      </c>
      <c r="AK89" s="174">
        <f>SUM(AL89:AN89)</f>
        <v>8196.5010303036597</v>
      </c>
      <c r="AL89" s="174">
        <f>IF(AV89=1,$D$61*(VLOOKUP(C89,$B$36:$AG$39,25,FALSE)+VLOOKUP(C89,$B$40:$AG$43,25,FALSE)*$D$54),(IF(H89="근접",$D$61*(VLOOKUP(C89,$B$36:$AG$39,25,FALSE)+VLOOKUP(C89,$B$40:$AG$43,25,FALSE)*$D$54),$D$60*(VLOOKUP(C89,$B$36:$AG$39,25,FALSE)+VLOOKUP(C89,$B$40:$AG$43,25,FALSE)*$D$54))))*$D$59/100</f>
        <v>4894.3758685371959</v>
      </c>
      <c r="AM89" s="174">
        <f>(IF(AV89=1,$D$61*(VLOOKUP(C89,$B$36:$AG$39,26,FALSE)+VLOOKUP(C89,$B$40:$AG$43,26,FALSE)*$D$54),IF(H89="근접",$D$61*(VLOOKUP(C89,$B$36:$AG$39,26,FALSE)+VLOOKUP(C89,$B$40:$AG$43,26,FALSE)*$D$54),$D$60*(VLOOKUP(C89,$B$36:$AG$39,26,FALSE)+VLOOKUP(C89,$B$40:$AG$43,26,FALSE)*$D$54))))*$D$59/100</f>
        <v>3302.1251617664634</v>
      </c>
      <c r="AN89" s="174"/>
      <c r="AO89" s="176">
        <v>24</v>
      </c>
      <c r="AP89" s="174">
        <v>36</v>
      </c>
      <c r="AQ89" s="175">
        <f>VLOOKUP(C89,$B$45:$AA$48,25,FALSE)</f>
        <v>521</v>
      </c>
      <c r="AR89" s="31">
        <f>IF(LEFT(E89,1)*1=1,$S$68,$R$68)</f>
        <v>0</v>
      </c>
      <c r="AS89" s="2">
        <f>IF(LEFT(E89,1)*1=2,$U$68,$T$68)</f>
        <v>0.8</v>
      </c>
      <c r="AT89" s="33">
        <f>IF(LEFT(E89,1)*1=3,$W$68,$V$68)</f>
        <v>1</v>
      </c>
      <c r="AU89" s="31">
        <f>IF(MID(E89,3,1)*1=1,$Y$68,$X$68)</f>
        <v>0</v>
      </c>
      <c r="AV89" s="2">
        <f>IF(MID(E89,3,1)*1=2,$AA$68,$Z$68)</f>
        <v>0</v>
      </c>
      <c r="AW89" s="33">
        <f>IF(MID(E89,3,1)*1=3,$AC$68,$AB$68)</f>
        <v>5</v>
      </c>
      <c r="AX89" s="31">
        <f>IF(MID(E89,5,1)*1=1,$AE$68,$AD$68)</f>
        <v>2.8</v>
      </c>
      <c r="AY89" s="33">
        <f>IF(MID(E89,5,1)*1=2,$AG$68,$AF$68)</f>
        <v>1</v>
      </c>
      <c r="AZ89" s="2"/>
      <c r="BA89" s="101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 ht="12" customHeight="1">
      <c r="A90" s="2"/>
      <c r="B90" s="107">
        <v>668</v>
      </c>
      <c r="C90" s="31">
        <v>10</v>
      </c>
      <c r="D90" s="111" t="s">
        <v>18</v>
      </c>
      <c r="E90" s="2" t="s">
        <v>164</v>
      </c>
      <c r="F90" s="2" t="s">
        <v>149</v>
      </c>
      <c r="G90" s="2"/>
      <c r="H90" s="33" t="s">
        <v>81</v>
      </c>
      <c r="I90" s="173">
        <f>M90/AE90</f>
        <v>1896.0276230938111</v>
      </c>
      <c r="J90" s="174">
        <f>AH90/AE90</f>
        <v>35.968798914524506</v>
      </c>
      <c r="K90" s="207">
        <f>RANK(I90,$I$76:$I$977)</f>
        <v>15</v>
      </c>
      <c r="L90" s="208" t="e">
        <f>RANK(I90,$I$451:$I$866)</f>
        <v>#N/A</v>
      </c>
      <c r="M90" s="173">
        <f>SUM(N90:R90)</f>
        <v>27463.535659873851</v>
      </c>
      <c r="N90" s="174">
        <f>T90*(1+((AG90+IF(F90="백어택",8,0))/100)*(AI90/100-1))</f>
        <v>27463.535659873851</v>
      </c>
      <c r="O90" s="174">
        <f>U90*(1+(($D$57+IF(F90="백어택",8,0))/100)*(AI90/100-1))</f>
        <v>0</v>
      </c>
      <c r="P90" s="174"/>
      <c r="Q90" s="174"/>
      <c r="R90" s="175"/>
      <c r="S90" s="173">
        <f>SUM(T90:X90)</f>
        <v>16445.102918284978</v>
      </c>
      <c r="T90" s="174">
        <f>AL90*IF(H90="근접",AT90,IF(AV90=1,AT90,1))*AX90*IF(F90="백어택",1.2,1)</f>
        <v>16445.102918284978</v>
      </c>
      <c r="U90" s="174">
        <f>IF(AX90=1,AM90*IF(H90="근접",AT90,IF(AV90=1,AT90,1)),0)*AY90*IF(AX90=1,1,0)*IF(F90="백어택",1.2,1)</f>
        <v>0</v>
      </c>
      <c r="V90" s="174"/>
      <c r="W90" s="174"/>
      <c r="X90" s="175"/>
      <c r="Y90" s="173">
        <f>SUM(Z90:AD90)</f>
        <v>32890.205836569956</v>
      </c>
      <c r="Z90" s="174">
        <f>T90*$D$58/100</f>
        <v>32890.205836569956</v>
      </c>
      <c r="AA90" s="174">
        <f>U90*$D$58/100</f>
        <v>0</v>
      </c>
      <c r="AB90" s="174"/>
      <c r="AC90" s="174"/>
      <c r="AD90" s="175"/>
      <c r="AE90" s="205">
        <f>(AO90*(1-$D$20/100)*(1-$D$17/100)-AR90)*IF(AW90="보스대상",1,POWER(0.85,AW90))</f>
        <v>14.484776131615998</v>
      </c>
      <c r="AF90" s="174">
        <f>AP90</f>
        <v>36</v>
      </c>
      <c r="AG90" s="174">
        <f>IF($D$57+AU90&gt;100,100,$D$57+AU90)</f>
        <v>59.001300000000001</v>
      </c>
      <c r="AH90" s="174">
        <f>AQ90</f>
        <v>521</v>
      </c>
      <c r="AI90" s="174">
        <f>$D$58</f>
        <v>200</v>
      </c>
      <c r="AJ90" s="174">
        <f>10*AS90/IF(AX90=1,IF(AY90=1,4.5,4),4)</f>
        <v>2.5</v>
      </c>
      <c r="AK90" s="174">
        <f>SUM(AL90:AN90)</f>
        <v>8196.5010303036597</v>
      </c>
      <c r="AL90" s="174">
        <f>IF(AV90=1,$D$61*(VLOOKUP(C90,$B$36:$AG$39,25,FALSE)+VLOOKUP(C90,$B$40:$AG$43,25,FALSE)*$D$54),(IF(H90="근접",$D$61*(VLOOKUP(C90,$B$36:$AG$39,25,FALSE)+VLOOKUP(C90,$B$40:$AG$43,25,FALSE)*$D$54),$D$60*(VLOOKUP(C90,$B$36:$AG$39,25,FALSE)+VLOOKUP(C90,$B$40:$AG$43,25,FALSE)*$D$54))))*$D$59/100</f>
        <v>4894.3758685371959</v>
      </c>
      <c r="AM90" s="174">
        <f>(IF(AV90=1,$D$61*(VLOOKUP(C90,$B$36:$AG$39,26,FALSE)+VLOOKUP(C90,$B$40:$AG$43,26,FALSE)*$D$54),IF(H90="근접",$D$61*(VLOOKUP(C90,$B$36:$AG$39,26,FALSE)+VLOOKUP(C90,$B$40:$AG$43,26,FALSE)*$D$54),$D$60*(VLOOKUP(C90,$B$36:$AG$39,26,FALSE)+VLOOKUP(C90,$B$40:$AG$43,26,FALSE)*$D$54))))*$D$59/100</f>
        <v>3302.1251617664634</v>
      </c>
      <c r="AN90" s="174"/>
      <c r="AO90" s="176">
        <v>24</v>
      </c>
      <c r="AP90" s="174">
        <v>36</v>
      </c>
      <c r="AQ90" s="175">
        <f>VLOOKUP(C90,$B$45:$AA$48,25,FALSE)</f>
        <v>521</v>
      </c>
      <c r="AR90" s="31">
        <f>IF(LEFT(E90,1)*1=1,$S$68,$R$68)</f>
        <v>4</v>
      </c>
      <c r="AS90" s="2">
        <f>IF(LEFT(E90,1)*1=2,$U$68,$T$68)</f>
        <v>1</v>
      </c>
      <c r="AT90" s="33">
        <f>IF(LEFT(E90,1)*1=3,$W$68,$V$68)</f>
        <v>1</v>
      </c>
      <c r="AU90" s="31">
        <f>IF(MID(E90,3,1)*1=1,$Y$68,$X$68)</f>
        <v>40</v>
      </c>
      <c r="AV90" s="2">
        <f>IF(MID(E90,3,1)*1=2,$AA$68,$Z$68)</f>
        <v>0</v>
      </c>
      <c r="AW90" s="33" t="str">
        <f>IF(MID(E90,3,1)*1=3,$AC$68,$AB$68)</f>
        <v>보스대상</v>
      </c>
      <c r="AX90" s="31">
        <f>IF(MID(E90,5,1)*1=1,$AE$68,$AD$68)</f>
        <v>2.8</v>
      </c>
      <c r="AY90" s="33">
        <f>IF(MID(E90,5,1)*1=2,$AG$68,$AF$68)</f>
        <v>1</v>
      </c>
      <c r="AZ90" s="2"/>
      <c r="BA90" s="101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 ht="12" hidden="1" customHeight="1">
      <c r="A91" s="2"/>
      <c r="B91" s="107">
        <v>688</v>
      </c>
      <c r="C91" s="31">
        <v>7</v>
      </c>
      <c r="D91" s="111" t="s">
        <v>18</v>
      </c>
      <c r="E91" s="2" t="s">
        <v>155</v>
      </c>
      <c r="F91" s="2" t="s">
        <v>149</v>
      </c>
      <c r="G91" s="2" t="s">
        <v>186</v>
      </c>
      <c r="H91" s="33" t="s">
        <v>81</v>
      </c>
      <c r="I91" s="173">
        <f>M91/AE91</f>
        <v>1860.0388541160787</v>
      </c>
      <c r="J91" s="174">
        <f>AH91/AE91</f>
        <v>56.480718015255015</v>
      </c>
      <c r="K91" s="207">
        <f>RANK(I91,$I$76:$I$977)</f>
        <v>16</v>
      </c>
      <c r="L91" s="208" t="e">
        <f>RANK(I91,$I$451:$I$866)</f>
        <v>#N/A</v>
      </c>
      <c r="M91" s="173">
        <f>SUM(N91:R91)</f>
        <v>11954.417857467246</v>
      </c>
      <c r="N91" s="174">
        <f>T91*(1+((AG91+IF(F91="백어택",8,0))/100)*(AI91/100-1))</f>
        <v>7135.6653004363916</v>
      </c>
      <c r="O91" s="174">
        <f>U91*(1+(($D$57+IF(F91="백어택",8,0))/100)*(AI91/100-1))</f>
        <v>4818.7525570308544</v>
      </c>
      <c r="P91" s="174"/>
      <c r="Q91" s="174"/>
      <c r="R91" s="175"/>
      <c r="S91" s="173">
        <f>SUM(T91:X91)</f>
        <v>9412.8310950102441</v>
      </c>
      <c r="T91" s="174">
        <f>AL91*IF(H91="근접",AT91,IF(AV91=1,AT91,1))*AX91*IF(F91="백어택",1.2,1)</f>
        <v>5618.576581843171</v>
      </c>
      <c r="U91" s="174">
        <f>IF(AX91=1,AM91*IF(H91="근접",AT91,IF(AV91=1,AT91,1)),0)*AY91*IF(AX91=1,1,0)*IF(F91="백어택",1.2,1)</f>
        <v>3794.2545131670736</v>
      </c>
      <c r="V91" s="174"/>
      <c r="W91" s="174"/>
      <c r="X91" s="175"/>
      <c r="Y91" s="173">
        <f>SUM(Z91:AD91)</f>
        <v>18825.662190020488</v>
      </c>
      <c r="Z91" s="174">
        <f>T91*$D$58/100</f>
        <v>11237.153163686342</v>
      </c>
      <c r="AA91" s="174">
        <f>U91*$D$58/100</f>
        <v>7588.5090263341472</v>
      </c>
      <c r="AB91" s="174"/>
      <c r="AC91" s="174"/>
      <c r="AD91" s="175"/>
      <c r="AE91" s="205">
        <f>(AO91*(1-$D$20/100)*(1-$D$17/100)-AR91)*IF(AW91="보스대상",1,POWER(0.85,AW91))</f>
        <v>6.4269721199712162</v>
      </c>
      <c r="AF91" s="174">
        <f>AP91</f>
        <v>36</v>
      </c>
      <c r="AG91" s="174">
        <f>IF($D$57+AU91&gt;100,100,$D$57+AU91)</f>
        <v>19.001300000000001</v>
      </c>
      <c r="AH91" s="174">
        <f>AQ91</f>
        <v>363</v>
      </c>
      <c r="AI91" s="174">
        <f>$D$58</f>
        <v>200</v>
      </c>
      <c r="AJ91" s="174">
        <f>10*AS91/IF(AX91=1,IF(AY91=1,4.5,4),4)</f>
        <v>2.2222222222222223</v>
      </c>
      <c r="AK91" s="174">
        <f>SUM(AL91:AN91)</f>
        <v>7844.0259125085377</v>
      </c>
      <c r="AL91" s="174">
        <f>IF(AV91=1,$D$61*(VLOOKUP(C91,$B$36:$AG$39,25,FALSE)+VLOOKUP(C91,$B$40:$AG$43,25,FALSE)*$D$54),(IF(H91="근접",$D$61*(VLOOKUP(C91,$B$36:$AG$39,25,FALSE)+VLOOKUP(C91,$B$40:$AG$43,25,FALSE)*$D$54),$D$60*(VLOOKUP(C91,$B$36:$AG$39,25,FALSE)+VLOOKUP(C91,$B$40:$AG$43,25,FALSE)*$D$54))))*$D$59/100</f>
        <v>4682.1471515359763</v>
      </c>
      <c r="AM91" s="174">
        <f>(IF(AV91=1,$D$61*(VLOOKUP(C91,$B$36:$AG$39,26,FALSE)+VLOOKUP(C91,$B$40:$AG$43,26,FALSE)*$D$54),IF(H91="근접",$D$61*(VLOOKUP(C91,$B$36:$AG$39,26,FALSE)+VLOOKUP(C91,$B$40:$AG$43,26,FALSE)*$D$54),$D$60*(VLOOKUP(C91,$B$36:$AG$39,26,FALSE)+VLOOKUP(C91,$B$40:$AG$43,26,FALSE)*$D$54))))*$D$59/100</f>
        <v>3161.8787609725614</v>
      </c>
      <c r="AN91" s="174"/>
      <c r="AO91" s="176">
        <v>24</v>
      </c>
      <c r="AP91" s="174">
        <v>36</v>
      </c>
      <c r="AQ91" s="175">
        <f>VLOOKUP(C91,$B$45:$AA$48,25,FALSE)</f>
        <v>363</v>
      </c>
      <c r="AR91" s="31">
        <f>IF(LEFT(E91,1)*1=1,$S$68,$R$68)</f>
        <v>4</v>
      </c>
      <c r="AS91" s="2">
        <f>IF(LEFT(E91,1)*1=2,$U$68,$T$68)</f>
        <v>1</v>
      </c>
      <c r="AT91" s="33">
        <f>IF(LEFT(E91,1)*1=3,$W$68,$V$68)</f>
        <v>1</v>
      </c>
      <c r="AU91" s="31">
        <f>IF(MID(E91,3,1)*1=1,$Y$68,$X$68)</f>
        <v>0</v>
      </c>
      <c r="AV91" s="2">
        <f>IF(MID(E91,3,1)*1=2,$AA$68,$Z$68)</f>
        <v>0</v>
      </c>
      <c r="AW91" s="33">
        <f>IF(MID(E91,3,1)*1=3,$AC$68,$AB$68)</f>
        <v>5</v>
      </c>
      <c r="AX91" s="31">
        <f>IF(MID(E91,5,1)*1=1,$AE$68,$AD$68)</f>
        <v>1</v>
      </c>
      <c r="AY91" s="33">
        <f>IF(MID(E91,5,1)*1=2,$AG$68,$AF$68)</f>
        <v>1</v>
      </c>
      <c r="AZ91" s="2"/>
      <c r="BA91" s="101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 ht="12" hidden="1" customHeight="1">
      <c r="A92" s="2"/>
      <c r="B92" s="107">
        <v>713</v>
      </c>
      <c r="C92" s="31">
        <v>10</v>
      </c>
      <c r="D92" s="111" t="s">
        <v>18</v>
      </c>
      <c r="E92" s="2" t="s">
        <v>108</v>
      </c>
      <c r="F92" s="2" t="s">
        <v>149</v>
      </c>
      <c r="G92" s="2" t="s">
        <v>186</v>
      </c>
      <c r="H92" s="33" t="s">
        <v>80</v>
      </c>
      <c r="I92" s="173">
        <f>M92/AE92</f>
        <v>1833.4669778891089</v>
      </c>
      <c r="J92" s="174">
        <f>AH92/AE92</f>
        <v>63.522692720778515</v>
      </c>
      <c r="K92" s="207">
        <f>RANK(I92,$I$76:$I$977)</f>
        <v>17</v>
      </c>
      <c r="L92" s="208" t="e">
        <f>RANK(I92,$I$451:$I$866)</f>
        <v>#N/A</v>
      </c>
      <c r="M92" s="173">
        <f>SUM(N92:R92)</f>
        <v>15037.717303312053</v>
      </c>
      <c r="N92" s="174">
        <f>T92*(1+((AG92+IF(F92="백어택",8,0))/100)*(AI92/100-1))</f>
        <v>4972.7367839428234</v>
      </c>
      <c r="O92" s="174">
        <f>U92*(1+(($D$57+IF(F92="백어택",8,0))/100)*(AI92/100-1))</f>
        <v>10064.980519369228</v>
      </c>
      <c r="P92" s="174"/>
      <c r="Q92" s="174"/>
      <c r="R92" s="175"/>
      <c r="S92" s="173">
        <f>SUM(T92:X92)</f>
        <v>11840.601083069268</v>
      </c>
      <c r="T92" s="174">
        <f>AL92*IF(H92="근접",AT92,IF(AV92=1,AT92,1))*AX92*IF(F92="백어택",1.2,1)</f>
        <v>3915.5006948297564</v>
      </c>
      <c r="U92" s="174">
        <f>IF(AX92=1,AM92*IF(H92="근접",AT92,IF(AV92=1,AT92,1)),0)*AY92*IF(AX92=1,1,0)*IF(F92="백어택",1.2,1)</f>
        <v>7925.1003882395125</v>
      </c>
      <c r="V92" s="174"/>
      <c r="W92" s="174"/>
      <c r="X92" s="175"/>
      <c r="Y92" s="173">
        <f>SUM(Z92:AD92)</f>
        <v>23681.202166138537</v>
      </c>
      <c r="Z92" s="174">
        <f>T92*$D$58/100</f>
        <v>7831.0013896595128</v>
      </c>
      <c r="AA92" s="174">
        <f>U92*$D$58/100</f>
        <v>15850.200776479025</v>
      </c>
      <c r="AB92" s="174"/>
      <c r="AC92" s="174"/>
      <c r="AD92" s="175"/>
      <c r="AE92" s="205">
        <f>(AO92*(1-$D$20/100)*(1-$D$17/100)-AR92)*IF(AW92="보스대상",1,POWER(0.85,AW92))</f>
        <v>8.2017933699712149</v>
      </c>
      <c r="AF92" s="174">
        <f>AP92</f>
        <v>36</v>
      </c>
      <c r="AG92" s="174">
        <f>IF($D$57+AU92&gt;100,100,$D$57+AU92)</f>
        <v>19.001300000000001</v>
      </c>
      <c r="AH92" s="174">
        <f>AQ92</f>
        <v>521</v>
      </c>
      <c r="AI92" s="174">
        <f>$D$58</f>
        <v>200</v>
      </c>
      <c r="AJ92" s="174">
        <f>10*AS92/IF(AX92=1,IF(AY92=1,4.5,4),4)</f>
        <v>2</v>
      </c>
      <c r="AK92" s="174">
        <f>SUM(AL92:AN92)</f>
        <v>5464.3340202024392</v>
      </c>
      <c r="AL92" s="174">
        <f>IF(AV92=1,$D$61*(VLOOKUP(C92,$B$36:$AG$39,25,FALSE)+VLOOKUP(C92,$B$40:$AG$43,25,FALSE)*$D$54),(IF(H92="근접",$D$61*(VLOOKUP(C92,$B$36:$AG$39,25,FALSE)+VLOOKUP(C92,$B$40:$AG$43,25,FALSE)*$D$54),$D$60*(VLOOKUP(C92,$B$36:$AG$39,25,FALSE)+VLOOKUP(C92,$B$40:$AG$43,25,FALSE)*$D$54))))*$D$59/100</f>
        <v>3262.9172456914639</v>
      </c>
      <c r="AM92" s="174">
        <f>(IF(AV92=1,$D$61*(VLOOKUP(C92,$B$36:$AG$39,26,FALSE)+VLOOKUP(C92,$B$40:$AG$43,26,FALSE)*$D$54),IF(H92="근접",$D$61*(VLOOKUP(C92,$B$36:$AG$39,26,FALSE)+VLOOKUP(C92,$B$40:$AG$43,26,FALSE)*$D$54),$D$60*(VLOOKUP(C92,$B$36:$AG$39,26,FALSE)+VLOOKUP(C92,$B$40:$AG$43,26,FALSE)*$D$54))))*$D$59/100</f>
        <v>2201.4167745109758</v>
      </c>
      <c r="AN92" s="174"/>
      <c r="AO92" s="176">
        <v>24</v>
      </c>
      <c r="AP92" s="174">
        <v>36</v>
      </c>
      <c r="AQ92" s="175">
        <f>VLOOKUP(C92,$B$45:$AA$48,25,FALSE)</f>
        <v>521</v>
      </c>
      <c r="AR92" s="31">
        <f>IF(LEFT(E92,1)*1=1,$S$68,$R$68)</f>
        <v>0</v>
      </c>
      <c r="AS92" s="2">
        <f>IF(LEFT(E92,1)*1=2,$U$68,$T$68)</f>
        <v>0.8</v>
      </c>
      <c r="AT92" s="33">
        <f>IF(LEFT(E92,1)*1=3,$W$68,$V$68)</f>
        <v>1</v>
      </c>
      <c r="AU92" s="31">
        <f>IF(MID(E92,3,1)*1=1,$Y$68,$X$68)</f>
        <v>0</v>
      </c>
      <c r="AV92" s="2">
        <f>IF(MID(E92,3,1)*1=2,$AA$68,$Z$68)</f>
        <v>0</v>
      </c>
      <c r="AW92" s="33">
        <f>IF(MID(E92,3,1)*1=3,$AC$68,$AB$68)</f>
        <v>5</v>
      </c>
      <c r="AX92" s="31">
        <f>IF(MID(E92,5,1)*1=1,$AE$68,$AD$68)</f>
        <v>1</v>
      </c>
      <c r="AY92" s="33">
        <f>IF(MID(E92,5,1)*1=2,$AG$68,$AF$68)</f>
        <v>3</v>
      </c>
      <c r="AZ92" s="2"/>
      <c r="BA92" s="101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 ht="12" hidden="1" customHeight="1">
      <c r="A93" s="2"/>
      <c r="B93" s="107">
        <v>716</v>
      </c>
      <c r="C93" s="31">
        <v>10</v>
      </c>
      <c r="D93" s="111" t="s">
        <v>18</v>
      </c>
      <c r="E93" s="2" t="s">
        <v>135</v>
      </c>
      <c r="F93" s="2" t="s">
        <v>149</v>
      </c>
      <c r="G93" s="2" t="s">
        <v>186</v>
      </c>
      <c r="H93" s="33" t="s">
        <v>80</v>
      </c>
      <c r="I93" s="173">
        <f>M93/AE93</f>
        <v>1833.4669778891089</v>
      </c>
      <c r="J93" s="174">
        <f>AH93/AE93</f>
        <v>63.522692720778515</v>
      </c>
      <c r="K93" s="207">
        <f>RANK(I93,$I$76:$I$977)</f>
        <v>17</v>
      </c>
      <c r="L93" s="208" t="e">
        <f>RANK(I93,$I$451:$I$866)</f>
        <v>#N/A</v>
      </c>
      <c r="M93" s="173">
        <f>SUM(N93:R93)</f>
        <v>15037.717303312053</v>
      </c>
      <c r="N93" s="174">
        <f>T93*(1+((AG93+IF(F93="백어택",8,0))/100)*(AI93/100-1))</f>
        <v>4972.7367839428234</v>
      </c>
      <c r="O93" s="174">
        <f>U93*(1+(($D$57+IF(F93="백어택",8,0))/100)*(AI93/100-1))</f>
        <v>10064.980519369228</v>
      </c>
      <c r="P93" s="174"/>
      <c r="Q93" s="174"/>
      <c r="R93" s="175"/>
      <c r="S93" s="173">
        <f>SUM(T93:X93)</f>
        <v>11840.601083069268</v>
      </c>
      <c r="T93" s="174">
        <f>AL93*IF(H93="근접",AT93,IF(AV93=1,AT93,1))*AX93*IF(F93="백어택",1.2,1)</f>
        <v>3915.5006948297564</v>
      </c>
      <c r="U93" s="174">
        <f>IF(AX93=1,AM93*IF(H93="근접",AT93,IF(AV93=1,AT93,1)),0)*AY93*IF(AX93=1,1,0)*IF(F93="백어택",1.2,1)</f>
        <v>7925.1003882395125</v>
      </c>
      <c r="V93" s="174"/>
      <c r="W93" s="174"/>
      <c r="X93" s="175"/>
      <c r="Y93" s="173">
        <f>SUM(Z93:AD93)</f>
        <v>23681.202166138537</v>
      </c>
      <c r="Z93" s="174">
        <f>T93*$D$58/100</f>
        <v>7831.0013896595128</v>
      </c>
      <c r="AA93" s="174">
        <f>U93*$D$58/100</f>
        <v>15850.200776479025</v>
      </c>
      <c r="AB93" s="174"/>
      <c r="AC93" s="174"/>
      <c r="AD93" s="175"/>
      <c r="AE93" s="205">
        <f>(AO93*(1-$D$20/100)*(1-$D$17/100)-AR93)*IF(AW93="보스대상",1,POWER(0.85,AW93))</f>
        <v>8.2017933699712149</v>
      </c>
      <c r="AF93" s="174">
        <f>AP93</f>
        <v>36</v>
      </c>
      <c r="AG93" s="174">
        <f>IF($D$57+AU93&gt;100,100,$D$57+AU93)</f>
        <v>19.001300000000001</v>
      </c>
      <c r="AH93" s="174">
        <f>AQ93</f>
        <v>521</v>
      </c>
      <c r="AI93" s="174">
        <f>$D$58</f>
        <v>200</v>
      </c>
      <c r="AJ93" s="174">
        <f>10*AS93/IF(AX93=1,IF(AY93=1,4.5,4),4)</f>
        <v>2.5</v>
      </c>
      <c r="AK93" s="174">
        <f>SUM(AL93:AN93)</f>
        <v>5464.3340202024392</v>
      </c>
      <c r="AL93" s="174">
        <f>IF(AV93=1,$D$61*(VLOOKUP(C93,$B$36:$AG$39,25,FALSE)+VLOOKUP(C93,$B$40:$AG$43,25,FALSE)*$D$54),(IF(H93="근접",$D$61*(VLOOKUP(C93,$B$36:$AG$39,25,FALSE)+VLOOKUP(C93,$B$40:$AG$43,25,FALSE)*$D$54),$D$60*(VLOOKUP(C93,$B$36:$AG$39,25,FALSE)+VLOOKUP(C93,$B$40:$AG$43,25,FALSE)*$D$54))))*$D$59/100</f>
        <v>3262.9172456914639</v>
      </c>
      <c r="AM93" s="174">
        <f>(IF(AV93=1,$D$61*(VLOOKUP(C93,$B$36:$AG$39,26,FALSE)+VLOOKUP(C93,$B$40:$AG$43,26,FALSE)*$D$54),IF(H93="근접",$D$61*(VLOOKUP(C93,$B$36:$AG$39,26,FALSE)+VLOOKUP(C93,$B$40:$AG$43,26,FALSE)*$D$54),$D$60*(VLOOKUP(C93,$B$36:$AG$39,26,FALSE)+VLOOKUP(C93,$B$40:$AG$43,26,FALSE)*$D$54))))*$D$59/100</f>
        <v>2201.4167745109758</v>
      </c>
      <c r="AN93" s="174"/>
      <c r="AO93" s="176">
        <v>24</v>
      </c>
      <c r="AP93" s="174">
        <v>36</v>
      </c>
      <c r="AQ93" s="175">
        <f>VLOOKUP(C93,$B$45:$AA$48,25,FALSE)</f>
        <v>521</v>
      </c>
      <c r="AR93" s="31">
        <f>IF(LEFT(E93,1)*1=1,$S$68,$R$68)</f>
        <v>0</v>
      </c>
      <c r="AS93" s="2">
        <f>IF(LEFT(E93,1)*1=2,$U$68,$T$68)</f>
        <v>1</v>
      </c>
      <c r="AT93" s="33">
        <f>IF(LEFT(E93,1)*1=3,$W$68,$V$68)</f>
        <v>1.2</v>
      </c>
      <c r="AU93" s="31">
        <f>IF(MID(E93,3,1)*1=1,$Y$68,$X$68)</f>
        <v>0</v>
      </c>
      <c r="AV93" s="2">
        <f>IF(MID(E93,3,1)*1=2,$AA$68,$Z$68)</f>
        <v>0</v>
      </c>
      <c r="AW93" s="33">
        <f>IF(MID(E93,3,1)*1=3,$AC$68,$AB$68)</f>
        <v>5</v>
      </c>
      <c r="AX93" s="31">
        <f>IF(MID(E93,5,1)*1=1,$AE$68,$AD$68)</f>
        <v>1</v>
      </c>
      <c r="AY93" s="33">
        <f>IF(MID(E93,5,1)*1=2,$AG$68,$AF$68)</f>
        <v>3</v>
      </c>
      <c r="AZ93" s="2"/>
      <c r="BA93" s="101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 ht="12" hidden="1" customHeight="1">
      <c r="A94" s="2"/>
      <c r="B94" s="107">
        <v>648</v>
      </c>
      <c r="C94" s="31">
        <v>10</v>
      </c>
      <c r="D94" s="111" t="s">
        <v>18</v>
      </c>
      <c r="E94" s="2" t="s">
        <v>157</v>
      </c>
      <c r="F94" s="2"/>
      <c r="G94" s="2" t="s">
        <v>186</v>
      </c>
      <c r="H94" s="33" t="s">
        <v>80</v>
      </c>
      <c r="I94" s="173">
        <f>M94/AE94</f>
        <v>1826.9968285793675</v>
      </c>
      <c r="J94" s="174">
        <f>AH94/AE94</f>
        <v>81.064611807018906</v>
      </c>
      <c r="K94" s="207">
        <f>RANK(I94,$I$76:$I$977)</f>
        <v>19</v>
      </c>
      <c r="L94" s="208" t="e">
        <f>RANK(I94,$I$451:$I$866)</f>
        <v>#N/A</v>
      </c>
      <c r="M94" s="173">
        <f>SUM(N94:R94)</f>
        <v>11742.057680555426</v>
      </c>
      <c r="N94" s="174">
        <f>T94*(1+((AG94+IF(F94="백어택",8,0))/100)*(AI94/100-1))</f>
        <v>3882.9139402970359</v>
      </c>
      <c r="O94" s="174">
        <f>U94*(1+(($D$57+IF(F94="백어택",8,0))/100)*(AI94/100-1))</f>
        <v>7859.1437402583897</v>
      </c>
      <c r="P94" s="174"/>
      <c r="Q94" s="174"/>
      <c r="R94" s="175"/>
      <c r="S94" s="173">
        <f>SUM(T94:X94)</f>
        <v>9867.1675692243916</v>
      </c>
      <c r="T94" s="174">
        <f>AL94*IF(H94="근접",AT94,IF(AV94=1,AT94,1))*AX94*IF(F94="백어택",1.2,1)</f>
        <v>3262.9172456914639</v>
      </c>
      <c r="U94" s="174">
        <f>IF(AX94=1,AM94*IF(H94="근접",AT94,IF(AV94=1,AT94,1)),0)*AY94*IF(AX94=1,1,0)*IF(F94="백어택",1.2,1)</f>
        <v>6604.2503235329277</v>
      </c>
      <c r="V94" s="174"/>
      <c r="W94" s="174"/>
      <c r="X94" s="175"/>
      <c r="Y94" s="173">
        <f>SUM(Z94:AD94)</f>
        <v>19734.335138448783</v>
      </c>
      <c r="Z94" s="174">
        <f>T94*$D$58/100</f>
        <v>6525.8344913829278</v>
      </c>
      <c r="AA94" s="174">
        <f>U94*$D$58/100</f>
        <v>13208.500647065855</v>
      </c>
      <c r="AB94" s="174"/>
      <c r="AC94" s="174"/>
      <c r="AD94" s="175"/>
      <c r="AE94" s="205">
        <f>(AO94*(1-$D$20/100)*(1-$D$17/100)-AR94)*IF(AW94="보스대상",1,POWER(0.85,AW94))</f>
        <v>6.4269721199712162</v>
      </c>
      <c r="AF94" s="174">
        <f>AP94</f>
        <v>36</v>
      </c>
      <c r="AG94" s="174">
        <f>IF($D$57+AU94&gt;100,100,$D$57+AU94)</f>
        <v>19.001300000000001</v>
      </c>
      <c r="AH94" s="174">
        <f>AQ94</f>
        <v>521</v>
      </c>
      <c r="AI94" s="174">
        <f>$D$58</f>
        <v>200</v>
      </c>
      <c r="AJ94" s="174">
        <f>10*AS94/IF(AX94=1,IF(AY94=1,4.5,4),4)</f>
        <v>2.5</v>
      </c>
      <c r="AK94" s="174">
        <f>SUM(AL94:AN94)</f>
        <v>5464.3340202024392</v>
      </c>
      <c r="AL94" s="174">
        <f>IF(AV94=1,$D$61*(VLOOKUP(C94,$B$36:$AG$39,25,FALSE)+VLOOKUP(C94,$B$40:$AG$43,25,FALSE)*$D$54),(IF(H94="근접",$D$61*(VLOOKUP(C94,$B$36:$AG$39,25,FALSE)+VLOOKUP(C94,$B$40:$AG$43,25,FALSE)*$D$54),$D$60*(VLOOKUP(C94,$B$36:$AG$39,25,FALSE)+VLOOKUP(C94,$B$40:$AG$43,25,FALSE)*$D$54))))*$D$59/100</f>
        <v>3262.9172456914639</v>
      </c>
      <c r="AM94" s="174">
        <f>(IF(AV94=1,$D$61*(VLOOKUP(C94,$B$36:$AG$39,26,FALSE)+VLOOKUP(C94,$B$40:$AG$43,26,FALSE)*$D$54),IF(H94="근접",$D$61*(VLOOKUP(C94,$B$36:$AG$39,26,FALSE)+VLOOKUP(C94,$B$40:$AG$43,26,FALSE)*$D$54),$D$60*(VLOOKUP(C94,$B$36:$AG$39,26,FALSE)+VLOOKUP(C94,$B$40:$AG$43,26,FALSE)*$D$54))))*$D$59/100</f>
        <v>2201.4167745109758</v>
      </c>
      <c r="AN94" s="174"/>
      <c r="AO94" s="176">
        <v>24</v>
      </c>
      <c r="AP94" s="174">
        <v>36</v>
      </c>
      <c r="AQ94" s="175">
        <f>VLOOKUP(C94,$B$45:$AA$48,25,FALSE)</f>
        <v>521</v>
      </c>
      <c r="AR94" s="31">
        <f>IF(LEFT(E94,1)*1=1,$S$68,$R$68)</f>
        <v>4</v>
      </c>
      <c r="AS94" s="2">
        <f>IF(LEFT(E94,1)*1=2,$U$68,$T$68)</f>
        <v>1</v>
      </c>
      <c r="AT94" s="33">
        <f>IF(LEFT(E94,1)*1=3,$W$68,$V$68)</f>
        <v>1</v>
      </c>
      <c r="AU94" s="31">
        <f>IF(MID(E94,3,1)*1=1,$Y$68,$X$68)</f>
        <v>0</v>
      </c>
      <c r="AV94" s="2">
        <f>IF(MID(E94,3,1)*1=2,$AA$68,$Z$68)</f>
        <v>0</v>
      </c>
      <c r="AW94" s="33">
        <f>IF(MID(E94,3,1)*1=3,$AC$68,$AB$68)</f>
        <v>5</v>
      </c>
      <c r="AX94" s="31">
        <f>IF(MID(E94,5,1)*1=1,$AE$68,$AD$68)</f>
        <v>1</v>
      </c>
      <c r="AY94" s="33">
        <f>IF(MID(E94,5,1)*1=2,$AG$68,$AF$68)</f>
        <v>3</v>
      </c>
      <c r="AZ94" s="2"/>
      <c r="BA94" s="101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 ht="12" customHeight="1">
      <c r="A95" s="2"/>
      <c r="B95" s="107">
        <v>674</v>
      </c>
      <c r="C95" s="31">
        <v>10</v>
      </c>
      <c r="D95" s="111" t="s">
        <v>18</v>
      </c>
      <c r="E95" s="2" t="s">
        <v>182</v>
      </c>
      <c r="F95" s="2" t="s">
        <v>149</v>
      </c>
      <c r="G95" s="2"/>
      <c r="H95" s="33" t="s">
        <v>81</v>
      </c>
      <c r="I95" s="173">
        <f>M95/AE95</f>
        <v>1782.8856869670665</v>
      </c>
      <c r="J95" s="174">
        <f>AH95/AE95</f>
        <v>28.185356224514496</v>
      </c>
      <c r="K95" s="207">
        <f>RANK(I95,$I$76:$I$977)</f>
        <v>20</v>
      </c>
      <c r="L95" s="208" t="e">
        <f>RANK(I95,$I$451:$I$866)</f>
        <v>#N/A</v>
      </c>
      <c r="M95" s="173">
        <f>SUM(N95:R95)</f>
        <v>32956.242791848621</v>
      </c>
      <c r="N95" s="174">
        <f>T95*(1+((AG95+IF(F95="백어택",8,0))/100)*(AI95/100-1))</f>
        <v>32956.242791848621</v>
      </c>
      <c r="O95" s="174">
        <f>U95*(1+(($D$57+IF(F95="백어택",8,0))/100)*(AI95/100-1))</f>
        <v>0</v>
      </c>
      <c r="P95" s="174"/>
      <c r="Q95" s="174"/>
      <c r="R95" s="175"/>
      <c r="S95" s="173">
        <f>SUM(T95:X95)</f>
        <v>19734.123501941973</v>
      </c>
      <c r="T95" s="174">
        <f>AL95*IF(H95="근접",AT95,IF(AV95=1,AT95,1))*AX95*IF(F95="백어택",1.2,1)</f>
        <v>19734.123501941973</v>
      </c>
      <c r="U95" s="174">
        <f>IF(AX95=1,AM95*IF(H95="근접",AT95,IF(AV95=1,AT95,1)),0)*AY95*IF(AX95=1,1,0)*IF(F95="백어택",1.2,1)</f>
        <v>0</v>
      </c>
      <c r="V95" s="174"/>
      <c r="W95" s="174"/>
      <c r="X95" s="175"/>
      <c r="Y95" s="173">
        <f>SUM(Z95:AD95)</f>
        <v>39468.247003883946</v>
      </c>
      <c r="Z95" s="174">
        <f>T95*$D$58/100</f>
        <v>39468.247003883946</v>
      </c>
      <c r="AA95" s="174">
        <f>U95*$D$58/100</f>
        <v>0</v>
      </c>
      <c r="AB95" s="174"/>
      <c r="AC95" s="174"/>
      <c r="AD95" s="175"/>
      <c r="AE95" s="205">
        <f>(AO95*(1-$D$20/100)*(1-$D$17/100)-AR95)*IF(AW95="보스대상",1,POWER(0.85,AW95))</f>
        <v>18.484776131615998</v>
      </c>
      <c r="AF95" s="174">
        <f>AP95</f>
        <v>36</v>
      </c>
      <c r="AG95" s="174">
        <f>IF($D$57+AU95&gt;100,100,$D$57+AU95)</f>
        <v>59.001300000000001</v>
      </c>
      <c r="AH95" s="174">
        <f>AQ95</f>
        <v>521</v>
      </c>
      <c r="AI95" s="174">
        <f>$D$58</f>
        <v>200</v>
      </c>
      <c r="AJ95" s="174">
        <f>10*AS95/IF(AX95=1,IF(AY95=1,4.5,4),4)</f>
        <v>2.5</v>
      </c>
      <c r="AK95" s="174">
        <f>SUM(AL95:AN95)</f>
        <v>8196.5010303036597</v>
      </c>
      <c r="AL95" s="174">
        <f>IF(AV95=1,$D$61*(VLOOKUP(C95,$B$36:$AG$39,25,FALSE)+VLOOKUP(C95,$B$40:$AG$43,25,FALSE)*$D$54),(IF(H95="근접",$D$61*(VLOOKUP(C95,$B$36:$AG$39,25,FALSE)+VLOOKUP(C95,$B$40:$AG$43,25,FALSE)*$D$54),$D$60*(VLOOKUP(C95,$B$36:$AG$39,25,FALSE)+VLOOKUP(C95,$B$40:$AG$43,25,FALSE)*$D$54))))*$D$59/100</f>
        <v>4894.3758685371959</v>
      </c>
      <c r="AM95" s="174">
        <f>(IF(AV95=1,$D$61*(VLOOKUP(C95,$B$36:$AG$39,26,FALSE)+VLOOKUP(C95,$B$40:$AG$43,26,FALSE)*$D$54),IF(H95="근접",$D$61*(VLOOKUP(C95,$B$36:$AG$39,26,FALSE)+VLOOKUP(C95,$B$40:$AG$43,26,FALSE)*$D$54),$D$60*(VLOOKUP(C95,$B$36:$AG$39,26,FALSE)+VLOOKUP(C95,$B$40:$AG$43,26,FALSE)*$D$54))))*$D$59/100</f>
        <v>3302.1251617664634</v>
      </c>
      <c r="AN95" s="174"/>
      <c r="AO95" s="176">
        <v>24</v>
      </c>
      <c r="AP95" s="174">
        <v>36</v>
      </c>
      <c r="AQ95" s="175">
        <f>VLOOKUP(C95,$B$45:$AA$48,25,FALSE)</f>
        <v>521</v>
      </c>
      <c r="AR95" s="31">
        <f>IF(LEFT(E95,1)*1=1,$S$68,$R$68)</f>
        <v>0</v>
      </c>
      <c r="AS95" s="2">
        <f>IF(LEFT(E95,1)*1=2,$U$68,$T$68)</f>
        <v>1</v>
      </c>
      <c r="AT95" s="33">
        <f>IF(LEFT(E95,1)*1=3,$W$68,$V$68)</f>
        <v>1.2</v>
      </c>
      <c r="AU95" s="31">
        <f>IF(MID(E95,3,1)*1=1,$Y$68,$X$68)</f>
        <v>40</v>
      </c>
      <c r="AV95" s="2">
        <f>IF(MID(E95,3,1)*1=2,$AA$68,$Z$68)</f>
        <v>0</v>
      </c>
      <c r="AW95" s="33" t="str">
        <f>IF(MID(E95,3,1)*1=3,$AC$68,$AB$68)</f>
        <v>보스대상</v>
      </c>
      <c r="AX95" s="31">
        <f>IF(MID(E95,5,1)*1=1,$AE$68,$AD$68)</f>
        <v>2.8</v>
      </c>
      <c r="AY95" s="33">
        <f>IF(MID(E95,5,1)*1=2,$AG$68,$AF$68)</f>
        <v>1</v>
      </c>
      <c r="AZ95" s="2"/>
      <c r="BA95" s="101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 ht="12" hidden="1" customHeight="1">
      <c r="A96" s="2"/>
      <c r="B96" s="107">
        <v>694</v>
      </c>
      <c r="C96" s="31">
        <v>7</v>
      </c>
      <c r="D96" s="111" t="s">
        <v>18</v>
      </c>
      <c r="E96" s="2" t="s">
        <v>134</v>
      </c>
      <c r="F96" s="2" t="s">
        <v>149</v>
      </c>
      <c r="G96" s="2" t="s">
        <v>186</v>
      </c>
      <c r="H96" s="33" t="s">
        <v>81</v>
      </c>
      <c r="I96" s="173">
        <f>M96/AE96</f>
        <v>1749.0444811109696</v>
      </c>
      <c r="J96" s="174">
        <f>AH96/AE96</f>
        <v>44.258613162461806</v>
      </c>
      <c r="K96" s="207">
        <f>RANK(I96,$I$76:$I$977)</f>
        <v>21</v>
      </c>
      <c r="L96" s="208" t="e">
        <f>RANK(I96,$I$451:$I$866)</f>
        <v>#N/A</v>
      </c>
      <c r="M96" s="173">
        <f>SUM(N96:R96)</f>
        <v>14345.301428960694</v>
      </c>
      <c r="N96" s="174">
        <f>T96*(1+((AG96+IF(F96="백어택",8,0))/100)*(AI96/100-1))</f>
        <v>8562.7983605236695</v>
      </c>
      <c r="O96" s="174">
        <f>U96*(1+(($D$57+IF(F96="백어택",8,0))/100)*(AI96/100-1))</f>
        <v>5782.5030684370258</v>
      </c>
      <c r="P96" s="174"/>
      <c r="Q96" s="174"/>
      <c r="R96" s="175"/>
      <c r="S96" s="173">
        <f>SUM(T96:X96)</f>
        <v>11295.397314012294</v>
      </c>
      <c r="T96" s="174">
        <f>AL96*IF(H96="근접",AT96,IF(AV96=1,AT96,1))*AX96*IF(F96="백어택",1.2,1)</f>
        <v>6742.2918982118053</v>
      </c>
      <c r="U96" s="174">
        <f>IF(AX96=1,AM96*IF(H96="근접",AT96,IF(AV96=1,AT96,1)),0)*AY96*IF(AX96=1,1,0)*IF(F96="백어택",1.2,1)</f>
        <v>4553.1054158004881</v>
      </c>
      <c r="V96" s="174"/>
      <c r="W96" s="174"/>
      <c r="X96" s="175"/>
      <c r="Y96" s="173">
        <f>SUM(Z96:AD96)</f>
        <v>22590.794628024589</v>
      </c>
      <c r="Z96" s="174">
        <f>T96*$D$58/100</f>
        <v>13484.583796423611</v>
      </c>
      <c r="AA96" s="174">
        <f>U96*$D$58/100</f>
        <v>9106.2108316009762</v>
      </c>
      <c r="AB96" s="174"/>
      <c r="AC96" s="174"/>
      <c r="AD96" s="175"/>
      <c r="AE96" s="205">
        <f>(AO96*(1-$D$20/100)*(1-$D$17/100)-AR96)*IF(AW96="보스대상",1,POWER(0.85,AW96))</f>
        <v>8.2017933699712149</v>
      </c>
      <c r="AF96" s="174">
        <f>AP96</f>
        <v>36</v>
      </c>
      <c r="AG96" s="174">
        <f>IF($D$57+AU96&gt;100,100,$D$57+AU96)</f>
        <v>19.001300000000001</v>
      </c>
      <c r="AH96" s="174">
        <f>AQ96</f>
        <v>363</v>
      </c>
      <c r="AI96" s="174">
        <f>$D$58</f>
        <v>200</v>
      </c>
      <c r="AJ96" s="174">
        <f>10*AS96/IF(AX96=1,IF(AY96=1,4.5,4),4)</f>
        <v>2.2222222222222223</v>
      </c>
      <c r="AK96" s="174">
        <f>SUM(AL96:AN96)</f>
        <v>7844.0259125085377</v>
      </c>
      <c r="AL96" s="174">
        <f>IF(AV96=1,$D$61*(VLOOKUP(C96,$B$36:$AG$39,25,FALSE)+VLOOKUP(C96,$B$40:$AG$43,25,FALSE)*$D$54),(IF(H96="근접",$D$61*(VLOOKUP(C96,$B$36:$AG$39,25,FALSE)+VLOOKUP(C96,$B$40:$AG$43,25,FALSE)*$D$54),$D$60*(VLOOKUP(C96,$B$36:$AG$39,25,FALSE)+VLOOKUP(C96,$B$40:$AG$43,25,FALSE)*$D$54))))*$D$59/100</f>
        <v>4682.1471515359763</v>
      </c>
      <c r="AM96" s="174">
        <f>(IF(AV96=1,$D$61*(VLOOKUP(C96,$B$36:$AG$39,26,FALSE)+VLOOKUP(C96,$B$40:$AG$43,26,FALSE)*$D$54),IF(H96="근접",$D$61*(VLOOKUP(C96,$B$36:$AG$39,26,FALSE)+VLOOKUP(C96,$B$40:$AG$43,26,FALSE)*$D$54),$D$60*(VLOOKUP(C96,$B$36:$AG$39,26,FALSE)+VLOOKUP(C96,$B$40:$AG$43,26,FALSE)*$D$54))))*$D$59/100</f>
        <v>3161.8787609725614</v>
      </c>
      <c r="AN96" s="174"/>
      <c r="AO96" s="176">
        <v>24</v>
      </c>
      <c r="AP96" s="174">
        <v>36</v>
      </c>
      <c r="AQ96" s="175">
        <f>VLOOKUP(C96,$B$45:$AA$48,25,FALSE)</f>
        <v>363</v>
      </c>
      <c r="AR96" s="31">
        <f>IF(LEFT(E96,1)*1=1,$S$68,$R$68)</f>
        <v>0</v>
      </c>
      <c r="AS96" s="2">
        <f>IF(LEFT(E96,1)*1=2,$U$68,$T$68)</f>
        <v>1</v>
      </c>
      <c r="AT96" s="33">
        <f>IF(LEFT(E96,1)*1=3,$W$68,$V$68)</f>
        <v>1.2</v>
      </c>
      <c r="AU96" s="31">
        <f>IF(MID(E96,3,1)*1=1,$Y$68,$X$68)</f>
        <v>0</v>
      </c>
      <c r="AV96" s="2">
        <f>IF(MID(E96,3,1)*1=2,$AA$68,$Z$68)</f>
        <v>0</v>
      </c>
      <c r="AW96" s="33">
        <f>IF(MID(E96,3,1)*1=3,$AC$68,$AB$68)</f>
        <v>5</v>
      </c>
      <c r="AX96" s="31">
        <f>IF(MID(E96,5,1)*1=1,$AE$68,$AD$68)</f>
        <v>1</v>
      </c>
      <c r="AY96" s="33">
        <f>IF(MID(E96,5,1)*1=2,$AG$68,$AF$68)</f>
        <v>1</v>
      </c>
      <c r="AZ96" s="2"/>
      <c r="BA96" s="101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 ht="12" customHeight="1">
      <c r="A97" s="2"/>
      <c r="B97" s="107">
        <v>677</v>
      </c>
      <c r="C97" s="31">
        <v>10</v>
      </c>
      <c r="D97" s="111" t="s">
        <v>18</v>
      </c>
      <c r="E97" s="2" t="s">
        <v>165</v>
      </c>
      <c r="F97" s="2" t="s">
        <v>149</v>
      </c>
      <c r="G97" s="2"/>
      <c r="H97" s="33" t="s">
        <v>81</v>
      </c>
      <c r="I97" s="173">
        <f>M97/AE97</f>
        <v>1719.4519366787961</v>
      </c>
      <c r="J97" s="174">
        <f>AH97/AE97</f>
        <v>35.968798914524506</v>
      </c>
      <c r="K97" s="207">
        <f>RANK(I97,$I$76:$I$977)</f>
        <v>22</v>
      </c>
      <c r="L97" s="208" t="e">
        <f>RANK(I97,$I$451:$I$866)</f>
        <v>#N/A</v>
      </c>
      <c r="M97" s="173">
        <f>SUM(N97:R97)</f>
        <v>24905.876371865928</v>
      </c>
      <c r="N97" s="174">
        <f>T97*(1+((AG97+IF(F97="백어택",8,0))/100)*(AI97/100-1))</f>
        <v>9808.4055928120888</v>
      </c>
      <c r="O97" s="174">
        <f>U97*(1+(($D$57+IF(F97="백어택",8,0))/100)*(AI97/100-1))</f>
        <v>15097.47077905384</v>
      </c>
      <c r="P97" s="174"/>
      <c r="Q97" s="174"/>
      <c r="R97" s="175"/>
      <c r="S97" s="173">
        <f>SUM(T97:X97)</f>
        <v>17760.901624603903</v>
      </c>
      <c r="T97" s="174">
        <f>AL97*IF(H97="근접",AT97,IF(AV97=1,AT97,1))*AX97*IF(F97="백어택",1.2,1)</f>
        <v>5873.2510422446348</v>
      </c>
      <c r="U97" s="174">
        <f>IF(AX97=1,AM97*IF(H97="근접",AT97,IF(AV97=1,AT97,1)),0)*AY97*IF(AX97=1,1,0)*IF(F97="백어택",1.2,1)</f>
        <v>11887.650582359267</v>
      </c>
      <c r="V97" s="174"/>
      <c r="W97" s="174"/>
      <c r="X97" s="175"/>
      <c r="Y97" s="173">
        <f>SUM(Z97:AD97)</f>
        <v>35521.803249207805</v>
      </c>
      <c r="Z97" s="174">
        <f>T97*$D$58/100</f>
        <v>11746.50208448927</v>
      </c>
      <c r="AA97" s="174">
        <f>U97*$D$58/100</f>
        <v>23775.301164718534</v>
      </c>
      <c r="AB97" s="174"/>
      <c r="AC97" s="174"/>
      <c r="AD97" s="175"/>
      <c r="AE97" s="205">
        <f>(AO97*(1-$D$20/100)*(1-$D$17/100)-AR97)*IF(AW97="보스대상",1,POWER(0.85,AW97))</f>
        <v>14.484776131615998</v>
      </c>
      <c r="AF97" s="174">
        <f>AP97</f>
        <v>36</v>
      </c>
      <c r="AG97" s="174">
        <f>IF($D$57+AU97&gt;100,100,$D$57+AU97)</f>
        <v>59.001300000000001</v>
      </c>
      <c r="AH97" s="174">
        <f>AQ97</f>
        <v>521</v>
      </c>
      <c r="AI97" s="174">
        <f>$D$58</f>
        <v>200</v>
      </c>
      <c r="AJ97" s="174">
        <f>10*AS97/IF(AX97=1,IF(AY97=1,4.5,4),4)</f>
        <v>2.5</v>
      </c>
      <c r="AK97" s="174">
        <f>SUM(AL97:AN97)</f>
        <v>8196.5010303036597</v>
      </c>
      <c r="AL97" s="174">
        <f>IF(AV97=1,$D$61*(VLOOKUP(C97,$B$36:$AG$39,25,FALSE)+VLOOKUP(C97,$B$40:$AG$43,25,FALSE)*$D$54),(IF(H97="근접",$D$61*(VLOOKUP(C97,$B$36:$AG$39,25,FALSE)+VLOOKUP(C97,$B$40:$AG$43,25,FALSE)*$D$54),$D$60*(VLOOKUP(C97,$B$36:$AG$39,25,FALSE)+VLOOKUP(C97,$B$40:$AG$43,25,FALSE)*$D$54))))*$D$59/100</f>
        <v>4894.3758685371959</v>
      </c>
      <c r="AM97" s="174">
        <f>(IF(AV97=1,$D$61*(VLOOKUP(C97,$B$36:$AG$39,26,FALSE)+VLOOKUP(C97,$B$40:$AG$43,26,FALSE)*$D$54),IF(H97="근접",$D$61*(VLOOKUP(C97,$B$36:$AG$39,26,FALSE)+VLOOKUP(C97,$B$40:$AG$43,26,FALSE)*$D$54),$D$60*(VLOOKUP(C97,$B$36:$AG$39,26,FALSE)+VLOOKUP(C97,$B$40:$AG$43,26,FALSE)*$D$54))))*$D$59/100</f>
        <v>3302.1251617664634</v>
      </c>
      <c r="AN97" s="174"/>
      <c r="AO97" s="176">
        <v>24</v>
      </c>
      <c r="AP97" s="174">
        <v>36</v>
      </c>
      <c r="AQ97" s="175">
        <f>VLOOKUP(C97,$B$45:$AA$48,25,FALSE)</f>
        <v>521</v>
      </c>
      <c r="AR97" s="31">
        <f>IF(LEFT(E97,1)*1=1,$S$68,$R$68)</f>
        <v>4</v>
      </c>
      <c r="AS97" s="2">
        <f>IF(LEFT(E97,1)*1=2,$U$68,$T$68)</f>
        <v>1</v>
      </c>
      <c r="AT97" s="33">
        <f>IF(LEFT(E97,1)*1=3,$W$68,$V$68)</f>
        <v>1</v>
      </c>
      <c r="AU97" s="31">
        <f>IF(MID(E97,3,1)*1=1,$Y$68,$X$68)</f>
        <v>40</v>
      </c>
      <c r="AV97" s="2">
        <f>IF(MID(E97,3,1)*1=2,$AA$68,$Z$68)</f>
        <v>0</v>
      </c>
      <c r="AW97" s="33" t="str">
        <f>IF(MID(E97,3,1)*1=3,$AC$68,$AB$68)</f>
        <v>보스대상</v>
      </c>
      <c r="AX97" s="31">
        <f>IF(MID(E97,5,1)*1=1,$AE$68,$AD$68)</f>
        <v>1</v>
      </c>
      <c r="AY97" s="33">
        <f>IF(MID(E97,5,1)*1=2,$AG$68,$AF$68)</f>
        <v>3</v>
      </c>
      <c r="AZ97" s="2"/>
      <c r="BA97" s="101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12" hidden="1" customHeight="1">
      <c r="A98" s="2"/>
      <c r="B98" s="107">
        <v>704</v>
      </c>
      <c r="C98" s="31">
        <v>10</v>
      </c>
      <c r="D98" s="111" t="s">
        <v>18</v>
      </c>
      <c r="E98" s="2" t="s">
        <v>171</v>
      </c>
      <c r="F98" s="2" t="s">
        <v>149</v>
      </c>
      <c r="G98" s="2" t="s">
        <v>186</v>
      </c>
      <c r="H98" s="33" t="s">
        <v>80</v>
      </c>
      <c r="I98" s="173">
        <f>M98/AE98</f>
        <v>1697.6364030356904</v>
      </c>
      <c r="J98" s="174">
        <f>AH98/AE98</f>
        <v>63.522692720778515</v>
      </c>
      <c r="K98" s="207">
        <f>RANK(I98,$I$76:$I$977)</f>
        <v>23</v>
      </c>
      <c r="L98" s="208" t="e">
        <f>RANK(I98,$I$451:$I$866)</f>
        <v>#N/A</v>
      </c>
      <c r="M98" s="173">
        <f>SUM(N98:R98)</f>
        <v>13923.662995039906</v>
      </c>
      <c r="N98" s="174">
        <f>T98*(1+((AG98+IF(F98="백어택",8,0))/100)*(AI98/100-1))</f>
        <v>13923.662995039906</v>
      </c>
      <c r="O98" s="174">
        <f>U98*(1+(($D$57+IF(F98="백어택",8,0))/100)*(AI98/100-1))</f>
        <v>0</v>
      </c>
      <c r="P98" s="174"/>
      <c r="Q98" s="174"/>
      <c r="R98" s="175"/>
      <c r="S98" s="173">
        <f>SUM(T98:X98)</f>
        <v>10963.401945523317</v>
      </c>
      <c r="T98" s="174">
        <f>AL98*IF(H98="근접",AT98,IF(AV98=1,AT98,1))*AX98*IF(F98="백어택",1.2,1)</f>
        <v>10963.401945523317</v>
      </c>
      <c r="U98" s="174">
        <f>IF(AX98=1,AM98*IF(H98="근접",AT98,IF(AV98=1,AT98,1)),0)*AY98*IF(AX98=1,1,0)*IF(F98="백어택",1.2,1)</f>
        <v>0</v>
      </c>
      <c r="V98" s="174"/>
      <c r="W98" s="174"/>
      <c r="X98" s="175"/>
      <c r="Y98" s="173">
        <f>SUM(Z98:AD98)</f>
        <v>21926.803891046635</v>
      </c>
      <c r="Z98" s="174">
        <f>T98*$D$58/100</f>
        <v>21926.803891046635</v>
      </c>
      <c r="AA98" s="174">
        <f>U98*$D$58/100</f>
        <v>0</v>
      </c>
      <c r="AB98" s="174"/>
      <c r="AC98" s="174"/>
      <c r="AD98" s="175"/>
      <c r="AE98" s="205">
        <f>(AO98*(1-$D$20/100)*(1-$D$17/100)-AR98)*IF(AW98="보스대상",1,POWER(0.85,AW98))</f>
        <v>8.2017933699712149</v>
      </c>
      <c r="AF98" s="174">
        <f>AP98</f>
        <v>36</v>
      </c>
      <c r="AG98" s="174">
        <f>IF($D$57+AU98&gt;100,100,$D$57+AU98)</f>
        <v>19.001300000000001</v>
      </c>
      <c r="AH98" s="174">
        <f>AQ98</f>
        <v>521</v>
      </c>
      <c r="AI98" s="174">
        <f>$D$58</f>
        <v>200</v>
      </c>
      <c r="AJ98" s="174">
        <f>10*AS98/IF(AX98=1,IF(AY98=1,4.5,4),4)</f>
        <v>2</v>
      </c>
      <c r="AK98" s="174">
        <f>SUM(AL98:AN98)</f>
        <v>5464.3340202024392</v>
      </c>
      <c r="AL98" s="174">
        <f>IF(AV98=1,$D$61*(VLOOKUP(C98,$B$36:$AG$39,25,FALSE)+VLOOKUP(C98,$B$40:$AG$43,25,FALSE)*$D$54),(IF(H98="근접",$D$61*(VLOOKUP(C98,$B$36:$AG$39,25,FALSE)+VLOOKUP(C98,$B$40:$AG$43,25,FALSE)*$D$54),$D$60*(VLOOKUP(C98,$B$36:$AG$39,25,FALSE)+VLOOKUP(C98,$B$40:$AG$43,25,FALSE)*$D$54))))*$D$59/100</f>
        <v>3262.9172456914639</v>
      </c>
      <c r="AM98" s="174">
        <f>(IF(AV98=1,$D$61*(VLOOKUP(C98,$B$36:$AG$39,26,FALSE)+VLOOKUP(C98,$B$40:$AG$43,26,FALSE)*$D$54),IF(H98="근접",$D$61*(VLOOKUP(C98,$B$36:$AG$39,26,FALSE)+VLOOKUP(C98,$B$40:$AG$43,26,FALSE)*$D$54),$D$60*(VLOOKUP(C98,$B$36:$AG$39,26,FALSE)+VLOOKUP(C98,$B$40:$AG$43,26,FALSE)*$D$54))))*$D$59/100</f>
        <v>2201.4167745109758</v>
      </c>
      <c r="AN98" s="174"/>
      <c r="AO98" s="176">
        <v>24</v>
      </c>
      <c r="AP98" s="174">
        <v>36</v>
      </c>
      <c r="AQ98" s="175">
        <f>VLOOKUP(C98,$B$45:$AA$48,25,FALSE)</f>
        <v>521</v>
      </c>
      <c r="AR98" s="31">
        <f>IF(LEFT(E98,1)*1=1,$S$68,$R$68)</f>
        <v>0</v>
      </c>
      <c r="AS98" s="2">
        <f>IF(LEFT(E98,1)*1=2,$U$68,$T$68)</f>
        <v>0.8</v>
      </c>
      <c r="AT98" s="33">
        <f>IF(LEFT(E98,1)*1=3,$W$68,$V$68)</f>
        <v>1</v>
      </c>
      <c r="AU98" s="31">
        <f>IF(MID(E98,3,1)*1=1,$Y$68,$X$68)</f>
        <v>0</v>
      </c>
      <c r="AV98" s="2">
        <f>IF(MID(E98,3,1)*1=2,$AA$68,$Z$68)</f>
        <v>0</v>
      </c>
      <c r="AW98" s="33">
        <f>IF(MID(E98,3,1)*1=3,$AC$68,$AB$68)</f>
        <v>5</v>
      </c>
      <c r="AX98" s="31">
        <f>IF(MID(E98,5,1)*1=1,$AE$68,$AD$68)</f>
        <v>2.8</v>
      </c>
      <c r="AY98" s="33">
        <f>IF(MID(E98,5,1)*1=2,$AG$68,$AF$68)</f>
        <v>1</v>
      </c>
      <c r="AZ98" s="2"/>
      <c r="BA98" s="101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 ht="12" hidden="1" customHeight="1">
      <c r="A99" s="2"/>
      <c r="B99" s="107">
        <v>707</v>
      </c>
      <c r="C99" s="31">
        <v>10</v>
      </c>
      <c r="D99" s="111" t="s">
        <v>18</v>
      </c>
      <c r="E99" s="2" t="s">
        <v>147</v>
      </c>
      <c r="F99" s="2" t="s">
        <v>149</v>
      </c>
      <c r="G99" s="2" t="s">
        <v>186</v>
      </c>
      <c r="H99" s="33" t="s">
        <v>80</v>
      </c>
      <c r="I99" s="173">
        <f>M99/AE99</f>
        <v>1697.6364030356904</v>
      </c>
      <c r="J99" s="174">
        <f>AH99/AE99</f>
        <v>63.522692720778515</v>
      </c>
      <c r="K99" s="207">
        <f>RANK(I99,$I$76:$I$977)</f>
        <v>23</v>
      </c>
      <c r="L99" s="208" t="e">
        <f>RANK(I99,$I$451:$I$866)</f>
        <v>#N/A</v>
      </c>
      <c r="M99" s="173">
        <f>SUM(N99:R99)</f>
        <v>13923.662995039906</v>
      </c>
      <c r="N99" s="174">
        <f>T99*(1+((AG99+IF(F99="백어택",8,0))/100)*(AI99/100-1))</f>
        <v>13923.662995039906</v>
      </c>
      <c r="O99" s="174">
        <f>U99*(1+(($D$57+IF(F99="백어택",8,0))/100)*(AI99/100-1))</f>
        <v>0</v>
      </c>
      <c r="P99" s="174"/>
      <c r="Q99" s="174"/>
      <c r="R99" s="175"/>
      <c r="S99" s="173">
        <f>SUM(T99:X99)</f>
        <v>10963.401945523317</v>
      </c>
      <c r="T99" s="174">
        <f>AL99*IF(H99="근접",AT99,IF(AV99=1,AT99,1))*AX99*IF(F99="백어택",1.2,1)</f>
        <v>10963.401945523317</v>
      </c>
      <c r="U99" s="174">
        <f>IF(AX99=1,AM99*IF(H99="근접",AT99,IF(AV99=1,AT99,1)),0)*AY99*IF(AX99=1,1,0)*IF(F99="백어택",1.2,1)</f>
        <v>0</v>
      </c>
      <c r="V99" s="174"/>
      <c r="W99" s="174"/>
      <c r="X99" s="175"/>
      <c r="Y99" s="173">
        <f>SUM(Z99:AD99)</f>
        <v>21926.803891046635</v>
      </c>
      <c r="Z99" s="174">
        <f>T99*$D$58/100</f>
        <v>21926.803891046635</v>
      </c>
      <c r="AA99" s="174">
        <f>U99*$D$58/100</f>
        <v>0</v>
      </c>
      <c r="AB99" s="174"/>
      <c r="AC99" s="174"/>
      <c r="AD99" s="175"/>
      <c r="AE99" s="205">
        <f>(AO99*(1-$D$20/100)*(1-$D$17/100)-AR99)*IF(AW99="보스대상",1,POWER(0.85,AW99))</f>
        <v>8.2017933699712149</v>
      </c>
      <c r="AF99" s="174">
        <f>AP99</f>
        <v>36</v>
      </c>
      <c r="AG99" s="174">
        <f>IF($D$57+AU99&gt;100,100,$D$57+AU99)</f>
        <v>19.001300000000001</v>
      </c>
      <c r="AH99" s="174">
        <f>AQ99</f>
        <v>521</v>
      </c>
      <c r="AI99" s="174">
        <f>$D$58</f>
        <v>200</v>
      </c>
      <c r="AJ99" s="174">
        <f>10*AS99/IF(AX99=1,IF(AY99=1,4.5,4),4)</f>
        <v>2.5</v>
      </c>
      <c r="AK99" s="174">
        <f>SUM(AL99:AN99)</f>
        <v>5464.3340202024392</v>
      </c>
      <c r="AL99" s="174">
        <f>IF(AV99=1,$D$61*(VLOOKUP(C99,$B$36:$AG$39,25,FALSE)+VLOOKUP(C99,$B$40:$AG$43,25,FALSE)*$D$54),(IF(H99="근접",$D$61*(VLOOKUP(C99,$B$36:$AG$39,25,FALSE)+VLOOKUP(C99,$B$40:$AG$43,25,FALSE)*$D$54),$D$60*(VLOOKUP(C99,$B$36:$AG$39,25,FALSE)+VLOOKUP(C99,$B$40:$AG$43,25,FALSE)*$D$54))))*$D$59/100</f>
        <v>3262.9172456914639</v>
      </c>
      <c r="AM99" s="174">
        <f>(IF(AV99=1,$D$61*(VLOOKUP(C99,$B$36:$AG$39,26,FALSE)+VLOOKUP(C99,$B$40:$AG$43,26,FALSE)*$D$54),IF(H99="근접",$D$61*(VLOOKUP(C99,$B$36:$AG$39,26,FALSE)+VLOOKUP(C99,$B$40:$AG$43,26,FALSE)*$D$54),$D$60*(VLOOKUP(C99,$B$36:$AG$39,26,FALSE)+VLOOKUP(C99,$B$40:$AG$43,26,FALSE)*$D$54))))*$D$59/100</f>
        <v>2201.4167745109758</v>
      </c>
      <c r="AN99" s="174"/>
      <c r="AO99" s="176">
        <v>24</v>
      </c>
      <c r="AP99" s="174">
        <v>36</v>
      </c>
      <c r="AQ99" s="175">
        <f>VLOOKUP(C99,$B$45:$AA$48,25,FALSE)</f>
        <v>521</v>
      </c>
      <c r="AR99" s="31">
        <f>IF(LEFT(E99,1)*1=1,$S$68,$R$68)</f>
        <v>0</v>
      </c>
      <c r="AS99" s="2">
        <f>IF(LEFT(E99,1)*1=2,$U$68,$T$68)</f>
        <v>1</v>
      </c>
      <c r="AT99" s="33">
        <f>IF(LEFT(E99,1)*1=3,$W$68,$V$68)</f>
        <v>1.2</v>
      </c>
      <c r="AU99" s="31">
        <f>IF(MID(E99,3,1)*1=1,$Y$68,$X$68)</f>
        <v>0</v>
      </c>
      <c r="AV99" s="2">
        <f>IF(MID(E99,3,1)*1=2,$AA$68,$Z$68)</f>
        <v>0</v>
      </c>
      <c r="AW99" s="33">
        <f>IF(MID(E99,3,1)*1=3,$AC$68,$AB$68)</f>
        <v>5</v>
      </c>
      <c r="AX99" s="31">
        <f>IF(MID(E99,5,1)*1=1,$AE$68,$AD$68)</f>
        <v>2.8</v>
      </c>
      <c r="AY99" s="33">
        <f>IF(MID(E99,5,1)*1=2,$AG$68,$AF$68)</f>
        <v>1</v>
      </c>
      <c r="AZ99" s="2"/>
      <c r="BA99" s="101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 ht="12" hidden="1" customHeight="1">
      <c r="A100" s="2"/>
      <c r="B100" s="107">
        <v>639</v>
      </c>
      <c r="C100" s="31">
        <v>10</v>
      </c>
      <c r="D100" s="111" t="s">
        <v>18</v>
      </c>
      <c r="E100" s="2" t="s">
        <v>156</v>
      </c>
      <c r="F100" s="2"/>
      <c r="G100" s="2" t="s">
        <v>186</v>
      </c>
      <c r="H100" s="33" t="s">
        <v>80</v>
      </c>
      <c r="I100" s="173">
        <f>M100/AE100</f>
        <v>1691.6455882930438</v>
      </c>
      <c r="J100" s="174">
        <f>AH100/AE100</f>
        <v>81.064611807018906</v>
      </c>
      <c r="K100" s="207">
        <f>RANK(I100,$I$76:$I$977)</f>
        <v>25</v>
      </c>
      <c r="L100" s="208" t="e">
        <f>RANK(I100,$I$451:$I$866)</f>
        <v>#N/A</v>
      </c>
      <c r="M100" s="173">
        <f>SUM(N100:R100)</f>
        <v>10872.1590328317</v>
      </c>
      <c r="N100" s="174">
        <f>T100*(1+((AG100+IF(F100="백어택",8,0))/100)*(AI100/100-1))</f>
        <v>10872.1590328317</v>
      </c>
      <c r="O100" s="174">
        <f>U100*(1+(($D$57+IF(F100="백어택",8,0))/100)*(AI100/100-1))</f>
        <v>0</v>
      </c>
      <c r="P100" s="174"/>
      <c r="Q100" s="174"/>
      <c r="R100" s="175"/>
      <c r="S100" s="173">
        <f>SUM(T100:X100)</f>
        <v>9136.1682879360978</v>
      </c>
      <c r="T100" s="174">
        <f>AL100*IF(H100="근접",AT100,IF(AV100=1,AT100,1))*AX100*IF(F100="백어택",1.2,1)</f>
        <v>9136.1682879360978</v>
      </c>
      <c r="U100" s="174">
        <f>IF(AX100=1,AM100*IF(H100="근접",AT100,IF(AV100=1,AT100,1)),0)*AY100*IF(AX100=1,1,0)*IF(F100="백어택",1.2,1)</f>
        <v>0</v>
      </c>
      <c r="V100" s="174"/>
      <c r="W100" s="174"/>
      <c r="X100" s="175"/>
      <c r="Y100" s="173">
        <f>SUM(Z100:AD100)</f>
        <v>18272.336575872196</v>
      </c>
      <c r="Z100" s="174">
        <f>T100*$D$58/100</f>
        <v>18272.336575872196</v>
      </c>
      <c r="AA100" s="174">
        <f>U100*$D$58/100</f>
        <v>0</v>
      </c>
      <c r="AB100" s="174"/>
      <c r="AC100" s="174"/>
      <c r="AD100" s="175"/>
      <c r="AE100" s="205">
        <f>(AO100*(1-$D$20/100)*(1-$D$17/100)-AR100)*IF(AW100="보스대상",1,POWER(0.85,AW100))</f>
        <v>6.4269721199712162</v>
      </c>
      <c r="AF100" s="174">
        <f>AP100</f>
        <v>36</v>
      </c>
      <c r="AG100" s="174">
        <f>IF($D$57+AU100&gt;100,100,$D$57+AU100)</f>
        <v>19.001300000000001</v>
      </c>
      <c r="AH100" s="174">
        <f>AQ100</f>
        <v>521</v>
      </c>
      <c r="AI100" s="174">
        <f>$D$58</f>
        <v>200</v>
      </c>
      <c r="AJ100" s="174">
        <f>10*AS100/IF(AX100=1,IF(AY100=1,4.5,4),4)</f>
        <v>2.5</v>
      </c>
      <c r="AK100" s="174">
        <f>SUM(AL100:AN100)</f>
        <v>5464.3340202024392</v>
      </c>
      <c r="AL100" s="174">
        <f>IF(AV100=1,$D$61*(VLOOKUP(C100,$B$36:$AG$39,25,FALSE)+VLOOKUP(C100,$B$40:$AG$43,25,FALSE)*$D$54),(IF(H100="근접",$D$61*(VLOOKUP(C100,$B$36:$AG$39,25,FALSE)+VLOOKUP(C100,$B$40:$AG$43,25,FALSE)*$D$54),$D$60*(VLOOKUP(C100,$B$36:$AG$39,25,FALSE)+VLOOKUP(C100,$B$40:$AG$43,25,FALSE)*$D$54))))*$D$59/100</f>
        <v>3262.9172456914639</v>
      </c>
      <c r="AM100" s="174">
        <f>(IF(AV100=1,$D$61*(VLOOKUP(C100,$B$36:$AG$39,26,FALSE)+VLOOKUP(C100,$B$40:$AG$43,26,FALSE)*$D$54),IF(H100="근접",$D$61*(VLOOKUP(C100,$B$36:$AG$39,26,FALSE)+VLOOKUP(C100,$B$40:$AG$43,26,FALSE)*$D$54),$D$60*(VLOOKUP(C100,$B$36:$AG$39,26,FALSE)+VLOOKUP(C100,$B$40:$AG$43,26,FALSE)*$D$54))))*$D$59/100</f>
        <v>2201.4167745109758</v>
      </c>
      <c r="AN100" s="174"/>
      <c r="AO100" s="176">
        <v>24</v>
      </c>
      <c r="AP100" s="174">
        <v>36</v>
      </c>
      <c r="AQ100" s="175">
        <f>VLOOKUP(C100,$B$45:$AA$48,25,FALSE)</f>
        <v>521</v>
      </c>
      <c r="AR100" s="31">
        <f>IF(LEFT(E100,1)*1=1,$S$68,$R$68)</f>
        <v>4</v>
      </c>
      <c r="AS100" s="2">
        <f>IF(LEFT(E100,1)*1=2,$U$68,$T$68)</f>
        <v>1</v>
      </c>
      <c r="AT100" s="33">
        <f>IF(LEFT(E100,1)*1=3,$W$68,$V$68)</f>
        <v>1</v>
      </c>
      <c r="AU100" s="31">
        <f>IF(MID(E100,3,1)*1=1,$Y$68,$X$68)</f>
        <v>0</v>
      </c>
      <c r="AV100" s="2">
        <f>IF(MID(E100,3,1)*1=2,$AA$68,$Z$68)</f>
        <v>0</v>
      </c>
      <c r="AW100" s="33">
        <f>IF(MID(E100,3,1)*1=3,$AC$68,$AB$68)</f>
        <v>5</v>
      </c>
      <c r="AX100" s="31">
        <f>IF(MID(E100,5,1)*1=1,$AE$68,$AD$68)</f>
        <v>2.8</v>
      </c>
      <c r="AY100" s="33">
        <f>IF(MID(E100,5,1)*1=2,$AG$68,$AF$68)</f>
        <v>1</v>
      </c>
      <c r="AZ100" s="2"/>
      <c r="BA100" s="101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 ht="12" customHeight="1">
      <c r="A101" s="2"/>
      <c r="B101" s="107">
        <v>775</v>
      </c>
      <c r="C101" s="31">
        <v>10</v>
      </c>
      <c r="D101" s="111" t="s">
        <v>21</v>
      </c>
      <c r="E101" s="2" t="s">
        <v>157</v>
      </c>
      <c r="F101" s="2" t="s">
        <v>149</v>
      </c>
      <c r="G101" s="2" t="s">
        <v>177</v>
      </c>
      <c r="H101" s="33"/>
      <c r="I101" s="173">
        <f>M101/AE101</f>
        <v>1669.8899391452492</v>
      </c>
      <c r="J101" s="174">
        <f>AH101/AE101</f>
        <v>30.238644768832497</v>
      </c>
      <c r="K101" s="207">
        <f>RANK(I101,$I$76:$I$977)</f>
        <v>26</v>
      </c>
      <c r="L101" s="208" t="e">
        <f>RANK(I101,$I$451:$I$866)</f>
        <v>#N/A</v>
      </c>
      <c r="M101" s="173">
        <f>SUM(N101:R101)</f>
        <v>36281.972899435204</v>
      </c>
      <c r="N101" s="174">
        <f>T101*(1+((AG101+IF(F101="백어택",8,0))/100)*(AI101/100-1))</f>
        <v>36281.972899435204</v>
      </c>
      <c r="O101" s="174"/>
      <c r="P101" s="174"/>
      <c r="Q101" s="174"/>
      <c r="R101" s="175">
        <f>X101*(1+(AG101/100)*(AI101/100-1))</f>
        <v>0</v>
      </c>
      <c r="S101" s="173">
        <f>SUM(T101:X101)</f>
        <v>28568.190167687422</v>
      </c>
      <c r="T101" s="174">
        <f>AL101*AW101*AX101*AY101*IF(F101="백어택",1.2,1)</f>
        <v>28568.190167687422</v>
      </c>
      <c r="U101" s="174"/>
      <c r="V101" s="174"/>
      <c r="W101" s="174"/>
      <c r="X101" s="175">
        <f>AL101*AS101+IF(AX101=1,AL101*AU101,AL101*AU101*2)</f>
        <v>0</v>
      </c>
      <c r="Y101" s="173">
        <f>SUM(Z101:AD101)</f>
        <v>57136.380335374844</v>
      </c>
      <c r="Z101" s="174">
        <f>T101*$D$58/100</f>
        <v>57136.380335374844</v>
      </c>
      <c r="AA101" s="174"/>
      <c r="AB101" s="174"/>
      <c r="AC101" s="174"/>
      <c r="AD101" s="175">
        <f>X101*$D$58/100</f>
        <v>0</v>
      </c>
      <c r="AE101" s="205">
        <f>AO101*(1-$D$20/100)*(1-$D$17/100)-AR101</f>
        <v>21.727164197424003</v>
      </c>
      <c r="AF101" s="174">
        <f>AP101</f>
        <v>36</v>
      </c>
      <c r="AG101" s="174">
        <f>IF($D$57&gt;100,100,$D$57)</f>
        <v>19.001300000000001</v>
      </c>
      <c r="AH101" s="174">
        <f>AQ101</f>
        <v>657</v>
      </c>
      <c r="AI101" s="174">
        <f>$D$58</f>
        <v>200</v>
      </c>
      <c r="AJ101" s="174">
        <f>10/6</f>
        <v>1.6666666666666667</v>
      </c>
      <c r="AK101" s="174">
        <f>SUM(AL101:AN101)</f>
        <v>9919.5104748914655</v>
      </c>
      <c r="AL101" s="174">
        <f>(VLOOKUP(C101,$B$36:$AG$39,31,FALSE)+VLOOKUP(C101,$B$40:$AG$43,31,FALSE)*$D$54)*$D$59/100</f>
        <v>9919.5104748914655</v>
      </c>
      <c r="AM101" s="174"/>
      <c r="AN101" s="174"/>
      <c r="AO101" s="176">
        <v>36</v>
      </c>
      <c r="AP101" s="174">
        <v>36</v>
      </c>
      <c r="AQ101" s="175">
        <f>VLOOKUP(C101,$B$45:$AG$48,31,FALSE)</f>
        <v>657</v>
      </c>
      <c r="AR101" s="31">
        <f>IF(LEFT(E101,1)*1=1,$S$71,$R$71)</f>
        <v>6</v>
      </c>
      <c r="AS101" s="2">
        <f>IF(LEFT(E101,1)*1=2,$U$71,$T$71)</f>
        <v>0</v>
      </c>
      <c r="AT101" s="33">
        <f>IF(LEFT(E101,1)*1=3,$W$71,$V$71)</f>
        <v>0</v>
      </c>
      <c r="AU101" s="31">
        <f>IF(MID(E101,3,1)*1=1,$Y$71,$X$71)</f>
        <v>0</v>
      </c>
      <c r="AV101" s="2">
        <f>IF(MID(E101,3,1)*1=2,$AA$71,$Z$71)</f>
        <v>0</v>
      </c>
      <c r="AW101" s="33">
        <f>IF(MID(E101,3,1)*1=3,$AC$71,$AB$71)</f>
        <v>1.5</v>
      </c>
      <c r="AX101" s="31">
        <f>IF(MID(E101,5,1)*1=1,$AE$71,$AD$71)</f>
        <v>1</v>
      </c>
      <c r="AY101" s="33">
        <f>IF(MID(E101,5,1)*1=2,$AG$71,$AF$71)</f>
        <v>1.6</v>
      </c>
      <c r="AZ101" s="2"/>
      <c r="BA101" s="101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 ht="12" customHeight="1">
      <c r="A102" s="2"/>
      <c r="B102" s="107">
        <v>683</v>
      </c>
      <c r="C102" s="31">
        <v>10</v>
      </c>
      <c r="D102" s="111" t="s">
        <v>18</v>
      </c>
      <c r="E102" s="2" t="s">
        <v>145</v>
      </c>
      <c r="F102" s="2" t="s">
        <v>149</v>
      </c>
      <c r="G102" s="2"/>
      <c r="H102" s="33" t="s">
        <v>81</v>
      </c>
      <c r="I102" s="173">
        <f>M102/AE102</f>
        <v>1616.8468275426333</v>
      </c>
      <c r="J102" s="174">
        <f>AH102/AE102</f>
        <v>28.185356224514496</v>
      </c>
      <c r="K102" s="207">
        <f>RANK(I102,$I$76:$I$977)</f>
        <v>27</v>
      </c>
      <c r="L102" s="208" t="e">
        <f>RANK(I102,$I$451:$I$866)</f>
        <v>#N/A</v>
      </c>
      <c r="M102" s="173">
        <f>SUM(N102:R102)</f>
        <v>29887.051646239117</v>
      </c>
      <c r="N102" s="174">
        <f>T102*(1+((AG102+IF(F102="백어택",8,0))/100)*(AI102/100-1))</f>
        <v>11770.086711374506</v>
      </c>
      <c r="O102" s="174">
        <f>U102*(1+(($D$57+IF(F102="백어택",8,0))/100)*(AI102/100-1))</f>
        <v>18116.964934864609</v>
      </c>
      <c r="P102" s="174"/>
      <c r="Q102" s="174"/>
      <c r="R102" s="175"/>
      <c r="S102" s="173">
        <f>SUM(T102:X102)</f>
        <v>21313.081949524683</v>
      </c>
      <c r="T102" s="174">
        <f>AL102*IF(H102="근접",AT102,IF(AV102=1,AT102,1))*AX102*IF(F102="백어택",1.2,1)</f>
        <v>7047.9012506935615</v>
      </c>
      <c r="U102" s="174">
        <f>IF(AX102=1,AM102*IF(H102="근접",AT102,IF(AV102=1,AT102,1)),0)*AY102*IF(AX102=1,1,0)*IF(F102="백어택",1.2,1)</f>
        <v>14265.18069883112</v>
      </c>
      <c r="V102" s="174"/>
      <c r="W102" s="174"/>
      <c r="X102" s="175"/>
      <c r="Y102" s="173">
        <f>SUM(Z102:AD102)</f>
        <v>42626.163899049367</v>
      </c>
      <c r="Z102" s="174">
        <f>T102*$D$58/100</f>
        <v>14095.802501387123</v>
      </c>
      <c r="AA102" s="174">
        <f>U102*$D$58/100</f>
        <v>28530.361397662244</v>
      </c>
      <c r="AB102" s="174"/>
      <c r="AC102" s="174"/>
      <c r="AD102" s="175"/>
      <c r="AE102" s="205">
        <f>(AO102*(1-$D$20/100)*(1-$D$17/100)-AR102)*IF(AW102="보스대상",1,POWER(0.85,AW102))</f>
        <v>18.484776131615998</v>
      </c>
      <c r="AF102" s="174">
        <f>AP102</f>
        <v>36</v>
      </c>
      <c r="AG102" s="174">
        <f>IF($D$57+AU102&gt;100,100,$D$57+AU102)</f>
        <v>59.001300000000001</v>
      </c>
      <c r="AH102" s="174">
        <f>AQ102</f>
        <v>521</v>
      </c>
      <c r="AI102" s="174">
        <f>$D$58</f>
        <v>200</v>
      </c>
      <c r="AJ102" s="174">
        <f>10*AS102/IF(AX102=1,IF(AY102=1,4.5,4),4)</f>
        <v>2.5</v>
      </c>
      <c r="AK102" s="174">
        <f>SUM(AL102:AN102)</f>
        <v>8196.5010303036597</v>
      </c>
      <c r="AL102" s="174">
        <f>IF(AV102=1,$D$61*(VLOOKUP(C102,$B$36:$AG$39,25,FALSE)+VLOOKUP(C102,$B$40:$AG$43,25,FALSE)*$D$54),(IF(H102="근접",$D$61*(VLOOKUP(C102,$B$36:$AG$39,25,FALSE)+VLOOKUP(C102,$B$40:$AG$43,25,FALSE)*$D$54),$D$60*(VLOOKUP(C102,$B$36:$AG$39,25,FALSE)+VLOOKUP(C102,$B$40:$AG$43,25,FALSE)*$D$54))))*$D$59/100</f>
        <v>4894.3758685371959</v>
      </c>
      <c r="AM102" s="174">
        <f>(IF(AV102=1,$D$61*(VLOOKUP(C102,$B$36:$AG$39,26,FALSE)+VLOOKUP(C102,$B$40:$AG$43,26,FALSE)*$D$54),IF(H102="근접",$D$61*(VLOOKUP(C102,$B$36:$AG$39,26,FALSE)+VLOOKUP(C102,$B$40:$AG$43,26,FALSE)*$D$54),$D$60*(VLOOKUP(C102,$B$36:$AG$39,26,FALSE)+VLOOKUP(C102,$B$40:$AG$43,26,FALSE)*$D$54))))*$D$59/100</f>
        <v>3302.1251617664634</v>
      </c>
      <c r="AN102" s="174"/>
      <c r="AO102" s="176">
        <v>24</v>
      </c>
      <c r="AP102" s="174">
        <v>36</v>
      </c>
      <c r="AQ102" s="175">
        <f>VLOOKUP(C102,$B$45:$AA$48,25,FALSE)</f>
        <v>521</v>
      </c>
      <c r="AR102" s="31">
        <f>IF(LEFT(E102,1)*1=1,$S$68,$R$68)</f>
        <v>0</v>
      </c>
      <c r="AS102" s="2">
        <f>IF(LEFT(E102,1)*1=2,$U$68,$T$68)</f>
        <v>1</v>
      </c>
      <c r="AT102" s="33">
        <f>IF(LEFT(E102,1)*1=3,$W$68,$V$68)</f>
        <v>1.2</v>
      </c>
      <c r="AU102" s="31">
        <f>IF(MID(E102,3,1)*1=1,$Y$68,$X$68)</f>
        <v>40</v>
      </c>
      <c r="AV102" s="2">
        <f>IF(MID(E102,3,1)*1=2,$AA$68,$Z$68)</f>
        <v>0</v>
      </c>
      <c r="AW102" s="33" t="str">
        <f>IF(MID(E102,3,1)*1=3,$AC$68,$AB$68)</f>
        <v>보스대상</v>
      </c>
      <c r="AX102" s="31">
        <f>IF(MID(E102,5,1)*1=1,$AE$68,$AD$68)</f>
        <v>1</v>
      </c>
      <c r="AY102" s="33">
        <f>IF(MID(E102,5,1)*1=2,$AG$68,$AF$68)</f>
        <v>3</v>
      </c>
      <c r="AZ102" s="2"/>
      <c r="BA102" s="101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 ht="12" customHeight="1">
      <c r="A103" s="2"/>
      <c r="B103" s="107">
        <v>548</v>
      </c>
      <c r="C103" s="31">
        <v>10</v>
      </c>
      <c r="D103" s="111" t="s">
        <v>14</v>
      </c>
      <c r="E103" s="2" t="s">
        <v>164</v>
      </c>
      <c r="F103" s="2" t="s">
        <v>149</v>
      </c>
      <c r="G103" s="2"/>
      <c r="H103" s="33" t="s">
        <v>81</v>
      </c>
      <c r="I103" s="173">
        <f>M103/AE103</f>
        <v>1605.7533710117298</v>
      </c>
      <c r="J103" s="174">
        <f>AH103/AE103</f>
        <v>23.695174714659018</v>
      </c>
      <c r="K103" s="207">
        <f>RANK(I103,$I$76:$I$977)</f>
        <v>28</v>
      </c>
      <c r="L103" s="208" t="e">
        <f>RANK(I103,$I$451:$I$866)</f>
        <v>#N/A</v>
      </c>
      <c r="M103" s="173">
        <f>SUM(N103:R103)</f>
        <v>44522.987378609338</v>
      </c>
      <c r="N103" s="174">
        <f>T103*(1+((AG103+IF(F103="백어택",8,0))/100)*(AI103/100-1))</f>
        <v>7723.9980977266141</v>
      </c>
      <c r="O103" s="174">
        <f>U103*(1+((AG103+IF(F103="백어택",8,0))/100)*(AI103/100-1))</f>
        <v>7723.9980977266141</v>
      </c>
      <c r="P103" s="174">
        <f>V103*(1+((AG103+IF(F103="백어택",8,0))/100)*(AI103*IF(AX103=1,AW103,1)/100-1))</f>
        <v>10437.461582808019</v>
      </c>
      <c r="Q103" s="174">
        <f>W103*(1+((AG103+IF(F103="백어택",8,0))/100)*(AI103*AW103/100-1))</f>
        <v>18637.529600348094</v>
      </c>
      <c r="R103" s="175"/>
      <c r="S103" s="173">
        <f>SUM(T103:X103)</f>
        <v>25012.640242766633</v>
      </c>
      <c r="T103" s="174">
        <f>AL103*AY103*IF(F103="백어택",1.2,1)</f>
        <v>4339.2772369778049</v>
      </c>
      <c r="U103" s="174">
        <f>AM103*AY103*IF(F103="백어택",1.2,1)</f>
        <v>4339.2772369778049</v>
      </c>
      <c r="V103" s="174">
        <f>AN103*AY103*IF(F103="백어택",1.2,1)</f>
        <v>5863.6782253273168</v>
      </c>
      <c r="W103" s="174">
        <f>(T103+U103+V103)*IF(AX103=1,0,0.6)*IF(F103="백어택",1.2,1)</f>
        <v>10470.407543483705</v>
      </c>
      <c r="X103" s="175"/>
      <c r="Y103" s="173">
        <f>SUM(Z103:AD103)</f>
        <v>62531.600606916574</v>
      </c>
      <c r="Z103" s="174">
        <f>T103*AI103/100</f>
        <v>10848.193092444513</v>
      </c>
      <c r="AA103" s="174">
        <f>U103*AI103/100</f>
        <v>10848.193092444513</v>
      </c>
      <c r="AB103" s="174">
        <f>V103*AI103*IF(AX103=1,AW103,1)/100</f>
        <v>14659.195563318292</v>
      </c>
      <c r="AC103" s="174">
        <f>W103*AI103*AW103/100</f>
        <v>26176.01885870926</v>
      </c>
      <c r="AD103" s="175"/>
      <c r="AE103" s="205">
        <f>AO103*(1-$D$20/100)*(1-$D$17/100)</f>
        <v>27.727164197424003</v>
      </c>
      <c r="AF103" s="174">
        <f>AP103</f>
        <v>36</v>
      </c>
      <c r="AG103" s="174">
        <f>IF($D$57+AU103&gt;100,100,$D$57+AU103)</f>
        <v>44.001300000000001</v>
      </c>
      <c r="AH103" s="174">
        <f>AQ103*AS103</f>
        <v>657</v>
      </c>
      <c r="AI103" s="174">
        <f>$D$58+IF(H103="근접",AR103,0)+IF(AY103=1,0,50)</f>
        <v>250</v>
      </c>
      <c r="AJ103" s="174">
        <f>10/3</f>
        <v>3.3333333333333335</v>
      </c>
      <c r="AK103" s="174">
        <f>SUM(AL103:AN103)</f>
        <v>12118.527249402439</v>
      </c>
      <c r="AL103" s="174">
        <f>(IF(H103="근접",$D$61*(VLOOKUP(C103,$B$36:$AG$39,19,FALSE)+VLOOKUP(C103,$B$40:$AG$43,19,FALSE)*$D$54),$D$60*(VLOOKUP(C103,$B$36:$AG$39,19,FALSE)+VLOOKUP(C103,$B$40:$AG$43,19,FALSE)*$D$54)))*$D$59/100</f>
        <v>3616.0643641481706</v>
      </c>
      <c r="AM103" s="174">
        <f>(IF(H103="근접",$D$61*(VLOOKUP(C103,$B$36:$AG$39,20,FALSE)+VLOOKUP(C103,$B$40:$AG$43,20,FALSE)*$D$54),$D$60*(VLOOKUP(C103,$B$36:$AG$39,20,FALSE)+VLOOKUP(C103,$B$40:$AG$43,20,FALSE)*$D$54)))*$D$59/100</f>
        <v>3616.0643641481706</v>
      </c>
      <c r="AN103" s="174">
        <f>(IF(H103="근접",$D$61*(VLOOKUP(C103,$B$36:$AG$39,21,FALSE)+VLOOKUP(C103,$B$40:$AG$43,21,FALSE)*$D$54),$D$60*(VLOOKUP(C103,$B$36:$AG$39,21,FALSE)+VLOOKUP(C103,$B$40:$AG$43,21,FALSE)*$D$54)))*$D$59/100</f>
        <v>4886.3985211060972</v>
      </c>
      <c r="AO103" s="176">
        <v>36</v>
      </c>
      <c r="AP103" s="174">
        <v>36</v>
      </c>
      <c r="AQ103" s="175">
        <f>VLOOKUP(C103,$B$45:$AA$48,19,FALSE)</f>
        <v>657</v>
      </c>
      <c r="AR103" s="31">
        <f>IF(LEFT(E103,1)*1=1,$S$64,$R$64)</f>
        <v>50</v>
      </c>
      <c r="AS103" s="2">
        <f>IF(LEFT(E103,1)*1=2,$U$64,$T$64)</f>
        <v>1</v>
      </c>
      <c r="AT103" s="33">
        <f>IF(LEFT(E103,1)*1=3,$W$64,$V$64)</f>
        <v>0</v>
      </c>
      <c r="AU103" s="31">
        <f>IF(MID(E103,3,1)*1=1,$Y$64,$X$64)</f>
        <v>25</v>
      </c>
      <c r="AV103" s="2">
        <f>IF(MID(E103,3,1)*1=2,$AA$64,$Z$64)</f>
        <v>0</v>
      </c>
      <c r="AW103" s="33">
        <f>IF(MID(E103,3,1)*1=3,$AC$64,$AB$64)</f>
        <v>1</v>
      </c>
      <c r="AX103" s="31">
        <f>IF(MID(E103,5,1)*1=1,$AE$64,$AD$64)</f>
        <v>0.6</v>
      </c>
      <c r="AY103" s="33">
        <f>IF(MID(E103,5,1)*1=2,$AG$64,$AF$64)</f>
        <v>1</v>
      </c>
      <c r="AZ103" s="2"/>
      <c r="BA103" s="101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 ht="12" customHeight="1">
      <c r="A104" s="2"/>
      <c r="B104" s="107">
        <v>678</v>
      </c>
      <c r="C104" s="31">
        <v>10</v>
      </c>
      <c r="D104" s="111" t="s">
        <v>18</v>
      </c>
      <c r="E104" s="2" t="s">
        <v>154</v>
      </c>
      <c r="F104" s="2" t="s">
        <v>149</v>
      </c>
      <c r="G104" s="2"/>
      <c r="H104" s="33" t="s">
        <v>81</v>
      </c>
      <c r="I104" s="173">
        <f>M104/AE104</f>
        <v>1557.2609303732154</v>
      </c>
      <c r="J104" s="174">
        <f>AH104/AE104</f>
        <v>35.968798914524506</v>
      </c>
      <c r="K104" s="207">
        <f>RANK(I104,$I$76:$I$977)</f>
        <v>29</v>
      </c>
      <c r="L104" s="208" t="e">
        <f>RANK(I104,$I$451:$I$866)</f>
        <v>#N/A</v>
      </c>
      <c r="M104" s="173">
        <f>SUM(N104:R104)</f>
        <v>22556.575954968073</v>
      </c>
      <c r="N104" s="174">
        <f>T104*(1+((AG104+IF(F104="백어택",8,0))/100)*(AI104/100-1))</f>
        <v>7459.1051759142356</v>
      </c>
      <c r="O104" s="174">
        <f>U104*(1+(($D$57+IF(F104="백어택",8,0))/100)*(AI104/100-1))</f>
        <v>15097.47077905384</v>
      </c>
      <c r="P104" s="174"/>
      <c r="Q104" s="174"/>
      <c r="R104" s="175"/>
      <c r="S104" s="173">
        <f>SUM(T104:X104)</f>
        <v>17760.901624603903</v>
      </c>
      <c r="T104" s="174">
        <f>AL104*IF(H104="근접",AT104,IF(AV104=1,AT104,1))*AX104*IF(F104="백어택",1.2,1)</f>
        <v>5873.2510422446348</v>
      </c>
      <c r="U104" s="174">
        <f>IF(AX104=1,AM104*IF(H104="근접",AT104,IF(AV104=1,AT104,1)),0)*AY104*IF(AX104=1,1,0)*IF(F104="백어택",1.2,1)</f>
        <v>11887.650582359267</v>
      </c>
      <c r="V104" s="174"/>
      <c r="W104" s="174"/>
      <c r="X104" s="175"/>
      <c r="Y104" s="173">
        <f>SUM(Z104:AD104)</f>
        <v>35521.803249207805</v>
      </c>
      <c r="Z104" s="174">
        <f>T104*$D$58/100</f>
        <v>11746.50208448927</v>
      </c>
      <c r="AA104" s="174">
        <f>U104*$D$58/100</f>
        <v>23775.301164718534</v>
      </c>
      <c r="AB104" s="174"/>
      <c r="AC104" s="174"/>
      <c r="AD104" s="175"/>
      <c r="AE104" s="205">
        <f>(AO104*(1-$D$20/100)*(1-$D$17/100)-AR104)*IF(AW104="보스대상",1,POWER(0.85,AW104))</f>
        <v>14.484776131615998</v>
      </c>
      <c r="AF104" s="174">
        <f>AP104</f>
        <v>36</v>
      </c>
      <c r="AG104" s="174">
        <f>IF($D$57+AU104&gt;100,100,$D$57+AU104)</f>
        <v>19.001300000000001</v>
      </c>
      <c r="AH104" s="174">
        <f>AQ104</f>
        <v>521</v>
      </c>
      <c r="AI104" s="174">
        <f>$D$58</f>
        <v>200</v>
      </c>
      <c r="AJ104" s="174">
        <f>10*AS104/IF(AX104=1,IF(AY104=1,4.5,4),4)</f>
        <v>2.5</v>
      </c>
      <c r="AK104" s="174">
        <f>SUM(AL104:AN104)</f>
        <v>8196.5010303036597</v>
      </c>
      <c r="AL104" s="174">
        <f>IF(AV104=1,$D$61*(VLOOKUP(C104,$B$36:$AG$39,25,FALSE)+VLOOKUP(C104,$B$40:$AG$43,25,FALSE)*$D$54),(IF(H104="근접",$D$61*(VLOOKUP(C104,$B$36:$AG$39,25,FALSE)+VLOOKUP(C104,$B$40:$AG$43,25,FALSE)*$D$54),$D$60*(VLOOKUP(C104,$B$36:$AG$39,25,FALSE)+VLOOKUP(C104,$B$40:$AG$43,25,FALSE)*$D$54))))*$D$59/100</f>
        <v>4894.3758685371959</v>
      </c>
      <c r="AM104" s="174">
        <f>(IF(AV104=1,$D$61*(VLOOKUP(C104,$B$36:$AG$39,26,FALSE)+VLOOKUP(C104,$B$40:$AG$43,26,FALSE)*$D$54),IF(H104="근접",$D$61*(VLOOKUP(C104,$B$36:$AG$39,26,FALSE)+VLOOKUP(C104,$B$40:$AG$43,26,FALSE)*$D$54),$D$60*(VLOOKUP(C104,$B$36:$AG$39,26,FALSE)+VLOOKUP(C104,$B$40:$AG$43,26,FALSE)*$D$54))))*$D$59/100</f>
        <v>3302.1251617664634</v>
      </c>
      <c r="AN104" s="174"/>
      <c r="AO104" s="176">
        <v>24</v>
      </c>
      <c r="AP104" s="174">
        <v>36</v>
      </c>
      <c r="AQ104" s="175">
        <f>VLOOKUP(C104,$B$45:$AA$48,25,FALSE)</f>
        <v>521</v>
      </c>
      <c r="AR104" s="31">
        <f>IF(LEFT(E104,1)*1=1,$S$68,$R$68)</f>
        <v>4</v>
      </c>
      <c r="AS104" s="2">
        <f>IF(LEFT(E104,1)*1=2,$U$68,$T$68)</f>
        <v>1</v>
      </c>
      <c r="AT104" s="33">
        <f>IF(LEFT(E104,1)*1=3,$W$68,$V$68)</f>
        <v>1</v>
      </c>
      <c r="AU104" s="31">
        <f>IF(MID(E104,3,1)*1=1,$Y$68,$X$68)</f>
        <v>0</v>
      </c>
      <c r="AV104" s="2">
        <f>IF(MID(E104,3,1)*1=2,$AA$68,$Z$68)</f>
        <v>1</v>
      </c>
      <c r="AW104" s="33" t="str">
        <f>IF(MID(E104,3,1)*1=3,$AC$68,$AB$68)</f>
        <v>보스대상</v>
      </c>
      <c r="AX104" s="31">
        <f>IF(MID(E104,5,1)*1=1,$AE$68,$AD$68)</f>
        <v>1</v>
      </c>
      <c r="AY104" s="33">
        <f>IF(MID(E104,5,1)*1=2,$AG$68,$AF$68)</f>
        <v>3</v>
      </c>
      <c r="AZ104" s="2"/>
      <c r="BA104" s="101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 ht="12" customHeight="1">
      <c r="A105" s="2"/>
      <c r="B105" s="107">
        <v>709</v>
      </c>
      <c r="C105" s="31">
        <v>10</v>
      </c>
      <c r="D105" s="111" t="s">
        <v>18</v>
      </c>
      <c r="E105" s="2" t="s">
        <v>154</v>
      </c>
      <c r="F105" s="2" t="s">
        <v>149</v>
      </c>
      <c r="G105" s="2"/>
      <c r="H105" s="33" t="s">
        <v>80</v>
      </c>
      <c r="I105" s="173">
        <f>M105/AE105</f>
        <v>1557.2609303732154</v>
      </c>
      <c r="J105" s="174">
        <f>AH105/AE105</f>
        <v>35.968798914524506</v>
      </c>
      <c r="K105" s="207">
        <f>RANK(I105,$I$76:$I$977)</f>
        <v>29</v>
      </c>
      <c r="L105" s="208" t="e">
        <f>RANK(I105,$I$451:$I$866)</f>
        <v>#N/A</v>
      </c>
      <c r="M105" s="173">
        <f>SUM(N105:R105)</f>
        <v>22556.575954968073</v>
      </c>
      <c r="N105" s="174">
        <f>T105*(1+((AG105+IF(F105="백어택",8,0))/100)*(AI105/100-1))</f>
        <v>7459.1051759142356</v>
      </c>
      <c r="O105" s="174">
        <f>U105*(1+(($D$57+IF(F105="백어택",8,0))/100)*(AI105/100-1))</f>
        <v>15097.47077905384</v>
      </c>
      <c r="P105" s="174"/>
      <c r="Q105" s="174"/>
      <c r="R105" s="175"/>
      <c r="S105" s="173">
        <f>SUM(T105:X105)</f>
        <v>17760.901624603903</v>
      </c>
      <c r="T105" s="174">
        <f>AL105*IF(H105="근접",AT105,IF(AV105=1,AT105,1))*AX105*IF(F105="백어택",1.2,1)</f>
        <v>5873.2510422446348</v>
      </c>
      <c r="U105" s="174">
        <f>IF(AX105=1,AM105*IF(H105="근접",AT105,IF(AV105=1,AT105,1)),0)*AY105*IF(AX105=1,1,0)*IF(F105="백어택",1.2,1)</f>
        <v>11887.650582359267</v>
      </c>
      <c r="V105" s="174"/>
      <c r="W105" s="174"/>
      <c r="X105" s="175"/>
      <c r="Y105" s="173">
        <f>SUM(Z105:AD105)</f>
        <v>35521.803249207805</v>
      </c>
      <c r="Z105" s="174">
        <f>T105*$D$58/100</f>
        <v>11746.50208448927</v>
      </c>
      <c r="AA105" s="174">
        <f>U105*$D$58/100</f>
        <v>23775.301164718534</v>
      </c>
      <c r="AB105" s="174"/>
      <c r="AC105" s="174"/>
      <c r="AD105" s="175"/>
      <c r="AE105" s="205">
        <f>(AO105*(1-$D$20/100)*(1-$D$17/100)-AR105)*IF(AW105="보스대상",1,POWER(0.85,AW105))</f>
        <v>14.484776131615998</v>
      </c>
      <c r="AF105" s="174">
        <f>AP105</f>
        <v>36</v>
      </c>
      <c r="AG105" s="174">
        <f>IF($D$57+AU105&gt;100,100,$D$57+AU105)</f>
        <v>19.001300000000001</v>
      </c>
      <c r="AH105" s="174">
        <f>AQ105</f>
        <v>521</v>
      </c>
      <c r="AI105" s="174">
        <f>$D$58</f>
        <v>200</v>
      </c>
      <c r="AJ105" s="174">
        <f>10*AS105/IF(AX105=1,IF(AY105=1,4.5,4),4)</f>
        <v>2.5</v>
      </c>
      <c r="AK105" s="174">
        <f>SUM(AL105:AN105)</f>
        <v>8196.5010303036597</v>
      </c>
      <c r="AL105" s="174">
        <f>IF(AV105=1,$D$61*(VLOOKUP(C105,$B$36:$AG$39,25,FALSE)+VLOOKUP(C105,$B$40:$AG$43,25,FALSE)*$D$54),(IF(H105="근접",$D$61*(VLOOKUP(C105,$B$36:$AG$39,25,FALSE)+VLOOKUP(C105,$B$40:$AG$43,25,FALSE)*$D$54),$D$60*(VLOOKUP(C105,$B$36:$AG$39,25,FALSE)+VLOOKUP(C105,$B$40:$AG$43,25,FALSE)*$D$54))))*$D$59/100</f>
        <v>4894.3758685371959</v>
      </c>
      <c r="AM105" s="174">
        <f>(IF(AV105=1,$D$61*(VLOOKUP(C105,$B$36:$AG$39,26,FALSE)+VLOOKUP(C105,$B$40:$AG$43,26,FALSE)*$D$54),IF(H105="근접",$D$61*(VLOOKUP(C105,$B$36:$AG$39,26,FALSE)+VLOOKUP(C105,$B$40:$AG$43,26,FALSE)*$D$54),$D$60*(VLOOKUP(C105,$B$36:$AG$39,26,FALSE)+VLOOKUP(C105,$B$40:$AG$43,26,FALSE)*$D$54))))*$D$59/100</f>
        <v>3302.1251617664634</v>
      </c>
      <c r="AN105" s="174"/>
      <c r="AO105" s="176">
        <v>24</v>
      </c>
      <c r="AP105" s="174">
        <v>36</v>
      </c>
      <c r="AQ105" s="175">
        <f>VLOOKUP(C105,$B$45:$AA$48,25,FALSE)</f>
        <v>521</v>
      </c>
      <c r="AR105" s="31">
        <f>IF(LEFT(E105,1)*1=1,$S$68,$R$68)</f>
        <v>4</v>
      </c>
      <c r="AS105" s="2">
        <f>IF(LEFT(E105,1)*1=2,$U$68,$T$68)</f>
        <v>1</v>
      </c>
      <c r="AT105" s="33">
        <f>IF(LEFT(E105,1)*1=3,$W$68,$V$68)</f>
        <v>1</v>
      </c>
      <c r="AU105" s="31">
        <f>IF(MID(E105,3,1)*1=1,$Y$68,$X$68)</f>
        <v>0</v>
      </c>
      <c r="AV105" s="2">
        <f>IF(MID(E105,3,1)*1=2,$AA$68,$Z$68)</f>
        <v>1</v>
      </c>
      <c r="AW105" s="33" t="str">
        <f>IF(MID(E105,3,1)*1=3,$AC$68,$AB$68)</f>
        <v>보스대상</v>
      </c>
      <c r="AX105" s="31">
        <f>IF(MID(E105,5,1)*1=1,$AE$68,$AD$68)</f>
        <v>1</v>
      </c>
      <c r="AY105" s="33">
        <f>IF(MID(E105,5,1)*1=2,$AG$68,$AF$68)</f>
        <v>3</v>
      </c>
      <c r="AZ105" s="2"/>
      <c r="BA105" s="101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 ht="12" customHeight="1">
      <c r="A106" s="2"/>
      <c r="B106" s="107">
        <v>606</v>
      </c>
      <c r="C106" s="31">
        <v>10</v>
      </c>
      <c r="D106" s="111" t="s">
        <v>18</v>
      </c>
      <c r="E106" s="2" t="s">
        <v>164</v>
      </c>
      <c r="F106" s="2"/>
      <c r="G106" s="2"/>
      <c r="H106" s="33" t="s">
        <v>81</v>
      </c>
      <c r="I106" s="173">
        <f>M106/AE106</f>
        <v>1504.3338829689048</v>
      </c>
      <c r="J106" s="174">
        <f>AH106/AE106</f>
        <v>35.968798914524506</v>
      </c>
      <c r="K106" s="207">
        <f>RANK(I106,$I$76:$I$977)</f>
        <v>31</v>
      </c>
      <c r="L106" s="208" t="e">
        <f>RANK(I106,$I$451:$I$866)</f>
        <v>#N/A</v>
      </c>
      <c r="M106" s="173">
        <f>SUM(N106:R106)</f>
        <v>21789.939522009208</v>
      </c>
      <c r="N106" s="174">
        <f>T106*(1+((AG106+IF(F106="백어택",8,0))/100)*(AI106/100-1))</f>
        <v>21789.939522009208</v>
      </c>
      <c r="O106" s="174">
        <f>U106*(1+(($D$57+IF(F106="백어택",8,0))/100)*(AI106/100-1))</f>
        <v>0</v>
      </c>
      <c r="P106" s="174"/>
      <c r="Q106" s="174"/>
      <c r="R106" s="175"/>
      <c r="S106" s="173">
        <f>SUM(T106:X106)</f>
        <v>13704.252431904148</v>
      </c>
      <c r="T106" s="174">
        <f>AL106*IF(H106="근접",AT106,IF(AV106=1,AT106,1))*AX106*IF(F106="백어택",1.2,1)</f>
        <v>13704.252431904148</v>
      </c>
      <c r="U106" s="174">
        <f>IF(AX106=1,AM106*IF(H106="근접",AT106,IF(AV106=1,AT106,1)),0)*AY106*IF(AX106=1,1,0)*IF(F106="백어택",1.2,1)</f>
        <v>0</v>
      </c>
      <c r="V106" s="174"/>
      <c r="W106" s="174"/>
      <c r="X106" s="175"/>
      <c r="Y106" s="173">
        <f>SUM(Z106:AD106)</f>
        <v>27408.504863808295</v>
      </c>
      <c r="Z106" s="174">
        <f>T106*$D$58/100</f>
        <v>27408.504863808295</v>
      </c>
      <c r="AA106" s="174">
        <f>U106*$D$58/100</f>
        <v>0</v>
      </c>
      <c r="AB106" s="174"/>
      <c r="AC106" s="174"/>
      <c r="AD106" s="175"/>
      <c r="AE106" s="205">
        <f>(AO106*(1-$D$20/100)*(1-$D$17/100)-AR106)*IF(AW106="보스대상",1,POWER(0.85,AW106))</f>
        <v>14.484776131615998</v>
      </c>
      <c r="AF106" s="174">
        <f>AP106</f>
        <v>36</v>
      </c>
      <c r="AG106" s="174">
        <f>IF($D$57+AU106&gt;100,100,$D$57+AU106)</f>
        <v>59.001300000000001</v>
      </c>
      <c r="AH106" s="174">
        <f>AQ106</f>
        <v>521</v>
      </c>
      <c r="AI106" s="174">
        <f>$D$58</f>
        <v>200</v>
      </c>
      <c r="AJ106" s="174">
        <f>10*AS106/IF(AX106=1,IF(AY106=1,4.5,4),4)</f>
        <v>2.5</v>
      </c>
      <c r="AK106" s="174">
        <f>SUM(AL106:AN106)</f>
        <v>8196.5010303036597</v>
      </c>
      <c r="AL106" s="174">
        <f>IF(AV106=1,$D$61*(VLOOKUP(C106,$B$36:$AG$39,25,FALSE)+VLOOKUP(C106,$B$40:$AG$43,25,FALSE)*$D$54),(IF(H106="근접",$D$61*(VLOOKUP(C106,$B$36:$AG$39,25,FALSE)+VLOOKUP(C106,$B$40:$AG$43,25,FALSE)*$D$54),$D$60*(VLOOKUP(C106,$B$36:$AG$39,25,FALSE)+VLOOKUP(C106,$B$40:$AG$43,25,FALSE)*$D$54))))*$D$59/100</f>
        <v>4894.3758685371959</v>
      </c>
      <c r="AM106" s="174">
        <f>(IF(AV106=1,$D$61*(VLOOKUP(C106,$B$36:$AG$39,26,FALSE)+VLOOKUP(C106,$B$40:$AG$43,26,FALSE)*$D$54),IF(H106="근접",$D$61*(VLOOKUP(C106,$B$36:$AG$39,26,FALSE)+VLOOKUP(C106,$B$40:$AG$43,26,FALSE)*$D$54),$D$60*(VLOOKUP(C106,$B$36:$AG$39,26,FALSE)+VLOOKUP(C106,$B$40:$AG$43,26,FALSE)*$D$54))))*$D$59/100</f>
        <v>3302.1251617664634</v>
      </c>
      <c r="AN106" s="174"/>
      <c r="AO106" s="176">
        <v>24</v>
      </c>
      <c r="AP106" s="174">
        <v>36</v>
      </c>
      <c r="AQ106" s="175">
        <f>VLOOKUP(C106,$B$45:$AA$48,25,FALSE)</f>
        <v>521</v>
      </c>
      <c r="AR106" s="31">
        <f>IF(LEFT(E106,1)*1=1,$S$68,$R$68)</f>
        <v>4</v>
      </c>
      <c r="AS106" s="2">
        <f>IF(LEFT(E106,1)*1=2,$U$68,$T$68)</f>
        <v>1</v>
      </c>
      <c r="AT106" s="33">
        <f>IF(LEFT(E106,1)*1=3,$W$68,$V$68)</f>
        <v>1</v>
      </c>
      <c r="AU106" s="31">
        <f>IF(MID(E106,3,1)*1=1,$Y$68,$X$68)</f>
        <v>40</v>
      </c>
      <c r="AV106" s="2">
        <f>IF(MID(E106,3,1)*1=2,$AA$68,$Z$68)</f>
        <v>0</v>
      </c>
      <c r="AW106" s="33" t="str">
        <f>IF(MID(E106,3,1)*1=3,$AC$68,$AB$68)</f>
        <v>보스대상</v>
      </c>
      <c r="AX106" s="31">
        <f>IF(MID(E106,5,1)*1=1,$AE$68,$AD$68)</f>
        <v>2.8</v>
      </c>
      <c r="AY106" s="33">
        <f>IF(MID(E106,5,1)*1=2,$AG$68,$AF$68)</f>
        <v>1</v>
      </c>
      <c r="AZ106" s="2"/>
      <c r="BA106" s="101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 ht="12" customHeight="1">
      <c r="A107" s="2"/>
      <c r="B107" s="107">
        <v>671</v>
      </c>
      <c r="C107" s="31">
        <v>10</v>
      </c>
      <c r="D107" s="111" t="s">
        <v>18</v>
      </c>
      <c r="E107" s="2" t="s">
        <v>169</v>
      </c>
      <c r="F107" s="2" t="s">
        <v>149</v>
      </c>
      <c r="G107" s="2"/>
      <c r="H107" s="33" t="s">
        <v>81</v>
      </c>
      <c r="I107" s="173">
        <f>M107/AE107</f>
        <v>1485.7380724725554</v>
      </c>
      <c r="J107" s="174">
        <f>AH107/AE107</f>
        <v>28.185356224514496</v>
      </c>
      <c r="K107" s="207">
        <f>RANK(I107,$I$76:$I$977)</f>
        <v>32</v>
      </c>
      <c r="L107" s="208" t="e">
        <f>RANK(I107,$I$451:$I$866)</f>
        <v>#N/A</v>
      </c>
      <c r="M107" s="173">
        <f>SUM(N107:R107)</f>
        <v>27463.535659873851</v>
      </c>
      <c r="N107" s="174">
        <f>T107*(1+((AG107+IF(F107="백어택",8,0))/100)*(AI107/100-1))</f>
        <v>27463.535659873851</v>
      </c>
      <c r="O107" s="174">
        <f>U107*(1+(($D$57+IF(F107="백어택",8,0))/100)*(AI107/100-1))</f>
        <v>0</v>
      </c>
      <c r="P107" s="174"/>
      <c r="Q107" s="174"/>
      <c r="R107" s="175"/>
      <c r="S107" s="173">
        <f>SUM(T107:X107)</f>
        <v>16445.102918284978</v>
      </c>
      <c r="T107" s="174">
        <f>AL107*IF(H107="근접",AT107,IF(AV107=1,AT107,1))*AX107*IF(F107="백어택",1.2,1)</f>
        <v>16445.102918284978</v>
      </c>
      <c r="U107" s="174">
        <f>IF(AX107=1,AM107*IF(H107="근접",AT107,IF(AV107=1,AT107,1)),0)*AY107*IF(AX107=1,1,0)*IF(F107="백어택",1.2,1)</f>
        <v>0</v>
      </c>
      <c r="V107" s="174"/>
      <c r="W107" s="174"/>
      <c r="X107" s="175"/>
      <c r="Y107" s="173">
        <f>SUM(Z107:AD107)</f>
        <v>32890.205836569956</v>
      </c>
      <c r="Z107" s="174">
        <f>T107*$D$58/100</f>
        <v>32890.205836569956</v>
      </c>
      <c r="AA107" s="174">
        <f>U107*$D$58/100</f>
        <v>0</v>
      </c>
      <c r="AB107" s="174"/>
      <c r="AC107" s="174"/>
      <c r="AD107" s="175"/>
      <c r="AE107" s="173">
        <f>(AO107*(1-$D$20/100)*(1-$D$17/100)-AR107)*IF(AW107="보스대상",1,POWER(0.85,AW107))</f>
        <v>18.484776131615998</v>
      </c>
      <c r="AF107" s="174">
        <f>AP107</f>
        <v>36</v>
      </c>
      <c r="AG107" s="174">
        <f>IF($D$57+AU107&gt;100,100,$D$57+AU107)</f>
        <v>59.001300000000001</v>
      </c>
      <c r="AH107" s="174">
        <f>AQ107</f>
        <v>521</v>
      </c>
      <c r="AI107" s="174">
        <f>$D$58</f>
        <v>200</v>
      </c>
      <c r="AJ107" s="174">
        <f>10*AS107/IF(AX107=1,IF(AY107=1,4.5,4),4)</f>
        <v>2</v>
      </c>
      <c r="AK107" s="174">
        <f>SUM(AL107:AN107)</f>
        <v>8196.5010303036597</v>
      </c>
      <c r="AL107" s="174">
        <f>IF(AV107=1,$D$61*(VLOOKUP(C107,$B$36:$AG$39,25,FALSE)+VLOOKUP(C107,$B$40:$AG$43,25,FALSE)*$D$54),(IF(H107="근접",$D$61*(VLOOKUP(C107,$B$36:$AG$39,25,FALSE)+VLOOKUP(C107,$B$40:$AG$43,25,FALSE)*$D$54),$D$60*(VLOOKUP(C107,$B$36:$AG$39,25,FALSE)+VLOOKUP(C107,$B$40:$AG$43,25,FALSE)*$D$54))))*$D$59/100</f>
        <v>4894.3758685371959</v>
      </c>
      <c r="AM107" s="174">
        <f>(IF(AV107=1,$D$61*(VLOOKUP(C107,$B$36:$AG$39,26,FALSE)+VLOOKUP(C107,$B$40:$AG$43,26,FALSE)*$D$54),IF(H107="근접",$D$61*(VLOOKUP(C107,$B$36:$AG$39,26,FALSE)+VLOOKUP(C107,$B$40:$AG$43,26,FALSE)*$D$54),$D$60*(VLOOKUP(C107,$B$36:$AG$39,26,FALSE)+VLOOKUP(C107,$B$40:$AG$43,26,FALSE)*$D$54))))*$D$59/100</f>
        <v>3302.1251617664634</v>
      </c>
      <c r="AN107" s="174"/>
      <c r="AO107" s="176">
        <v>24</v>
      </c>
      <c r="AP107" s="174">
        <v>36</v>
      </c>
      <c r="AQ107" s="175">
        <f>VLOOKUP(C107,$B$45:$AA$48,25,FALSE)</f>
        <v>521</v>
      </c>
      <c r="AR107" s="31">
        <f>IF(LEFT(E107,1)*1=1,$S$68,$R$68)</f>
        <v>0</v>
      </c>
      <c r="AS107" s="2">
        <f>IF(LEFT(E107,1)*1=2,$U$68,$T$68)</f>
        <v>0.8</v>
      </c>
      <c r="AT107" s="33">
        <f>IF(LEFT(E107,1)*1=3,$W$68,$V$68)</f>
        <v>1</v>
      </c>
      <c r="AU107" s="31">
        <f>IF(MID(E107,3,1)*1=1,$Y$68,$X$68)</f>
        <v>40</v>
      </c>
      <c r="AV107" s="2">
        <f>IF(MID(E107,3,1)*1=2,$AA$68,$Z$68)</f>
        <v>0</v>
      </c>
      <c r="AW107" s="33" t="str">
        <f>IF(MID(E107,3,1)*1=3,$AC$68,$AB$68)</f>
        <v>보스대상</v>
      </c>
      <c r="AX107" s="31">
        <f>IF(MID(E107,5,1)*1=1,$AE$68,$AD$68)</f>
        <v>2.8</v>
      </c>
      <c r="AY107" s="33">
        <f>IF(MID(E107,5,1)*1=2,$AG$68,$AF$68)</f>
        <v>1</v>
      </c>
      <c r="AZ107" s="2"/>
      <c r="BA107" s="101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 ht="12" customHeight="1">
      <c r="A108" s="2"/>
      <c r="B108" s="107">
        <v>684</v>
      </c>
      <c r="C108" s="31">
        <v>10</v>
      </c>
      <c r="D108" s="111" t="s">
        <v>18</v>
      </c>
      <c r="E108" s="2" t="s">
        <v>132</v>
      </c>
      <c r="F108" s="2" t="s">
        <v>149</v>
      </c>
      <c r="G108" s="2"/>
      <c r="H108" s="33" t="s">
        <v>81</v>
      </c>
      <c r="I108" s="173">
        <f>M108/AE108</f>
        <v>1464.3342690888912</v>
      </c>
      <c r="J108" s="174">
        <f>AH108/AE108</f>
        <v>28.185356224514496</v>
      </c>
      <c r="K108" s="207">
        <f>RANK(I108,$I$76:$I$977)</f>
        <v>33</v>
      </c>
      <c r="L108" s="208" t="e">
        <f>RANK(I108,$I$451:$I$866)</f>
        <v>#N/A</v>
      </c>
      <c r="M108" s="173">
        <f>SUM(N108:R108)</f>
        <v>27067.891145961694</v>
      </c>
      <c r="N108" s="174">
        <f>T108*(1+((AG108+IF(F108="백어택",8,0))/100)*(AI108/100-1))</f>
        <v>8950.9262110970831</v>
      </c>
      <c r="O108" s="174">
        <f>U108*(1+(($D$57+IF(F108="백어택",8,0))/100)*(AI108/100-1))</f>
        <v>18116.964934864609</v>
      </c>
      <c r="P108" s="174"/>
      <c r="Q108" s="174"/>
      <c r="R108" s="175"/>
      <c r="S108" s="173">
        <f>SUM(T108:X108)</f>
        <v>21313.081949524683</v>
      </c>
      <c r="T108" s="174">
        <f>AL108*IF(H108="근접",AT108,IF(AV108=1,AT108,1))*AX108*IF(F108="백어택",1.2,1)</f>
        <v>7047.9012506935615</v>
      </c>
      <c r="U108" s="174">
        <f>IF(AX108=1,AM108*IF(H108="근접",AT108,IF(AV108=1,AT108,1)),0)*AY108*IF(AX108=1,1,0)*IF(F108="백어택",1.2,1)</f>
        <v>14265.18069883112</v>
      </c>
      <c r="V108" s="174"/>
      <c r="W108" s="174"/>
      <c r="X108" s="175"/>
      <c r="Y108" s="173">
        <f>SUM(Z108:AD108)</f>
        <v>42626.163899049367</v>
      </c>
      <c r="Z108" s="174">
        <f>T108*$D$58/100</f>
        <v>14095.802501387123</v>
      </c>
      <c r="AA108" s="174">
        <f>U108*$D$58/100</f>
        <v>28530.361397662244</v>
      </c>
      <c r="AB108" s="174"/>
      <c r="AC108" s="174"/>
      <c r="AD108" s="175"/>
      <c r="AE108" s="173">
        <f>(AO108*(1-$D$20/100)*(1-$D$17/100)-AR108)*IF(AW108="보스대상",1,POWER(0.85,AW108))</f>
        <v>18.484776131615998</v>
      </c>
      <c r="AF108" s="174">
        <f>AP108</f>
        <v>36</v>
      </c>
      <c r="AG108" s="174">
        <f>IF($D$57+AU108&gt;100,100,$D$57+AU108)</f>
        <v>19.001300000000001</v>
      </c>
      <c r="AH108" s="174">
        <f>AQ108</f>
        <v>521</v>
      </c>
      <c r="AI108" s="174">
        <f>$D$58</f>
        <v>200</v>
      </c>
      <c r="AJ108" s="174">
        <f>10*AS108/IF(AX108=1,IF(AY108=1,4.5,4),4)</f>
        <v>2.5</v>
      </c>
      <c r="AK108" s="174">
        <f>SUM(AL108:AN108)</f>
        <v>8196.5010303036597</v>
      </c>
      <c r="AL108" s="174">
        <f>IF(AV108=1,$D$61*(VLOOKUP(C108,$B$36:$AG$39,25,FALSE)+VLOOKUP(C108,$B$40:$AG$43,25,FALSE)*$D$54),(IF(H108="근접",$D$61*(VLOOKUP(C108,$B$36:$AG$39,25,FALSE)+VLOOKUP(C108,$B$40:$AG$43,25,FALSE)*$D$54),$D$60*(VLOOKUP(C108,$B$36:$AG$39,25,FALSE)+VLOOKUP(C108,$B$40:$AG$43,25,FALSE)*$D$54))))*$D$59/100</f>
        <v>4894.3758685371959</v>
      </c>
      <c r="AM108" s="174">
        <f>(IF(AV108=1,$D$61*(VLOOKUP(C108,$B$36:$AG$39,26,FALSE)+VLOOKUP(C108,$B$40:$AG$43,26,FALSE)*$D$54),IF(H108="근접",$D$61*(VLOOKUP(C108,$B$36:$AG$39,26,FALSE)+VLOOKUP(C108,$B$40:$AG$43,26,FALSE)*$D$54),$D$60*(VLOOKUP(C108,$B$36:$AG$39,26,FALSE)+VLOOKUP(C108,$B$40:$AG$43,26,FALSE)*$D$54))))*$D$59/100</f>
        <v>3302.1251617664634</v>
      </c>
      <c r="AN108" s="174"/>
      <c r="AO108" s="176">
        <v>24</v>
      </c>
      <c r="AP108" s="174">
        <v>36</v>
      </c>
      <c r="AQ108" s="175">
        <f>VLOOKUP(C108,$B$45:$AA$48,25,FALSE)</f>
        <v>521</v>
      </c>
      <c r="AR108" s="31">
        <f>IF(LEFT(E108,1)*1=1,$S$68,$R$68)</f>
        <v>0</v>
      </c>
      <c r="AS108" s="2">
        <f>IF(LEFT(E108,1)*1=2,$U$68,$T$68)</f>
        <v>1</v>
      </c>
      <c r="AT108" s="33">
        <f>IF(LEFT(E108,1)*1=3,$W$68,$V$68)</f>
        <v>1.2</v>
      </c>
      <c r="AU108" s="31">
        <f>IF(MID(E108,3,1)*1=1,$Y$68,$X$68)</f>
        <v>0</v>
      </c>
      <c r="AV108" s="2">
        <f>IF(MID(E108,3,1)*1=2,$AA$68,$Z$68)</f>
        <v>1</v>
      </c>
      <c r="AW108" s="33" t="str">
        <f>IF(MID(E108,3,1)*1=3,$AC$68,$AB$68)</f>
        <v>보스대상</v>
      </c>
      <c r="AX108" s="31">
        <f>IF(MID(E108,5,1)*1=1,$AE$68,$AD$68)</f>
        <v>1</v>
      </c>
      <c r="AY108" s="33">
        <f>IF(MID(E108,5,1)*1=2,$AG$68,$AF$68)</f>
        <v>3</v>
      </c>
      <c r="AZ108" s="2"/>
      <c r="BA108" s="101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 ht="12" customHeight="1">
      <c r="A109" s="2"/>
      <c r="B109" s="107">
        <v>715</v>
      </c>
      <c r="C109" s="31">
        <v>10</v>
      </c>
      <c r="D109" s="111" t="s">
        <v>18</v>
      </c>
      <c r="E109" s="2" t="s">
        <v>132</v>
      </c>
      <c r="F109" s="2" t="s">
        <v>149</v>
      </c>
      <c r="G109" s="2"/>
      <c r="H109" s="33" t="s">
        <v>80</v>
      </c>
      <c r="I109" s="173">
        <f>M109/AE109</f>
        <v>1464.3342690888912</v>
      </c>
      <c r="J109" s="174">
        <f>AH109/AE109</f>
        <v>28.185356224514496</v>
      </c>
      <c r="K109" s="207">
        <f>RANK(I109,$I$76:$I$977)</f>
        <v>33</v>
      </c>
      <c r="L109" s="208" t="e">
        <f>RANK(I109,$I$451:$I$866)</f>
        <v>#N/A</v>
      </c>
      <c r="M109" s="173">
        <f>SUM(N109:R109)</f>
        <v>27067.891145961694</v>
      </c>
      <c r="N109" s="174">
        <f>T109*(1+((AG109+IF(F109="백어택",8,0))/100)*(AI109/100-1))</f>
        <v>8950.9262110970831</v>
      </c>
      <c r="O109" s="174">
        <f>U109*(1+(($D$57+IF(F109="백어택",8,0))/100)*(AI109/100-1))</f>
        <v>18116.964934864609</v>
      </c>
      <c r="P109" s="174"/>
      <c r="Q109" s="174"/>
      <c r="R109" s="175"/>
      <c r="S109" s="173">
        <f>SUM(T109:X109)</f>
        <v>21313.081949524683</v>
      </c>
      <c r="T109" s="174">
        <f>AL109*IF(H109="근접",AT109,IF(AV109=1,AT109,1))*AX109*IF(F109="백어택",1.2,1)</f>
        <v>7047.9012506935615</v>
      </c>
      <c r="U109" s="174">
        <f>IF(AX109=1,AM109*IF(H109="근접",AT109,IF(AV109=1,AT109,1)),0)*AY109*IF(AX109=1,1,0)*IF(F109="백어택",1.2,1)</f>
        <v>14265.18069883112</v>
      </c>
      <c r="V109" s="174"/>
      <c r="W109" s="174"/>
      <c r="X109" s="175"/>
      <c r="Y109" s="173">
        <f>SUM(Z109:AD109)</f>
        <v>42626.163899049367</v>
      </c>
      <c r="Z109" s="174">
        <f>T109*$D$58/100</f>
        <v>14095.802501387123</v>
      </c>
      <c r="AA109" s="174">
        <f>U109*$D$58/100</f>
        <v>28530.361397662244</v>
      </c>
      <c r="AB109" s="174"/>
      <c r="AC109" s="174"/>
      <c r="AD109" s="175"/>
      <c r="AE109" s="173">
        <f>(AO109*(1-$D$20/100)*(1-$D$17/100)-AR109)*IF(AW109="보스대상",1,POWER(0.85,AW109))</f>
        <v>18.484776131615998</v>
      </c>
      <c r="AF109" s="174">
        <f>AP109</f>
        <v>36</v>
      </c>
      <c r="AG109" s="174">
        <f>IF($D$57+AU109&gt;100,100,$D$57+AU109)</f>
        <v>19.001300000000001</v>
      </c>
      <c r="AH109" s="174">
        <f>AQ109</f>
        <v>521</v>
      </c>
      <c r="AI109" s="174">
        <f>$D$58</f>
        <v>200</v>
      </c>
      <c r="AJ109" s="174">
        <f>10*AS109/IF(AX109=1,IF(AY109=1,4.5,4),4)</f>
        <v>2.5</v>
      </c>
      <c r="AK109" s="174">
        <f>SUM(AL109:AN109)</f>
        <v>8196.5010303036597</v>
      </c>
      <c r="AL109" s="174">
        <f>IF(AV109=1,$D$61*(VLOOKUP(C109,$B$36:$AG$39,25,FALSE)+VLOOKUP(C109,$B$40:$AG$43,25,FALSE)*$D$54),(IF(H109="근접",$D$61*(VLOOKUP(C109,$B$36:$AG$39,25,FALSE)+VLOOKUP(C109,$B$40:$AG$43,25,FALSE)*$D$54),$D$60*(VLOOKUP(C109,$B$36:$AG$39,25,FALSE)+VLOOKUP(C109,$B$40:$AG$43,25,FALSE)*$D$54))))*$D$59/100</f>
        <v>4894.3758685371959</v>
      </c>
      <c r="AM109" s="174">
        <f>(IF(AV109=1,$D$61*(VLOOKUP(C109,$B$36:$AG$39,26,FALSE)+VLOOKUP(C109,$B$40:$AG$43,26,FALSE)*$D$54),IF(H109="근접",$D$61*(VLOOKUP(C109,$B$36:$AG$39,26,FALSE)+VLOOKUP(C109,$B$40:$AG$43,26,FALSE)*$D$54),$D$60*(VLOOKUP(C109,$B$36:$AG$39,26,FALSE)+VLOOKUP(C109,$B$40:$AG$43,26,FALSE)*$D$54))))*$D$59/100</f>
        <v>3302.1251617664634</v>
      </c>
      <c r="AN109" s="174"/>
      <c r="AO109" s="176">
        <v>24</v>
      </c>
      <c r="AP109" s="174">
        <v>36</v>
      </c>
      <c r="AQ109" s="175">
        <f>VLOOKUP(C109,$B$45:$AA$48,25,FALSE)</f>
        <v>521</v>
      </c>
      <c r="AR109" s="31">
        <f>IF(LEFT(E109,1)*1=1,$S$68,$R$68)</f>
        <v>0</v>
      </c>
      <c r="AS109" s="2">
        <f>IF(LEFT(E109,1)*1=2,$U$68,$T$68)</f>
        <v>1</v>
      </c>
      <c r="AT109" s="33">
        <f>IF(LEFT(E109,1)*1=3,$W$68,$V$68)</f>
        <v>1.2</v>
      </c>
      <c r="AU109" s="31">
        <f>IF(MID(E109,3,1)*1=1,$Y$68,$X$68)</f>
        <v>0</v>
      </c>
      <c r="AV109" s="2">
        <f>IF(MID(E109,3,1)*1=2,$AA$68,$Z$68)</f>
        <v>1</v>
      </c>
      <c r="AW109" s="33" t="str">
        <f>IF(MID(E109,3,1)*1=3,$AC$68,$AB$68)</f>
        <v>보스대상</v>
      </c>
      <c r="AX109" s="31">
        <f>IF(MID(E109,5,1)*1=1,$AE$68,$AD$68)</f>
        <v>1</v>
      </c>
      <c r="AY109" s="33">
        <f>IF(MID(E109,5,1)*1=2,$AG$68,$AF$68)</f>
        <v>3</v>
      </c>
      <c r="AZ109" s="2"/>
      <c r="BA109" s="101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 ht="12" customHeight="1">
      <c r="A110" s="2"/>
      <c r="B110" s="107">
        <v>766</v>
      </c>
      <c r="C110" s="31">
        <v>10</v>
      </c>
      <c r="D110" s="111" t="s">
        <v>21</v>
      </c>
      <c r="E110" s="2" t="s">
        <v>156</v>
      </c>
      <c r="F110" s="2" t="s">
        <v>149</v>
      </c>
      <c r="G110" s="2" t="s">
        <v>177</v>
      </c>
      <c r="H110" s="33"/>
      <c r="I110" s="173">
        <f>M110/AE110</f>
        <v>1461.1536967520926</v>
      </c>
      <c r="J110" s="174">
        <f>AH110/AE110</f>
        <v>30.238644768832497</v>
      </c>
      <c r="K110" s="207">
        <f>RANK(I110,$I$76:$I$977)</f>
        <v>35</v>
      </c>
      <c r="L110" s="208" t="e">
        <f>RANK(I110,$I$451:$I$866)</f>
        <v>#N/A</v>
      </c>
      <c r="M110" s="173">
        <f>SUM(N110:R110)</f>
        <v>31746.726287005797</v>
      </c>
      <c r="N110" s="174">
        <f>T110*(1+((AG110+IF(F110="백어택",8,0))/100)*(AI110/100-1))</f>
        <v>31746.726287005797</v>
      </c>
      <c r="O110" s="174"/>
      <c r="P110" s="174"/>
      <c r="Q110" s="174"/>
      <c r="R110" s="175">
        <f>X110*(1+(AG110/100)*(AI110/100-1))</f>
        <v>0</v>
      </c>
      <c r="S110" s="173">
        <f>SUM(T110:X110)</f>
        <v>24997.166396726487</v>
      </c>
      <c r="T110" s="174">
        <f>AL110*AW110*AX110*AY110*IF(F110="백어택",1.2,1)</f>
        <v>24997.166396726487</v>
      </c>
      <c r="U110" s="174"/>
      <c r="V110" s="174"/>
      <c r="W110" s="174"/>
      <c r="X110" s="175">
        <f>AL110*AS110+IF(AX110=1,AL110*AU110,AL110*AU110*2)</f>
        <v>0</v>
      </c>
      <c r="Y110" s="173">
        <f>SUM(Z110:AD110)</f>
        <v>49994.332793452973</v>
      </c>
      <c r="Z110" s="174">
        <f>T110*$D$58/100</f>
        <v>49994.332793452973</v>
      </c>
      <c r="AA110" s="174"/>
      <c r="AB110" s="174"/>
      <c r="AC110" s="174"/>
      <c r="AD110" s="175">
        <f>X110*$D$58/100</f>
        <v>0</v>
      </c>
      <c r="AE110" s="173">
        <f>AO110*(1-$D$20/100)*(1-$D$17/100)-AR110</f>
        <v>21.727164197424003</v>
      </c>
      <c r="AF110" s="174">
        <f>AP110</f>
        <v>36</v>
      </c>
      <c r="AG110" s="174">
        <f>IF($D$57&gt;100,100,$D$57)</f>
        <v>19.001300000000001</v>
      </c>
      <c r="AH110" s="174">
        <f>AQ110</f>
        <v>657</v>
      </c>
      <c r="AI110" s="174">
        <f>$D$58</f>
        <v>200</v>
      </c>
      <c r="AJ110" s="174">
        <f>10/6</f>
        <v>1.6666666666666667</v>
      </c>
      <c r="AK110" s="174">
        <f>SUM(AL110:AN110)</f>
        <v>9919.5104748914655</v>
      </c>
      <c r="AL110" s="174">
        <f>(VLOOKUP(C110,$B$36:$AG$39,31,FALSE)+VLOOKUP(C110,$B$40:$AG$43,31,FALSE)*$D$54)*$D$59/100</f>
        <v>9919.5104748914655</v>
      </c>
      <c r="AM110" s="174"/>
      <c r="AN110" s="174"/>
      <c r="AO110" s="176">
        <v>36</v>
      </c>
      <c r="AP110" s="174">
        <v>36</v>
      </c>
      <c r="AQ110" s="175">
        <f>VLOOKUP(C110,$B$45:$AG$48,31,FALSE)</f>
        <v>657</v>
      </c>
      <c r="AR110" s="31">
        <f>IF(LEFT(E110,1)*1=1,$S$71,$R$71)</f>
        <v>6</v>
      </c>
      <c r="AS110" s="2">
        <f>IF(LEFT(E110,1)*1=2,$U$71,$T$71)</f>
        <v>0</v>
      </c>
      <c r="AT110" s="33">
        <f>IF(LEFT(E110,1)*1=3,$W$71,$V$71)</f>
        <v>0</v>
      </c>
      <c r="AU110" s="31">
        <f>IF(MID(E110,3,1)*1=1,$Y$71,$X$71)</f>
        <v>0</v>
      </c>
      <c r="AV110" s="2">
        <f>IF(MID(E110,3,1)*1=2,$AA$71,$Z$71)</f>
        <v>0</v>
      </c>
      <c r="AW110" s="33">
        <f>IF(MID(E110,3,1)*1=3,$AC$71,$AB$71)</f>
        <v>1.5</v>
      </c>
      <c r="AX110" s="31">
        <f>IF(MID(E110,5,1)*1=1,$AE$71,$AD$71)</f>
        <v>1.4</v>
      </c>
      <c r="AY110" s="33">
        <f>IF(MID(E110,5,1)*1=2,$AG$71,$AF$71)</f>
        <v>1</v>
      </c>
      <c r="AZ110" s="2"/>
      <c r="BA110" s="101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 ht="12" hidden="1" customHeight="1">
      <c r="A111" s="2"/>
      <c r="B111" s="107">
        <v>691</v>
      </c>
      <c r="C111" s="31">
        <v>7</v>
      </c>
      <c r="D111" s="111" t="s">
        <v>18</v>
      </c>
      <c r="E111" s="2" t="s">
        <v>103</v>
      </c>
      <c r="F111" s="2" t="s">
        <v>149</v>
      </c>
      <c r="G111" s="2" t="s">
        <v>186</v>
      </c>
      <c r="H111" s="33" t="s">
        <v>81</v>
      </c>
      <c r="I111" s="173">
        <f>M111/AE111</f>
        <v>1457.5370675924748</v>
      </c>
      <c r="J111" s="174">
        <f>AH111/AE111</f>
        <v>44.258613162461806</v>
      </c>
      <c r="K111" s="207">
        <f>RANK(I111,$I$76:$I$977)</f>
        <v>36</v>
      </c>
      <c r="L111" s="208" t="e">
        <f>RANK(I111,$I$451:$I$866)</f>
        <v>#N/A</v>
      </c>
      <c r="M111" s="173">
        <f>SUM(N111:R111)</f>
        <v>11954.417857467246</v>
      </c>
      <c r="N111" s="174">
        <f>T111*(1+((AG111+IF(F111="백어택",8,0))/100)*(AI111/100-1))</f>
        <v>7135.6653004363916</v>
      </c>
      <c r="O111" s="174">
        <f>U111*(1+(($D$57+IF(F111="백어택",8,0))/100)*(AI111/100-1))</f>
        <v>4818.7525570308544</v>
      </c>
      <c r="P111" s="174"/>
      <c r="Q111" s="174"/>
      <c r="R111" s="175"/>
      <c r="S111" s="173">
        <f>SUM(T111:X111)</f>
        <v>9412.8310950102441</v>
      </c>
      <c r="T111" s="174">
        <f>AL111*IF(H111="근접",AT111,IF(AV111=1,AT111,1))*AX111*IF(F111="백어택",1.2,1)</f>
        <v>5618.576581843171</v>
      </c>
      <c r="U111" s="174">
        <f>IF(AX111=1,AM111*IF(H111="근접",AT111,IF(AV111=1,AT111,1)),0)*AY111*IF(AX111=1,1,0)*IF(F111="백어택",1.2,1)</f>
        <v>3794.2545131670736</v>
      </c>
      <c r="V111" s="174"/>
      <c r="W111" s="174"/>
      <c r="X111" s="175"/>
      <c r="Y111" s="173">
        <f>SUM(Z111:AD111)</f>
        <v>18825.662190020488</v>
      </c>
      <c r="Z111" s="174">
        <f>T111*$D$58/100</f>
        <v>11237.153163686342</v>
      </c>
      <c r="AA111" s="174">
        <f>U111*$D$58/100</f>
        <v>7588.5090263341472</v>
      </c>
      <c r="AB111" s="174"/>
      <c r="AC111" s="174"/>
      <c r="AD111" s="175"/>
      <c r="AE111" s="173">
        <f>(AO111*(1-$D$20/100)*(1-$D$17/100)-AR111)*IF(AW111="보스대상",1,POWER(0.85,AW111))</f>
        <v>8.2017933699712149</v>
      </c>
      <c r="AF111" s="174">
        <f>AP111</f>
        <v>36</v>
      </c>
      <c r="AG111" s="174">
        <f>IF($D$57+AU111&gt;100,100,$D$57+AU111)</f>
        <v>19.001300000000001</v>
      </c>
      <c r="AH111" s="174">
        <f>AQ111</f>
        <v>363</v>
      </c>
      <c r="AI111" s="174">
        <f>$D$58</f>
        <v>200</v>
      </c>
      <c r="AJ111" s="174">
        <f>10*AS111/IF(AX111=1,IF(AY111=1,4.5,4),4)</f>
        <v>1.7777777777777777</v>
      </c>
      <c r="AK111" s="174">
        <f>SUM(AL111:AN111)</f>
        <v>7844.0259125085377</v>
      </c>
      <c r="AL111" s="174">
        <f>IF(AV111=1,$D$61*(VLOOKUP(C111,$B$36:$AG$39,25,FALSE)+VLOOKUP(C111,$B$40:$AG$43,25,FALSE)*$D$54),(IF(H111="근접",$D$61*(VLOOKUP(C111,$B$36:$AG$39,25,FALSE)+VLOOKUP(C111,$B$40:$AG$43,25,FALSE)*$D$54),$D$60*(VLOOKUP(C111,$B$36:$AG$39,25,FALSE)+VLOOKUP(C111,$B$40:$AG$43,25,FALSE)*$D$54))))*$D$59/100</f>
        <v>4682.1471515359763</v>
      </c>
      <c r="AM111" s="174">
        <f>(IF(AV111=1,$D$61*(VLOOKUP(C111,$B$36:$AG$39,26,FALSE)+VLOOKUP(C111,$B$40:$AG$43,26,FALSE)*$D$54),IF(H111="근접",$D$61*(VLOOKUP(C111,$B$36:$AG$39,26,FALSE)+VLOOKUP(C111,$B$40:$AG$43,26,FALSE)*$D$54),$D$60*(VLOOKUP(C111,$B$36:$AG$39,26,FALSE)+VLOOKUP(C111,$B$40:$AG$43,26,FALSE)*$D$54))))*$D$59/100</f>
        <v>3161.8787609725614</v>
      </c>
      <c r="AN111" s="174"/>
      <c r="AO111" s="176">
        <v>24</v>
      </c>
      <c r="AP111" s="174">
        <v>36</v>
      </c>
      <c r="AQ111" s="175">
        <f>VLOOKUP(C111,$B$45:$AA$48,25,FALSE)</f>
        <v>363</v>
      </c>
      <c r="AR111" s="31">
        <f>IF(LEFT(E111,1)*1=1,$S$68,$R$68)</f>
        <v>0</v>
      </c>
      <c r="AS111" s="2">
        <f>IF(LEFT(E111,1)*1=2,$U$68,$T$68)</f>
        <v>0.8</v>
      </c>
      <c r="AT111" s="33">
        <f>IF(LEFT(E111,1)*1=3,$W$68,$V$68)</f>
        <v>1</v>
      </c>
      <c r="AU111" s="31">
        <f>IF(MID(E111,3,1)*1=1,$Y$68,$X$68)</f>
        <v>0</v>
      </c>
      <c r="AV111" s="2">
        <f>IF(MID(E111,3,1)*1=2,$AA$68,$Z$68)</f>
        <v>0</v>
      </c>
      <c r="AW111" s="33">
        <f>IF(MID(E111,3,1)*1=3,$AC$68,$AB$68)</f>
        <v>5</v>
      </c>
      <c r="AX111" s="31">
        <f>IF(MID(E111,5,1)*1=1,$AE$68,$AD$68)</f>
        <v>1</v>
      </c>
      <c r="AY111" s="33">
        <f>IF(MID(E111,5,1)*1=2,$AG$68,$AF$68)</f>
        <v>1</v>
      </c>
      <c r="AZ111" s="2"/>
      <c r="BA111" s="101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 ht="12" hidden="1" customHeight="1">
      <c r="A112" s="2"/>
      <c r="B112" s="107">
        <v>626</v>
      </c>
      <c r="C112" s="31">
        <v>7</v>
      </c>
      <c r="D112" s="111" t="s">
        <v>18</v>
      </c>
      <c r="E112" s="2" t="s">
        <v>155</v>
      </c>
      <c r="F112" s="2"/>
      <c r="G112" s="2" t="s">
        <v>186</v>
      </c>
      <c r="H112" s="33" t="s">
        <v>81</v>
      </c>
      <c r="I112" s="173">
        <f>M112/AE112</f>
        <v>1452.3935430209754</v>
      </c>
      <c r="J112" s="174">
        <f>AH112/AE112</f>
        <v>56.480718015255015</v>
      </c>
      <c r="K112" s="207">
        <f>RANK(I112,$I$76:$I$977)</f>
        <v>37</v>
      </c>
      <c r="L112" s="208" t="e">
        <f>RANK(I112,$I$451:$I$866)</f>
        <v>#N/A</v>
      </c>
      <c r="M112" s="173">
        <f>SUM(N112:R112)</f>
        <v>9334.4928082220231</v>
      </c>
      <c r="N112" s="174">
        <f>T112*(1+((AG112+IF(F112="백어택",8,0))/100)*(AI112/100-1))</f>
        <v>5571.815978240782</v>
      </c>
      <c r="O112" s="174">
        <f>U112*(1+(($D$57+IF(F112="백어택",8,0))/100)*(AI112/100-1))</f>
        <v>3762.6768299812406</v>
      </c>
      <c r="P112" s="174"/>
      <c r="Q112" s="174"/>
      <c r="R112" s="175"/>
      <c r="S112" s="173">
        <f>SUM(T112:X112)</f>
        <v>7844.0259125085377</v>
      </c>
      <c r="T112" s="174">
        <f>AL112*IF(H112="근접",AT112,IF(AV112=1,AT112,1))*AX112*IF(F112="백어택",1.2,1)</f>
        <v>4682.1471515359763</v>
      </c>
      <c r="U112" s="174">
        <f>IF(AX112=1,AM112*IF(H112="근접",AT112,IF(AV112=1,AT112,1)),0)*AY112*IF(AX112=1,1,0)*IF(F112="백어택",1.2,1)</f>
        <v>3161.8787609725614</v>
      </c>
      <c r="V112" s="174"/>
      <c r="W112" s="174"/>
      <c r="X112" s="175"/>
      <c r="Y112" s="173">
        <f>SUM(Z112:AD112)</f>
        <v>15688.051825017075</v>
      </c>
      <c r="Z112" s="174">
        <f>T112*$D$58/100</f>
        <v>9364.2943030719525</v>
      </c>
      <c r="AA112" s="174">
        <f>U112*$D$58/100</f>
        <v>6323.7575219451228</v>
      </c>
      <c r="AB112" s="174"/>
      <c r="AC112" s="174"/>
      <c r="AD112" s="175"/>
      <c r="AE112" s="173">
        <f>(AO112*(1-$D$20/100)*(1-$D$17/100)-AR112)*IF(AW112="보스대상",1,POWER(0.85,AW112))</f>
        <v>6.4269721199712162</v>
      </c>
      <c r="AF112" s="174">
        <f>AP112</f>
        <v>36</v>
      </c>
      <c r="AG112" s="174">
        <f>IF($D$57+AU112&gt;100,100,$D$57+AU112)</f>
        <v>19.001300000000001</v>
      </c>
      <c r="AH112" s="174">
        <f>AQ112</f>
        <v>363</v>
      </c>
      <c r="AI112" s="174">
        <f>$D$58</f>
        <v>200</v>
      </c>
      <c r="AJ112" s="174">
        <f>10*AS112/IF(AX112=1,IF(AY112=1,4.5,4),4)</f>
        <v>2.2222222222222223</v>
      </c>
      <c r="AK112" s="174">
        <f>SUM(AL112:AN112)</f>
        <v>7844.0259125085377</v>
      </c>
      <c r="AL112" s="174">
        <f>IF(AV112=1,$D$61*(VLOOKUP(C112,$B$36:$AG$39,25,FALSE)+VLOOKUP(C112,$B$40:$AG$43,25,FALSE)*$D$54),(IF(H112="근접",$D$61*(VLOOKUP(C112,$B$36:$AG$39,25,FALSE)+VLOOKUP(C112,$B$40:$AG$43,25,FALSE)*$D$54),$D$60*(VLOOKUP(C112,$B$36:$AG$39,25,FALSE)+VLOOKUP(C112,$B$40:$AG$43,25,FALSE)*$D$54))))*$D$59/100</f>
        <v>4682.1471515359763</v>
      </c>
      <c r="AM112" s="174">
        <f>(IF(AV112=1,$D$61*(VLOOKUP(C112,$B$36:$AG$39,26,FALSE)+VLOOKUP(C112,$B$40:$AG$43,26,FALSE)*$D$54),IF(H112="근접",$D$61*(VLOOKUP(C112,$B$36:$AG$39,26,FALSE)+VLOOKUP(C112,$B$40:$AG$43,26,FALSE)*$D$54),$D$60*(VLOOKUP(C112,$B$36:$AG$39,26,FALSE)+VLOOKUP(C112,$B$40:$AG$43,26,FALSE)*$D$54))))*$D$59/100</f>
        <v>3161.8787609725614</v>
      </c>
      <c r="AN112" s="174"/>
      <c r="AO112" s="176">
        <v>24</v>
      </c>
      <c r="AP112" s="174">
        <v>36</v>
      </c>
      <c r="AQ112" s="175">
        <f>VLOOKUP(C112,$B$45:$AA$48,25,FALSE)</f>
        <v>363</v>
      </c>
      <c r="AR112" s="31">
        <f>IF(LEFT(E112,1)*1=1,$S$68,$R$68)</f>
        <v>4</v>
      </c>
      <c r="AS112" s="2">
        <f>IF(LEFT(E112,1)*1=2,$U$68,$T$68)</f>
        <v>1</v>
      </c>
      <c r="AT112" s="33">
        <f>IF(LEFT(E112,1)*1=3,$W$68,$V$68)</f>
        <v>1</v>
      </c>
      <c r="AU112" s="31">
        <f>IF(MID(E112,3,1)*1=1,$Y$68,$X$68)</f>
        <v>0</v>
      </c>
      <c r="AV112" s="2">
        <f>IF(MID(E112,3,1)*1=2,$AA$68,$Z$68)</f>
        <v>0</v>
      </c>
      <c r="AW112" s="33">
        <f>IF(MID(E112,3,1)*1=3,$AC$68,$AB$68)</f>
        <v>5</v>
      </c>
      <c r="AX112" s="31">
        <f>IF(MID(E112,5,1)*1=1,$AE$68,$AD$68)</f>
        <v>1</v>
      </c>
      <c r="AY112" s="33">
        <f>IF(MID(E112,5,1)*1=2,$AG$68,$AF$68)</f>
        <v>1</v>
      </c>
      <c r="AZ112" s="2"/>
      <c r="BA112" s="101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 ht="12" customHeight="1">
      <c r="A113" s="2"/>
      <c r="B113" s="107">
        <v>669</v>
      </c>
      <c r="C113" s="31">
        <v>10</v>
      </c>
      <c r="D113" s="111" t="s">
        <v>18</v>
      </c>
      <c r="E113" s="2" t="s">
        <v>153</v>
      </c>
      <c r="F113" s="2" t="s">
        <v>149</v>
      </c>
      <c r="G113" s="2"/>
      <c r="H113" s="33" t="s">
        <v>81</v>
      </c>
      <c r="I113" s="173">
        <f>M113/AE113</f>
        <v>1441.8928054381856</v>
      </c>
      <c r="J113" s="174">
        <f>AH113/AE113</f>
        <v>35.968798914524506</v>
      </c>
      <c r="K113" s="207">
        <f>RANK(I113,$I$76:$I$977)</f>
        <v>38</v>
      </c>
      <c r="L113" s="208" t="e">
        <f>RANK(I113,$I$451:$I$866)</f>
        <v>#N/A</v>
      </c>
      <c r="M113" s="173">
        <f>SUM(N113:R113)</f>
        <v>20885.494492559861</v>
      </c>
      <c r="N113" s="174">
        <f>T113*(1+((AG113+IF(F113="백어택",8,0))/100)*(AI113/100-1))</f>
        <v>20885.494492559861</v>
      </c>
      <c r="O113" s="174">
        <f>U113*(1+(($D$57+IF(F113="백어택",8,0))/100)*(AI113/100-1))</f>
        <v>0</v>
      </c>
      <c r="P113" s="174"/>
      <c r="Q113" s="174"/>
      <c r="R113" s="175"/>
      <c r="S113" s="173">
        <f>SUM(T113:X113)</f>
        <v>16445.102918284978</v>
      </c>
      <c r="T113" s="174">
        <f>AL113*IF(H113="근접",AT113,IF(AV113=1,AT113,1))*AX113*IF(F113="백어택",1.2,1)</f>
        <v>16445.102918284978</v>
      </c>
      <c r="U113" s="174">
        <f>IF(AX113=1,AM113*IF(H113="근접",AT113,IF(AV113=1,AT113,1)),0)*AY113*IF(AX113=1,1,0)*IF(F113="백어택",1.2,1)</f>
        <v>0</v>
      </c>
      <c r="V113" s="174"/>
      <c r="W113" s="174"/>
      <c r="X113" s="175"/>
      <c r="Y113" s="173">
        <f>SUM(Z113:AD113)</f>
        <v>32890.205836569956</v>
      </c>
      <c r="Z113" s="174">
        <f>T113*$D$58/100</f>
        <v>32890.205836569956</v>
      </c>
      <c r="AA113" s="174">
        <f>U113*$D$58/100</f>
        <v>0</v>
      </c>
      <c r="AB113" s="174"/>
      <c r="AC113" s="174"/>
      <c r="AD113" s="175"/>
      <c r="AE113" s="173">
        <f>(AO113*(1-$D$20/100)*(1-$D$17/100)-AR113)*IF(AW113="보스대상",1,POWER(0.85,AW113))</f>
        <v>14.484776131615998</v>
      </c>
      <c r="AF113" s="174">
        <f>AP113</f>
        <v>36</v>
      </c>
      <c r="AG113" s="174">
        <f>IF($D$57+AU113&gt;100,100,$D$57+AU113)</f>
        <v>19.001300000000001</v>
      </c>
      <c r="AH113" s="174">
        <f>AQ113</f>
        <v>521</v>
      </c>
      <c r="AI113" s="174">
        <f>$D$58</f>
        <v>200</v>
      </c>
      <c r="AJ113" s="174">
        <f>10*AS113/IF(AX113=1,IF(AY113=1,4.5,4),4)</f>
        <v>2.5</v>
      </c>
      <c r="AK113" s="174">
        <f>SUM(AL113:AN113)</f>
        <v>8196.5010303036597</v>
      </c>
      <c r="AL113" s="174">
        <f>IF(AV113=1,$D$61*(VLOOKUP(C113,$B$36:$AG$39,25,FALSE)+VLOOKUP(C113,$B$40:$AG$43,25,FALSE)*$D$54),(IF(H113="근접",$D$61*(VLOOKUP(C113,$B$36:$AG$39,25,FALSE)+VLOOKUP(C113,$B$40:$AG$43,25,FALSE)*$D$54),$D$60*(VLOOKUP(C113,$B$36:$AG$39,25,FALSE)+VLOOKUP(C113,$B$40:$AG$43,25,FALSE)*$D$54))))*$D$59/100</f>
        <v>4894.3758685371959</v>
      </c>
      <c r="AM113" s="174">
        <f>(IF(AV113=1,$D$61*(VLOOKUP(C113,$B$36:$AG$39,26,FALSE)+VLOOKUP(C113,$B$40:$AG$43,26,FALSE)*$D$54),IF(H113="근접",$D$61*(VLOOKUP(C113,$B$36:$AG$39,26,FALSE)+VLOOKUP(C113,$B$40:$AG$43,26,FALSE)*$D$54),$D$60*(VLOOKUP(C113,$B$36:$AG$39,26,FALSE)+VLOOKUP(C113,$B$40:$AG$43,26,FALSE)*$D$54))))*$D$59/100</f>
        <v>3302.1251617664634</v>
      </c>
      <c r="AN113" s="174"/>
      <c r="AO113" s="176">
        <v>24</v>
      </c>
      <c r="AP113" s="174">
        <v>36</v>
      </c>
      <c r="AQ113" s="175">
        <f>VLOOKUP(C113,$B$45:$AA$48,25,FALSE)</f>
        <v>521</v>
      </c>
      <c r="AR113" s="31">
        <f>IF(LEFT(E113,1)*1=1,$S$68,$R$68)</f>
        <v>4</v>
      </c>
      <c r="AS113" s="2">
        <f>IF(LEFT(E113,1)*1=2,$U$68,$T$68)</f>
        <v>1</v>
      </c>
      <c r="AT113" s="33">
        <f>IF(LEFT(E113,1)*1=3,$W$68,$V$68)</f>
        <v>1</v>
      </c>
      <c r="AU113" s="31">
        <f>IF(MID(E113,3,1)*1=1,$Y$68,$X$68)</f>
        <v>0</v>
      </c>
      <c r="AV113" s="2">
        <f>IF(MID(E113,3,1)*1=2,$AA$68,$Z$68)</f>
        <v>1</v>
      </c>
      <c r="AW113" s="33" t="str">
        <f>IF(MID(E113,3,1)*1=3,$AC$68,$AB$68)</f>
        <v>보스대상</v>
      </c>
      <c r="AX113" s="31">
        <f>IF(MID(E113,5,1)*1=1,$AE$68,$AD$68)</f>
        <v>2.8</v>
      </c>
      <c r="AY113" s="33">
        <f>IF(MID(E113,5,1)*1=2,$AG$68,$AF$68)</f>
        <v>1</v>
      </c>
      <c r="AZ113" s="2"/>
      <c r="BA113" s="101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 ht="12" customHeight="1">
      <c r="A114" s="2"/>
      <c r="B114" s="107">
        <v>700</v>
      </c>
      <c r="C114" s="31">
        <v>10</v>
      </c>
      <c r="D114" s="111" t="s">
        <v>18</v>
      </c>
      <c r="E114" s="2" t="s">
        <v>153</v>
      </c>
      <c r="F114" s="2" t="s">
        <v>149</v>
      </c>
      <c r="G114" s="2"/>
      <c r="H114" s="33" t="s">
        <v>80</v>
      </c>
      <c r="I114" s="173">
        <f>M114/AE114</f>
        <v>1441.8928054381856</v>
      </c>
      <c r="J114" s="174">
        <f>AH114/AE114</f>
        <v>35.968798914524506</v>
      </c>
      <c r="K114" s="207">
        <f>RANK(I114,$I$76:$I$977)</f>
        <v>38</v>
      </c>
      <c r="L114" s="208" t="e">
        <f>RANK(I114,$I$451:$I$866)</f>
        <v>#N/A</v>
      </c>
      <c r="M114" s="173">
        <f>SUM(N114:R114)</f>
        <v>20885.494492559861</v>
      </c>
      <c r="N114" s="174">
        <f>T114*(1+((AG114+IF(F114="백어택",8,0))/100)*(AI114/100-1))</f>
        <v>20885.494492559861</v>
      </c>
      <c r="O114" s="174">
        <f>U114*(1+(($D$57+IF(F114="백어택",8,0))/100)*(AI114/100-1))</f>
        <v>0</v>
      </c>
      <c r="P114" s="174"/>
      <c r="Q114" s="174"/>
      <c r="R114" s="175"/>
      <c r="S114" s="173">
        <f>SUM(T114:X114)</f>
        <v>16445.102918284978</v>
      </c>
      <c r="T114" s="174">
        <f>AL114*IF(H114="근접",AT114,IF(AV114=1,AT114,1))*AX114*IF(F114="백어택",1.2,1)</f>
        <v>16445.102918284978</v>
      </c>
      <c r="U114" s="174">
        <f>IF(AX114=1,AM114*IF(H114="근접",AT114,IF(AV114=1,AT114,1)),0)*AY114*IF(AX114=1,1,0)*IF(F114="백어택",1.2,1)</f>
        <v>0</v>
      </c>
      <c r="V114" s="174"/>
      <c r="W114" s="174"/>
      <c r="X114" s="175"/>
      <c r="Y114" s="173">
        <f>SUM(Z114:AD114)</f>
        <v>32890.205836569956</v>
      </c>
      <c r="Z114" s="174">
        <f>T114*$D$58/100</f>
        <v>32890.205836569956</v>
      </c>
      <c r="AA114" s="174">
        <f>U114*$D$58/100</f>
        <v>0</v>
      </c>
      <c r="AB114" s="174"/>
      <c r="AC114" s="174"/>
      <c r="AD114" s="175"/>
      <c r="AE114" s="173">
        <f>(AO114*(1-$D$20/100)*(1-$D$17/100)-AR114)*IF(AW114="보스대상",1,POWER(0.85,AW114))</f>
        <v>14.484776131615998</v>
      </c>
      <c r="AF114" s="174">
        <f>AP114</f>
        <v>36</v>
      </c>
      <c r="AG114" s="174">
        <f>IF($D$57+AU114&gt;100,100,$D$57+AU114)</f>
        <v>19.001300000000001</v>
      </c>
      <c r="AH114" s="174">
        <f>AQ114</f>
        <v>521</v>
      </c>
      <c r="AI114" s="174">
        <f>$D$58</f>
        <v>200</v>
      </c>
      <c r="AJ114" s="174">
        <f>10*AS114/IF(AX114=1,IF(AY114=1,4.5,4),4)</f>
        <v>2.5</v>
      </c>
      <c r="AK114" s="174">
        <f>SUM(AL114:AN114)</f>
        <v>8196.5010303036597</v>
      </c>
      <c r="AL114" s="174">
        <f>IF(AV114=1,$D$61*(VLOOKUP(C114,$B$36:$AG$39,25,FALSE)+VLOOKUP(C114,$B$40:$AG$43,25,FALSE)*$D$54),(IF(H114="근접",$D$61*(VLOOKUP(C114,$B$36:$AG$39,25,FALSE)+VLOOKUP(C114,$B$40:$AG$43,25,FALSE)*$D$54),$D$60*(VLOOKUP(C114,$B$36:$AG$39,25,FALSE)+VLOOKUP(C114,$B$40:$AG$43,25,FALSE)*$D$54))))*$D$59/100</f>
        <v>4894.3758685371959</v>
      </c>
      <c r="AM114" s="174">
        <f>(IF(AV114=1,$D$61*(VLOOKUP(C114,$B$36:$AG$39,26,FALSE)+VLOOKUP(C114,$B$40:$AG$43,26,FALSE)*$D$54),IF(H114="근접",$D$61*(VLOOKUP(C114,$B$36:$AG$39,26,FALSE)+VLOOKUP(C114,$B$40:$AG$43,26,FALSE)*$D$54),$D$60*(VLOOKUP(C114,$B$36:$AG$39,26,FALSE)+VLOOKUP(C114,$B$40:$AG$43,26,FALSE)*$D$54))))*$D$59/100</f>
        <v>3302.1251617664634</v>
      </c>
      <c r="AN114" s="174"/>
      <c r="AO114" s="176">
        <v>24</v>
      </c>
      <c r="AP114" s="174">
        <v>36</v>
      </c>
      <c r="AQ114" s="175">
        <f>VLOOKUP(C114,$B$45:$AA$48,25,FALSE)</f>
        <v>521</v>
      </c>
      <c r="AR114" s="31">
        <f>IF(LEFT(E114,1)*1=1,$S$68,$R$68)</f>
        <v>4</v>
      </c>
      <c r="AS114" s="2">
        <f>IF(LEFT(E114,1)*1=2,$U$68,$T$68)</f>
        <v>1</v>
      </c>
      <c r="AT114" s="33">
        <f>IF(LEFT(E114,1)*1=3,$W$68,$V$68)</f>
        <v>1</v>
      </c>
      <c r="AU114" s="31">
        <f>IF(MID(E114,3,1)*1=1,$Y$68,$X$68)</f>
        <v>0</v>
      </c>
      <c r="AV114" s="2">
        <f>IF(MID(E114,3,1)*1=2,$AA$68,$Z$68)</f>
        <v>1</v>
      </c>
      <c r="AW114" s="33" t="str">
        <f>IF(MID(E114,3,1)*1=3,$AC$68,$AB$68)</f>
        <v>보스대상</v>
      </c>
      <c r="AX114" s="31">
        <f>IF(MID(E114,5,1)*1=1,$AE$68,$AD$68)</f>
        <v>2.8</v>
      </c>
      <c r="AY114" s="33">
        <f>IF(MID(E114,5,1)*1=2,$AG$68,$AF$68)</f>
        <v>1</v>
      </c>
      <c r="AZ114" s="2"/>
      <c r="BA114" s="101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 ht="12" hidden="1" customHeight="1">
      <c r="A115" s="2"/>
      <c r="B115" s="107">
        <v>651</v>
      </c>
      <c r="C115" s="31">
        <v>10</v>
      </c>
      <c r="D115" s="111" t="s">
        <v>18</v>
      </c>
      <c r="E115" s="2" t="s">
        <v>108</v>
      </c>
      <c r="F115" s="2"/>
      <c r="G115" s="2" t="s">
        <v>186</v>
      </c>
      <c r="H115" s="33" t="s">
        <v>80</v>
      </c>
      <c r="I115" s="173">
        <f>M115/AE115</f>
        <v>1431.645147699769</v>
      </c>
      <c r="J115" s="174">
        <f>AH115/AE115</f>
        <v>63.522692720778515</v>
      </c>
      <c r="K115" s="207">
        <f>RANK(I115,$I$76:$I$977)</f>
        <v>40</v>
      </c>
      <c r="L115" s="208" t="e">
        <f>RANK(I115,$I$451:$I$866)</f>
        <v>#N/A</v>
      </c>
      <c r="M115" s="173">
        <f>SUM(N115:R115)</f>
        <v>11742.057680555426</v>
      </c>
      <c r="N115" s="174">
        <f>T115*(1+((AG115+IF(F115="백어택",8,0))/100)*(AI115/100-1))</f>
        <v>3882.9139402970359</v>
      </c>
      <c r="O115" s="174">
        <f>U115*(1+(($D$57+IF(F115="백어택",8,0))/100)*(AI115/100-1))</f>
        <v>7859.1437402583897</v>
      </c>
      <c r="P115" s="174"/>
      <c r="Q115" s="174"/>
      <c r="R115" s="175"/>
      <c r="S115" s="173">
        <f>SUM(T115:X115)</f>
        <v>9867.1675692243916</v>
      </c>
      <c r="T115" s="174">
        <f>AL115*IF(H115="근접",AT115,IF(AV115=1,AT115,1))*AX115*IF(F115="백어택",1.2,1)</f>
        <v>3262.9172456914639</v>
      </c>
      <c r="U115" s="174">
        <f>IF(AX115=1,AM115*IF(H115="근접",AT115,IF(AV115=1,AT115,1)),0)*AY115*IF(AX115=1,1,0)*IF(F115="백어택",1.2,1)</f>
        <v>6604.2503235329277</v>
      </c>
      <c r="V115" s="174"/>
      <c r="W115" s="174"/>
      <c r="X115" s="175"/>
      <c r="Y115" s="173">
        <f>SUM(Z115:AD115)</f>
        <v>19734.335138448783</v>
      </c>
      <c r="Z115" s="174">
        <f>T115*$D$58/100</f>
        <v>6525.8344913829278</v>
      </c>
      <c r="AA115" s="174">
        <f>U115*$D$58/100</f>
        <v>13208.500647065855</v>
      </c>
      <c r="AB115" s="174"/>
      <c r="AC115" s="174"/>
      <c r="AD115" s="175"/>
      <c r="AE115" s="173">
        <f>(AO115*(1-$D$20/100)*(1-$D$17/100)-AR115)*IF(AW115="보스대상",1,POWER(0.85,AW115))</f>
        <v>8.2017933699712149</v>
      </c>
      <c r="AF115" s="174">
        <f>AP115</f>
        <v>36</v>
      </c>
      <c r="AG115" s="174">
        <f>IF($D$57+AU115&gt;100,100,$D$57+AU115)</f>
        <v>19.001300000000001</v>
      </c>
      <c r="AH115" s="174">
        <f>AQ115</f>
        <v>521</v>
      </c>
      <c r="AI115" s="174">
        <f>$D$58</f>
        <v>200</v>
      </c>
      <c r="AJ115" s="174">
        <f>10*AS115/IF(AX115=1,IF(AY115=1,4.5,4),4)</f>
        <v>2</v>
      </c>
      <c r="AK115" s="174">
        <f>SUM(AL115:AN115)</f>
        <v>5464.3340202024392</v>
      </c>
      <c r="AL115" s="174">
        <f>IF(AV115=1,$D$61*(VLOOKUP(C115,$B$36:$AG$39,25,FALSE)+VLOOKUP(C115,$B$40:$AG$43,25,FALSE)*$D$54),(IF(H115="근접",$D$61*(VLOOKUP(C115,$B$36:$AG$39,25,FALSE)+VLOOKUP(C115,$B$40:$AG$43,25,FALSE)*$D$54),$D$60*(VLOOKUP(C115,$B$36:$AG$39,25,FALSE)+VLOOKUP(C115,$B$40:$AG$43,25,FALSE)*$D$54))))*$D$59/100</f>
        <v>3262.9172456914639</v>
      </c>
      <c r="AM115" s="174">
        <f>(IF(AV115=1,$D$61*(VLOOKUP(C115,$B$36:$AG$39,26,FALSE)+VLOOKUP(C115,$B$40:$AG$43,26,FALSE)*$D$54),IF(H115="근접",$D$61*(VLOOKUP(C115,$B$36:$AG$39,26,FALSE)+VLOOKUP(C115,$B$40:$AG$43,26,FALSE)*$D$54),$D$60*(VLOOKUP(C115,$B$36:$AG$39,26,FALSE)+VLOOKUP(C115,$B$40:$AG$43,26,FALSE)*$D$54))))*$D$59/100</f>
        <v>2201.4167745109758</v>
      </c>
      <c r="AN115" s="174"/>
      <c r="AO115" s="176">
        <v>24</v>
      </c>
      <c r="AP115" s="174">
        <v>36</v>
      </c>
      <c r="AQ115" s="175">
        <f>VLOOKUP(C115,$B$45:$AA$48,25,FALSE)</f>
        <v>521</v>
      </c>
      <c r="AR115" s="31">
        <f>IF(LEFT(E115,1)*1=1,$S$68,$R$68)</f>
        <v>0</v>
      </c>
      <c r="AS115" s="2">
        <f>IF(LEFT(E115,1)*1=2,$U$68,$T$68)</f>
        <v>0.8</v>
      </c>
      <c r="AT115" s="33">
        <f>IF(LEFT(E115,1)*1=3,$W$68,$V$68)</f>
        <v>1</v>
      </c>
      <c r="AU115" s="31">
        <f>IF(MID(E115,3,1)*1=1,$Y$68,$X$68)</f>
        <v>0</v>
      </c>
      <c r="AV115" s="2">
        <f>IF(MID(E115,3,1)*1=2,$AA$68,$Z$68)</f>
        <v>0</v>
      </c>
      <c r="AW115" s="33">
        <f>IF(MID(E115,3,1)*1=3,$AC$68,$AB$68)</f>
        <v>5</v>
      </c>
      <c r="AX115" s="31">
        <f>IF(MID(E115,5,1)*1=1,$AE$68,$AD$68)</f>
        <v>1</v>
      </c>
      <c r="AY115" s="33">
        <f>IF(MID(E115,5,1)*1=2,$AG$68,$AF$68)</f>
        <v>3</v>
      </c>
      <c r="AZ115" s="2"/>
      <c r="BA115" s="101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 ht="12" hidden="1" customHeight="1">
      <c r="A116" s="2"/>
      <c r="B116" s="107">
        <v>654</v>
      </c>
      <c r="C116" s="31">
        <v>10</v>
      </c>
      <c r="D116" s="111" t="s">
        <v>18</v>
      </c>
      <c r="E116" s="2" t="s">
        <v>135</v>
      </c>
      <c r="F116" s="2"/>
      <c r="G116" s="2" t="s">
        <v>186</v>
      </c>
      <c r="H116" s="33" t="s">
        <v>80</v>
      </c>
      <c r="I116" s="173">
        <f>M116/AE116</f>
        <v>1431.645147699769</v>
      </c>
      <c r="J116" s="174">
        <f>AH116/AE116</f>
        <v>63.522692720778515</v>
      </c>
      <c r="K116" s="207">
        <f>RANK(I116,$I$76:$I$977)</f>
        <v>40</v>
      </c>
      <c r="L116" s="208" t="e">
        <f>RANK(I116,$I$451:$I$866)</f>
        <v>#N/A</v>
      </c>
      <c r="M116" s="173">
        <f>SUM(N116:R116)</f>
        <v>11742.057680555426</v>
      </c>
      <c r="N116" s="174">
        <f>T116*(1+((AG116+IF(F116="백어택",8,0))/100)*(AI116/100-1))</f>
        <v>3882.9139402970359</v>
      </c>
      <c r="O116" s="174">
        <f>U116*(1+(($D$57+IF(F116="백어택",8,0))/100)*(AI116/100-1))</f>
        <v>7859.1437402583897</v>
      </c>
      <c r="P116" s="174"/>
      <c r="Q116" s="174"/>
      <c r="R116" s="175"/>
      <c r="S116" s="173">
        <f>SUM(T116:X116)</f>
        <v>9867.1675692243916</v>
      </c>
      <c r="T116" s="174">
        <f>AL116*IF(H116="근접",AT116,IF(AV116=1,AT116,1))*AX116*IF(F116="백어택",1.2,1)</f>
        <v>3262.9172456914639</v>
      </c>
      <c r="U116" s="174">
        <f>IF(AX116=1,AM116*IF(H116="근접",AT116,IF(AV116=1,AT116,1)),0)*AY116*IF(AX116=1,1,0)*IF(F116="백어택",1.2,1)</f>
        <v>6604.2503235329277</v>
      </c>
      <c r="V116" s="174"/>
      <c r="W116" s="174"/>
      <c r="X116" s="175"/>
      <c r="Y116" s="173">
        <f>SUM(Z116:AD116)</f>
        <v>19734.335138448783</v>
      </c>
      <c r="Z116" s="174">
        <f>T116*$D$58/100</f>
        <v>6525.8344913829278</v>
      </c>
      <c r="AA116" s="174">
        <f>U116*$D$58/100</f>
        <v>13208.500647065855</v>
      </c>
      <c r="AB116" s="174"/>
      <c r="AC116" s="174"/>
      <c r="AD116" s="175"/>
      <c r="AE116" s="173">
        <f>(AO116*(1-$D$20/100)*(1-$D$17/100)-AR116)*IF(AW116="보스대상",1,POWER(0.85,AW116))</f>
        <v>8.2017933699712149</v>
      </c>
      <c r="AF116" s="174">
        <f>AP116</f>
        <v>36</v>
      </c>
      <c r="AG116" s="174">
        <f>IF($D$57+AU116&gt;100,100,$D$57+AU116)</f>
        <v>19.001300000000001</v>
      </c>
      <c r="AH116" s="174">
        <f>AQ116</f>
        <v>521</v>
      </c>
      <c r="AI116" s="174">
        <f>$D$58</f>
        <v>200</v>
      </c>
      <c r="AJ116" s="174">
        <f>10*AS116/IF(AX116=1,IF(AY116=1,4.5,4),4)</f>
        <v>2.5</v>
      </c>
      <c r="AK116" s="174">
        <f>SUM(AL116:AN116)</f>
        <v>5464.3340202024392</v>
      </c>
      <c r="AL116" s="174">
        <f>IF(AV116=1,$D$61*(VLOOKUP(C116,$B$36:$AG$39,25,FALSE)+VLOOKUP(C116,$B$40:$AG$43,25,FALSE)*$D$54),(IF(H116="근접",$D$61*(VLOOKUP(C116,$B$36:$AG$39,25,FALSE)+VLOOKUP(C116,$B$40:$AG$43,25,FALSE)*$D$54),$D$60*(VLOOKUP(C116,$B$36:$AG$39,25,FALSE)+VLOOKUP(C116,$B$40:$AG$43,25,FALSE)*$D$54))))*$D$59/100</f>
        <v>3262.9172456914639</v>
      </c>
      <c r="AM116" s="174">
        <f>(IF(AV116=1,$D$61*(VLOOKUP(C116,$B$36:$AG$39,26,FALSE)+VLOOKUP(C116,$B$40:$AG$43,26,FALSE)*$D$54),IF(H116="근접",$D$61*(VLOOKUP(C116,$B$36:$AG$39,26,FALSE)+VLOOKUP(C116,$B$40:$AG$43,26,FALSE)*$D$54),$D$60*(VLOOKUP(C116,$B$36:$AG$39,26,FALSE)+VLOOKUP(C116,$B$40:$AG$43,26,FALSE)*$D$54))))*$D$59/100</f>
        <v>2201.4167745109758</v>
      </c>
      <c r="AN116" s="174"/>
      <c r="AO116" s="176">
        <v>24</v>
      </c>
      <c r="AP116" s="174">
        <v>36</v>
      </c>
      <c r="AQ116" s="175">
        <f>VLOOKUP(C116,$B$45:$AA$48,25,FALSE)</f>
        <v>521</v>
      </c>
      <c r="AR116" s="31">
        <f>IF(LEFT(E116,1)*1=1,$S$68,$R$68)</f>
        <v>0</v>
      </c>
      <c r="AS116" s="2">
        <f>IF(LEFT(E116,1)*1=2,$U$68,$T$68)</f>
        <v>1</v>
      </c>
      <c r="AT116" s="33">
        <f>IF(LEFT(E116,1)*1=3,$W$68,$V$68)</f>
        <v>1.2</v>
      </c>
      <c r="AU116" s="31">
        <f>IF(MID(E116,3,1)*1=1,$Y$68,$X$68)</f>
        <v>0</v>
      </c>
      <c r="AV116" s="2">
        <f>IF(MID(E116,3,1)*1=2,$AA$68,$Z$68)</f>
        <v>0</v>
      </c>
      <c r="AW116" s="33">
        <f>IF(MID(E116,3,1)*1=3,$AC$68,$AB$68)</f>
        <v>5</v>
      </c>
      <c r="AX116" s="31">
        <f>IF(MID(E116,5,1)*1=1,$AE$68,$AD$68)</f>
        <v>1</v>
      </c>
      <c r="AY116" s="33">
        <f>IF(MID(E116,5,1)*1=2,$AG$68,$AF$68)</f>
        <v>3</v>
      </c>
      <c r="AZ116" s="2"/>
      <c r="BA116" s="101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 ht="12" customHeight="1">
      <c r="A117" s="2"/>
      <c r="B117" s="107">
        <v>612</v>
      </c>
      <c r="C117" s="31">
        <v>10</v>
      </c>
      <c r="D117" s="111" t="s">
        <v>18</v>
      </c>
      <c r="E117" s="2" t="s">
        <v>182</v>
      </c>
      <c r="F117" s="2"/>
      <c r="G117" s="2"/>
      <c r="H117" s="33" t="s">
        <v>81</v>
      </c>
      <c r="I117" s="173">
        <f>M117/AE117</f>
        <v>1414.565545194142</v>
      </c>
      <c r="J117" s="174">
        <f>AH117/AE117</f>
        <v>28.185356224514496</v>
      </c>
      <c r="K117" s="207">
        <f>RANK(I117,$I$76:$I$977)</f>
        <v>42</v>
      </c>
      <c r="L117" s="208" t="e">
        <f>RANK(I117,$I$451:$I$866)</f>
        <v>#N/A</v>
      </c>
      <c r="M117" s="173">
        <f>SUM(N117:R117)</f>
        <v>26147.92742641105</v>
      </c>
      <c r="N117" s="174">
        <f>T117*(1+((AG117+IF(F117="백어택",8,0))/100)*(AI117/100-1))</f>
        <v>26147.92742641105</v>
      </c>
      <c r="O117" s="174">
        <f>U117*(1+(($D$57+IF(F117="백어택",8,0))/100)*(AI117/100-1))</f>
        <v>0</v>
      </c>
      <c r="P117" s="174"/>
      <c r="Q117" s="174"/>
      <c r="R117" s="175"/>
      <c r="S117" s="173">
        <f>SUM(T117:X117)</f>
        <v>16445.102918284978</v>
      </c>
      <c r="T117" s="174">
        <f>AL117*IF(H117="근접",AT117,IF(AV117=1,AT117,1))*AX117*IF(F117="백어택",1.2,1)</f>
        <v>16445.102918284978</v>
      </c>
      <c r="U117" s="174">
        <f>IF(AX117=1,AM117*IF(H117="근접",AT117,IF(AV117=1,AT117,1)),0)*AY117*IF(AX117=1,1,0)*IF(F117="백어택",1.2,1)</f>
        <v>0</v>
      </c>
      <c r="V117" s="174"/>
      <c r="W117" s="174"/>
      <c r="X117" s="175"/>
      <c r="Y117" s="173">
        <f>SUM(Z117:AD117)</f>
        <v>32890.205836569956</v>
      </c>
      <c r="Z117" s="174">
        <f>T117*$D$58/100</f>
        <v>32890.205836569956</v>
      </c>
      <c r="AA117" s="174">
        <f>U117*$D$58/100</f>
        <v>0</v>
      </c>
      <c r="AB117" s="174"/>
      <c r="AC117" s="174"/>
      <c r="AD117" s="175"/>
      <c r="AE117" s="173">
        <f>(AO117*(1-$D$20/100)*(1-$D$17/100)-AR117)*IF(AW117="보스대상",1,POWER(0.85,AW117))</f>
        <v>18.484776131615998</v>
      </c>
      <c r="AF117" s="174">
        <f>AP117</f>
        <v>36</v>
      </c>
      <c r="AG117" s="174">
        <f>IF($D$57+AU117&gt;100,100,$D$57+AU117)</f>
        <v>59.001300000000001</v>
      </c>
      <c r="AH117" s="174">
        <f>AQ117</f>
        <v>521</v>
      </c>
      <c r="AI117" s="174">
        <f>$D$58</f>
        <v>200</v>
      </c>
      <c r="AJ117" s="174">
        <f>10*AS117/IF(AX117=1,IF(AY117=1,4.5,4),4)</f>
        <v>2.5</v>
      </c>
      <c r="AK117" s="174">
        <f>SUM(AL117:AN117)</f>
        <v>8196.5010303036597</v>
      </c>
      <c r="AL117" s="174">
        <f>IF(AV117=1,$D$61*(VLOOKUP(C117,$B$36:$AG$39,25,FALSE)+VLOOKUP(C117,$B$40:$AG$43,25,FALSE)*$D$54),(IF(H117="근접",$D$61*(VLOOKUP(C117,$B$36:$AG$39,25,FALSE)+VLOOKUP(C117,$B$40:$AG$43,25,FALSE)*$D$54),$D$60*(VLOOKUP(C117,$B$36:$AG$39,25,FALSE)+VLOOKUP(C117,$B$40:$AG$43,25,FALSE)*$D$54))))*$D$59/100</f>
        <v>4894.3758685371959</v>
      </c>
      <c r="AM117" s="174">
        <f>(IF(AV117=1,$D$61*(VLOOKUP(C117,$B$36:$AG$39,26,FALSE)+VLOOKUP(C117,$B$40:$AG$43,26,FALSE)*$D$54),IF(H117="근접",$D$61*(VLOOKUP(C117,$B$36:$AG$39,26,FALSE)+VLOOKUP(C117,$B$40:$AG$43,26,FALSE)*$D$54),$D$60*(VLOOKUP(C117,$B$36:$AG$39,26,FALSE)+VLOOKUP(C117,$B$40:$AG$43,26,FALSE)*$D$54))))*$D$59/100</f>
        <v>3302.1251617664634</v>
      </c>
      <c r="AN117" s="174"/>
      <c r="AO117" s="176">
        <v>24</v>
      </c>
      <c r="AP117" s="174">
        <v>36</v>
      </c>
      <c r="AQ117" s="175">
        <f>VLOOKUP(C117,$B$45:$AA$48,25,FALSE)</f>
        <v>521</v>
      </c>
      <c r="AR117" s="31">
        <f>IF(LEFT(E117,1)*1=1,$S$68,$R$68)</f>
        <v>0</v>
      </c>
      <c r="AS117" s="2">
        <f>IF(LEFT(E117,1)*1=2,$U$68,$T$68)</f>
        <v>1</v>
      </c>
      <c r="AT117" s="33">
        <f>IF(LEFT(E117,1)*1=3,$W$68,$V$68)</f>
        <v>1.2</v>
      </c>
      <c r="AU117" s="31">
        <f>IF(MID(E117,3,1)*1=1,$Y$68,$X$68)</f>
        <v>40</v>
      </c>
      <c r="AV117" s="2">
        <f>IF(MID(E117,3,1)*1=2,$AA$68,$Z$68)</f>
        <v>0</v>
      </c>
      <c r="AW117" s="33" t="str">
        <f>IF(MID(E117,3,1)*1=3,$AC$68,$AB$68)</f>
        <v>보스대상</v>
      </c>
      <c r="AX117" s="31">
        <f>IF(MID(E117,5,1)*1=1,$AE$68,$AD$68)</f>
        <v>2.8</v>
      </c>
      <c r="AY117" s="33">
        <f>IF(MID(E117,5,1)*1=2,$AG$68,$AF$68)</f>
        <v>1</v>
      </c>
      <c r="AZ117" s="2"/>
      <c r="BA117" s="101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 ht="12" hidden="1" customHeight="1">
      <c r="A118" s="2"/>
      <c r="B118" s="107">
        <v>164</v>
      </c>
      <c r="C118" s="31">
        <v>10</v>
      </c>
      <c r="D118" s="106" t="s">
        <v>10</v>
      </c>
      <c r="E118" s="2" t="s">
        <v>162</v>
      </c>
      <c r="F118" s="2" t="s">
        <v>149</v>
      </c>
      <c r="G118" s="2" t="s">
        <v>185</v>
      </c>
      <c r="H118" s="33"/>
      <c r="I118" s="173">
        <f>M118/AE118</f>
        <v>1408.8763788053586</v>
      </c>
      <c r="J118" s="174">
        <f>AH118/AE118</f>
        <v>25.811482952392598</v>
      </c>
      <c r="K118" s="207">
        <f>RANK(I118,$I$76:$I$977)</f>
        <v>43</v>
      </c>
      <c r="L118" s="208">
        <f>RANK(I118,$I$76:$I$450)</f>
        <v>43</v>
      </c>
      <c r="M118" s="173">
        <f>SUM(N118:R118)</f>
        <v>22488.326964336709</v>
      </c>
      <c r="N118" s="174">
        <f>T118*(1+((AG118+IF(F118="백어택",8,0))/100)*((AI118/100-1)))</f>
        <v>22488.326964336709</v>
      </c>
      <c r="O118" s="174"/>
      <c r="P118" s="174"/>
      <c r="Q118" s="174"/>
      <c r="R118" s="175"/>
      <c r="S118" s="173">
        <f>SUM(T118:X118)</f>
        <v>11467.180187335727</v>
      </c>
      <c r="T118" s="174">
        <f>AL118*AS118*AU118*AX118*IF(AY118=0,1,0.5)*IF(F118="백어택",1.2,1)</f>
        <v>11467.180187335727</v>
      </c>
      <c r="U118" s="174"/>
      <c r="V118" s="174"/>
      <c r="W118" s="174"/>
      <c r="X118" s="175"/>
      <c r="Y118" s="173">
        <f>SUM(Z118:AD118)</f>
        <v>30802.084438643997</v>
      </c>
      <c r="Z118" s="174">
        <f>T118*AI118/100</f>
        <v>30802.084438643997</v>
      </c>
      <c r="AA118" s="174"/>
      <c r="AB118" s="174"/>
      <c r="AC118" s="174"/>
      <c r="AD118" s="175"/>
      <c r="AE118" s="173">
        <f>AO118*(1-$D$17/100)</f>
        <v>15.961888</v>
      </c>
      <c r="AF118" s="174">
        <f>AP118</f>
        <v>36</v>
      </c>
      <c r="AG118" s="174">
        <f>IF($D$57+AV118&gt;100,100,$D$57+AV118)</f>
        <v>49.001300000000001</v>
      </c>
      <c r="AH118" s="174">
        <f>AQ118</f>
        <v>412</v>
      </c>
      <c r="AI118" s="174">
        <f>$D$58+$D$19</f>
        <v>268.61079999999998</v>
      </c>
      <c r="AJ118" s="174">
        <f>10*AR118/(7-IF(AX118=1,0,3))</f>
        <v>1.4285714285714286</v>
      </c>
      <c r="AK118" s="174">
        <f>SUM(AL118:AN118)</f>
        <v>8098.2910927512203</v>
      </c>
      <c r="AL118" s="174">
        <f>(VLOOKUP(C118,$B$36:$AG$39,13,FALSE)+VLOOKUP(C118,$B$40:$AG$43,13,FALSE)*$D$54)*$D$59/100</f>
        <v>8098.2910927512203</v>
      </c>
      <c r="AM118" s="174"/>
      <c r="AN118" s="174"/>
      <c r="AO118" s="176">
        <v>16</v>
      </c>
      <c r="AP118" s="174">
        <v>36</v>
      </c>
      <c r="AQ118" s="175">
        <f>VLOOKUP(C118,$B$45:$AA$48,13,FALSE)</f>
        <v>412</v>
      </c>
      <c r="AR118" s="31">
        <f>IF(LEFT(E118,1)*1=1,$S$60,$R$60)</f>
        <v>1</v>
      </c>
      <c r="AS118" s="2">
        <f>IF(LEFT(E118,1)*1=2,$U$60,$T$60)</f>
        <v>1.18</v>
      </c>
      <c r="AT118" s="33">
        <f>IF(LEFT(E118,1)*1=3,$W$60,$V$60)</f>
        <v>0</v>
      </c>
      <c r="AU118" s="31">
        <f>IF(MID(E118,3,1)*1=1,$Y$60,$X$60)</f>
        <v>1</v>
      </c>
      <c r="AV118" s="2">
        <f>IF(MID(E118,3,1)*1=2,$AA$60,$Z$60)</f>
        <v>30</v>
      </c>
      <c r="AW118" s="33">
        <f>IF(MID(E118,3,1)*1=3,$AC$60,$AB$60)</f>
        <v>0</v>
      </c>
      <c r="AX118" s="31">
        <f>IF(MID(E118,5,1)*1=1,$AE$60,$AD$60)</f>
        <v>1</v>
      </c>
      <c r="AY118" s="33">
        <f>IF(MID(E118,5,1)*1=2,$AG$60,$AF$60)</f>
        <v>0</v>
      </c>
      <c r="AZ118" s="2"/>
      <c r="BA118" s="101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 ht="12" customHeight="1">
      <c r="A119" s="2"/>
      <c r="B119" s="107">
        <v>778</v>
      </c>
      <c r="C119" s="31">
        <v>10</v>
      </c>
      <c r="D119" s="111" t="s">
        <v>21</v>
      </c>
      <c r="E119" s="2" t="s">
        <v>108</v>
      </c>
      <c r="F119" s="2" t="s">
        <v>149</v>
      </c>
      <c r="G119" s="2" t="s">
        <v>177</v>
      </c>
      <c r="H119" s="33"/>
      <c r="I119" s="173">
        <f>M119/AE119</f>
        <v>1393.6817305960458</v>
      </c>
      <c r="J119" s="174">
        <f>AH119/AE119</f>
        <v>23.695174714659018</v>
      </c>
      <c r="K119" s="207">
        <f>RANK(I119,$I$76:$I$977)</f>
        <v>44</v>
      </c>
      <c r="L119" s="208" t="e">
        <f>RANK(I119,$I$451:$I$866)</f>
        <v>#N/A</v>
      </c>
      <c r="M119" s="173">
        <f>SUM(N119:R119)</f>
        <v>38642.842183186607</v>
      </c>
      <c r="N119" s="174">
        <f>T119*(1+((AG119+IF(F119="백어택",8,0))/100)*(AI119/100-1))</f>
        <v>36281.972899435204</v>
      </c>
      <c r="O119" s="174"/>
      <c r="P119" s="174"/>
      <c r="Q119" s="174"/>
      <c r="R119" s="175">
        <f>X119*(1+(AG119/100)*(AI119/100-1))</f>
        <v>2360.8692837514036</v>
      </c>
      <c r="S119" s="173">
        <f>SUM(T119:X119)</f>
        <v>30552.092262665716</v>
      </c>
      <c r="T119" s="174">
        <f>AL119*AW119*AX119*AY119*IF(F119="백어택",1.2,1)</f>
        <v>28568.190167687422</v>
      </c>
      <c r="U119" s="174"/>
      <c r="V119" s="174"/>
      <c r="W119" s="174"/>
      <c r="X119" s="175">
        <f>AL119*AS119+IF(AX119=1,AL119*AU119,AL119*AU119*2)</f>
        <v>1983.9020949782932</v>
      </c>
      <c r="Y119" s="173">
        <f>SUM(Z119:AD119)</f>
        <v>61104.184525331431</v>
      </c>
      <c r="Z119" s="174">
        <f>T119*$D$58/100</f>
        <v>57136.380335374844</v>
      </c>
      <c r="AA119" s="174"/>
      <c r="AB119" s="174"/>
      <c r="AC119" s="174"/>
      <c r="AD119" s="175">
        <f>X119*$D$58/100</f>
        <v>3967.8041899565865</v>
      </c>
      <c r="AE119" s="173">
        <f>AO119*(1-$D$20/100)*(1-$D$17/100)-AR119</f>
        <v>27.727164197424003</v>
      </c>
      <c r="AF119" s="174">
        <f>AP119</f>
        <v>36</v>
      </c>
      <c r="AG119" s="174">
        <f>IF($D$57&gt;100,100,$D$57)</f>
        <v>19.001300000000001</v>
      </c>
      <c r="AH119" s="174">
        <f>AQ119</f>
        <v>657</v>
      </c>
      <c r="AI119" s="174">
        <f>$D$58</f>
        <v>200</v>
      </c>
      <c r="AJ119" s="174">
        <f>10/6</f>
        <v>1.6666666666666667</v>
      </c>
      <c r="AK119" s="174">
        <f>SUM(AL119:AN119)</f>
        <v>9919.5104748914655</v>
      </c>
      <c r="AL119" s="174">
        <f>(VLOOKUP(C119,$B$36:$AG$39,31,FALSE)+VLOOKUP(C119,$B$40:$AG$43,31,FALSE)*$D$54)*$D$59/100</f>
        <v>9919.5104748914655</v>
      </c>
      <c r="AM119" s="174"/>
      <c r="AN119" s="174"/>
      <c r="AO119" s="176">
        <v>36</v>
      </c>
      <c r="AP119" s="174">
        <v>36</v>
      </c>
      <c r="AQ119" s="175">
        <f>VLOOKUP(C119,$B$45:$AG$48,31,FALSE)</f>
        <v>657</v>
      </c>
      <c r="AR119" s="31">
        <f>IF(LEFT(E119,1)*1=1,$S$71,$R$71)</f>
        <v>0</v>
      </c>
      <c r="AS119" s="2">
        <f>IF(LEFT(E119,1)*1=2,$U$71,$T$71)</f>
        <v>0.2</v>
      </c>
      <c r="AT119" s="33">
        <f>IF(LEFT(E119,1)*1=3,$W$71,$V$71)</f>
        <v>0</v>
      </c>
      <c r="AU119" s="31">
        <f>IF(MID(E119,3,1)*1=1,$Y$71,$X$71)</f>
        <v>0</v>
      </c>
      <c r="AV119" s="2">
        <f>IF(MID(E119,3,1)*1=2,$AA$71,$Z$71)</f>
        <v>0</v>
      </c>
      <c r="AW119" s="33">
        <f>IF(MID(E119,3,1)*1=3,$AC$71,$AB$71)</f>
        <v>1.5</v>
      </c>
      <c r="AX119" s="31">
        <f>IF(MID(E119,5,1)*1=1,$AE$71,$AD$71)</f>
        <v>1</v>
      </c>
      <c r="AY119" s="33">
        <f>IF(MID(E119,5,1)*1=2,$AG$71,$AF$71)</f>
        <v>1.6</v>
      </c>
      <c r="AZ119" s="2"/>
      <c r="BA119" s="101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 ht="12" customHeight="1">
      <c r="A120" s="2"/>
      <c r="B120" s="107">
        <v>545</v>
      </c>
      <c r="C120" s="31">
        <v>10</v>
      </c>
      <c r="D120" s="111" t="s">
        <v>14</v>
      </c>
      <c r="E120" s="2" t="s">
        <v>138</v>
      </c>
      <c r="F120" s="2" t="s">
        <v>149</v>
      </c>
      <c r="G120" s="2"/>
      <c r="H120" s="33" t="s">
        <v>81</v>
      </c>
      <c r="I120" s="173">
        <f>M120/AE120</f>
        <v>1371.2018316269305</v>
      </c>
      <c r="J120" s="174">
        <f>AH120/AE120</f>
        <v>23.695174714659018</v>
      </c>
      <c r="K120" s="207">
        <f>RANK(I120,$I$76:$I$977)</f>
        <v>45</v>
      </c>
      <c r="L120" s="208" t="e">
        <f>RANK(I120,$I$451:$I$866)</f>
        <v>#N/A</v>
      </c>
      <c r="M120" s="173">
        <f>SUM(N120:R120)</f>
        <v>38019.538333328441</v>
      </c>
      <c r="N120" s="174">
        <f>T120*(1+((AG120+IF(F120="백어택",8,0))/100)*(AI120/100-1))</f>
        <v>6595.7578108103444</v>
      </c>
      <c r="O120" s="174">
        <f>U120*(1+((AG120+IF(F120="백어택",8,0))/100)*(AI120/100-1))</f>
        <v>6595.7578108103444</v>
      </c>
      <c r="P120" s="174">
        <f>V120*(1+((AG120+IF(F120="백어택",8,0))/100)*(AI120*IF(AX120=1,AW120,1)/100-1))</f>
        <v>8912.8671303144511</v>
      </c>
      <c r="Q120" s="174">
        <f>W120*(1+((AG120+IF(F120="백어택",8,0))/100)*(AI120*AW120/100-1))</f>
        <v>15915.155581393297</v>
      </c>
      <c r="R120" s="175"/>
      <c r="S120" s="173">
        <f>SUM(T120:X120)</f>
        <v>25012.640242766633</v>
      </c>
      <c r="T120" s="174">
        <f>AL120*AY120*IF(F120="백어택",1.2,1)</f>
        <v>4339.2772369778049</v>
      </c>
      <c r="U120" s="174">
        <f>AM120*AY120*IF(F120="백어택",1.2,1)</f>
        <v>4339.2772369778049</v>
      </c>
      <c r="V120" s="174">
        <f>AN120*AY120*IF(F120="백어택",1.2,1)</f>
        <v>5863.6782253273168</v>
      </c>
      <c r="W120" s="174">
        <f>(T120+U120+V120)*IF(AX120=1,0,0.6)*IF(F120="백어택",1.2,1)</f>
        <v>10470.407543483705</v>
      </c>
      <c r="X120" s="175"/>
      <c r="Y120" s="173">
        <f>SUM(Z120:AD120)</f>
        <v>50025.280485533265</v>
      </c>
      <c r="Z120" s="174">
        <f>T120*AI120/100</f>
        <v>8678.5544739556099</v>
      </c>
      <c r="AA120" s="174">
        <f>U120*AI120/100</f>
        <v>8678.5544739556099</v>
      </c>
      <c r="AB120" s="174">
        <f>V120*AI120*IF(AX120=1,AW120,1)/100</f>
        <v>11727.356450654634</v>
      </c>
      <c r="AC120" s="174">
        <f>W120*AI120*AW120/100</f>
        <v>20940.81508696741</v>
      </c>
      <c r="AD120" s="175"/>
      <c r="AE120" s="173">
        <f>AO120*(1-$D$20/100)*(1-$D$17/100)</f>
        <v>27.727164197424003</v>
      </c>
      <c r="AF120" s="174">
        <f>AP120</f>
        <v>36</v>
      </c>
      <c r="AG120" s="174">
        <f>IF($D$57+AU120&gt;100,100,$D$57+AU120)</f>
        <v>44.001300000000001</v>
      </c>
      <c r="AH120" s="174">
        <f>AQ120*AS120</f>
        <v>657</v>
      </c>
      <c r="AI120" s="174">
        <f>$D$58+IF(H120="근접",AR120,0)+IF(AY120=1,0,50)</f>
        <v>200</v>
      </c>
      <c r="AJ120" s="174">
        <f>10/3</f>
        <v>3.3333333333333335</v>
      </c>
      <c r="AK120" s="174">
        <f>SUM(AL120:AN120)</f>
        <v>12118.527249402439</v>
      </c>
      <c r="AL120" s="174">
        <f>(IF(H120="근접",$D$61*(VLOOKUP(C120,$B$36:$AG$39,19,FALSE)+VLOOKUP(C120,$B$40:$AG$43,19,FALSE)*$D$54),$D$60*(VLOOKUP(C120,$B$36:$AG$39,19,FALSE)+VLOOKUP(C120,$B$40:$AG$43,19,FALSE)*$D$54)))*$D$59/100</f>
        <v>3616.0643641481706</v>
      </c>
      <c r="AM120" s="174">
        <f>(IF(H120="근접",$D$61*(VLOOKUP(C120,$B$36:$AG$39,20,FALSE)+VLOOKUP(C120,$B$40:$AG$43,20,FALSE)*$D$54),$D$60*(VLOOKUP(C120,$B$36:$AG$39,20,FALSE)+VLOOKUP(C120,$B$40:$AG$43,20,FALSE)*$D$54)))*$D$59/100</f>
        <v>3616.0643641481706</v>
      </c>
      <c r="AN120" s="174">
        <f>(IF(H120="근접",$D$61*(VLOOKUP(C120,$B$36:$AG$39,21,FALSE)+VLOOKUP(C120,$B$40:$AG$43,21,FALSE)*$D$54),$D$60*(VLOOKUP(C120,$B$36:$AG$39,21,FALSE)+VLOOKUP(C120,$B$40:$AG$43,21,FALSE)*$D$54)))*$D$59/100</f>
        <v>4886.3985211060972</v>
      </c>
      <c r="AO120" s="176">
        <v>36</v>
      </c>
      <c r="AP120" s="174">
        <v>36</v>
      </c>
      <c r="AQ120" s="175">
        <f>VLOOKUP(C120,$B$45:$AA$48,19,FALSE)</f>
        <v>657</v>
      </c>
      <c r="AR120" s="31">
        <f>IF(LEFT(E120,1)*1=1,$S$64,$R$64)</f>
        <v>0</v>
      </c>
      <c r="AS120" s="2">
        <f>IF(LEFT(E120,1)*1=2,$U$64,$T$64)</f>
        <v>1</v>
      </c>
      <c r="AT120" s="33">
        <f>IF(LEFT(E120,1)*1=3,$W$64,$V$64)</f>
        <v>0</v>
      </c>
      <c r="AU120" s="31">
        <f>IF(MID(E120,3,1)*1=1,$Y$64,$X$64)</f>
        <v>25</v>
      </c>
      <c r="AV120" s="2">
        <f>IF(MID(E120,3,1)*1=2,$AA$64,$Z$64)</f>
        <v>0</v>
      </c>
      <c r="AW120" s="33">
        <f>IF(MID(E120,3,1)*1=3,$AC$64,$AB$64)</f>
        <v>1</v>
      </c>
      <c r="AX120" s="31">
        <f>IF(MID(E120,5,1)*1=1,$AE$64,$AD$64)</f>
        <v>0.6</v>
      </c>
      <c r="AY120" s="33">
        <f>IF(MID(E120,5,1)*1=2,$AG$64,$AF$64)</f>
        <v>1</v>
      </c>
      <c r="AZ120" s="2"/>
      <c r="BA120" s="101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 ht="12" customHeight="1">
      <c r="A121" s="2"/>
      <c r="B121" s="107">
        <v>551</v>
      </c>
      <c r="C121" s="31">
        <v>10</v>
      </c>
      <c r="D121" s="111" t="s">
        <v>14</v>
      </c>
      <c r="E121" s="2" t="s">
        <v>169</v>
      </c>
      <c r="F121" s="2" t="s">
        <v>149</v>
      </c>
      <c r="G121" s="2"/>
      <c r="H121" s="33" t="s">
        <v>81</v>
      </c>
      <c r="I121" s="173">
        <f>M121/AE121</f>
        <v>1371.2018316269305</v>
      </c>
      <c r="J121" s="174">
        <f>AH121/AE121</f>
        <v>11.847587357329509</v>
      </c>
      <c r="K121" s="207">
        <f>RANK(I121,$I$76:$I$977)</f>
        <v>45</v>
      </c>
      <c r="L121" s="208" t="e">
        <f>RANK(I121,$I$451:$I$866)</f>
        <v>#N/A</v>
      </c>
      <c r="M121" s="173">
        <f>SUM(N121:R121)</f>
        <v>38019.538333328441</v>
      </c>
      <c r="N121" s="174">
        <f>T121*(1+((AG121+IF(F121="백어택",8,0))/100)*(AI121/100-1))</f>
        <v>6595.7578108103444</v>
      </c>
      <c r="O121" s="174">
        <f>U121*(1+((AG121+IF(F121="백어택",8,0))/100)*(AI121/100-1))</f>
        <v>6595.7578108103444</v>
      </c>
      <c r="P121" s="174">
        <f>V121*(1+((AG121+IF(F121="백어택",8,0))/100)*(AI121*IF(AX121=1,AW121,1)/100-1))</f>
        <v>8912.8671303144511</v>
      </c>
      <c r="Q121" s="174">
        <f>W121*(1+((AG121+IF(F121="백어택",8,0))/100)*(AI121*AW121/100-1))</f>
        <v>15915.155581393297</v>
      </c>
      <c r="R121" s="175"/>
      <c r="S121" s="173">
        <f>SUM(T121:X121)</f>
        <v>25012.640242766633</v>
      </c>
      <c r="T121" s="174">
        <f>AL121*AY121*IF(F121="백어택",1.2,1)</f>
        <v>4339.2772369778049</v>
      </c>
      <c r="U121" s="174">
        <f>AM121*AY121*IF(F121="백어택",1.2,1)</f>
        <v>4339.2772369778049</v>
      </c>
      <c r="V121" s="174">
        <f>AN121*AY121*IF(F121="백어택",1.2,1)</f>
        <v>5863.6782253273168</v>
      </c>
      <c r="W121" s="174">
        <f>(T121+U121+V121)*IF(AX121=1,0,0.6)*IF(F121="백어택",1.2,1)</f>
        <v>10470.407543483705</v>
      </c>
      <c r="X121" s="175"/>
      <c r="Y121" s="173">
        <f>SUM(Z121:AD121)</f>
        <v>50025.280485533265</v>
      </c>
      <c r="Z121" s="174">
        <f>T121*AI121/100</f>
        <v>8678.5544739556099</v>
      </c>
      <c r="AA121" s="174">
        <f>U121*AI121/100</f>
        <v>8678.5544739556099</v>
      </c>
      <c r="AB121" s="174">
        <f>V121*AI121*IF(AX121=1,AW121,1)/100</f>
        <v>11727.356450654634</v>
      </c>
      <c r="AC121" s="174">
        <f>W121*AI121*AW121/100</f>
        <v>20940.81508696741</v>
      </c>
      <c r="AD121" s="175"/>
      <c r="AE121" s="173">
        <f>AO121*(1-$D$20/100)*(1-$D$17/100)</f>
        <v>27.727164197424003</v>
      </c>
      <c r="AF121" s="174">
        <f>AP121</f>
        <v>36</v>
      </c>
      <c r="AG121" s="174">
        <f>IF($D$57+AU121&gt;100,100,$D$57+AU121)</f>
        <v>44.001300000000001</v>
      </c>
      <c r="AH121" s="174">
        <f>AQ121*AS121</f>
        <v>328.5</v>
      </c>
      <c r="AI121" s="174">
        <f>$D$58+IF(H121="근접",AR121,0)+IF(AY121=1,0,50)</f>
        <v>200</v>
      </c>
      <c r="AJ121" s="174">
        <f>10/3</f>
        <v>3.3333333333333335</v>
      </c>
      <c r="AK121" s="174">
        <f>SUM(AL121:AN121)</f>
        <v>12118.527249402439</v>
      </c>
      <c r="AL121" s="174">
        <f>(IF(H121="근접",$D$61*(VLOOKUP(C121,$B$36:$AG$39,19,FALSE)+VLOOKUP(C121,$B$40:$AG$43,19,FALSE)*$D$54),$D$60*(VLOOKUP(C121,$B$36:$AG$39,19,FALSE)+VLOOKUP(C121,$B$40:$AG$43,19,FALSE)*$D$54)))*$D$59/100</f>
        <v>3616.0643641481706</v>
      </c>
      <c r="AM121" s="174">
        <f>(IF(H121="근접",$D$61*(VLOOKUP(C121,$B$36:$AG$39,20,FALSE)+VLOOKUP(C121,$B$40:$AG$43,20,FALSE)*$D$54),$D$60*(VLOOKUP(C121,$B$36:$AG$39,20,FALSE)+VLOOKUP(C121,$B$40:$AG$43,20,FALSE)*$D$54)))*$D$59/100</f>
        <v>3616.0643641481706</v>
      </c>
      <c r="AN121" s="174">
        <f>(IF(H121="근접",$D$61*(VLOOKUP(C121,$B$36:$AG$39,21,FALSE)+VLOOKUP(C121,$B$40:$AG$43,21,FALSE)*$D$54),$D$60*(VLOOKUP(C121,$B$36:$AG$39,21,FALSE)+VLOOKUP(C121,$B$40:$AG$43,21,FALSE)*$D$54)))*$D$59/100</f>
        <v>4886.3985211060972</v>
      </c>
      <c r="AO121" s="176">
        <v>36</v>
      </c>
      <c r="AP121" s="174">
        <v>36</v>
      </c>
      <c r="AQ121" s="175">
        <f>VLOOKUP(C121,$B$45:$AA$48,19,FALSE)</f>
        <v>657</v>
      </c>
      <c r="AR121" s="31">
        <f>IF(LEFT(E121,1)*1=1,$S$64,$R$64)</f>
        <v>0</v>
      </c>
      <c r="AS121" s="2">
        <f>IF(LEFT(E121,1)*1=2,$U$64,$T$64)</f>
        <v>0.5</v>
      </c>
      <c r="AT121" s="33">
        <f>IF(LEFT(E121,1)*1=3,$W$64,$V$64)</f>
        <v>0</v>
      </c>
      <c r="AU121" s="31">
        <f>IF(MID(E121,3,1)*1=1,$Y$64,$X$64)</f>
        <v>25</v>
      </c>
      <c r="AV121" s="2">
        <f>IF(MID(E121,3,1)*1=2,$AA$64,$Z$64)</f>
        <v>0</v>
      </c>
      <c r="AW121" s="33">
        <f>IF(MID(E121,3,1)*1=3,$AC$64,$AB$64)</f>
        <v>1</v>
      </c>
      <c r="AX121" s="31">
        <f>IF(MID(E121,5,1)*1=1,$AE$64,$AD$64)</f>
        <v>0.6</v>
      </c>
      <c r="AY121" s="33">
        <f>IF(MID(E121,5,1)*1=2,$AG$64,$AF$64)</f>
        <v>1</v>
      </c>
      <c r="AZ121" s="2"/>
      <c r="BA121" s="101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 ht="15.75" hidden="1" customHeight="1">
      <c r="A122" s="2"/>
      <c r="B122" s="107">
        <v>632</v>
      </c>
      <c r="C122" s="31">
        <v>7</v>
      </c>
      <c r="D122" s="111" t="s">
        <v>18</v>
      </c>
      <c r="E122" s="2" t="s">
        <v>134</v>
      </c>
      <c r="F122" s="2"/>
      <c r="G122" s="2" t="s">
        <v>186</v>
      </c>
      <c r="H122" s="33" t="s">
        <v>81</v>
      </c>
      <c r="I122" s="173">
        <f>M122/AE122</f>
        <v>1365.7246488161329</v>
      </c>
      <c r="J122" s="174">
        <f>AH122/AE122</f>
        <v>44.258613162461806</v>
      </c>
      <c r="K122" s="207">
        <f>RANK(I122,$I$76:$I$977)</f>
        <v>47</v>
      </c>
      <c r="L122" s="208" t="e">
        <f>RANK(I122,$I$451:$I$866)</f>
        <v>#N/A</v>
      </c>
      <c r="M122" s="173">
        <f>SUM(N122:R122)</f>
        <v>11201.391369866426</v>
      </c>
      <c r="N122" s="174">
        <f>T122*(1+((AG122+IF(F122="백어택",8,0))/100)*(AI122/100-1))</f>
        <v>6686.1791738889369</v>
      </c>
      <c r="O122" s="174">
        <f>U122*(1+(($D$57+IF(F122="백어택",8,0))/100)*(AI122/100-1))</f>
        <v>4515.2121959774886</v>
      </c>
      <c r="P122" s="174"/>
      <c r="Q122" s="174"/>
      <c r="R122" s="175"/>
      <c r="S122" s="173">
        <f>SUM(T122:X122)</f>
        <v>9412.8310950102441</v>
      </c>
      <c r="T122" s="174">
        <f>AL122*IF(H122="근접",AT122,IF(AV122=1,AT122,1))*AX122*IF(F122="백어택",1.2,1)</f>
        <v>5618.576581843171</v>
      </c>
      <c r="U122" s="174">
        <f>IF(AX122=1,AM122*IF(H122="근접",AT122,IF(AV122=1,AT122,1)),0)*AY122*IF(AX122=1,1,0)*IF(F122="백어택",1.2,1)</f>
        <v>3794.2545131670736</v>
      </c>
      <c r="V122" s="174"/>
      <c r="W122" s="174"/>
      <c r="X122" s="175"/>
      <c r="Y122" s="173">
        <f>SUM(Z122:AD122)</f>
        <v>18825.662190020488</v>
      </c>
      <c r="Z122" s="174">
        <f>T122*$D$58/100</f>
        <v>11237.153163686342</v>
      </c>
      <c r="AA122" s="174">
        <f>U122*$D$58/100</f>
        <v>7588.5090263341472</v>
      </c>
      <c r="AB122" s="174"/>
      <c r="AC122" s="174"/>
      <c r="AD122" s="175"/>
      <c r="AE122" s="173">
        <f>(AO122*(1-$D$20/100)*(1-$D$17/100)-AR122)*IF(AW122="보스대상",1,POWER(0.85,AW122))</f>
        <v>8.2017933699712149</v>
      </c>
      <c r="AF122" s="174">
        <f>AP122</f>
        <v>36</v>
      </c>
      <c r="AG122" s="174">
        <f>IF($D$57+AU122&gt;100,100,$D$57+AU122)</f>
        <v>19.001300000000001</v>
      </c>
      <c r="AH122" s="174">
        <f>AQ122</f>
        <v>363</v>
      </c>
      <c r="AI122" s="174">
        <f>$D$58</f>
        <v>200</v>
      </c>
      <c r="AJ122" s="174">
        <f>10*AS122/IF(AX122=1,IF(AY122=1,4.5,4),4)</f>
        <v>2.2222222222222223</v>
      </c>
      <c r="AK122" s="174">
        <f>SUM(AL122:AN122)</f>
        <v>7844.0259125085377</v>
      </c>
      <c r="AL122" s="174">
        <f>IF(AV122=1,$D$61*(VLOOKUP(C122,$B$36:$AG$39,25,FALSE)+VLOOKUP(C122,$B$40:$AG$43,25,FALSE)*$D$54),(IF(H122="근접",$D$61*(VLOOKUP(C122,$B$36:$AG$39,25,FALSE)+VLOOKUP(C122,$B$40:$AG$43,25,FALSE)*$D$54),$D$60*(VLOOKUP(C122,$B$36:$AG$39,25,FALSE)+VLOOKUP(C122,$B$40:$AG$43,25,FALSE)*$D$54))))*$D$59/100</f>
        <v>4682.1471515359763</v>
      </c>
      <c r="AM122" s="174">
        <f>(IF(AV122=1,$D$61*(VLOOKUP(C122,$B$36:$AG$39,26,FALSE)+VLOOKUP(C122,$B$40:$AG$43,26,FALSE)*$D$54),IF(H122="근접",$D$61*(VLOOKUP(C122,$B$36:$AG$39,26,FALSE)+VLOOKUP(C122,$B$40:$AG$43,26,FALSE)*$D$54),$D$60*(VLOOKUP(C122,$B$36:$AG$39,26,FALSE)+VLOOKUP(C122,$B$40:$AG$43,26,FALSE)*$D$54))))*$D$59/100</f>
        <v>3161.8787609725614</v>
      </c>
      <c r="AN122" s="174"/>
      <c r="AO122" s="176">
        <v>24</v>
      </c>
      <c r="AP122" s="174">
        <v>36</v>
      </c>
      <c r="AQ122" s="175">
        <f>VLOOKUP(C122,$B$45:$AA$48,25,FALSE)</f>
        <v>363</v>
      </c>
      <c r="AR122" s="31">
        <f>IF(LEFT(E122,1)*1=1,$S$68,$R$68)</f>
        <v>0</v>
      </c>
      <c r="AS122" s="2">
        <f>IF(LEFT(E122,1)*1=2,$U$68,$T$68)</f>
        <v>1</v>
      </c>
      <c r="AT122" s="33">
        <f>IF(LEFT(E122,1)*1=3,$W$68,$V$68)</f>
        <v>1.2</v>
      </c>
      <c r="AU122" s="31">
        <f>IF(MID(E122,3,1)*1=1,$Y$68,$X$68)</f>
        <v>0</v>
      </c>
      <c r="AV122" s="2">
        <f>IF(MID(E122,3,1)*1=2,$AA$68,$Z$68)</f>
        <v>0</v>
      </c>
      <c r="AW122" s="33">
        <f>IF(MID(E122,3,1)*1=3,$AC$68,$AB$68)</f>
        <v>5</v>
      </c>
      <c r="AX122" s="31">
        <f>IF(MID(E122,5,1)*1=1,$AE$68,$AD$68)</f>
        <v>1</v>
      </c>
      <c r="AY122" s="33">
        <f>IF(MID(E122,5,1)*1=2,$AG$68,$AF$68)</f>
        <v>1</v>
      </c>
      <c r="AZ122" s="2"/>
      <c r="BA122" s="101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 ht="12" customHeight="1">
      <c r="A123" s="2"/>
      <c r="B123" s="107">
        <v>549</v>
      </c>
      <c r="C123" s="31">
        <v>10</v>
      </c>
      <c r="D123" s="111" t="s">
        <v>14</v>
      </c>
      <c r="E123" s="2" t="s">
        <v>156</v>
      </c>
      <c r="F123" s="2" t="s">
        <v>149</v>
      </c>
      <c r="G123" s="2"/>
      <c r="H123" s="33" t="s">
        <v>81</v>
      </c>
      <c r="I123" s="173">
        <f>M123/AE123</f>
        <v>1359.2330811784941</v>
      </c>
      <c r="J123" s="174">
        <f>AH123/AE123</f>
        <v>23.695174714659018</v>
      </c>
      <c r="K123" s="207">
        <f>RANK(I123,$I$76:$I$977)</f>
        <v>48</v>
      </c>
      <c r="L123" s="208" t="e">
        <f>RANK(I123,$I$451:$I$866)</f>
        <v>#N/A</v>
      </c>
      <c r="M123" s="173">
        <f>SUM(N123:R123)</f>
        <v>37687.678824406656</v>
      </c>
      <c r="N123" s="174">
        <f>T123*(1+((AG123+IF(F123="백어택",8,0))/100)*(AI123/100-1))</f>
        <v>6096.7691338599361</v>
      </c>
      <c r="O123" s="174">
        <f>U123*(1+((AG123+IF(F123="백어택",8,0))/100)*(AI123/100-1))</f>
        <v>6096.7691338599361</v>
      </c>
      <c r="P123" s="174">
        <f>V123*(1+((AG123+IF(F123="백어택",8,0))/100)*(AI123*IF(AX123=1,AW123,1)/100-1))</f>
        <v>8238.5822483102729</v>
      </c>
      <c r="Q123" s="174">
        <f>W123*(1+((AG123+IF(F123="백어택",8,0))/100)*(AI123*AW123/100-1))</f>
        <v>17255.558308376505</v>
      </c>
      <c r="R123" s="175"/>
      <c r="S123" s="173">
        <f>SUM(T123:X123)</f>
        <v>25012.640242766633</v>
      </c>
      <c r="T123" s="174">
        <f>AL123*AY123*IF(F123="백어택",1.2,1)</f>
        <v>4339.2772369778049</v>
      </c>
      <c r="U123" s="174">
        <f>AM123*AY123*IF(F123="백어택",1.2,1)</f>
        <v>4339.2772369778049</v>
      </c>
      <c r="V123" s="174">
        <f>AN123*AY123*IF(F123="백어택",1.2,1)</f>
        <v>5863.6782253273168</v>
      </c>
      <c r="W123" s="174">
        <f>(T123+U123+V123)*IF(AX123=1,0,0.6)*IF(F123="백어택",1.2,1)</f>
        <v>10470.407543483705</v>
      </c>
      <c r="X123" s="175"/>
      <c r="Y123" s="173">
        <f>SUM(Z123:AD123)</f>
        <v>71954.967396051914</v>
      </c>
      <c r="Z123" s="174">
        <f>T123*AI123/100</f>
        <v>10848.193092444513</v>
      </c>
      <c r="AA123" s="174">
        <f>U123*AI123/100</f>
        <v>10848.193092444513</v>
      </c>
      <c r="AB123" s="174">
        <f>V123*AI123*IF(AX123=1,AW123,1)/100</f>
        <v>14659.195563318292</v>
      </c>
      <c r="AC123" s="174">
        <f>W123*AI123*AW123/100</f>
        <v>35599.385647844596</v>
      </c>
      <c r="AD123" s="175"/>
      <c r="AE123" s="173">
        <f>AO123*(1-$D$20/100)*(1-$D$17/100)</f>
        <v>27.727164197424003</v>
      </c>
      <c r="AF123" s="174">
        <f>AP123</f>
        <v>36</v>
      </c>
      <c r="AG123" s="174">
        <f>IF($D$57+AU123&gt;100,100,$D$57+AU123)</f>
        <v>19.001300000000001</v>
      </c>
      <c r="AH123" s="174">
        <f>AQ123*AS123</f>
        <v>657</v>
      </c>
      <c r="AI123" s="174">
        <f>$D$58+IF(H123="근접",AR123,0)+IF(AY123=1,0,50)</f>
        <v>250</v>
      </c>
      <c r="AJ123" s="174">
        <f>10/3</f>
        <v>3.3333333333333335</v>
      </c>
      <c r="AK123" s="174">
        <f>SUM(AL123:AN123)</f>
        <v>12118.527249402439</v>
      </c>
      <c r="AL123" s="174">
        <f>(IF(H123="근접",$D$61*(VLOOKUP(C123,$B$36:$AG$39,19,FALSE)+VLOOKUP(C123,$B$40:$AG$43,19,FALSE)*$D$54),$D$60*(VLOOKUP(C123,$B$36:$AG$39,19,FALSE)+VLOOKUP(C123,$B$40:$AG$43,19,FALSE)*$D$54)))*$D$59/100</f>
        <v>3616.0643641481706</v>
      </c>
      <c r="AM123" s="174">
        <f>(IF(H123="근접",$D$61*(VLOOKUP(C123,$B$36:$AG$39,20,FALSE)+VLOOKUP(C123,$B$40:$AG$43,20,FALSE)*$D$54),$D$60*(VLOOKUP(C123,$B$36:$AG$39,20,FALSE)+VLOOKUP(C123,$B$40:$AG$43,20,FALSE)*$D$54)))*$D$59/100</f>
        <v>3616.0643641481706</v>
      </c>
      <c r="AN123" s="174">
        <f>(IF(H123="근접",$D$61*(VLOOKUP(C123,$B$36:$AG$39,21,FALSE)+VLOOKUP(C123,$B$40:$AG$43,21,FALSE)*$D$54),$D$60*(VLOOKUP(C123,$B$36:$AG$39,21,FALSE)+VLOOKUP(C123,$B$40:$AG$43,21,FALSE)*$D$54)))*$D$59/100</f>
        <v>4886.3985211060972</v>
      </c>
      <c r="AO123" s="176">
        <v>36</v>
      </c>
      <c r="AP123" s="174">
        <v>36</v>
      </c>
      <c r="AQ123" s="175">
        <f>VLOOKUP(C123,$B$45:$AA$48,19,FALSE)</f>
        <v>657</v>
      </c>
      <c r="AR123" s="31">
        <f>IF(LEFT(E123,1)*1=1,$S$64,$R$64)</f>
        <v>50</v>
      </c>
      <c r="AS123" s="2">
        <f>IF(LEFT(E123,1)*1=2,$U$64,$T$64)</f>
        <v>1</v>
      </c>
      <c r="AT123" s="33">
        <f>IF(LEFT(E123,1)*1=3,$W$64,$V$64)</f>
        <v>0</v>
      </c>
      <c r="AU123" s="31">
        <f>IF(MID(E123,3,1)*1=1,$Y$64,$X$64)</f>
        <v>0</v>
      </c>
      <c r="AV123" s="2">
        <f>IF(MID(E123,3,1)*1=2,$AA$64,$Z$64)</f>
        <v>0</v>
      </c>
      <c r="AW123" s="33">
        <f>IF(MID(E123,3,1)*1=3,$AC$64,$AB$64)</f>
        <v>1.36</v>
      </c>
      <c r="AX123" s="31">
        <f>IF(MID(E123,5,1)*1=1,$AE$64,$AD$64)</f>
        <v>0.6</v>
      </c>
      <c r="AY123" s="33">
        <f>IF(MID(E123,5,1)*1=2,$AG$64,$AF$64)</f>
        <v>1</v>
      </c>
      <c r="AZ123" s="2"/>
      <c r="BA123" s="101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 ht="12" customHeight="1">
      <c r="A124" s="2"/>
      <c r="B124" s="107">
        <v>675</v>
      </c>
      <c r="C124" s="31">
        <v>10</v>
      </c>
      <c r="D124" s="111" t="s">
        <v>18</v>
      </c>
      <c r="E124" s="2" t="s">
        <v>159</v>
      </c>
      <c r="F124" s="2" t="s">
        <v>149</v>
      </c>
      <c r="G124" s="2"/>
      <c r="H124" s="33" t="s">
        <v>81</v>
      </c>
      <c r="I124" s="173">
        <f>M124/AE124</f>
        <v>1355.8505232965879</v>
      </c>
      <c r="J124" s="174">
        <f>AH124/AE124</f>
        <v>28.185356224514496</v>
      </c>
      <c r="K124" s="207">
        <f>RANK(I124,$I$76:$I$977)</f>
        <v>49</v>
      </c>
      <c r="L124" s="208" t="e">
        <f>RANK(I124,$I$451:$I$866)</f>
        <v>#N/A</v>
      </c>
      <c r="M124" s="173">
        <f>SUM(N124:R124)</f>
        <v>25062.59339107183</v>
      </c>
      <c r="N124" s="174">
        <f>T124*(1+((AG124+IF(F124="백어택",8,0))/100)*(AI124/100-1))</f>
        <v>25062.59339107183</v>
      </c>
      <c r="O124" s="174">
        <f>U124*(1+(($D$57+IF(F124="백어택",8,0))/100)*(AI124/100-1))</f>
        <v>0</v>
      </c>
      <c r="P124" s="174"/>
      <c r="Q124" s="174"/>
      <c r="R124" s="175"/>
      <c r="S124" s="173">
        <f>SUM(T124:X124)</f>
        <v>19734.123501941973</v>
      </c>
      <c r="T124" s="174">
        <f>AL124*IF(H124="근접",AT124,IF(AV124=1,AT124,1))*AX124*IF(F124="백어택",1.2,1)</f>
        <v>19734.123501941973</v>
      </c>
      <c r="U124" s="174">
        <f>IF(AX124=1,AM124*IF(H124="근접",AT124,IF(AV124=1,AT124,1)),0)*AY124*IF(AX124=1,1,0)*IF(F124="백어택",1.2,1)</f>
        <v>0</v>
      </c>
      <c r="V124" s="174"/>
      <c r="W124" s="174"/>
      <c r="X124" s="175"/>
      <c r="Y124" s="173">
        <f>SUM(Z124:AD124)</f>
        <v>39468.247003883946</v>
      </c>
      <c r="Z124" s="174">
        <f>T124*$D$58/100</f>
        <v>39468.247003883946</v>
      </c>
      <c r="AA124" s="174">
        <f>U124*$D$58/100</f>
        <v>0</v>
      </c>
      <c r="AB124" s="174"/>
      <c r="AC124" s="174"/>
      <c r="AD124" s="175"/>
      <c r="AE124" s="173">
        <f>(AO124*(1-$D$20/100)*(1-$D$17/100)-AR124)*IF(AW124="보스대상",1,POWER(0.85,AW124))</f>
        <v>18.484776131615998</v>
      </c>
      <c r="AF124" s="174">
        <f>AP124</f>
        <v>36</v>
      </c>
      <c r="AG124" s="174">
        <f>IF($D$57+AU124&gt;100,100,$D$57+AU124)</f>
        <v>19.001300000000001</v>
      </c>
      <c r="AH124" s="174">
        <f>AQ124</f>
        <v>521</v>
      </c>
      <c r="AI124" s="174">
        <f>$D$58</f>
        <v>200</v>
      </c>
      <c r="AJ124" s="174">
        <f>10*AS124/IF(AX124=1,IF(AY124=1,4.5,4),4)</f>
        <v>2.5</v>
      </c>
      <c r="AK124" s="174">
        <f>SUM(AL124:AN124)</f>
        <v>8196.5010303036597</v>
      </c>
      <c r="AL124" s="174">
        <f>IF(AV124=1,$D$61*(VLOOKUP(C124,$B$36:$AG$39,25,FALSE)+VLOOKUP(C124,$B$40:$AG$43,25,FALSE)*$D$54),(IF(H124="근접",$D$61*(VLOOKUP(C124,$B$36:$AG$39,25,FALSE)+VLOOKUP(C124,$B$40:$AG$43,25,FALSE)*$D$54),$D$60*(VLOOKUP(C124,$B$36:$AG$39,25,FALSE)+VLOOKUP(C124,$B$40:$AG$43,25,FALSE)*$D$54))))*$D$59/100</f>
        <v>4894.3758685371959</v>
      </c>
      <c r="AM124" s="174">
        <f>(IF(AV124=1,$D$61*(VLOOKUP(C124,$B$36:$AG$39,26,FALSE)+VLOOKUP(C124,$B$40:$AG$43,26,FALSE)*$D$54),IF(H124="근접",$D$61*(VLOOKUP(C124,$B$36:$AG$39,26,FALSE)+VLOOKUP(C124,$B$40:$AG$43,26,FALSE)*$D$54),$D$60*(VLOOKUP(C124,$B$36:$AG$39,26,FALSE)+VLOOKUP(C124,$B$40:$AG$43,26,FALSE)*$D$54))))*$D$59/100</f>
        <v>3302.1251617664634</v>
      </c>
      <c r="AN124" s="174"/>
      <c r="AO124" s="176">
        <v>24</v>
      </c>
      <c r="AP124" s="174">
        <v>36</v>
      </c>
      <c r="AQ124" s="175">
        <f>VLOOKUP(C124,$B$45:$AA$48,25,FALSE)</f>
        <v>521</v>
      </c>
      <c r="AR124" s="31">
        <f>IF(LEFT(E124,1)*1=1,$S$68,$R$68)</f>
        <v>0</v>
      </c>
      <c r="AS124" s="2">
        <f>IF(LEFT(E124,1)*1=2,$U$68,$T$68)</f>
        <v>1</v>
      </c>
      <c r="AT124" s="33">
        <f>IF(LEFT(E124,1)*1=3,$W$68,$V$68)</f>
        <v>1.2</v>
      </c>
      <c r="AU124" s="31">
        <f>IF(MID(E124,3,1)*1=1,$Y$68,$X$68)</f>
        <v>0</v>
      </c>
      <c r="AV124" s="2">
        <f>IF(MID(E124,3,1)*1=2,$AA$68,$Z$68)</f>
        <v>1</v>
      </c>
      <c r="AW124" s="33" t="str">
        <f>IF(MID(E124,3,1)*1=3,$AC$68,$AB$68)</f>
        <v>보스대상</v>
      </c>
      <c r="AX124" s="31">
        <f>IF(MID(E124,5,1)*1=1,$AE$68,$AD$68)</f>
        <v>2.8</v>
      </c>
      <c r="AY124" s="33">
        <f>IF(MID(E124,5,1)*1=2,$AG$68,$AF$68)</f>
        <v>1</v>
      </c>
      <c r="AZ124" s="2"/>
      <c r="BA124" s="101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 ht="12" customHeight="1">
      <c r="A125" s="2"/>
      <c r="B125" s="107">
        <v>706</v>
      </c>
      <c r="C125" s="31">
        <v>10</v>
      </c>
      <c r="D125" s="111" t="s">
        <v>18</v>
      </c>
      <c r="E125" s="2" t="s">
        <v>159</v>
      </c>
      <c r="F125" s="2" t="s">
        <v>149</v>
      </c>
      <c r="G125" s="2"/>
      <c r="H125" s="33" t="s">
        <v>80</v>
      </c>
      <c r="I125" s="173">
        <f>M125/AE125</f>
        <v>1355.8505232965879</v>
      </c>
      <c r="J125" s="174">
        <f>AH125/AE125</f>
        <v>28.185356224514496</v>
      </c>
      <c r="K125" s="207">
        <f>RANK(I125,$I$76:$I$977)</f>
        <v>49</v>
      </c>
      <c r="L125" s="208" t="e">
        <f>RANK(I125,$I$451:$I$866)</f>
        <v>#N/A</v>
      </c>
      <c r="M125" s="173">
        <f>SUM(N125:R125)</f>
        <v>25062.59339107183</v>
      </c>
      <c r="N125" s="174">
        <f>T125*(1+((AG125+IF(F125="백어택",8,0))/100)*(AI125/100-1))</f>
        <v>25062.59339107183</v>
      </c>
      <c r="O125" s="174">
        <f>U125*(1+(($D$57+IF(F125="백어택",8,0))/100)*(AI125/100-1))</f>
        <v>0</v>
      </c>
      <c r="P125" s="174"/>
      <c r="Q125" s="174"/>
      <c r="R125" s="175"/>
      <c r="S125" s="173">
        <f>SUM(T125:X125)</f>
        <v>19734.123501941973</v>
      </c>
      <c r="T125" s="174">
        <f>AL125*IF(H125="근접",AT125,IF(AV125=1,AT125,1))*AX125*IF(F125="백어택",1.2,1)</f>
        <v>19734.123501941973</v>
      </c>
      <c r="U125" s="174">
        <f>IF(AX125=1,AM125*IF(H125="근접",AT125,IF(AV125=1,AT125,1)),0)*AY125*IF(AX125=1,1,0)*IF(F125="백어택",1.2,1)</f>
        <v>0</v>
      </c>
      <c r="V125" s="174"/>
      <c r="W125" s="174"/>
      <c r="X125" s="175"/>
      <c r="Y125" s="173">
        <f>SUM(Z125:AD125)</f>
        <v>39468.247003883946</v>
      </c>
      <c r="Z125" s="174">
        <f>T125*$D$58/100</f>
        <v>39468.247003883946</v>
      </c>
      <c r="AA125" s="174">
        <f>U125*$D$58/100</f>
        <v>0</v>
      </c>
      <c r="AB125" s="174"/>
      <c r="AC125" s="174"/>
      <c r="AD125" s="175"/>
      <c r="AE125" s="173">
        <f>(AO125*(1-$D$20/100)*(1-$D$17/100)-AR125)*IF(AW125="보스대상",1,POWER(0.85,AW125))</f>
        <v>18.484776131615998</v>
      </c>
      <c r="AF125" s="174">
        <f>AP125</f>
        <v>36</v>
      </c>
      <c r="AG125" s="174">
        <f>IF($D$57+AU125&gt;100,100,$D$57+AU125)</f>
        <v>19.001300000000001</v>
      </c>
      <c r="AH125" s="174">
        <f>AQ125</f>
        <v>521</v>
      </c>
      <c r="AI125" s="174">
        <f>$D$58</f>
        <v>200</v>
      </c>
      <c r="AJ125" s="174">
        <f>10*AS125/IF(AX125=1,IF(AY125=1,4.5,4),4)</f>
        <v>2.5</v>
      </c>
      <c r="AK125" s="174">
        <f>SUM(AL125:AN125)</f>
        <v>8196.5010303036597</v>
      </c>
      <c r="AL125" s="174">
        <f>IF(AV125=1,$D$61*(VLOOKUP(C125,$B$36:$AG$39,25,FALSE)+VLOOKUP(C125,$B$40:$AG$43,25,FALSE)*$D$54),(IF(H125="근접",$D$61*(VLOOKUP(C125,$B$36:$AG$39,25,FALSE)+VLOOKUP(C125,$B$40:$AG$43,25,FALSE)*$D$54),$D$60*(VLOOKUP(C125,$B$36:$AG$39,25,FALSE)+VLOOKUP(C125,$B$40:$AG$43,25,FALSE)*$D$54))))*$D$59/100</f>
        <v>4894.3758685371959</v>
      </c>
      <c r="AM125" s="174">
        <f>(IF(AV125=1,$D$61*(VLOOKUP(C125,$B$36:$AG$39,26,FALSE)+VLOOKUP(C125,$B$40:$AG$43,26,FALSE)*$D$54),IF(H125="근접",$D$61*(VLOOKUP(C125,$B$36:$AG$39,26,FALSE)+VLOOKUP(C125,$B$40:$AG$43,26,FALSE)*$D$54),$D$60*(VLOOKUP(C125,$B$36:$AG$39,26,FALSE)+VLOOKUP(C125,$B$40:$AG$43,26,FALSE)*$D$54))))*$D$59/100</f>
        <v>3302.1251617664634</v>
      </c>
      <c r="AN125" s="174"/>
      <c r="AO125" s="176">
        <v>24</v>
      </c>
      <c r="AP125" s="174">
        <v>36</v>
      </c>
      <c r="AQ125" s="175">
        <f>VLOOKUP(C125,$B$45:$AA$48,25,FALSE)</f>
        <v>521</v>
      </c>
      <c r="AR125" s="31">
        <f>IF(LEFT(E125,1)*1=1,$S$68,$R$68)</f>
        <v>0</v>
      </c>
      <c r="AS125" s="2">
        <f>IF(LEFT(E125,1)*1=2,$U$68,$T$68)</f>
        <v>1</v>
      </c>
      <c r="AT125" s="33">
        <f>IF(LEFT(E125,1)*1=3,$W$68,$V$68)</f>
        <v>1.2</v>
      </c>
      <c r="AU125" s="31">
        <f>IF(MID(E125,3,1)*1=1,$Y$68,$X$68)</f>
        <v>0</v>
      </c>
      <c r="AV125" s="2">
        <f>IF(MID(E125,3,1)*1=2,$AA$68,$Z$68)</f>
        <v>1</v>
      </c>
      <c r="AW125" s="33" t="str">
        <f>IF(MID(E125,3,1)*1=3,$AC$68,$AB$68)</f>
        <v>보스대상</v>
      </c>
      <c r="AX125" s="31">
        <f>IF(MID(E125,5,1)*1=1,$AE$68,$AD$68)</f>
        <v>2.8</v>
      </c>
      <c r="AY125" s="33">
        <f>IF(MID(E125,5,1)*1=2,$AG$68,$AF$68)</f>
        <v>1</v>
      </c>
      <c r="AZ125" s="2"/>
      <c r="BA125" s="101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 ht="12" customHeight="1">
      <c r="A126" s="2"/>
      <c r="B126" s="107">
        <v>615</v>
      </c>
      <c r="C126" s="31">
        <v>10</v>
      </c>
      <c r="D126" s="111" t="s">
        <v>18</v>
      </c>
      <c r="E126" s="2" t="s">
        <v>165</v>
      </c>
      <c r="F126" s="2"/>
      <c r="G126" s="2"/>
      <c r="H126" s="33" t="s">
        <v>81</v>
      </c>
      <c r="I126" s="173">
        <f>M126/AE126</f>
        <v>1351.1314700632925</v>
      </c>
      <c r="J126" s="174">
        <f>AH126/AE126</f>
        <v>35.968798914524506</v>
      </c>
      <c r="K126" s="207">
        <f>RANK(I126,$I$76:$I$977)</f>
        <v>51</v>
      </c>
      <c r="L126" s="208" t="e">
        <f>RANK(I126,$I$451:$I$866)</f>
        <v>#N/A</v>
      </c>
      <c r="M126" s="173">
        <f>SUM(N126:R126)</f>
        <v>19570.836868248014</v>
      </c>
      <c r="N126" s="174">
        <f>T126*(1+((AG126+IF(F126="백어택",8,0))/100)*(AI126/100-1))</f>
        <v>7782.1212578604318</v>
      </c>
      <c r="O126" s="174">
        <f>U126*(1+(($D$57+IF(F126="백어택",8,0))/100)*(AI126/100-1))</f>
        <v>11788.715610387582</v>
      </c>
      <c r="P126" s="174"/>
      <c r="Q126" s="174"/>
      <c r="R126" s="175"/>
      <c r="S126" s="173">
        <f>SUM(T126:X126)</f>
        <v>14800.751353836586</v>
      </c>
      <c r="T126" s="174">
        <f>AL126*IF(H126="근접",AT126,IF(AV126=1,AT126,1))*AX126*IF(F126="백어택",1.2,1)</f>
        <v>4894.3758685371959</v>
      </c>
      <c r="U126" s="174">
        <f>IF(AX126=1,AM126*IF(H126="근접",AT126,IF(AV126=1,AT126,1)),0)*AY126*IF(AX126=1,1,0)*IF(F126="백어택",1.2,1)</f>
        <v>9906.3754852993898</v>
      </c>
      <c r="V126" s="174"/>
      <c r="W126" s="174"/>
      <c r="X126" s="175"/>
      <c r="Y126" s="173">
        <f>SUM(Z126:AD126)</f>
        <v>29601.502707673171</v>
      </c>
      <c r="Z126" s="174">
        <f>T126*$D$58/100</f>
        <v>9788.7517370743917</v>
      </c>
      <c r="AA126" s="174">
        <f>U126*$D$58/100</f>
        <v>19812.75097059878</v>
      </c>
      <c r="AB126" s="174"/>
      <c r="AC126" s="174"/>
      <c r="AD126" s="175"/>
      <c r="AE126" s="173">
        <f>(AO126*(1-$D$20/100)*(1-$D$17/100)-AR126)*IF(AW126="보스대상",1,POWER(0.85,AW126))</f>
        <v>14.484776131615998</v>
      </c>
      <c r="AF126" s="174">
        <f>AP126</f>
        <v>36</v>
      </c>
      <c r="AG126" s="174">
        <f>IF($D$57+AU126&gt;100,100,$D$57+AU126)</f>
        <v>59.001300000000001</v>
      </c>
      <c r="AH126" s="174">
        <f>AQ126</f>
        <v>521</v>
      </c>
      <c r="AI126" s="174">
        <f>$D$58</f>
        <v>200</v>
      </c>
      <c r="AJ126" s="174">
        <f>10*AS126/IF(AX126=1,IF(AY126=1,4.5,4),4)</f>
        <v>2.5</v>
      </c>
      <c r="AK126" s="174">
        <f>SUM(AL126:AN126)</f>
        <v>8196.5010303036597</v>
      </c>
      <c r="AL126" s="174">
        <f>IF(AV126=1,$D$61*(VLOOKUP(C126,$B$36:$AG$39,25,FALSE)+VLOOKUP(C126,$B$40:$AG$43,25,FALSE)*$D$54),(IF(H126="근접",$D$61*(VLOOKUP(C126,$B$36:$AG$39,25,FALSE)+VLOOKUP(C126,$B$40:$AG$43,25,FALSE)*$D$54),$D$60*(VLOOKUP(C126,$B$36:$AG$39,25,FALSE)+VLOOKUP(C126,$B$40:$AG$43,25,FALSE)*$D$54))))*$D$59/100</f>
        <v>4894.3758685371959</v>
      </c>
      <c r="AM126" s="174">
        <f>(IF(AV126=1,$D$61*(VLOOKUP(C126,$B$36:$AG$39,26,FALSE)+VLOOKUP(C126,$B$40:$AG$43,26,FALSE)*$D$54),IF(H126="근접",$D$61*(VLOOKUP(C126,$B$36:$AG$39,26,FALSE)+VLOOKUP(C126,$B$40:$AG$43,26,FALSE)*$D$54),$D$60*(VLOOKUP(C126,$B$36:$AG$39,26,FALSE)+VLOOKUP(C126,$B$40:$AG$43,26,FALSE)*$D$54))))*$D$59/100</f>
        <v>3302.1251617664634</v>
      </c>
      <c r="AN126" s="174"/>
      <c r="AO126" s="176">
        <v>24</v>
      </c>
      <c r="AP126" s="174">
        <v>36</v>
      </c>
      <c r="AQ126" s="175">
        <f>VLOOKUP(C126,$B$45:$AA$48,25,FALSE)</f>
        <v>521</v>
      </c>
      <c r="AR126" s="31">
        <f>IF(LEFT(E126,1)*1=1,$S$68,$R$68)</f>
        <v>4</v>
      </c>
      <c r="AS126" s="2">
        <f>IF(LEFT(E126,1)*1=2,$U$68,$T$68)</f>
        <v>1</v>
      </c>
      <c r="AT126" s="33">
        <f>IF(LEFT(E126,1)*1=3,$W$68,$V$68)</f>
        <v>1</v>
      </c>
      <c r="AU126" s="31">
        <f>IF(MID(E126,3,1)*1=1,$Y$68,$X$68)</f>
        <v>40</v>
      </c>
      <c r="AV126" s="2">
        <f>IF(MID(E126,3,1)*1=2,$AA$68,$Z$68)</f>
        <v>0</v>
      </c>
      <c r="AW126" s="33" t="str">
        <f>IF(MID(E126,3,1)*1=3,$AC$68,$AB$68)</f>
        <v>보스대상</v>
      </c>
      <c r="AX126" s="31">
        <f>IF(MID(E126,5,1)*1=1,$AE$68,$AD$68)</f>
        <v>1</v>
      </c>
      <c r="AY126" s="33">
        <f>IF(MID(E126,5,1)*1=2,$AG$68,$AF$68)</f>
        <v>3</v>
      </c>
      <c r="AZ126" s="2"/>
      <c r="BA126" s="101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 ht="12" hidden="1" customHeight="1">
      <c r="A127" s="2"/>
      <c r="B127" s="107">
        <v>182</v>
      </c>
      <c r="C127" s="31">
        <v>7</v>
      </c>
      <c r="D127" s="106" t="s">
        <v>10</v>
      </c>
      <c r="E127" s="2" t="s">
        <v>101</v>
      </c>
      <c r="F127" s="2" t="s">
        <v>149</v>
      </c>
      <c r="G127" s="2" t="s">
        <v>184</v>
      </c>
      <c r="H127" s="33"/>
      <c r="I127" s="173">
        <f>M127/AE127</f>
        <v>1348.8914570018401</v>
      </c>
      <c r="J127" s="174">
        <f>AH127/AE127</f>
        <v>17.980329144021059</v>
      </c>
      <c r="K127" s="207">
        <f>RANK(I127,$I$76:$I$977)</f>
        <v>52</v>
      </c>
      <c r="L127" s="208">
        <f>RANK(I127,$I$76:$I$450)</f>
        <v>52</v>
      </c>
      <c r="M127" s="173">
        <f>SUM(N127:R127)</f>
        <v>21530.854360820187</v>
      </c>
      <c r="N127" s="174">
        <f>T127*(1+((AG127+IF(F127="백어택",8,0))/100)*((AI127/100-1)))</f>
        <v>21530.854360820187</v>
      </c>
      <c r="O127" s="174"/>
      <c r="P127" s="174"/>
      <c r="Q127" s="174"/>
      <c r="R127" s="175"/>
      <c r="S127" s="173">
        <f>SUM(T127:X127)</f>
        <v>10978.948631187804</v>
      </c>
      <c r="T127" s="174">
        <f>AL127*AS127*AU127*AX127*IF(AY127=0,1,0.5)*IF(F127="백어택",1.2,1)</f>
        <v>10978.948631187804</v>
      </c>
      <c r="U127" s="174"/>
      <c r="V127" s="174"/>
      <c r="W127" s="174"/>
      <c r="X127" s="175"/>
      <c r="Y127" s="173">
        <f>SUM(Z127:AD127)</f>
        <v>29490.641749822607</v>
      </c>
      <c r="Z127" s="174">
        <f>T127*AI127/100</f>
        <v>29490.641749822607</v>
      </c>
      <c r="AA127" s="174"/>
      <c r="AB127" s="174"/>
      <c r="AC127" s="174"/>
      <c r="AD127" s="175"/>
      <c r="AE127" s="173">
        <f>AO127*(1-$D$17/100)</f>
        <v>15.961888</v>
      </c>
      <c r="AF127" s="174">
        <f>AP127</f>
        <v>36</v>
      </c>
      <c r="AG127" s="174">
        <f>IF($D$57+AV127&gt;100,100,$D$57+AV127)</f>
        <v>49.001300000000001</v>
      </c>
      <c r="AH127" s="174">
        <f>AQ127</f>
        <v>287</v>
      </c>
      <c r="AI127" s="174">
        <f>$D$58+$D$19</f>
        <v>268.61079999999998</v>
      </c>
      <c r="AJ127" s="174">
        <f>10*AR127/(7-IF(AX127=1,0,3))</f>
        <v>1.4285714285714286</v>
      </c>
      <c r="AK127" s="174">
        <f>SUM(AL127:AN127)</f>
        <v>7753.4947960365853</v>
      </c>
      <c r="AL127" s="174">
        <f>(VLOOKUP(C127,$B$36:$AG$39,13,FALSE)+VLOOKUP(C127,$B$40:$AG$43,13,FALSE)*$D$54)*$D$59/100</f>
        <v>7753.4947960365853</v>
      </c>
      <c r="AM127" s="174"/>
      <c r="AN127" s="174"/>
      <c r="AO127" s="176">
        <v>16</v>
      </c>
      <c r="AP127" s="174">
        <v>36</v>
      </c>
      <c r="AQ127" s="175">
        <f>VLOOKUP(C127,$B$45:$AA$48,13,FALSE)</f>
        <v>287</v>
      </c>
      <c r="AR127" s="31">
        <f>IF(LEFT(E127,1)*1=1,$S$60,$R$60)</f>
        <v>1</v>
      </c>
      <c r="AS127" s="2">
        <f>IF(LEFT(E127,1)*1=2,$U$60,$T$60)</f>
        <v>1.18</v>
      </c>
      <c r="AT127" s="33">
        <f>IF(LEFT(E127,1)*1=3,$W$60,$V$60)</f>
        <v>0</v>
      </c>
      <c r="AU127" s="31">
        <f>IF(MID(E127,3,1)*1=1,$Y$60,$X$60)</f>
        <v>1</v>
      </c>
      <c r="AV127" s="2">
        <f>IF(MID(E127,3,1)*1=2,$AA$60,$Z$60)</f>
        <v>30</v>
      </c>
      <c r="AW127" s="33">
        <f>IF(MID(E127,3,1)*1=3,$AC$60,$AB$60)</f>
        <v>0</v>
      </c>
      <c r="AX127" s="31">
        <f>IF(MID(E127,5,1)*1=1,$AE$60,$AD$60)</f>
        <v>1</v>
      </c>
      <c r="AY127" s="33">
        <f>IF(MID(E127,5,1)*1=2,$AG$60,$AF$60)</f>
        <v>0</v>
      </c>
      <c r="AZ127" s="2"/>
      <c r="BA127" s="101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 ht="12" customHeight="1">
      <c r="A128" s="2"/>
      <c r="B128" s="107">
        <v>422</v>
      </c>
      <c r="C128" s="31">
        <v>10</v>
      </c>
      <c r="D128" s="111" t="s">
        <v>8</v>
      </c>
      <c r="E128" s="2" t="s">
        <v>164</v>
      </c>
      <c r="F128" s="2" t="s">
        <v>149</v>
      </c>
      <c r="G128" s="2"/>
      <c r="H128" s="33" t="s">
        <v>81</v>
      </c>
      <c r="I128" s="173">
        <f>M128/AE128</f>
        <v>1348.073180406295</v>
      </c>
      <c r="J128" s="174">
        <f>AH128/AE128</f>
        <v>39.459498714320297</v>
      </c>
      <c r="K128" s="207">
        <f>RANK(I128,$I$76:$I$977)</f>
        <v>53</v>
      </c>
      <c r="L128" s="208" t="e">
        <f>RANK(I128,$I$451:$I$866)</f>
        <v>#N/A</v>
      </c>
      <c r="M128" s="173">
        <f>SUM(N128:R128)</f>
        <v>24918.830948845949</v>
      </c>
      <c r="N128" s="174">
        <f>T128*(1+((AG128+IF(F128="백어택",8,0))/100)*(IF(AY128=1,$D$58,$D$58+50)/100-1))</f>
        <v>7014.4112812362782</v>
      </c>
      <c r="O128" s="174">
        <f>U128*(1+((AG128+IF(F128="백어택",8,0))/100)*(AI128/100-1))</f>
        <v>8952.2098338048363</v>
      </c>
      <c r="P128" s="174">
        <f>V128*(1+((AG128+IF(F128="백어택",8,0))/100)*(AI128/100-1))</f>
        <v>8952.2098338048363</v>
      </c>
      <c r="Q128" s="174"/>
      <c r="R128" s="175"/>
      <c r="S128" s="173">
        <f>SUM(T128:X128)</f>
        <v>16393.827519136972</v>
      </c>
      <c r="T128" s="174">
        <f>AL128*IF(H128="근접",AR128,1)*AY128*IF(F128="백어택",1.2,1)</f>
        <v>4614.7047961012686</v>
      </c>
      <c r="U128" s="174">
        <f>AM128*IF(H128="근접",AR128,1)*AY128*IF(F128="백어택",1.2,1)</f>
        <v>5889.5613615178527</v>
      </c>
      <c r="V128" s="174">
        <f>IF(AX128=1,0,AM128*IF(H128="근접",AR128,1)*AY128)*IF(F128="백어택",1.2,1)</f>
        <v>5889.5613615178527</v>
      </c>
      <c r="W128" s="174"/>
      <c r="X128" s="175"/>
      <c r="Y128" s="173">
        <f>SUM(Z128:AD128)</f>
        <v>32787.655038273944</v>
      </c>
      <c r="Z128" s="174">
        <f>T128*IF(AY128=1,$D$58,$D$58+50)/100</f>
        <v>9229.4095922025372</v>
      </c>
      <c r="AA128" s="174">
        <f>U128*AI128/100</f>
        <v>11779.122723035705</v>
      </c>
      <c r="AB128" s="174">
        <f>V128*AI128/100</f>
        <v>11779.122723035705</v>
      </c>
      <c r="AC128" s="174"/>
      <c r="AD128" s="175"/>
      <c r="AE128" s="173">
        <f>AO128*(1-$D$20/100)*(1-$D$17/100)</f>
        <v>18.484776131615998</v>
      </c>
      <c r="AF128" s="174">
        <f>AP128</f>
        <v>36</v>
      </c>
      <c r="AG128" s="174">
        <f>IF($D$57+AU128&gt;100,100,$D$57+AU128)</f>
        <v>44.001300000000001</v>
      </c>
      <c r="AH128" s="174">
        <f>IF(AX128=1,AQ128,AQ128*1.4)</f>
        <v>729.4</v>
      </c>
      <c r="AI128" s="174">
        <f>IF(AY128=1,$D$58,$D$58+50)*AW128</f>
        <v>200</v>
      </c>
      <c r="AJ128" s="174">
        <f>10/6/AX128</f>
        <v>1.1111111111111112</v>
      </c>
      <c r="AK128" s="174">
        <f>SUM(AL128:AN128)</f>
        <v>7294.6292761243903</v>
      </c>
      <c r="AL128" s="174">
        <f>(IF(H128="근접",$D$61*(VLOOKUP(C128,$B$36:$AG$39,9,FALSE)+VLOOKUP(C128,$B$40:$AG$43,9,FALSE)*$D$54),$D$60*(VLOOKUP(C128,$B$36:$AG$39,9,FALSE)+VLOOKUP(C128,$B$40:$AG$43,9,FALSE)*$D$54)))*$D$59/100</f>
        <v>3204.6561084036589</v>
      </c>
      <c r="AM128" s="174">
        <f>(IF(H128="근접",$D$61*(VLOOKUP(C128,$B$36:$AG$39,10,FALSE)+VLOOKUP(C128,$B$40:$AG$43,10,FALSE)*$D$54),$D$60*(VLOOKUP(C128,$B$36:$AG$39,10,FALSE)+VLOOKUP(C128,$B$40:$AG$43,10,FALSE)*$D$54)))*$D$59/100</f>
        <v>4089.9731677207315</v>
      </c>
      <c r="AN128" s="174"/>
      <c r="AO128" s="176">
        <v>24</v>
      </c>
      <c r="AP128" s="174">
        <v>36</v>
      </c>
      <c r="AQ128" s="175">
        <f>VLOOKUP(C128,$B$45:$AA$48,9,FALSE)</f>
        <v>521</v>
      </c>
      <c r="AR128" s="31">
        <f>IF(LEFT(E128,1)*1=1,$S$58,$R$58)</f>
        <v>1.2</v>
      </c>
      <c r="AS128" s="2">
        <f>IF(LEFT(E128,1)*1=2,$U$58,$T$58)</f>
        <v>0</v>
      </c>
      <c r="AT128" s="33">
        <f>IF(LEFT(E128,1)*1=3,$W$58,$V$58)</f>
        <v>0</v>
      </c>
      <c r="AU128" s="31">
        <f>IF(MID(E128,3,1)*1=1,$Y$58,$X$58)</f>
        <v>25</v>
      </c>
      <c r="AV128" s="2">
        <f>IF(MID(E128,3,1)*1=2,$AA$58,$Z$58)</f>
        <v>0</v>
      </c>
      <c r="AW128" s="33">
        <f>IF(MID(E128,3,1)*1=3,$AC$58,$AB$58)</f>
        <v>1</v>
      </c>
      <c r="AX128" s="31">
        <f>IF(MID(E128,5,1)*1=1,$AE$58,$AD$58)</f>
        <v>1.5</v>
      </c>
      <c r="AY128" s="33">
        <f>IF(MID(E128,5,1)*1=2,$AG$58,$AF$58)</f>
        <v>1</v>
      </c>
      <c r="AZ128" s="2"/>
      <c r="BA128" s="101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 ht="12" customHeight="1">
      <c r="A129" s="2"/>
      <c r="B129" s="107">
        <v>680</v>
      </c>
      <c r="C129" s="31">
        <v>10</v>
      </c>
      <c r="D129" s="111" t="s">
        <v>18</v>
      </c>
      <c r="E129" s="2" t="s">
        <v>170</v>
      </c>
      <c r="F129" s="2" t="s">
        <v>149</v>
      </c>
      <c r="G129" s="2"/>
      <c r="H129" s="33" t="s">
        <v>81</v>
      </c>
      <c r="I129" s="173">
        <f>M129/AE129</f>
        <v>1347.3723562855278</v>
      </c>
      <c r="J129" s="174">
        <f>AH129/AE129</f>
        <v>28.185356224514496</v>
      </c>
      <c r="K129" s="207">
        <f>RANK(I129,$I$76:$I$977)</f>
        <v>54</v>
      </c>
      <c r="L129" s="208" t="e">
        <f>RANK(I129,$I$451:$I$866)</f>
        <v>#N/A</v>
      </c>
      <c r="M129" s="173">
        <f>SUM(N129:R129)</f>
        <v>24905.876371865928</v>
      </c>
      <c r="N129" s="174">
        <f>T129*(1+((AG129+IF(F129="백어택",8,0))/100)*(AI129/100-1))</f>
        <v>9808.4055928120888</v>
      </c>
      <c r="O129" s="174">
        <f>U129*(1+(($D$57+IF(F129="백어택",8,0))/100)*(AI129/100-1))</f>
        <v>15097.47077905384</v>
      </c>
      <c r="P129" s="174"/>
      <c r="Q129" s="174"/>
      <c r="R129" s="175"/>
      <c r="S129" s="173">
        <f>SUM(T129:X129)</f>
        <v>17760.901624603903</v>
      </c>
      <c r="T129" s="174">
        <f>AL129*IF(H129="근접",AT129,IF(AV129=1,AT129,1))*AX129*IF(F129="백어택",1.2,1)</f>
        <v>5873.2510422446348</v>
      </c>
      <c r="U129" s="174">
        <f>IF(AX129=1,AM129*IF(H129="근접",AT129,IF(AV129=1,AT129,1)),0)*AY129*IF(AX129=1,1,0)*IF(F129="백어택",1.2,1)</f>
        <v>11887.650582359267</v>
      </c>
      <c r="V129" s="174"/>
      <c r="W129" s="174"/>
      <c r="X129" s="175"/>
      <c r="Y129" s="173">
        <f>SUM(Z129:AD129)</f>
        <v>35521.803249207805</v>
      </c>
      <c r="Z129" s="174">
        <f>T129*$D$58/100</f>
        <v>11746.50208448927</v>
      </c>
      <c r="AA129" s="174">
        <f>U129*$D$58/100</f>
        <v>23775.301164718534</v>
      </c>
      <c r="AB129" s="174"/>
      <c r="AC129" s="174"/>
      <c r="AD129" s="175"/>
      <c r="AE129" s="173">
        <f>(AO129*(1-$D$20/100)*(1-$D$17/100)-AR129)*IF(AW129="보스대상",1,POWER(0.85,AW129))</f>
        <v>18.484776131615998</v>
      </c>
      <c r="AF129" s="174">
        <f>AP129</f>
        <v>36</v>
      </c>
      <c r="AG129" s="174">
        <f>IF($D$57+AU129&gt;100,100,$D$57+AU129)</f>
        <v>59.001300000000001</v>
      </c>
      <c r="AH129" s="174">
        <f>AQ129</f>
        <v>521</v>
      </c>
      <c r="AI129" s="174">
        <f>$D$58</f>
        <v>200</v>
      </c>
      <c r="AJ129" s="174">
        <f>10*AS129/IF(AX129=1,IF(AY129=1,4.5,4),4)</f>
        <v>2</v>
      </c>
      <c r="AK129" s="174">
        <f>SUM(AL129:AN129)</f>
        <v>8196.5010303036597</v>
      </c>
      <c r="AL129" s="174">
        <f>IF(AV129=1,$D$61*(VLOOKUP(C129,$B$36:$AG$39,25,FALSE)+VLOOKUP(C129,$B$40:$AG$43,25,FALSE)*$D$54),(IF(H129="근접",$D$61*(VLOOKUP(C129,$B$36:$AG$39,25,FALSE)+VLOOKUP(C129,$B$40:$AG$43,25,FALSE)*$D$54),$D$60*(VLOOKUP(C129,$B$36:$AG$39,25,FALSE)+VLOOKUP(C129,$B$40:$AG$43,25,FALSE)*$D$54))))*$D$59/100</f>
        <v>4894.3758685371959</v>
      </c>
      <c r="AM129" s="174">
        <f>(IF(AV129=1,$D$61*(VLOOKUP(C129,$B$36:$AG$39,26,FALSE)+VLOOKUP(C129,$B$40:$AG$43,26,FALSE)*$D$54),IF(H129="근접",$D$61*(VLOOKUP(C129,$B$36:$AG$39,26,FALSE)+VLOOKUP(C129,$B$40:$AG$43,26,FALSE)*$D$54),$D$60*(VLOOKUP(C129,$B$36:$AG$39,26,FALSE)+VLOOKUP(C129,$B$40:$AG$43,26,FALSE)*$D$54))))*$D$59/100</f>
        <v>3302.1251617664634</v>
      </c>
      <c r="AN129" s="174"/>
      <c r="AO129" s="176">
        <v>24</v>
      </c>
      <c r="AP129" s="174">
        <v>36</v>
      </c>
      <c r="AQ129" s="175">
        <f>VLOOKUP(C129,$B$45:$AA$48,25,FALSE)</f>
        <v>521</v>
      </c>
      <c r="AR129" s="31">
        <f>IF(LEFT(E129,1)*1=1,$S$68,$R$68)</f>
        <v>0</v>
      </c>
      <c r="AS129" s="2">
        <f>IF(LEFT(E129,1)*1=2,$U$68,$T$68)</f>
        <v>0.8</v>
      </c>
      <c r="AT129" s="33">
        <f>IF(LEFT(E129,1)*1=3,$W$68,$V$68)</f>
        <v>1</v>
      </c>
      <c r="AU129" s="31">
        <f>IF(MID(E129,3,1)*1=1,$Y$68,$X$68)</f>
        <v>40</v>
      </c>
      <c r="AV129" s="2">
        <f>IF(MID(E129,3,1)*1=2,$AA$68,$Z$68)</f>
        <v>0</v>
      </c>
      <c r="AW129" s="33" t="str">
        <f>IF(MID(E129,3,1)*1=3,$AC$68,$AB$68)</f>
        <v>보스대상</v>
      </c>
      <c r="AX129" s="31">
        <f>IF(MID(E129,5,1)*1=1,$AE$68,$AD$68)</f>
        <v>1</v>
      </c>
      <c r="AY129" s="33">
        <f>IF(MID(E129,5,1)*1=2,$AG$68,$AF$68)</f>
        <v>3</v>
      </c>
      <c r="AZ129" s="2"/>
      <c r="BA129" s="101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 ht="12" hidden="1" customHeight="1">
      <c r="A130" s="2"/>
      <c r="B130" s="107">
        <v>642</v>
      </c>
      <c r="C130" s="31">
        <v>10</v>
      </c>
      <c r="D130" s="111" t="s">
        <v>18</v>
      </c>
      <c r="E130" s="2" t="s">
        <v>171</v>
      </c>
      <c r="F130" s="2"/>
      <c r="G130" s="2" t="s">
        <v>186</v>
      </c>
      <c r="H130" s="33" t="s">
        <v>80</v>
      </c>
      <c r="I130" s="173">
        <f>M130/AE130</f>
        <v>1325.583142905959</v>
      </c>
      <c r="J130" s="174">
        <f>AH130/AE130</f>
        <v>63.522692720778515</v>
      </c>
      <c r="K130" s="207">
        <f>RANK(I130,$I$76:$I$977)</f>
        <v>55</v>
      </c>
      <c r="L130" s="208" t="e">
        <f>RANK(I130,$I$451:$I$866)</f>
        <v>#N/A</v>
      </c>
      <c r="M130" s="173">
        <f>SUM(N130:R130)</f>
        <v>10872.1590328317</v>
      </c>
      <c r="N130" s="174">
        <f>T130*(1+((AG130+IF(F130="백어택",8,0))/100)*(AI130/100-1))</f>
        <v>10872.1590328317</v>
      </c>
      <c r="O130" s="174">
        <f>U130*(1+(($D$57+IF(F130="백어택",8,0))/100)*(AI130/100-1))</f>
        <v>0</v>
      </c>
      <c r="P130" s="174"/>
      <c r="Q130" s="174"/>
      <c r="R130" s="175"/>
      <c r="S130" s="173">
        <f>SUM(T130:X130)</f>
        <v>9136.1682879360978</v>
      </c>
      <c r="T130" s="174">
        <f>AL130*IF(H130="근접",AT130,IF(AV130=1,AT130,1))*AX130*IF(F130="백어택",1.2,1)</f>
        <v>9136.1682879360978</v>
      </c>
      <c r="U130" s="174">
        <f>IF(AX130=1,AM130*IF(H130="근접",AT130,IF(AV130=1,AT130,1)),0)*AY130*IF(AX130=1,1,0)*IF(F130="백어택",1.2,1)</f>
        <v>0</v>
      </c>
      <c r="V130" s="174"/>
      <c r="W130" s="174"/>
      <c r="X130" s="175"/>
      <c r="Y130" s="173">
        <f>SUM(Z130:AD130)</f>
        <v>18272.336575872196</v>
      </c>
      <c r="Z130" s="174">
        <f>T130*$D$58/100</f>
        <v>18272.336575872196</v>
      </c>
      <c r="AA130" s="174">
        <f>U130*$D$58/100</f>
        <v>0</v>
      </c>
      <c r="AB130" s="174"/>
      <c r="AC130" s="174"/>
      <c r="AD130" s="175"/>
      <c r="AE130" s="173">
        <f>(AO130*(1-$D$20/100)*(1-$D$17/100)-AR130)*IF(AW130="보스대상",1,POWER(0.85,AW130))</f>
        <v>8.2017933699712149</v>
      </c>
      <c r="AF130" s="174">
        <f>AP130</f>
        <v>36</v>
      </c>
      <c r="AG130" s="174">
        <f>IF($D$57+AU130&gt;100,100,$D$57+AU130)</f>
        <v>19.001300000000001</v>
      </c>
      <c r="AH130" s="174">
        <f>AQ130</f>
        <v>521</v>
      </c>
      <c r="AI130" s="174">
        <f>$D$58</f>
        <v>200</v>
      </c>
      <c r="AJ130" s="174">
        <f>10*AS130/IF(AX130=1,IF(AY130=1,4.5,4),4)</f>
        <v>2</v>
      </c>
      <c r="AK130" s="174">
        <f>SUM(AL130:AN130)</f>
        <v>5464.3340202024392</v>
      </c>
      <c r="AL130" s="174">
        <f>IF(AV130=1,$D$61*(VLOOKUP(C130,$B$36:$AG$39,25,FALSE)+VLOOKUP(C130,$B$40:$AG$43,25,FALSE)*$D$54),(IF(H130="근접",$D$61*(VLOOKUP(C130,$B$36:$AG$39,25,FALSE)+VLOOKUP(C130,$B$40:$AG$43,25,FALSE)*$D$54),$D$60*(VLOOKUP(C130,$B$36:$AG$39,25,FALSE)+VLOOKUP(C130,$B$40:$AG$43,25,FALSE)*$D$54))))*$D$59/100</f>
        <v>3262.9172456914639</v>
      </c>
      <c r="AM130" s="174">
        <f>(IF(AV130=1,$D$61*(VLOOKUP(C130,$B$36:$AG$39,26,FALSE)+VLOOKUP(C130,$B$40:$AG$43,26,FALSE)*$D$54),IF(H130="근접",$D$61*(VLOOKUP(C130,$B$36:$AG$39,26,FALSE)+VLOOKUP(C130,$B$40:$AG$43,26,FALSE)*$D$54),$D$60*(VLOOKUP(C130,$B$36:$AG$39,26,FALSE)+VLOOKUP(C130,$B$40:$AG$43,26,FALSE)*$D$54))))*$D$59/100</f>
        <v>2201.4167745109758</v>
      </c>
      <c r="AN130" s="174"/>
      <c r="AO130" s="176">
        <v>24</v>
      </c>
      <c r="AP130" s="174">
        <v>36</v>
      </c>
      <c r="AQ130" s="175">
        <f>VLOOKUP(C130,$B$45:$AA$48,25,FALSE)</f>
        <v>521</v>
      </c>
      <c r="AR130" s="31">
        <f>IF(LEFT(E130,1)*1=1,$S$68,$R$68)</f>
        <v>0</v>
      </c>
      <c r="AS130" s="2">
        <f>IF(LEFT(E130,1)*1=2,$U$68,$T$68)</f>
        <v>0.8</v>
      </c>
      <c r="AT130" s="33">
        <f>IF(LEFT(E130,1)*1=3,$W$68,$V$68)</f>
        <v>1</v>
      </c>
      <c r="AU130" s="31">
        <f>IF(MID(E130,3,1)*1=1,$Y$68,$X$68)</f>
        <v>0</v>
      </c>
      <c r="AV130" s="2">
        <f>IF(MID(E130,3,1)*1=2,$AA$68,$Z$68)</f>
        <v>0</v>
      </c>
      <c r="AW130" s="33">
        <f>IF(MID(E130,3,1)*1=3,$AC$68,$AB$68)</f>
        <v>5</v>
      </c>
      <c r="AX130" s="31">
        <f>IF(MID(E130,5,1)*1=1,$AE$68,$AD$68)</f>
        <v>2.8</v>
      </c>
      <c r="AY130" s="33">
        <f>IF(MID(E130,5,1)*1=2,$AG$68,$AF$68)</f>
        <v>1</v>
      </c>
      <c r="AZ130" s="2"/>
      <c r="BA130" s="101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 ht="12" hidden="1" customHeight="1">
      <c r="A131" s="2"/>
      <c r="B131" s="107">
        <v>645</v>
      </c>
      <c r="C131" s="31">
        <v>10</v>
      </c>
      <c r="D131" s="111" t="s">
        <v>18</v>
      </c>
      <c r="E131" s="2" t="s">
        <v>147</v>
      </c>
      <c r="F131" s="2"/>
      <c r="G131" s="2" t="s">
        <v>186</v>
      </c>
      <c r="H131" s="33" t="s">
        <v>80</v>
      </c>
      <c r="I131" s="173">
        <f>M131/AE131</f>
        <v>1325.583142905959</v>
      </c>
      <c r="J131" s="174">
        <f>AH131/AE131</f>
        <v>63.522692720778515</v>
      </c>
      <c r="K131" s="207">
        <f>RANK(I131,$I$76:$I$977)</f>
        <v>55</v>
      </c>
      <c r="L131" s="208" t="e">
        <f>RANK(I131,$I$451:$I$866)</f>
        <v>#N/A</v>
      </c>
      <c r="M131" s="173">
        <f>SUM(N131:R131)</f>
        <v>10872.1590328317</v>
      </c>
      <c r="N131" s="174">
        <f>T131*(1+((AG131+IF(F131="백어택",8,0))/100)*(AI131/100-1))</f>
        <v>10872.1590328317</v>
      </c>
      <c r="O131" s="174">
        <f>U131*(1+(($D$57+IF(F131="백어택",8,0))/100)*(AI131/100-1))</f>
        <v>0</v>
      </c>
      <c r="P131" s="174"/>
      <c r="Q131" s="174"/>
      <c r="R131" s="175"/>
      <c r="S131" s="173">
        <f>SUM(T131:X131)</f>
        <v>9136.1682879360978</v>
      </c>
      <c r="T131" s="174">
        <f>AL131*IF(H131="근접",AT131,IF(AV131=1,AT131,1))*AX131*IF(F131="백어택",1.2,1)</f>
        <v>9136.1682879360978</v>
      </c>
      <c r="U131" s="174">
        <f>IF(AX131=1,AM131*IF(H131="근접",AT131,IF(AV131=1,AT131,1)),0)*AY131*IF(AX131=1,1,0)*IF(F131="백어택",1.2,1)</f>
        <v>0</v>
      </c>
      <c r="V131" s="174"/>
      <c r="W131" s="174"/>
      <c r="X131" s="175"/>
      <c r="Y131" s="173">
        <f>SUM(Z131:AD131)</f>
        <v>18272.336575872196</v>
      </c>
      <c r="Z131" s="174">
        <f>T131*$D$58/100</f>
        <v>18272.336575872196</v>
      </c>
      <c r="AA131" s="174">
        <f>U131*$D$58/100</f>
        <v>0</v>
      </c>
      <c r="AB131" s="174"/>
      <c r="AC131" s="174"/>
      <c r="AD131" s="175"/>
      <c r="AE131" s="173">
        <f>(AO131*(1-$D$20/100)*(1-$D$17/100)-AR131)*IF(AW131="보스대상",1,POWER(0.85,AW131))</f>
        <v>8.2017933699712149</v>
      </c>
      <c r="AF131" s="174">
        <f>AP131</f>
        <v>36</v>
      </c>
      <c r="AG131" s="174">
        <f>IF($D$57+AU131&gt;100,100,$D$57+AU131)</f>
        <v>19.001300000000001</v>
      </c>
      <c r="AH131" s="174">
        <f>AQ131</f>
        <v>521</v>
      </c>
      <c r="AI131" s="174">
        <f>$D$58</f>
        <v>200</v>
      </c>
      <c r="AJ131" s="174">
        <f>10*AS131/IF(AX131=1,IF(AY131=1,4.5,4),4)</f>
        <v>2.5</v>
      </c>
      <c r="AK131" s="174">
        <f>SUM(AL131:AN131)</f>
        <v>5464.3340202024392</v>
      </c>
      <c r="AL131" s="174">
        <f>IF(AV131=1,$D$61*(VLOOKUP(C131,$B$36:$AG$39,25,FALSE)+VLOOKUP(C131,$B$40:$AG$43,25,FALSE)*$D$54),(IF(H131="근접",$D$61*(VLOOKUP(C131,$B$36:$AG$39,25,FALSE)+VLOOKUP(C131,$B$40:$AG$43,25,FALSE)*$D$54),$D$60*(VLOOKUP(C131,$B$36:$AG$39,25,FALSE)+VLOOKUP(C131,$B$40:$AG$43,25,FALSE)*$D$54))))*$D$59/100</f>
        <v>3262.9172456914639</v>
      </c>
      <c r="AM131" s="174">
        <f>(IF(AV131=1,$D$61*(VLOOKUP(C131,$B$36:$AG$39,26,FALSE)+VLOOKUP(C131,$B$40:$AG$43,26,FALSE)*$D$54),IF(H131="근접",$D$61*(VLOOKUP(C131,$B$36:$AG$39,26,FALSE)+VLOOKUP(C131,$B$40:$AG$43,26,FALSE)*$D$54),$D$60*(VLOOKUP(C131,$B$36:$AG$39,26,FALSE)+VLOOKUP(C131,$B$40:$AG$43,26,FALSE)*$D$54))))*$D$59/100</f>
        <v>2201.4167745109758</v>
      </c>
      <c r="AN131" s="174"/>
      <c r="AO131" s="176">
        <v>24</v>
      </c>
      <c r="AP131" s="174">
        <v>36</v>
      </c>
      <c r="AQ131" s="175">
        <f>VLOOKUP(C131,$B$45:$AA$48,25,FALSE)</f>
        <v>521</v>
      </c>
      <c r="AR131" s="31">
        <f>IF(LEFT(E131,1)*1=1,$S$68,$R$68)</f>
        <v>0</v>
      </c>
      <c r="AS131" s="2">
        <f>IF(LEFT(E131,1)*1=2,$U$68,$T$68)</f>
        <v>1</v>
      </c>
      <c r="AT131" s="33">
        <f>IF(LEFT(E131,1)*1=3,$W$68,$V$68)</f>
        <v>1.2</v>
      </c>
      <c r="AU131" s="31">
        <f>IF(MID(E131,3,1)*1=1,$Y$68,$X$68)</f>
        <v>0</v>
      </c>
      <c r="AV131" s="2">
        <f>IF(MID(E131,3,1)*1=2,$AA$68,$Z$68)</f>
        <v>0</v>
      </c>
      <c r="AW131" s="33">
        <f>IF(MID(E131,3,1)*1=3,$AC$68,$AB$68)</f>
        <v>5</v>
      </c>
      <c r="AX131" s="31">
        <f>IF(MID(E131,5,1)*1=1,$AE$68,$AD$68)</f>
        <v>2.8</v>
      </c>
      <c r="AY131" s="33">
        <f>IF(MID(E131,5,1)*1=2,$AG$68,$AF$68)</f>
        <v>1</v>
      </c>
      <c r="AZ131" s="2"/>
      <c r="BA131" s="101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 ht="12" customHeight="1">
      <c r="A132" s="2"/>
      <c r="B132" s="107">
        <v>772</v>
      </c>
      <c r="C132" s="31">
        <v>10</v>
      </c>
      <c r="D132" s="111" t="s">
        <v>21</v>
      </c>
      <c r="E132" s="2" t="s">
        <v>98</v>
      </c>
      <c r="F132" s="2" t="s">
        <v>149</v>
      </c>
      <c r="G132" s="2" t="s">
        <v>177</v>
      </c>
      <c r="H132" s="33"/>
      <c r="I132" s="173">
        <f>M132/AE132</f>
        <v>1308.5352920009752</v>
      </c>
      <c r="J132" s="174">
        <f>AH132/AE132</f>
        <v>23.695174714659018</v>
      </c>
      <c r="K132" s="207">
        <f>RANK(I132,$I$76:$I$977)</f>
        <v>57</v>
      </c>
      <c r="L132" s="208" t="e">
        <f>RANK(I132,$I$451:$I$866)</f>
        <v>#N/A</v>
      </c>
      <c r="M132" s="173">
        <f>SUM(N132:R132)</f>
        <v>36281.972899435204</v>
      </c>
      <c r="N132" s="174">
        <f>T132*(1+((AG132+IF(F132="백어택",8,0))/100)*(AI132/100-1))</f>
        <v>36281.972899435204</v>
      </c>
      <c r="O132" s="174"/>
      <c r="P132" s="174"/>
      <c r="Q132" s="174"/>
      <c r="R132" s="175">
        <f>X132*(1+(AG132/100)*(AI132/100-1))</f>
        <v>0</v>
      </c>
      <c r="S132" s="173">
        <f>SUM(T132:X132)</f>
        <v>28568.190167687422</v>
      </c>
      <c r="T132" s="174">
        <f>AL132*AW132*AX132*AY132*IF(F132="백어택",1.2,1)</f>
        <v>28568.190167687422</v>
      </c>
      <c r="U132" s="174"/>
      <c r="V132" s="174"/>
      <c r="W132" s="174"/>
      <c r="X132" s="175">
        <f>AL132*AS132+IF(AX132=1,AL132*AU132,AL132*AU132*2)</f>
        <v>0</v>
      </c>
      <c r="Y132" s="173">
        <f>SUM(Z132:AD132)</f>
        <v>57136.380335374844</v>
      </c>
      <c r="Z132" s="174">
        <f>T132*$D$58/100</f>
        <v>57136.380335374844</v>
      </c>
      <c r="AA132" s="174"/>
      <c r="AB132" s="174"/>
      <c r="AC132" s="174"/>
      <c r="AD132" s="175">
        <f>X132*$D$58/100</f>
        <v>0</v>
      </c>
      <c r="AE132" s="173">
        <f>AO132*(1-$D$20/100)*(1-$D$17/100)-AR132</f>
        <v>27.727164197424003</v>
      </c>
      <c r="AF132" s="174">
        <f>AP132</f>
        <v>36</v>
      </c>
      <c r="AG132" s="174">
        <f>IF($D$57&gt;100,100,$D$57)</f>
        <v>19.001300000000001</v>
      </c>
      <c r="AH132" s="174">
        <f>AQ132</f>
        <v>657</v>
      </c>
      <c r="AI132" s="174">
        <f>$D$58</f>
        <v>200</v>
      </c>
      <c r="AJ132" s="174">
        <f>10/6</f>
        <v>1.6666666666666667</v>
      </c>
      <c r="AK132" s="174">
        <f>SUM(AL132:AN132)</f>
        <v>9919.5104748914655</v>
      </c>
      <c r="AL132" s="174">
        <f>(VLOOKUP(C132,$B$36:$AG$39,31,FALSE)+VLOOKUP(C132,$B$40:$AG$43,31,FALSE)*$D$54)*$D$59/100</f>
        <v>9919.5104748914655</v>
      </c>
      <c r="AM132" s="174"/>
      <c r="AN132" s="174"/>
      <c r="AO132" s="176">
        <v>36</v>
      </c>
      <c r="AP132" s="174">
        <v>36</v>
      </c>
      <c r="AQ132" s="175">
        <f>VLOOKUP(C132,$B$45:$AG$48,31,FALSE)</f>
        <v>657</v>
      </c>
      <c r="AR132" s="31">
        <f>IF(LEFT(E132,1)*1=1,$S$71,$R$71)</f>
        <v>0</v>
      </c>
      <c r="AS132" s="2">
        <f>IF(LEFT(E132,1)*1=2,$U$71,$T$71)</f>
        <v>0</v>
      </c>
      <c r="AT132" s="33">
        <f>IF(LEFT(E132,1)*1=3,$W$71,$V$71)</f>
        <v>0</v>
      </c>
      <c r="AU132" s="31">
        <f>IF(MID(E132,3,1)*1=1,$Y$71,$X$71)</f>
        <v>0</v>
      </c>
      <c r="AV132" s="2">
        <f>IF(MID(E132,3,1)*1=2,$AA$71,$Z$71)</f>
        <v>0</v>
      </c>
      <c r="AW132" s="33">
        <f>IF(MID(E132,3,1)*1=3,$AC$71,$AB$71)</f>
        <v>1.5</v>
      </c>
      <c r="AX132" s="31">
        <f>IF(MID(E132,5,1)*1=1,$AE$71,$AD$71)</f>
        <v>1</v>
      </c>
      <c r="AY132" s="33">
        <f>IF(MID(E132,5,1)*1=2,$AG$71,$AF$71)</f>
        <v>1.6</v>
      </c>
      <c r="AZ132" s="2"/>
      <c r="BA132" s="101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 ht="12" hidden="1" customHeight="1">
      <c r="A133" s="2"/>
      <c r="B133" s="107">
        <v>163</v>
      </c>
      <c r="C133" s="31">
        <v>10</v>
      </c>
      <c r="D133" s="106" t="s">
        <v>10</v>
      </c>
      <c r="E133" s="2" t="s">
        <v>169</v>
      </c>
      <c r="F133" s="2" t="s">
        <v>149</v>
      </c>
      <c r="G133" s="2" t="s">
        <v>185</v>
      </c>
      <c r="H133" s="33"/>
      <c r="I133" s="173">
        <f>M133/AE133</f>
        <v>1306.851646320303</v>
      </c>
      <c r="J133" s="174">
        <f>AH133/AE133</f>
        <v>25.811482952392598</v>
      </c>
      <c r="K133" s="207">
        <f>RANK(I133,$I$76:$I$977)</f>
        <v>58</v>
      </c>
      <c r="L133" s="208">
        <f>RANK(I133,$I$76:$I$450)</f>
        <v>58</v>
      </c>
      <c r="M133" s="173">
        <f>SUM(N133:R133)</f>
        <v>20859.819611180286</v>
      </c>
      <c r="N133" s="174">
        <f>T133*(1+((AG133+IF(F133="백어택",8,0))/100)*((AI133/100-1)))</f>
        <v>20859.819611180286</v>
      </c>
      <c r="O133" s="174"/>
      <c r="P133" s="174"/>
      <c r="Q133" s="174"/>
      <c r="R133" s="175"/>
      <c r="S133" s="173">
        <f>SUM(T133:X133)</f>
        <v>14333.97523416966</v>
      </c>
      <c r="T133" s="174">
        <f>AL133*AS133*AU133*AX133*IF(AY133=0,1,0.5)*IF(F133="백어택",1.2,1)</f>
        <v>14333.97523416966</v>
      </c>
      <c r="U133" s="174"/>
      <c r="V133" s="174"/>
      <c r="W133" s="174"/>
      <c r="X133" s="175"/>
      <c r="Y133" s="173">
        <f>SUM(Z133:AD133)</f>
        <v>38502.605548304993</v>
      </c>
      <c r="Z133" s="174">
        <f>T133*AI133/100</f>
        <v>38502.605548304993</v>
      </c>
      <c r="AA133" s="174"/>
      <c r="AB133" s="174"/>
      <c r="AC133" s="174"/>
      <c r="AD133" s="175"/>
      <c r="AE133" s="173">
        <f>AO133*(1-$D$17/100)</f>
        <v>15.961888</v>
      </c>
      <c r="AF133" s="174">
        <f>AP133</f>
        <v>36</v>
      </c>
      <c r="AG133" s="174">
        <f>IF($D$57+AV133&gt;100,100,$D$57+AV133)</f>
        <v>19.001300000000001</v>
      </c>
      <c r="AH133" s="174">
        <f>AQ133</f>
        <v>412</v>
      </c>
      <c r="AI133" s="174">
        <f>$D$58+$D$19</f>
        <v>268.61079999999998</v>
      </c>
      <c r="AJ133" s="174">
        <f>10*AR133/(7-IF(AX133=1,0,3))</f>
        <v>1.4285714285714286</v>
      </c>
      <c r="AK133" s="174">
        <f>SUM(AL133:AN133)</f>
        <v>8098.2910927512203</v>
      </c>
      <c r="AL133" s="174">
        <f>(VLOOKUP(C133,$B$36:$AG$39,13,FALSE)+VLOOKUP(C133,$B$40:$AG$43,13,FALSE)*$D$54)*$D$59/100</f>
        <v>8098.2910927512203</v>
      </c>
      <c r="AM133" s="174"/>
      <c r="AN133" s="174"/>
      <c r="AO133" s="176">
        <v>16</v>
      </c>
      <c r="AP133" s="174">
        <v>36</v>
      </c>
      <c r="AQ133" s="175">
        <f>VLOOKUP(C133,$B$45:$AA$48,13,FALSE)</f>
        <v>412</v>
      </c>
      <c r="AR133" s="31">
        <f>IF(LEFT(E133,1)*1=1,$S$60,$R$60)</f>
        <v>1</v>
      </c>
      <c r="AS133" s="2">
        <f>IF(LEFT(E133,1)*1=2,$U$60,$T$60)</f>
        <v>1.18</v>
      </c>
      <c r="AT133" s="33">
        <f>IF(LEFT(E133,1)*1=3,$W$60,$V$60)</f>
        <v>0</v>
      </c>
      <c r="AU133" s="31">
        <f>IF(MID(E133,3,1)*1=1,$Y$60,$X$60)</f>
        <v>1.25</v>
      </c>
      <c r="AV133" s="2">
        <f>IF(MID(E133,3,1)*1=2,$AA$60,$Z$60)</f>
        <v>0</v>
      </c>
      <c r="AW133" s="33">
        <f>IF(MID(E133,3,1)*1=3,$AC$60,$AB$60)</f>
        <v>0</v>
      </c>
      <c r="AX133" s="31">
        <f>IF(MID(E133,5,1)*1=1,$AE$60,$AD$60)</f>
        <v>1</v>
      </c>
      <c r="AY133" s="33">
        <f>IF(MID(E133,5,1)*1=2,$AG$60,$AF$60)</f>
        <v>0</v>
      </c>
      <c r="AZ133" s="2"/>
      <c r="BA133" s="101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 ht="12" customHeight="1">
      <c r="A134" s="2"/>
      <c r="B134" s="107">
        <v>744</v>
      </c>
      <c r="C134" s="31">
        <v>10</v>
      </c>
      <c r="D134" s="111" t="s">
        <v>21</v>
      </c>
      <c r="E134" s="2" t="s">
        <v>157</v>
      </c>
      <c r="F134" s="2"/>
      <c r="G134" s="2" t="s">
        <v>177</v>
      </c>
      <c r="H134" s="33"/>
      <c r="I134" s="173">
        <f>M134/AE134</f>
        <v>1303.9175820457845</v>
      </c>
      <c r="J134" s="174">
        <f>AH134/AE134</f>
        <v>30.238644768832497</v>
      </c>
      <c r="K134" s="207">
        <f>RANK(I134,$I$76:$I$977)</f>
        <v>59</v>
      </c>
      <c r="L134" s="208" t="e">
        <f>RANK(I134,$I$451:$I$866)</f>
        <v>#N/A</v>
      </c>
      <c r="M134" s="173">
        <f>SUM(N134:R134)</f>
        <v>28330.431405016843</v>
      </c>
      <c r="N134" s="174">
        <f>T134*(1+((AG134+IF(F134="백어택",8,0))/100)*(AI134/100-1))</f>
        <v>28330.431405016843</v>
      </c>
      <c r="O134" s="174"/>
      <c r="P134" s="174"/>
      <c r="Q134" s="174"/>
      <c r="R134" s="175">
        <f>X134*(1+(AG134/100)*(AI134/100-1))</f>
        <v>0</v>
      </c>
      <c r="S134" s="173">
        <f>SUM(T134:X134)</f>
        <v>23806.825139739518</v>
      </c>
      <c r="T134" s="174">
        <f>AL134*AW134*AX134*AY134*IF(F134="백어택",1.2,1)</f>
        <v>23806.825139739518</v>
      </c>
      <c r="U134" s="174"/>
      <c r="V134" s="174"/>
      <c r="W134" s="174"/>
      <c r="X134" s="175">
        <f>AL134*AS134+IF(AX134=1,AL134*AU134,AL134*AU134*2)</f>
        <v>0</v>
      </c>
      <c r="Y134" s="173">
        <f>SUM(Z134:AD134)</f>
        <v>47613.650279479036</v>
      </c>
      <c r="Z134" s="174">
        <f>T134*$D$58/100</f>
        <v>47613.650279479036</v>
      </c>
      <c r="AA134" s="174"/>
      <c r="AB134" s="174"/>
      <c r="AC134" s="174"/>
      <c r="AD134" s="175">
        <f>X134*$D$58/100</f>
        <v>0</v>
      </c>
      <c r="AE134" s="173">
        <f>AO134*(1-$D$20/100)*(1-$D$17/100)-AR134</f>
        <v>21.727164197424003</v>
      </c>
      <c r="AF134" s="174">
        <f>AP134</f>
        <v>36</v>
      </c>
      <c r="AG134" s="174">
        <f>IF($D$57&gt;100,100,$D$57)</f>
        <v>19.001300000000001</v>
      </c>
      <c r="AH134" s="174">
        <f>AQ134</f>
        <v>657</v>
      </c>
      <c r="AI134" s="174">
        <f>$D$58</f>
        <v>200</v>
      </c>
      <c r="AJ134" s="174">
        <f>10/6</f>
        <v>1.6666666666666667</v>
      </c>
      <c r="AK134" s="174">
        <f>SUM(AL134:AN134)</f>
        <v>9919.5104748914655</v>
      </c>
      <c r="AL134" s="174">
        <f>(VLOOKUP(C134,$B$36:$AG$39,31,FALSE)+VLOOKUP(C134,$B$40:$AG$43,31,FALSE)*$D$54)*$D$59/100</f>
        <v>9919.5104748914655</v>
      </c>
      <c r="AM134" s="174"/>
      <c r="AN134" s="174"/>
      <c r="AO134" s="176">
        <v>36</v>
      </c>
      <c r="AP134" s="174">
        <v>36</v>
      </c>
      <c r="AQ134" s="175">
        <f>VLOOKUP(C134,$B$45:$AG$48,31,FALSE)</f>
        <v>657</v>
      </c>
      <c r="AR134" s="31">
        <f>IF(LEFT(E134,1)*1=1,$S$71,$R$71)</f>
        <v>6</v>
      </c>
      <c r="AS134" s="2">
        <f>IF(LEFT(E134,1)*1=2,$U$71,$T$71)</f>
        <v>0</v>
      </c>
      <c r="AT134" s="33">
        <f>IF(LEFT(E134,1)*1=3,$W$71,$V$71)</f>
        <v>0</v>
      </c>
      <c r="AU134" s="31">
        <f>IF(MID(E134,3,1)*1=1,$Y$71,$X$71)</f>
        <v>0</v>
      </c>
      <c r="AV134" s="2">
        <f>IF(MID(E134,3,1)*1=2,$AA$71,$Z$71)</f>
        <v>0</v>
      </c>
      <c r="AW134" s="33">
        <f>IF(MID(E134,3,1)*1=3,$AC$71,$AB$71)</f>
        <v>1.5</v>
      </c>
      <c r="AX134" s="31">
        <f>IF(MID(E134,5,1)*1=1,$AE$71,$AD$71)</f>
        <v>1</v>
      </c>
      <c r="AY134" s="33">
        <f>IF(MID(E134,5,1)*1=2,$AG$71,$AF$71)</f>
        <v>1.6</v>
      </c>
      <c r="AZ134" s="2"/>
      <c r="BA134" s="101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 ht="12" customHeight="1">
      <c r="A135" s="2"/>
      <c r="B135" s="107">
        <v>765</v>
      </c>
      <c r="C135" s="31">
        <v>10</v>
      </c>
      <c r="D135" s="111" t="s">
        <v>21</v>
      </c>
      <c r="E135" s="2" t="s">
        <v>164</v>
      </c>
      <c r="F135" s="2" t="s">
        <v>149</v>
      </c>
      <c r="G135" s="2"/>
      <c r="H135" s="33"/>
      <c r="I135" s="173">
        <f>M135/AE135</f>
        <v>1300.0818600128416</v>
      </c>
      <c r="J135" s="174">
        <f>AH135/AE135</f>
        <v>30.238644768832497</v>
      </c>
      <c r="K135" s="207">
        <f>RANK(I135,$I$76:$I$977)</f>
        <v>60</v>
      </c>
      <c r="L135" s="208" t="e">
        <f>RANK(I135,$I$451:$I$866)</f>
        <v>#N/A</v>
      </c>
      <c r="M135" s="173">
        <f>SUM(N135:R135)</f>
        <v>28247.092042591416</v>
      </c>
      <c r="N135" s="174">
        <f>T135*(1+((AG135+IF(F135="백어택",8,0))/100)*(AI135/100-1))</f>
        <v>21164.484191337204</v>
      </c>
      <c r="O135" s="174"/>
      <c r="P135" s="174"/>
      <c r="Q135" s="174"/>
      <c r="R135" s="175">
        <f>X135*(1+(AG135/100)*(AI135/100-1))</f>
        <v>7082.6078512542108</v>
      </c>
      <c r="S135" s="173">
        <f>SUM(T135:X135)</f>
        <v>22616.483882752542</v>
      </c>
      <c r="T135" s="174">
        <f>AL135*AW135*AX135*AY135*IF(F135="백어택",1.2,1)</f>
        <v>16664.777597817661</v>
      </c>
      <c r="U135" s="174"/>
      <c r="V135" s="174"/>
      <c r="W135" s="174"/>
      <c r="X135" s="175">
        <f>AL135*AS135+IF(AX135=1,AL135*AU135,AL135*AU135*2)</f>
        <v>5951.7062849348795</v>
      </c>
      <c r="Y135" s="173">
        <f>SUM(Z135:AD135)</f>
        <v>45232.967765505084</v>
      </c>
      <c r="Z135" s="174">
        <f>T135*$D$58/100</f>
        <v>33329.555195635323</v>
      </c>
      <c r="AA135" s="174"/>
      <c r="AB135" s="174"/>
      <c r="AC135" s="174"/>
      <c r="AD135" s="175">
        <f>X135*$D$58/100</f>
        <v>11903.412569869759</v>
      </c>
      <c r="AE135" s="173">
        <f>AO135*(1-$D$20/100)*(1-$D$17/100)-AR135</f>
        <v>21.727164197424003</v>
      </c>
      <c r="AF135" s="174">
        <f>AP135</f>
        <v>36</v>
      </c>
      <c r="AG135" s="174">
        <f>IF($D$57&gt;100,100,$D$57)</f>
        <v>19.001300000000001</v>
      </c>
      <c r="AH135" s="174">
        <f>AQ135</f>
        <v>657</v>
      </c>
      <c r="AI135" s="174">
        <f>$D$58</f>
        <v>200</v>
      </c>
      <c r="AJ135" s="174">
        <f>10/6</f>
        <v>1.6666666666666667</v>
      </c>
      <c r="AK135" s="174">
        <f>SUM(AL135:AN135)</f>
        <v>9919.5104748914655</v>
      </c>
      <c r="AL135" s="174">
        <f>(VLOOKUP(C135,$B$36:$AG$39,31,FALSE)+VLOOKUP(C135,$B$40:$AG$43,31,FALSE)*$D$54)*$D$59/100</f>
        <v>9919.5104748914655</v>
      </c>
      <c r="AM135" s="174"/>
      <c r="AN135" s="174"/>
      <c r="AO135" s="176">
        <v>36</v>
      </c>
      <c r="AP135" s="174">
        <v>36</v>
      </c>
      <c r="AQ135" s="175">
        <f>VLOOKUP(C135,$B$45:$AG$48,31,FALSE)</f>
        <v>657</v>
      </c>
      <c r="AR135" s="31">
        <f>IF(LEFT(E135,1)*1=1,$S$71,$R$71)</f>
        <v>6</v>
      </c>
      <c r="AS135" s="2">
        <f>IF(LEFT(E135,1)*1=2,$U$71,$T$71)</f>
        <v>0</v>
      </c>
      <c r="AT135" s="33">
        <f>IF(LEFT(E135,1)*1=3,$W$71,$V$71)</f>
        <v>0</v>
      </c>
      <c r="AU135" s="31">
        <f>IF(MID(E135,3,1)*1=1,$Y$71,$X$71)</f>
        <v>0.3</v>
      </c>
      <c r="AV135" s="2">
        <f>IF(MID(E135,3,1)*1=2,$AA$71,$Z$71)</f>
        <v>0</v>
      </c>
      <c r="AW135" s="33">
        <f>IF(MID(E135,3,1)*1=3,$AC$71,$AB$71)</f>
        <v>1</v>
      </c>
      <c r="AX135" s="31">
        <f>IF(MID(E135,5,1)*1=1,$AE$71,$AD$71)</f>
        <v>1.4</v>
      </c>
      <c r="AY135" s="33">
        <f>IF(MID(E135,5,1)*1=2,$AG$71,$AF$71)</f>
        <v>1</v>
      </c>
      <c r="AZ135" s="2"/>
      <c r="BA135" s="101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 ht="12" customHeight="1">
      <c r="A136" s="2"/>
      <c r="B136" s="107">
        <v>557</v>
      </c>
      <c r="C136" s="31">
        <v>10</v>
      </c>
      <c r="D136" s="111" t="s">
        <v>14</v>
      </c>
      <c r="E136" s="2" t="s">
        <v>165</v>
      </c>
      <c r="F136" s="2" t="s">
        <v>149</v>
      </c>
      <c r="G136" s="2"/>
      <c r="H136" s="33" t="s">
        <v>81</v>
      </c>
      <c r="I136" s="173">
        <f>M136/AE136</f>
        <v>1283.9336584161838</v>
      </c>
      <c r="J136" s="174">
        <f>AH136/AE136</f>
        <v>23.695174714659018</v>
      </c>
      <c r="K136" s="207">
        <f>RANK(I136,$I$76:$I$977)</f>
        <v>61</v>
      </c>
      <c r="L136" s="208" t="e">
        <f>RANK(I136,$I$451:$I$866)</f>
        <v>#N/A</v>
      </c>
      <c r="M136" s="173">
        <f>SUM(N136:R136)</f>
        <v>35599.839365504828</v>
      </c>
      <c r="N136" s="174">
        <f>T136*(1+((AG136+IF(F136="백어택",8,0))/100)*(AI136/100-1))</f>
        <v>10622.686061571461</v>
      </c>
      <c r="O136" s="174">
        <f>U136*(1+((AG136+IF(F136="백어택",8,0))/100)*(AI136/100-1))</f>
        <v>10622.686061571461</v>
      </c>
      <c r="P136" s="174">
        <f>V136*(1+((AG136+IF(F136="백어택",8,0))/100)*(AI136*IF(AX136=1,AW136,1)/100-1))</f>
        <v>14354.467242361903</v>
      </c>
      <c r="Q136" s="174">
        <f>W136*(1+((AG136+IF(F136="백어택",8,0))/100)*(AI136*AW136/100-1))</f>
        <v>0</v>
      </c>
      <c r="R136" s="175"/>
      <c r="S136" s="173">
        <f>SUM(T136:X136)</f>
        <v>17450.679239139514</v>
      </c>
      <c r="T136" s="174">
        <f>AL136*AY136*IF(F136="백어택",1.2,1)</f>
        <v>5207.1326843733659</v>
      </c>
      <c r="U136" s="174">
        <f>AM136*AY136*IF(F136="백어택",1.2,1)</f>
        <v>5207.1326843733659</v>
      </c>
      <c r="V136" s="174">
        <f>AN136*AY136*IF(F136="백어택",1.2,1)</f>
        <v>7036.4138703927802</v>
      </c>
      <c r="W136" s="174">
        <f>(T136+U136+V136)*IF(AX136=1,0,0.6)*IF(F136="백어택",1.2,1)</f>
        <v>0</v>
      </c>
      <c r="X136" s="175"/>
      <c r="Y136" s="173">
        <f>SUM(Z136:AD136)</f>
        <v>52352.037717418534</v>
      </c>
      <c r="Z136" s="174">
        <f>T136*AI136/100</f>
        <v>15621.398053120098</v>
      </c>
      <c r="AA136" s="174">
        <f>U136*AI136/100</f>
        <v>15621.398053120098</v>
      </c>
      <c r="AB136" s="174">
        <f>V136*AI136*IF(AX136=1,AW136,1)/100</f>
        <v>21109.241611178339</v>
      </c>
      <c r="AC136" s="174">
        <f>W136*AI136*AW136/100</f>
        <v>0</v>
      </c>
      <c r="AD136" s="175"/>
      <c r="AE136" s="173">
        <f>AO136*(1-$D$20/100)*(1-$D$17/100)</f>
        <v>27.727164197424003</v>
      </c>
      <c r="AF136" s="174">
        <f>AP136</f>
        <v>36</v>
      </c>
      <c r="AG136" s="174">
        <f>IF($D$57+AU136&gt;100,100,$D$57+AU136)</f>
        <v>44.001300000000001</v>
      </c>
      <c r="AH136" s="174">
        <f>AQ136*AS136</f>
        <v>657</v>
      </c>
      <c r="AI136" s="174">
        <f>$D$58+IF(H136="근접",AR136,0)+IF(AY136=1,0,50)</f>
        <v>300</v>
      </c>
      <c r="AJ136" s="174">
        <f>10/3</f>
        <v>3.3333333333333335</v>
      </c>
      <c r="AK136" s="174">
        <f>SUM(AL136:AN136)</f>
        <v>12118.527249402439</v>
      </c>
      <c r="AL136" s="174">
        <f>(IF(H136="근접",$D$61*(VLOOKUP(C136,$B$36:$AG$39,19,FALSE)+VLOOKUP(C136,$B$40:$AG$43,19,FALSE)*$D$54),$D$60*(VLOOKUP(C136,$B$36:$AG$39,19,FALSE)+VLOOKUP(C136,$B$40:$AG$43,19,FALSE)*$D$54)))*$D$59/100</f>
        <v>3616.0643641481706</v>
      </c>
      <c r="AM136" s="174">
        <f>(IF(H136="근접",$D$61*(VLOOKUP(C136,$B$36:$AG$39,20,FALSE)+VLOOKUP(C136,$B$40:$AG$43,20,FALSE)*$D$54),$D$60*(VLOOKUP(C136,$B$36:$AG$39,20,FALSE)+VLOOKUP(C136,$B$40:$AG$43,20,FALSE)*$D$54)))*$D$59/100</f>
        <v>3616.0643641481706</v>
      </c>
      <c r="AN136" s="174">
        <f>(IF(H136="근접",$D$61*(VLOOKUP(C136,$B$36:$AG$39,21,FALSE)+VLOOKUP(C136,$B$40:$AG$43,21,FALSE)*$D$54),$D$60*(VLOOKUP(C136,$B$36:$AG$39,21,FALSE)+VLOOKUP(C136,$B$40:$AG$43,21,FALSE)*$D$54)))*$D$59/100</f>
        <v>4886.3985211060972</v>
      </c>
      <c r="AO136" s="176">
        <v>36</v>
      </c>
      <c r="AP136" s="174">
        <v>36</v>
      </c>
      <c r="AQ136" s="175">
        <f>VLOOKUP(C136,$B$45:$AA$48,19,FALSE)</f>
        <v>657</v>
      </c>
      <c r="AR136" s="31">
        <f>IF(LEFT(E136,1)*1=1,$S$64,$R$64)</f>
        <v>50</v>
      </c>
      <c r="AS136" s="2">
        <f>IF(LEFT(E136,1)*1=2,$U$64,$T$64)</f>
        <v>1</v>
      </c>
      <c r="AT136" s="33">
        <f>IF(LEFT(E136,1)*1=3,$W$64,$V$64)</f>
        <v>0</v>
      </c>
      <c r="AU136" s="31">
        <f>IF(MID(E136,3,1)*1=1,$Y$64,$X$64)</f>
        <v>25</v>
      </c>
      <c r="AV136" s="2">
        <f>IF(MID(E136,3,1)*1=2,$AA$64,$Z$64)</f>
        <v>0</v>
      </c>
      <c r="AW136" s="33">
        <f>IF(MID(E136,3,1)*1=3,$AC$64,$AB$64)</f>
        <v>1</v>
      </c>
      <c r="AX136" s="31">
        <f>IF(MID(E136,5,1)*1=1,$AE$64,$AD$64)</f>
        <v>1</v>
      </c>
      <c r="AY136" s="33">
        <f>IF(MID(E136,5,1)*1=2,$AG$64,$AF$64)</f>
        <v>1.2</v>
      </c>
      <c r="AZ136" s="2"/>
      <c r="BA136" s="101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 ht="15.75" customHeight="1">
      <c r="A137" s="2"/>
      <c r="B137" s="107">
        <v>774</v>
      </c>
      <c r="C137" s="31">
        <v>10</v>
      </c>
      <c r="D137" s="111" t="s">
        <v>21</v>
      </c>
      <c r="E137" s="2" t="s">
        <v>165</v>
      </c>
      <c r="F137" s="2" t="s">
        <v>149</v>
      </c>
      <c r="G137" s="2"/>
      <c r="H137" s="33"/>
      <c r="I137" s="173">
        <f>M137/AE137</f>
        <v>1276.2496571858892</v>
      </c>
      <c r="J137" s="174">
        <f>AH137/AE137</f>
        <v>30.238644768832497</v>
      </c>
      <c r="K137" s="207">
        <f>RANK(I137,$I$76:$I$977)</f>
        <v>62</v>
      </c>
      <c r="L137" s="208" t="e">
        <f>RANK(I137,$I$451:$I$866)</f>
        <v>#N/A</v>
      </c>
      <c r="M137" s="173">
        <f>SUM(N137:R137)</f>
        <v>27729.285858583909</v>
      </c>
      <c r="N137" s="174">
        <f>T137*(1+((AG137+IF(F137="백어택",8,0))/100)*(AI137/100-1))</f>
        <v>24187.981932956805</v>
      </c>
      <c r="O137" s="174"/>
      <c r="P137" s="174"/>
      <c r="Q137" s="174"/>
      <c r="R137" s="175">
        <f>X137*(1+(AG137/100)*(AI137/100-1))</f>
        <v>3541.3039256271054</v>
      </c>
      <c r="S137" s="173">
        <f>SUM(T137:X137)</f>
        <v>22021.313254259054</v>
      </c>
      <c r="T137" s="174">
        <f>AL137*AW137*AX137*AY137*IF(F137="백어택",1.2,1)</f>
        <v>19045.460111791614</v>
      </c>
      <c r="U137" s="174"/>
      <c r="V137" s="174"/>
      <c r="W137" s="174"/>
      <c r="X137" s="175">
        <f>AL137*AS137+IF(AX137=1,AL137*AU137,AL137*AU137*2)</f>
        <v>2975.8531424674397</v>
      </c>
      <c r="Y137" s="173">
        <f>SUM(Z137:AD137)</f>
        <v>44042.626508518108</v>
      </c>
      <c r="Z137" s="174">
        <f>T137*$D$58/100</f>
        <v>38090.920223583227</v>
      </c>
      <c r="AA137" s="174"/>
      <c r="AB137" s="174"/>
      <c r="AC137" s="174"/>
      <c r="AD137" s="175">
        <f>X137*$D$58/100</f>
        <v>5951.7062849348795</v>
      </c>
      <c r="AE137" s="173">
        <f>AO137*(1-$D$20/100)*(1-$D$17/100)-AR137</f>
        <v>21.727164197424003</v>
      </c>
      <c r="AF137" s="174">
        <f>AP137</f>
        <v>36</v>
      </c>
      <c r="AG137" s="174">
        <f>IF($D$57&gt;100,100,$D$57)</f>
        <v>19.001300000000001</v>
      </c>
      <c r="AH137" s="174">
        <f>AQ137</f>
        <v>657</v>
      </c>
      <c r="AI137" s="174">
        <f>$D$58</f>
        <v>200</v>
      </c>
      <c r="AJ137" s="174">
        <f>10/6</f>
        <v>1.6666666666666667</v>
      </c>
      <c r="AK137" s="174">
        <f>SUM(AL137:AN137)</f>
        <v>9919.5104748914655</v>
      </c>
      <c r="AL137" s="174">
        <f>(VLOOKUP(C137,$B$36:$AG$39,31,FALSE)+VLOOKUP(C137,$B$40:$AG$43,31,FALSE)*$D$54)*$D$59/100</f>
        <v>9919.5104748914655</v>
      </c>
      <c r="AM137" s="174"/>
      <c r="AN137" s="174"/>
      <c r="AO137" s="176">
        <v>36</v>
      </c>
      <c r="AP137" s="174">
        <v>36</v>
      </c>
      <c r="AQ137" s="175">
        <f>VLOOKUP(C137,$B$45:$AG$48,31,FALSE)</f>
        <v>657</v>
      </c>
      <c r="AR137" s="31">
        <f>IF(LEFT(E137,1)*1=1,$S$71,$R$71)</f>
        <v>6</v>
      </c>
      <c r="AS137" s="2">
        <f>IF(LEFT(E137,1)*1=2,$U$71,$T$71)</f>
        <v>0</v>
      </c>
      <c r="AT137" s="33">
        <f>IF(LEFT(E137,1)*1=3,$W$71,$V$71)</f>
        <v>0</v>
      </c>
      <c r="AU137" s="31">
        <f>IF(MID(E137,3,1)*1=1,$Y$71,$X$71)</f>
        <v>0.3</v>
      </c>
      <c r="AV137" s="2">
        <f>IF(MID(E137,3,1)*1=2,$AA$71,$Z$71)</f>
        <v>0</v>
      </c>
      <c r="AW137" s="33">
        <f>IF(MID(E137,3,1)*1=3,$AC$71,$AB$71)</f>
        <v>1</v>
      </c>
      <c r="AX137" s="31">
        <f>IF(MID(E137,5,1)*1=1,$AE$71,$AD$71)</f>
        <v>1</v>
      </c>
      <c r="AY137" s="33">
        <f>IF(MID(E137,5,1)*1=2,$AG$71,$AF$71)</f>
        <v>1.6</v>
      </c>
      <c r="AZ137" s="2"/>
      <c r="BA137" s="101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 ht="12" customHeight="1">
      <c r="A138" s="2"/>
      <c r="B138" s="107">
        <v>101</v>
      </c>
      <c r="C138" s="31">
        <v>10</v>
      </c>
      <c r="D138" s="106" t="s">
        <v>6</v>
      </c>
      <c r="E138" s="2" t="s">
        <v>159</v>
      </c>
      <c r="F138" s="2"/>
      <c r="G138" s="2" t="s">
        <v>183</v>
      </c>
      <c r="H138" s="33"/>
      <c r="I138" s="173">
        <f>M138/AE138</f>
        <v>1273.5926368599498</v>
      </c>
      <c r="J138" s="174">
        <f>AH138/AE138</f>
        <v>23.505991271208018</v>
      </c>
      <c r="K138" s="207">
        <f>RANK(I138,$I$76:$I$977)</f>
        <v>63</v>
      </c>
      <c r="L138" s="208">
        <f>RANK(I138,$I$76:$I$450)</f>
        <v>63</v>
      </c>
      <c r="M138" s="173">
        <f>SUM(N138:R138)</f>
        <v>25411.178783978987</v>
      </c>
      <c r="N138" s="174">
        <f>T138*(1+((AG138+IF(F138="백어택",8,0))/100)*((AI138/100-1)))</f>
        <v>25411.178783978987</v>
      </c>
      <c r="O138" s="174"/>
      <c r="P138" s="174"/>
      <c r="Q138" s="174"/>
      <c r="R138" s="175"/>
      <c r="S138" s="173">
        <f>SUM(T138:X138)</f>
        <v>10896.511166074539</v>
      </c>
      <c r="T138" s="174">
        <f>AL138*AW138*AT138*AX138*AY138</f>
        <v>10896.511166074539</v>
      </c>
      <c r="U138" s="174"/>
      <c r="V138" s="174"/>
      <c r="W138" s="174"/>
      <c r="X138" s="175"/>
      <c r="Y138" s="173">
        <f>SUM(Z138:AD138)</f>
        <v>21793.022332149078</v>
      </c>
      <c r="Z138" s="174">
        <f>T138*$D$58/100</f>
        <v>21793.022332149078</v>
      </c>
      <c r="AA138" s="174"/>
      <c r="AB138" s="174"/>
      <c r="AC138" s="174"/>
      <c r="AD138" s="175"/>
      <c r="AE138" s="173">
        <f>AO138*(1-$D$17/100)</f>
        <v>19.952359999999999</v>
      </c>
      <c r="AF138" s="174">
        <f>AP138</f>
        <v>36</v>
      </c>
      <c r="AG138" s="174">
        <f>IF($D$57+AV138&gt;100,100,$D$57+AV138)</f>
        <v>79.001300000000001</v>
      </c>
      <c r="AH138" s="174">
        <f>AQ138*AR138</f>
        <v>469</v>
      </c>
      <c r="AI138" s="174">
        <f>$D$58+$D$19</f>
        <v>268.61079999999998</v>
      </c>
      <c r="AJ138" s="174">
        <f>10/IF(AX138=1,IF(AY138=1,5,6),4)</f>
        <v>2.5</v>
      </c>
      <c r="AK138" s="174">
        <f>SUM(AL138:AN138)</f>
        <v>5675.2662323304885</v>
      </c>
      <c r="AL138" s="174">
        <f>(VLOOKUP(C138,$B$36:$AG$39,7,FALSE)+VLOOKUP(C138,$B$40:$AG$43,7,FALSE)*$D$54)*$D$59/100</f>
        <v>5675.2662323304885</v>
      </c>
      <c r="AM138" s="174"/>
      <c r="AN138" s="174"/>
      <c r="AO138" s="176">
        <v>20</v>
      </c>
      <c r="AP138" s="174">
        <v>36</v>
      </c>
      <c r="AQ138" s="175">
        <f>VLOOKUP(C138,$B$45:$AA$48,7,FALSE)</f>
        <v>469</v>
      </c>
      <c r="AR138" s="31">
        <f>IF(LEFT(E138,1)*1=1,$S$56,$R$56)</f>
        <v>1</v>
      </c>
      <c r="AS138" s="2">
        <f>IF(LEFT(E138,1)*1=2,$U$56,$T$56)</f>
        <v>0</v>
      </c>
      <c r="AT138" s="33">
        <f>IF(LEFT(E138,1)*1=3,$W$56,$V$56)</f>
        <v>1.2</v>
      </c>
      <c r="AU138" s="31">
        <f>IF(MID(E138,3,1)*1=1,$Y$56,$X$56)</f>
        <v>0</v>
      </c>
      <c r="AV138" s="2">
        <f>IF(MID(E138,3,1)*1=2,$AA$56,$Z$56)</f>
        <v>60</v>
      </c>
      <c r="AW138" s="33">
        <f>IF(MID(E138,3,1)*1=3,$AC$56,$AB$56)</f>
        <v>1</v>
      </c>
      <c r="AX138" s="31">
        <f>IF(MID(E138,5,1)*1=1,$AE$56,$AD$56)</f>
        <v>1.6</v>
      </c>
      <c r="AY138" s="33">
        <f>IF(MID(E138,5,1)*1=2,$AG$56,$AF$56)</f>
        <v>1</v>
      </c>
      <c r="AZ138" s="2"/>
      <c r="BA138" s="101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 ht="12" customHeight="1">
      <c r="A139" s="2"/>
      <c r="B139" s="107">
        <v>621</v>
      </c>
      <c r="C139" s="31">
        <v>10</v>
      </c>
      <c r="D139" s="111" t="s">
        <v>18</v>
      </c>
      <c r="E139" s="2" t="s">
        <v>145</v>
      </c>
      <c r="F139" s="2"/>
      <c r="G139" s="2"/>
      <c r="H139" s="33" t="s">
        <v>81</v>
      </c>
      <c r="I139" s="173">
        <f>M139/AE139</f>
        <v>1270.5052024800736</v>
      </c>
      <c r="J139" s="174">
        <f>AH139/AE139</f>
        <v>28.185356224514496</v>
      </c>
      <c r="K139" s="207">
        <f>RANK(I139,$I$76:$I$977)</f>
        <v>64</v>
      </c>
      <c r="L139" s="208" t="e">
        <f>RANK(I139,$I$451:$I$866)</f>
        <v>#N/A</v>
      </c>
      <c r="M139" s="173">
        <f>SUM(N139:R139)</f>
        <v>23485.004241897615</v>
      </c>
      <c r="N139" s="174">
        <f>T139*(1+((AG139+IF(F139="백어택",8,0))/100)*(AI139/100-1))</f>
        <v>9338.5455094325189</v>
      </c>
      <c r="O139" s="174">
        <f>U139*(1+(($D$57+IF(F139="백어택",8,0))/100)*(AI139/100-1))</f>
        <v>14146.458732465098</v>
      </c>
      <c r="P139" s="174"/>
      <c r="Q139" s="174"/>
      <c r="R139" s="175"/>
      <c r="S139" s="173">
        <f>SUM(T139:X139)</f>
        <v>17760.901624603903</v>
      </c>
      <c r="T139" s="174">
        <f>AL139*IF(H139="근접",AT139,IF(AV139=1,AT139,1))*AX139*IF(F139="백어택",1.2,1)</f>
        <v>5873.2510422446348</v>
      </c>
      <c r="U139" s="174">
        <f>IF(AX139=1,AM139*IF(H139="근접",AT139,IF(AV139=1,AT139,1)),0)*AY139*IF(AX139=1,1,0)*IF(F139="백어택",1.2,1)</f>
        <v>11887.650582359267</v>
      </c>
      <c r="V139" s="174"/>
      <c r="W139" s="174"/>
      <c r="X139" s="175"/>
      <c r="Y139" s="173">
        <f>SUM(Z139:AD139)</f>
        <v>35521.803249207805</v>
      </c>
      <c r="Z139" s="174">
        <f>T139*$D$58/100</f>
        <v>11746.50208448927</v>
      </c>
      <c r="AA139" s="174">
        <f>U139*$D$58/100</f>
        <v>23775.301164718534</v>
      </c>
      <c r="AB139" s="174"/>
      <c r="AC139" s="174"/>
      <c r="AD139" s="175"/>
      <c r="AE139" s="173">
        <f>(AO139*(1-$D$20/100)*(1-$D$17/100)-AR139)*IF(AW139="보스대상",1,POWER(0.85,AW139))</f>
        <v>18.484776131615998</v>
      </c>
      <c r="AF139" s="174">
        <f>AP139</f>
        <v>36</v>
      </c>
      <c r="AG139" s="174">
        <f>IF($D$57+AU139&gt;100,100,$D$57+AU139)</f>
        <v>59.001300000000001</v>
      </c>
      <c r="AH139" s="174">
        <f>AQ139</f>
        <v>521</v>
      </c>
      <c r="AI139" s="174">
        <f>$D$58</f>
        <v>200</v>
      </c>
      <c r="AJ139" s="174">
        <f>10*AS139/IF(AX139=1,IF(AY139=1,4.5,4),4)</f>
        <v>2.5</v>
      </c>
      <c r="AK139" s="174">
        <f>SUM(AL139:AN139)</f>
        <v>8196.5010303036597</v>
      </c>
      <c r="AL139" s="174">
        <f>IF(AV139=1,$D$61*(VLOOKUP(C139,$B$36:$AG$39,25,FALSE)+VLOOKUP(C139,$B$40:$AG$43,25,FALSE)*$D$54),(IF(H139="근접",$D$61*(VLOOKUP(C139,$B$36:$AG$39,25,FALSE)+VLOOKUP(C139,$B$40:$AG$43,25,FALSE)*$D$54),$D$60*(VLOOKUP(C139,$B$36:$AG$39,25,FALSE)+VLOOKUP(C139,$B$40:$AG$43,25,FALSE)*$D$54))))*$D$59/100</f>
        <v>4894.3758685371959</v>
      </c>
      <c r="AM139" s="174">
        <f>(IF(AV139=1,$D$61*(VLOOKUP(C139,$B$36:$AG$39,26,FALSE)+VLOOKUP(C139,$B$40:$AG$43,26,FALSE)*$D$54),IF(H139="근접",$D$61*(VLOOKUP(C139,$B$36:$AG$39,26,FALSE)+VLOOKUP(C139,$B$40:$AG$43,26,FALSE)*$D$54),$D$60*(VLOOKUP(C139,$B$36:$AG$39,26,FALSE)+VLOOKUP(C139,$B$40:$AG$43,26,FALSE)*$D$54))))*$D$59/100</f>
        <v>3302.1251617664634</v>
      </c>
      <c r="AN139" s="174"/>
      <c r="AO139" s="176">
        <v>24</v>
      </c>
      <c r="AP139" s="174">
        <v>36</v>
      </c>
      <c r="AQ139" s="175">
        <f>VLOOKUP(C139,$B$45:$AA$48,25,FALSE)</f>
        <v>521</v>
      </c>
      <c r="AR139" s="31">
        <f>IF(LEFT(E139,1)*1=1,$S$68,$R$68)</f>
        <v>0</v>
      </c>
      <c r="AS139" s="2">
        <f>IF(LEFT(E139,1)*1=2,$U$68,$T$68)</f>
        <v>1</v>
      </c>
      <c r="AT139" s="33">
        <f>IF(LEFT(E139,1)*1=3,$W$68,$V$68)</f>
        <v>1.2</v>
      </c>
      <c r="AU139" s="31">
        <f>IF(MID(E139,3,1)*1=1,$Y$68,$X$68)</f>
        <v>40</v>
      </c>
      <c r="AV139" s="2">
        <f>IF(MID(E139,3,1)*1=2,$AA$68,$Z$68)</f>
        <v>0</v>
      </c>
      <c r="AW139" s="33" t="str">
        <f>IF(MID(E139,3,1)*1=3,$AC$68,$AB$68)</f>
        <v>보스대상</v>
      </c>
      <c r="AX139" s="31">
        <f>IF(MID(E139,5,1)*1=1,$AE$68,$AD$68)</f>
        <v>1</v>
      </c>
      <c r="AY139" s="33">
        <f>IF(MID(E139,5,1)*1=2,$AG$68,$AF$68)</f>
        <v>3</v>
      </c>
      <c r="AZ139" s="2"/>
      <c r="BA139" s="101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 ht="12" customHeight="1">
      <c r="A140" s="2"/>
      <c r="B140" s="107">
        <v>547</v>
      </c>
      <c r="C140" s="31">
        <v>10</v>
      </c>
      <c r="D140" s="111" t="s">
        <v>14</v>
      </c>
      <c r="E140" s="2" t="s">
        <v>150</v>
      </c>
      <c r="F140" s="2" t="s">
        <v>149</v>
      </c>
      <c r="G140" s="2"/>
      <c r="H140" s="33" t="s">
        <v>81</v>
      </c>
      <c r="I140" s="173">
        <f>M140/AE140</f>
        <v>1267.4663386902307</v>
      </c>
      <c r="J140" s="174">
        <f>AH140/AE140</f>
        <v>23.695174714659018</v>
      </c>
      <c r="K140" s="207">
        <f>RANK(I140,$I$76:$I$977)</f>
        <v>65</v>
      </c>
      <c r="L140" s="208" t="e">
        <f>RANK(I140,$I$451:$I$866)</f>
        <v>#N/A</v>
      </c>
      <c r="M140" s="173">
        <f>SUM(N140:R140)</f>
        <v>35143.247287571852</v>
      </c>
      <c r="N140" s="174">
        <f>T140*(1+((AG140+IF(F140="백어택",8,0))/100)*(AI140/100-1))</f>
        <v>6096.7691338599361</v>
      </c>
      <c r="O140" s="174">
        <f>U140*(1+((AG140+IF(F140="백어택",8,0))/100)*(AI140/100-1))</f>
        <v>6096.7691338599361</v>
      </c>
      <c r="P140" s="174">
        <f>V140*(1+((AG140+IF(F140="백어택",8,0))/100)*(AI140*IF(AX140=1,AW140,1)/100-1))</f>
        <v>8238.5822483102729</v>
      </c>
      <c r="Q140" s="174">
        <f>W140*(1+((AG140+IF(F140="백어택",8,0))/100)*(AI140*AW140/100-1))</f>
        <v>14711.126771541702</v>
      </c>
      <c r="R140" s="175"/>
      <c r="S140" s="173">
        <f>SUM(T140:X140)</f>
        <v>25012.640242766633</v>
      </c>
      <c r="T140" s="174">
        <f>AL140*AY140*IF(F140="백어택",1.2,1)</f>
        <v>4339.2772369778049</v>
      </c>
      <c r="U140" s="174">
        <f>AM140*AY140*IF(F140="백어택",1.2,1)</f>
        <v>4339.2772369778049</v>
      </c>
      <c r="V140" s="174">
        <f>AN140*AY140*IF(F140="백어택",1.2,1)</f>
        <v>5863.6782253273168</v>
      </c>
      <c r="W140" s="174">
        <f>(T140+U140+V140)*IF(AX140=1,0,0.6)*IF(F140="백어택",1.2,1)</f>
        <v>10470.407543483705</v>
      </c>
      <c r="X140" s="175"/>
      <c r="Y140" s="173">
        <f>SUM(Z140:AD140)</f>
        <v>62531.600606916574</v>
      </c>
      <c r="Z140" s="174">
        <f>T140*AI140/100</f>
        <v>10848.193092444513</v>
      </c>
      <c r="AA140" s="174">
        <f>U140*AI140/100</f>
        <v>10848.193092444513</v>
      </c>
      <c r="AB140" s="174">
        <f>V140*AI140*IF(AX140=1,AW140,1)/100</f>
        <v>14659.195563318292</v>
      </c>
      <c r="AC140" s="174">
        <f>W140*AI140*AW140/100</f>
        <v>26176.01885870926</v>
      </c>
      <c r="AD140" s="175"/>
      <c r="AE140" s="173">
        <f>AO140*(1-$D$20/100)*(1-$D$17/100)</f>
        <v>27.727164197424003</v>
      </c>
      <c r="AF140" s="174">
        <f>AP140</f>
        <v>36</v>
      </c>
      <c r="AG140" s="174">
        <f>IF($D$57+AU140&gt;100,100,$D$57+AU140)</f>
        <v>19.001300000000001</v>
      </c>
      <c r="AH140" s="174">
        <f>AQ140*AS140</f>
        <v>657</v>
      </c>
      <c r="AI140" s="174">
        <f>$D$58+IF(H140="근접",AR140,0)+IF(AY140=1,0,50)</f>
        <v>250</v>
      </c>
      <c r="AJ140" s="174">
        <f>10/3</f>
        <v>3.3333333333333335</v>
      </c>
      <c r="AK140" s="174">
        <f>SUM(AL140:AN140)</f>
        <v>12118.527249402439</v>
      </c>
      <c r="AL140" s="174">
        <f>(IF(H140="근접",$D$61*(VLOOKUP(C140,$B$36:$AG$39,19,FALSE)+VLOOKUP(C140,$B$40:$AG$43,19,FALSE)*$D$54),$D$60*(VLOOKUP(C140,$B$36:$AG$39,19,FALSE)+VLOOKUP(C140,$B$40:$AG$43,19,FALSE)*$D$54)))*$D$59/100</f>
        <v>3616.0643641481706</v>
      </c>
      <c r="AM140" s="174">
        <f>(IF(H140="근접",$D$61*(VLOOKUP(C140,$B$36:$AG$39,20,FALSE)+VLOOKUP(C140,$B$40:$AG$43,20,FALSE)*$D$54),$D$60*(VLOOKUP(C140,$B$36:$AG$39,20,FALSE)+VLOOKUP(C140,$B$40:$AG$43,20,FALSE)*$D$54)))*$D$59/100</f>
        <v>3616.0643641481706</v>
      </c>
      <c r="AN140" s="174">
        <f>(IF(H140="근접",$D$61*(VLOOKUP(C140,$B$36:$AG$39,21,FALSE)+VLOOKUP(C140,$B$40:$AG$43,21,FALSE)*$D$54),$D$60*(VLOOKUP(C140,$B$36:$AG$39,21,FALSE)+VLOOKUP(C140,$B$40:$AG$43,21,FALSE)*$D$54)))*$D$59/100</f>
        <v>4886.3985211060972</v>
      </c>
      <c r="AO140" s="176">
        <v>36</v>
      </c>
      <c r="AP140" s="174">
        <v>36</v>
      </c>
      <c r="AQ140" s="175">
        <f>VLOOKUP(C140,$B$45:$AA$48,19,FALSE)</f>
        <v>657</v>
      </c>
      <c r="AR140" s="31">
        <f>IF(LEFT(E140,1)*1=1,$S$64,$R$64)</f>
        <v>50</v>
      </c>
      <c r="AS140" s="2">
        <f>IF(LEFT(E140,1)*1=2,$U$64,$T$64)</f>
        <v>1</v>
      </c>
      <c r="AT140" s="33">
        <f>IF(LEFT(E140,1)*1=3,$W$64,$V$64)</f>
        <v>0</v>
      </c>
      <c r="AU140" s="31">
        <f>IF(MID(E140,3,1)*1=1,$Y$64,$X$64)</f>
        <v>0</v>
      </c>
      <c r="AV140" s="2">
        <f>IF(MID(E140,3,1)*1=2,$AA$64,$Z$64)</f>
        <v>0</v>
      </c>
      <c r="AW140" s="33">
        <f>IF(MID(E140,3,1)*1=3,$AC$64,$AB$64)</f>
        <v>1</v>
      </c>
      <c r="AX140" s="31">
        <f>IF(MID(E140,5,1)*1=1,$AE$64,$AD$64)</f>
        <v>0.6</v>
      </c>
      <c r="AY140" s="33">
        <f>IF(MID(E140,5,1)*1=2,$AG$64,$AF$64)</f>
        <v>1</v>
      </c>
      <c r="AZ140" s="2"/>
      <c r="BA140" s="101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 ht="12" customHeight="1">
      <c r="A141" s="2"/>
      <c r="B141" s="107">
        <v>699</v>
      </c>
      <c r="C141" s="31">
        <v>10</v>
      </c>
      <c r="D141" s="111" t="s">
        <v>18</v>
      </c>
      <c r="E141" s="2" t="s">
        <v>164</v>
      </c>
      <c r="F141" s="2" t="s">
        <v>149</v>
      </c>
      <c r="G141" s="2"/>
      <c r="H141" s="33" t="s">
        <v>80</v>
      </c>
      <c r="I141" s="173">
        <f>M141/AE141</f>
        <v>1264.0184153958739</v>
      </c>
      <c r="J141" s="174">
        <f>AH141/AE141</f>
        <v>35.968798914524506</v>
      </c>
      <c r="K141" s="207">
        <f>RANK(I141,$I$76:$I$977)</f>
        <v>66</v>
      </c>
      <c r="L141" s="208" t="e">
        <f>RANK(I141,$I$451:$I$866)</f>
        <v>#N/A</v>
      </c>
      <c r="M141" s="173">
        <f>SUM(N141:R141)</f>
        <v>18309.023773249231</v>
      </c>
      <c r="N141" s="174">
        <f>T141*(1+((AG141+IF(F141="백어택",8,0))/100)*(AI141/100-1))</f>
        <v>18309.023773249231</v>
      </c>
      <c r="O141" s="174">
        <f>U141*(1+(($D$57+IF(F141="백어택",8,0))/100)*(AI141/100-1))</f>
        <v>0</v>
      </c>
      <c r="P141" s="174"/>
      <c r="Q141" s="174"/>
      <c r="R141" s="175"/>
      <c r="S141" s="173">
        <f>SUM(T141:X141)</f>
        <v>10963.401945523317</v>
      </c>
      <c r="T141" s="174">
        <f>AL141*IF(H141="근접",AT141,IF(AV141=1,AT141,1))*AX141*IF(F141="백어택",1.2,1)</f>
        <v>10963.401945523317</v>
      </c>
      <c r="U141" s="174">
        <f>IF(AX141=1,AM141*IF(H141="근접",AT141,IF(AV141=1,AT141,1)),0)*AY141*IF(AX141=1,1,0)*IF(F141="백어택",1.2,1)</f>
        <v>0</v>
      </c>
      <c r="V141" s="174"/>
      <c r="W141" s="174"/>
      <c r="X141" s="175"/>
      <c r="Y141" s="173">
        <f>SUM(Z141:AD141)</f>
        <v>21926.803891046635</v>
      </c>
      <c r="Z141" s="174">
        <f>T141*$D$58/100</f>
        <v>21926.803891046635</v>
      </c>
      <c r="AA141" s="174">
        <f>U141*$D$58/100</f>
        <v>0</v>
      </c>
      <c r="AB141" s="174"/>
      <c r="AC141" s="174"/>
      <c r="AD141" s="175"/>
      <c r="AE141" s="173">
        <f>(AO141*(1-$D$20/100)*(1-$D$17/100)-AR141)*IF(AW141="보스대상",1,POWER(0.85,AW141))</f>
        <v>14.484776131615998</v>
      </c>
      <c r="AF141" s="174">
        <f>AP141</f>
        <v>36</v>
      </c>
      <c r="AG141" s="174">
        <f>IF($D$57+AU141&gt;100,100,$D$57+AU141)</f>
        <v>59.001300000000001</v>
      </c>
      <c r="AH141" s="174">
        <f>AQ141</f>
        <v>521</v>
      </c>
      <c r="AI141" s="174">
        <f>$D$58</f>
        <v>200</v>
      </c>
      <c r="AJ141" s="174">
        <f>10*AS141/IF(AX141=1,IF(AY141=1,4.5,4),4)</f>
        <v>2.5</v>
      </c>
      <c r="AK141" s="174">
        <f>SUM(AL141:AN141)</f>
        <v>5464.3340202024392</v>
      </c>
      <c r="AL141" s="174">
        <f>IF(AV141=1,$D$61*(VLOOKUP(C141,$B$36:$AG$39,25,FALSE)+VLOOKUP(C141,$B$40:$AG$43,25,FALSE)*$D$54),(IF(H141="근접",$D$61*(VLOOKUP(C141,$B$36:$AG$39,25,FALSE)+VLOOKUP(C141,$B$40:$AG$43,25,FALSE)*$D$54),$D$60*(VLOOKUP(C141,$B$36:$AG$39,25,FALSE)+VLOOKUP(C141,$B$40:$AG$43,25,FALSE)*$D$54))))*$D$59/100</f>
        <v>3262.9172456914639</v>
      </c>
      <c r="AM141" s="174">
        <f>(IF(AV141=1,$D$61*(VLOOKUP(C141,$B$36:$AG$39,26,FALSE)+VLOOKUP(C141,$B$40:$AG$43,26,FALSE)*$D$54),IF(H141="근접",$D$61*(VLOOKUP(C141,$B$36:$AG$39,26,FALSE)+VLOOKUP(C141,$B$40:$AG$43,26,FALSE)*$D$54),$D$60*(VLOOKUP(C141,$B$36:$AG$39,26,FALSE)+VLOOKUP(C141,$B$40:$AG$43,26,FALSE)*$D$54))))*$D$59/100</f>
        <v>2201.4167745109758</v>
      </c>
      <c r="AN141" s="174"/>
      <c r="AO141" s="176">
        <v>24</v>
      </c>
      <c r="AP141" s="174">
        <v>36</v>
      </c>
      <c r="AQ141" s="175">
        <f>VLOOKUP(C141,$B$45:$AA$48,25,FALSE)</f>
        <v>521</v>
      </c>
      <c r="AR141" s="31">
        <f>IF(LEFT(E141,1)*1=1,$S$68,$R$68)</f>
        <v>4</v>
      </c>
      <c r="AS141" s="2">
        <f>IF(LEFT(E141,1)*1=2,$U$68,$T$68)</f>
        <v>1</v>
      </c>
      <c r="AT141" s="33">
        <f>IF(LEFT(E141,1)*1=3,$W$68,$V$68)</f>
        <v>1</v>
      </c>
      <c r="AU141" s="31">
        <f>IF(MID(E141,3,1)*1=1,$Y$68,$X$68)</f>
        <v>40</v>
      </c>
      <c r="AV141" s="2">
        <f>IF(MID(E141,3,1)*1=2,$AA$68,$Z$68)</f>
        <v>0</v>
      </c>
      <c r="AW141" s="33" t="str">
        <f>IF(MID(E141,3,1)*1=3,$AC$68,$AB$68)</f>
        <v>보스대상</v>
      </c>
      <c r="AX141" s="31">
        <f>IF(MID(E141,5,1)*1=1,$AE$68,$AD$68)</f>
        <v>2.8</v>
      </c>
      <c r="AY141" s="33">
        <f>IF(MID(E141,5,1)*1=2,$AG$68,$AF$68)</f>
        <v>1</v>
      </c>
      <c r="AZ141" s="2"/>
      <c r="BA141" s="101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12" hidden="1" customHeight="1">
      <c r="A142" s="2"/>
      <c r="B142" s="107">
        <v>181</v>
      </c>
      <c r="C142" s="31">
        <v>7</v>
      </c>
      <c r="D142" s="106" t="s">
        <v>10</v>
      </c>
      <c r="E142" s="2" t="s">
        <v>168</v>
      </c>
      <c r="F142" s="2" t="s">
        <v>149</v>
      </c>
      <c r="G142" s="2" t="s">
        <v>184</v>
      </c>
      <c r="H142" s="33"/>
      <c r="I142" s="173">
        <f>M142/AE142</f>
        <v>1251.2105730560934</v>
      </c>
      <c r="J142" s="174">
        <f>AH142/AE142</f>
        <v>17.980329144021059</v>
      </c>
      <c r="K142" s="207">
        <f>RANK(I142,$I$76:$I$977)</f>
        <v>67</v>
      </c>
      <c r="L142" s="208">
        <f>RANK(I142,$I$76:$I$450)</f>
        <v>67</v>
      </c>
      <c r="M142" s="173">
        <f>SUM(N142:R142)</f>
        <v>19971.683031537181</v>
      </c>
      <c r="N142" s="174">
        <f>T142*(1+((AG142+IF(F142="백어택",8,0))/100)*((AI142/100-1)))</f>
        <v>19971.683031537181</v>
      </c>
      <c r="O142" s="174"/>
      <c r="P142" s="174"/>
      <c r="Q142" s="174"/>
      <c r="R142" s="175"/>
      <c r="S142" s="173">
        <f>SUM(T142:X142)</f>
        <v>13723.685788984754</v>
      </c>
      <c r="T142" s="174">
        <f>AL142*AS142*AU142*AX142*IF(AY142=0,1,0.5)*IF(F142="백어택",1.2,1)</f>
        <v>13723.685788984754</v>
      </c>
      <c r="U142" s="174"/>
      <c r="V142" s="174"/>
      <c r="W142" s="174"/>
      <c r="X142" s="175"/>
      <c r="Y142" s="173">
        <f>SUM(Z142:AD142)</f>
        <v>36863.302187278256</v>
      </c>
      <c r="Z142" s="174">
        <f>T142*AI142/100</f>
        <v>36863.302187278256</v>
      </c>
      <c r="AA142" s="174"/>
      <c r="AB142" s="174"/>
      <c r="AC142" s="174"/>
      <c r="AD142" s="175"/>
      <c r="AE142" s="173">
        <f>AO142*(1-$D$17/100)</f>
        <v>15.961888</v>
      </c>
      <c r="AF142" s="174">
        <f>AP142</f>
        <v>36</v>
      </c>
      <c r="AG142" s="174">
        <f>IF($D$57+AV142&gt;100,100,$D$57+AV142)</f>
        <v>19.001300000000001</v>
      </c>
      <c r="AH142" s="174">
        <f>AQ142</f>
        <v>287</v>
      </c>
      <c r="AI142" s="174">
        <f>$D$58+$D$19</f>
        <v>268.61079999999998</v>
      </c>
      <c r="AJ142" s="174">
        <f>10*AR142/(7-IF(AX142=1,0,3))</f>
        <v>1.4285714285714286</v>
      </c>
      <c r="AK142" s="174">
        <f>SUM(AL142:AN142)</f>
        <v>7753.4947960365853</v>
      </c>
      <c r="AL142" s="174">
        <f>(VLOOKUP(C142,$B$36:$AG$39,13,FALSE)+VLOOKUP(C142,$B$40:$AG$43,13,FALSE)*$D$54)*$D$59/100</f>
        <v>7753.4947960365853</v>
      </c>
      <c r="AM142" s="174"/>
      <c r="AN142" s="174"/>
      <c r="AO142" s="176">
        <v>16</v>
      </c>
      <c r="AP142" s="174">
        <v>36</v>
      </c>
      <c r="AQ142" s="175">
        <f>VLOOKUP(C142,$B$45:$AA$48,13,FALSE)</f>
        <v>287</v>
      </c>
      <c r="AR142" s="31">
        <f>IF(LEFT(E142,1)*1=1,$S$60,$R$60)</f>
        <v>1</v>
      </c>
      <c r="AS142" s="2">
        <f>IF(LEFT(E142,1)*1=2,$U$60,$T$60)</f>
        <v>1.18</v>
      </c>
      <c r="AT142" s="33">
        <f>IF(LEFT(E142,1)*1=3,$W$60,$V$60)</f>
        <v>0</v>
      </c>
      <c r="AU142" s="31">
        <f>IF(MID(E142,3,1)*1=1,$Y$60,$X$60)</f>
        <v>1.25</v>
      </c>
      <c r="AV142" s="2">
        <f>IF(MID(E142,3,1)*1=2,$AA$60,$Z$60)</f>
        <v>0</v>
      </c>
      <c r="AW142" s="33">
        <f>IF(MID(E142,3,1)*1=3,$AC$60,$AB$60)</f>
        <v>0</v>
      </c>
      <c r="AX142" s="31">
        <f>IF(MID(E142,5,1)*1=1,$AE$60,$AD$60)</f>
        <v>1</v>
      </c>
      <c r="AY142" s="33">
        <f>IF(MID(E142,5,1)*1=2,$AG$60,$AF$60)</f>
        <v>0</v>
      </c>
      <c r="AZ142" s="2"/>
      <c r="BA142" s="101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 ht="12" hidden="1" customHeight="1">
      <c r="A143" s="2"/>
      <c r="B143" s="107">
        <v>719</v>
      </c>
      <c r="C143" s="31">
        <v>7</v>
      </c>
      <c r="D143" s="111" t="s">
        <v>18</v>
      </c>
      <c r="E143" s="2" t="s">
        <v>155</v>
      </c>
      <c r="F143" s="2" t="s">
        <v>149</v>
      </c>
      <c r="G143" s="2" t="s">
        <v>186</v>
      </c>
      <c r="H143" s="33" t="s">
        <v>80</v>
      </c>
      <c r="I143" s="173">
        <f>M143/AE143</f>
        <v>1240.0259027440525</v>
      </c>
      <c r="J143" s="174">
        <f>AH143/AE143</f>
        <v>56.480718015255015</v>
      </c>
      <c r="K143" s="207">
        <f>RANK(I143,$I$76:$I$977)</f>
        <v>68</v>
      </c>
      <c r="L143" s="208" t="e">
        <f>RANK(I143,$I$451:$I$866)</f>
        <v>#N/A</v>
      </c>
      <c r="M143" s="173">
        <f>SUM(N143:R143)</f>
        <v>7969.6119049781646</v>
      </c>
      <c r="N143" s="174">
        <f>T143*(1+((AG143+IF(F143="백어택",8,0))/100)*(AI143/100-1))</f>
        <v>4757.1102002909283</v>
      </c>
      <c r="O143" s="174">
        <f>U143*(1+(($D$57+IF(F143="백어택",8,0))/100)*(AI143/100-1))</f>
        <v>3212.5017046872367</v>
      </c>
      <c r="P143" s="174"/>
      <c r="Q143" s="174"/>
      <c r="R143" s="175"/>
      <c r="S143" s="173">
        <f>SUM(T143:X143)</f>
        <v>6275.2207300068303</v>
      </c>
      <c r="T143" s="174">
        <f>AL143*IF(H143="근접",AT143,IF(AV143=1,AT143,1))*AX143*IF(F143="백어택",1.2,1)</f>
        <v>3745.7177212287811</v>
      </c>
      <c r="U143" s="174">
        <f>IF(AX143=1,AM143*IF(H143="근접",AT143,IF(AV143=1,AT143,1)),0)*AY143*IF(AX143=1,1,0)*IF(F143="백어택",1.2,1)</f>
        <v>2529.5030087780492</v>
      </c>
      <c r="V143" s="174"/>
      <c r="W143" s="174"/>
      <c r="X143" s="175"/>
      <c r="Y143" s="173">
        <f>SUM(Z143:AD143)</f>
        <v>12550.441460013661</v>
      </c>
      <c r="Z143" s="174">
        <f>T143*$D$58/100</f>
        <v>7491.4354424575622</v>
      </c>
      <c r="AA143" s="174">
        <f>U143*$D$58/100</f>
        <v>5059.0060175560984</v>
      </c>
      <c r="AB143" s="174"/>
      <c r="AC143" s="174"/>
      <c r="AD143" s="175"/>
      <c r="AE143" s="173">
        <f>(AO143*(1-$D$20/100)*(1-$D$17/100)-AR143)*IF(AW143="보스대상",1,POWER(0.85,AW143))</f>
        <v>6.4269721199712162</v>
      </c>
      <c r="AF143" s="174">
        <f>AP143</f>
        <v>36</v>
      </c>
      <c r="AG143" s="174">
        <f>IF($D$57+AU143&gt;100,100,$D$57+AU143)</f>
        <v>19.001300000000001</v>
      </c>
      <c r="AH143" s="174">
        <f>AQ143</f>
        <v>363</v>
      </c>
      <c r="AI143" s="174">
        <f>$D$58</f>
        <v>200</v>
      </c>
      <c r="AJ143" s="174">
        <f>10*AS143/IF(AX143=1,IF(AY143=1,4.5,4),4)</f>
        <v>2.2222222222222223</v>
      </c>
      <c r="AK143" s="174">
        <f>SUM(AL143:AN143)</f>
        <v>5229.3506083390257</v>
      </c>
      <c r="AL143" s="174">
        <f>IF(AV143=1,$D$61*(VLOOKUP(C143,$B$36:$AG$39,25,FALSE)+VLOOKUP(C143,$B$40:$AG$43,25,FALSE)*$D$54),(IF(H143="근접",$D$61*(VLOOKUP(C143,$B$36:$AG$39,25,FALSE)+VLOOKUP(C143,$B$40:$AG$43,25,FALSE)*$D$54),$D$60*(VLOOKUP(C143,$B$36:$AG$39,25,FALSE)+VLOOKUP(C143,$B$40:$AG$43,25,FALSE)*$D$54))))*$D$59/100</f>
        <v>3121.4314343573178</v>
      </c>
      <c r="AM143" s="174">
        <f>(IF(AV143=1,$D$61*(VLOOKUP(C143,$B$36:$AG$39,26,FALSE)+VLOOKUP(C143,$B$40:$AG$43,26,FALSE)*$D$54),IF(H143="근접",$D$61*(VLOOKUP(C143,$B$36:$AG$39,26,FALSE)+VLOOKUP(C143,$B$40:$AG$43,26,FALSE)*$D$54),$D$60*(VLOOKUP(C143,$B$36:$AG$39,26,FALSE)+VLOOKUP(C143,$B$40:$AG$43,26,FALSE)*$D$54))))*$D$59/100</f>
        <v>2107.9191739817079</v>
      </c>
      <c r="AN143" s="174"/>
      <c r="AO143" s="176">
        <v>24</v>
      </c>
      <c r="AP143" s="174">
        <v>36</v>
      </c>
      <c r="AQ143" s="175">
        <f>VLOOKUP(C143,$B$45:$AA$48,25,FALSE)</f>
        <v>363</v>
      </c>
      <c r="AR143" s="31">
        <f>IF(LEFT(E143,1)*1=1,$S$68,$R$68)</f>
        <v>4</v>
      </c>
      <c r="AS143" s="2">
        <f>IF(LEFT(E143,1)*1=2,$U$68,$T$68)</f>
        <v>1</v>
      </c>
      <c r="AT143" s="33">
        <f>IF(LEFT(E143,1)*1=3,$W$68,$V$68)</f>
        <v>1</v>
      </c>
      <c r="AU143" s="31">
        <f>IF(MID(E143,3,1)*1=1,$Y$68,$X$68)</f>
        <v>0</v>
      </c>
      <c r="AV143" s="2">
        <f>IF(MID(E143,3,1)*1=2,$AA$68,$Z$68)</f>
        <v>0</v>
      </c>
      <c r="AW143" s="33">
        <f>IF(MID(E143,3,1)*1=3,$AC$68,$AB$68)</f>
        <v>5</v>
      </c>
      <c r="AX143" s="31">
        <f>IF(MID(E143,5,1)*1=1,$AE$68,$AD$68)</f>
        <v>1</v>
      </c>
      <c r="AY143" s="33">
        <f>IF(MID(E143,5,1)*1=2,$AG$68,$AF$68)</f>
        <v>1</v>
      </c>
      <c r="AZ143" s="2"/>
      <c r="BA143" s="101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 ht="12" customHeight="1">
      <c r="A144" s="2"/>
      <c r="B144" s="107">
        <v>769</v>
      </c>
      <c r="C144" s="31">
        <v>10</v>
      </c>
      <c r="D144" s="111" t="s">
        <v>21</v>
      </c>
      <c r="E144" s="2" t="s">
        <v>171</v>
      </c>
      <c r="F144" s="2" t="s">
        <v>149</v>
      </c>
      <c r="G144" s="2" t="s">
        <v>177</v>
      </c>
      <c r="H144" s="33"/>
      <c r="I144" s="173">
        <f>M144/AE144</f>
        <v>1230.1148190959236</v>
      </c>
      <c r="J144" s="174">
        <f>AH144/AE144</f>
        <v>23.695174714659018</v>
      </c>
      <c r="K144" s="207">
        <f>RANK(I144,$I$76:$I$977)</f>
        <v>69</v>
      </c>
      <c r="L144" s="208" t="e">
        <f>RANK(I144,$I$451:$I$866)</f>
        <v>#N/A</v>
      </c>
      <c r="M144" s="173">
        <f>SUM(N144:R144)</f>
        <v>34107.595570757199</v>
      </c>
      <c r="N144" s="174">
        <f>T144*(1+((AG144+IF(F144="백어택",8,0))/100)*(AI144/100-1))</f>
        <v>31746.726287005797</v>
      </c>
      <c r="O144" s="174"/>
      <c r="P144" s="174"/>
      <c r="Q144" s="174"/>
      <c r="R144" s="175">
        <f>X144*(1+(AG144/100)*(AI144/100-1))</f>
        <v>2360.8692837514036</v>
      </c>
      <c r="S144" s="173">
        <f>SUM(T144:X144)</f>
        <v>26981.06849170478</v>
      </c>
      <c r="T144" s="174">
        <f>AL144*AW144*AX144*AY144*IF(F144="백어택",1.2,1)</f>
        <v>24997.166396726487</v>
      </c>
      <c r="U144" s="174"/>
      <c r="V144" s="174"/>
      <c r="W144" s="174"/>
      <c r="X144" s="175">
        <f>AL144*AS144+IF(AX144=1,AL144*AU144,AL144*AU144*2)</f>
        <v>1983.9020949782932</v>
      </c>
      <c r="Y144" s="173">
        <f>SUM(Z144:AD144)</f>
        <v>53962.13698340956</v>
      </c>
      <c r="Z144" s="174">
        <f>T144*$D$58/100</f>
        <v>49994.332793452973</v>
      </c>
      <c r="AA144" s="174"/>
      <c r="AB144" s="174"/>
      <c r="AC144" s="174"/>
      <c r="AD144" s="175">
        <f>X144*$D$58/100</f>
        <v>3967.8041899565865</v>
      </c>
      <c r="AE144" s="173">
        <f>AO144*(1-$D$20/100)*(1-$D$17/100)-AR144</f>
        <v>27.727164197424003</v>
      </c>
      <c r="AF144" s="174">
        <f>AP144</f>
        <v>36</v>
      </c>
      <c r="AG144" s="174">
        <f>IF($D$57&gt;100,100,$D$57)</f>
        <v>19.001300000000001</v>
      </c>
      <c r="AH144" s="174">
        <f>AQ144</f>
        <v>657</v>
      </c>
      <c r="AI144" s="174">
        <f>$D$58</f>
        <v>200</v>
      </c>
      <c r="AJ144" s="174">
        <f>10/6</f>
        <v>1.6666666666666667</v>
      </c>
      <c r="AK144" s="174">
        <f>SUM(AL144:AN144)</f>
        <v>9919.5104748914655</v>
      </c>
      <c r="AL144" s="174">
        <f>(VLOOKUP(C144,$B$36:$AG$39,31,FALSE)+VLOOKUP(C144,$B$40:$AG$43,31,FALSE)*$D$54)*$D$59/100</f>
        <v>9919.5104748914655</v>
      </c>
      <c r="AM144" s="174"/>
      <c r="AN144" s="174"/>
      <c r="AO144" s="176">
        <v>36</v>
      </c>
      <c r="AP144" s="174">
        <v>36</v>
      </c>
      <c r="AQ144" s="175">
        <f>VLOOKUP(C144,$B$45:$AG$48,31,FALSE)</f>
        <v>657</v>
      </c>
      <c r="AR144" s="31">
        <f>IF(LEFT(E144,1)*1=1,$S$71,$R$71)</f>
        <v>0</v>
      </c>
      <c r="AS144" s="2">
        <f>IF(LEFT(E144,1)*1=2,$U$71,$T$71)</f>
        <v>0.2</v>
      </c>
      <c r="AT144" s="33">
        <f>IF(LEFT(E144,1)*1=3,$W$71,$V$71)</f>
        <v>0</v>
      </c>
      <c r="AU144" s="31">
        <f>IF(MID(E144,3,1)*1=1,$Y$71,$X$71)</f>
        <v>0</v>
      </c>
      <c r="AV144" s="2">
        <f>IF(MID(E144,3,1)*1=2,$AA$71,$Z$71)</f>
        <v>0</v>
      </c>
      <c r="AW144" s="33">
        <f>IF(MID(E144,3,1)*1=3,$AC$71,$AB$71)</f>
        <v>1.5</v>
      </c>
      <c r="AX144" s="31">
        <f>IF(MID(E144,5,1)*1=1,$AE$71,$AD$71)</f>
        <v>1.4</v>
      </c>
      <c r="AY144" s="33">
        <f>IF(MID(E144,5,1)*1=2,$AG$71,$AF$71)</f>
        <v>1</v>
      </c>
      <c r="AZ144" s="2"/>
      <c r="BA144" s="101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 ht="12" customHeight="1">
      <c r="A145" s="2"/>
      <c r="B145" s="107">
        <v>681</v>
      </c>
      <c r="C145" s="31">
        <v>10</v>
      </c>
      <c r="D145" s="111" t="s">
        <v>18</v>
      </c>
      <c r="E145" s="2" t="s">
        <v>102</v>
      </c>
      <c r="F145" s="2" t="s">
        <v>149</v>
      </c>
      <c r="G145" s="2"/>
      <c r="H145" s="33" t="s">
        <v>81</v>
      </c>
      <c r="I145" s="173">
        <f>M145/AE145</f>
        <v>1220.2785575740756</v>
      </c>
      <c r="J145" s="174">
        <f>AH145/AE145</f>
        <v>28.185356224514496</v>
      </c>
      <c r="K145" s="207">
        <f>RANK(I145,$I$76:$I$977)</f>
        <v>70</v>
      </c>
      <c r="L145" s="208" t="e">
        <f>RANK(I145,$I$451:$I$866)</f>
        <v>#N/A</v>
      </c>
      <c r="M145" s="173">
        <f>SUM(N145:R145)</f>
        <v>22556.575954968073</v>
      </c>
      <c r="N145" s="174">
        <f>T145*(1+((AG145+IF(F145="백어택",8,0))/100)*(AI145/100-1))</f>
        <v>7459.1051759142356</v>
      </c>
      <c r="O145" s="174">
        <f>U145*(1+(($D$57+IF(F145="백어택",8,0))/100)*(AI145/100-1))</f>
        <v>15097.47077905384</v>
      </c>
      <c r="P145" s="174"/>
      <c r="Q145" s="174"/>
      <c r="R145" s="175"/>
      <c r="S145" s="173">
        <f>SUM(T145:X145)</f>
        <v>17760.901624603903</v>
      </c>
      <c r="T145" s="174">
        <f>AL145*IF(H145="근접",AT145,IF(AV145=1,AT145,1))*AX145*IF(F145="백어택",1.2,1)</f>
        <v>5873.2510422446348</v>
      </c>
      <c r="U145" s="174">
        <f>IF(AX145=1,AM145*IF(H145="근접",AT145,IF(AV145=1,AT145,1)),0)*AY145*IF(AX145=1,1,0)*IF(F145="백어택",1.2,1)</f>
        <v>11887.650582359267</v>
      </c>
      <c r="V145" s="174"/>
      <c r="W145" s="174"/>
      <c r="X145" s="175"/>
      <c r="Y145" s="173">
        <f>SUM(Z145:AD145)</f>
        <v>35521.803249207805</v>
      </c>
      <c r="Z145" s="174">
        <f>T145*$D$58/100</f>
        <v>11746.50208448927</v>
      </c>
      <c r="AA145" s="174">
        <f>U145*$D$58/100</f>
        <v>23775.301164718534</v>
      </c>
      <c r="AB145" s="174"/>
      <c r="AC145" s="174"/>
      <c r="AD145" s="175"/>
      <c r="AE145" s="173">
        <f>(AO145*(1-$D$20/100)*(1-$D$17/100)-AR145)*IF(AW145="보스대상",1,POWER(0.85,AW145))</f>
        <v>18.484776131615998</v>
      </c>
      <c r="AF145" s="174">
        <f>AP145</f>
        <v>36</v>
      </c>
      <c r="AG145" s="174">
        <f>IF($D$57+AU145&gt;100,100,$D$57+AU145)</f>
        <v>19.001300000000001</v>
      </c>
      <c r="AH145" s="174">
        <f>AQ145</f>
        <v>521</v>
      </c>
      <c r="AI145" s="174">
        <f>$D$58</f>
        <v>200</v>
      </c>
      <c r="AJ145" s="174">
        <f>10*AS145/IF(AX145=1,IF(AY145=1,4.5,4),4)</f>
        <v>2</v>
      </c>
      <c r="AK145" s="174">
        <f>SUM(AL145:AN145)</f>
        <v>8196.5010303036597</v>
      </c>
      <c r="AL145" s="174">
        <f>IF(AV145=1,$D$61*(VLOOKUP(C145,$B$36:$AG$39,25,FALSE)+VLOOKUP(C145,$B$40:$AG$43,25,FALSE)*$D$54),(IF(H145="근접",$D$61*(VLOOKUP(C145,$B$36:$AG$39,25,FALSE)+VLOOKUP(C145,$B$40:$AG$43,25,FALSE)*$D$54),$D$60*(VLOOKUP(C145,$B$36:$AG$39,25,FALSE)+VLOOKUP(C145,$B$40:$AG$43,25,FALSE)*$D$54))))*$D$59/100</f>
        <v>4894.3758685371959</v>
      </c>
      <c r="AM145" s="174">
        <f>(IF(AV145=1,$D$61*(VLOOKUP(C145,$B$36:$AG$39,26,FALSE)+VLOOKUP(C145,$B$40:$AG$43,26,FALSE)*$D$54),IF(H145="근접",$D$61*(VLOOKUP(C145,$B$36:$AG$39,26,FALSE)+VLOOKUP(C145,$B$40:$AG$43,26,FALSE)*$D$54),$D$60*(VLOOKUP(C145,$B$36:$AG$39,26,FALSE)+VLOOKUP(C145,$B$40:$AG$43,26,FALSE)*$D$54))))*$D$59/100</f>
        <v>3302.1251617664634</v>
      </c>
      <c r="AN145" s="174"/>
      <c r="AO145" s="176">
        <v>24</v>
      </c>
      <c r="AP145" s="174">
        <v>36</v>
      </c>
      <c r="AQ145" s="175">
        <f>VLOOKUP(C145,$B$45:$AA$48,25,FALSE)</f>
        <v>521</v>
      </c>
      <c r="AR145" s="31">
        <f>IF(LEFT(E145,1)*1=1,$S$68,$R$68)</f>
        <v>0</v>
      </c>
      <c r="AS145" s="2">
        <f>IF(LEFT(E145,1)*1=2,$U$68,$T$68)</f>
        <v>0.8</v>
      </c>
      <c r="AT145" s="33">
        <f>IF(LEFT(E145,1)*1=3,$W$68,$V$68)</f>
        <v>1</v>
      </c>
      <c r="AU145" s="31">
        <f>IF(MID(E145,3,1)*1=1,$Y$68,$X$68)</f>
        <v>0</v>
      </c>
      <c r="AV145" s="2">
        <f>IF(MID(E145,3,1)*1=2,$AA$68,$Z$68)</f>
        <v>1</v>
      </c>
      <c r="AW145" s="33" t="str">
        <f>IF(MID(E145,3,1)*1=3,$AC$68,$AB$68)</f>
        <v>보스대상</v>
      </c>
      <c r="AX145" s="31">
        <f>IF(MID(E145,5,1)*1=1,$AE$68,$AD$68)</f>
        <v>1</v>
      </c>
      <c r="AY145" s="33">
        <f>IF(MID(E145,5,1)*1=2,$AG$68,$AF$68)</f>
        <v>3</v>
      </c>
      <c r="AZ145" s="2"/>
      <c r="BA145" s="101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 ht="12" customHeight="1">
      <c r="A146" s="2"/>
      <c r="B146" s="107">
        <v>712</v>
      </c>
      <c r="C146" s="31">
        <v>10</v>
      </c>
      <c r="D146" s="111" t="s">
        <v>18</v>
      </c>
      <c r="E146" s="2" t="s">
        <v>102</v>
      </c>
      <c r="F146" s="2" t="s">
        <v>149</v>
      </c>
      <c r="G146" s="2"/>
      <c r="H146" s="33" t="s">
        <v>80</v>
      </c>
      <c r="I146" s="173">
        <f>M146/AE146</f>
        <v>1220.2785575740756</v>
      </c>
      <c r="J146" s="174">
        <f>AH146/AE146</f>
        <v>28.185356224514496</v>
      </c>
      <c r="K146" s="207">
        <f>RANK(I146,$I$76:$I$977)</f>
        <v>70</v>
      </c>
      <c r="L146" s="208" t="e">
        <f>RANK(I146,$I$451:$I$866)</f>
        <v>#N/A</v>
      </c>
      <c r="M146" s="173">
        <f>SUM(N146:R146)</f>
        <v>22556.575954968073</v>
      </c>
      <c r="N146" s="174">
        <f>T146*(1+((AG146+IF(F146="백어택",8,0))/100)*(AI146/100-1))</f>
        <v>7459.1051759142356</v>
      </c>
      <c r="O146" s="174">
        <f>U146*(1+(($D$57+IF(F146="백어택",8,0))/100)*(AI146/100-1))</f>
        <v>15097.47077905384</v>
      </c>
      <c r="P146" s="174"/>
      <c r="Q146" s="174"/>
      <c r="R146" s="175"/>
      <c r="S146" s="173">
        <f>SUM(T146:X146)</f>
        <v>17760.901624603903</v>
      </c>
      <c r="T146" s="174">
        <f>AL146*IF(H146="근접",AT146,IF(AV146=1,AT146,1))*AX146*IF(F146="백어택",1.2,1)</f>
        <v>5873.2510422446348</v>
      </c>
      <c r="U146" s="174">
        <f>IF(AX146=1,AM146*IF(H146="근접",AT146,IF(AV146=1,AT146,1)),0)*AY146*IF(AX146=1,1,0)*IF(F146="백어택",1.2,1)</f>
        <v>11887.650582359267</v>
      </c>
      <c r="V146" s="174"/>
      <c r="W146" s="174"/>
      <c r="X146" s="175"/>
      <c r="Y146" s="173">
        <f>SUM(Z146:AD146)</f>
        <v>35521.803249207805</v>
      </c>
      <c r="Z146" s="174">
        <f>T146*$D$58/100</f>
        <v>11746.50208448927</v>
      </c>
      <c r="AA146" s="174">
        <f>U146*$D$58/100</f>
        <v>23775.301164718534</v>
      </c>
      <c r="AB146" s="174"/>
      <c r="AC146" s="174"/>
      <c r="AD146" s="175"/>
      <c r="AE146" s="173">
        <f>(AO146*(1-$D$20/100)*(1-$D$17/100)-AR146)*IF(AW146="보스대상",1,POWER(0.85,AW146))</f>
        <v>18.484776131615998</v>
      </c>
      <c r="AF146" s="174">
        <f>AP146</f>
        <v>36</v>
      </c>
      <c r="AG146" s="174">
        <f>IF($D$57+AU146&gt;100,100,$D$57+AU146)</f>
        <v>19.001300000000001</v>
      </c>
      <c r="AH146" s="174">
        <f>AQ146</f>
        <v>521</v>
      </c>
      <c r="AI146" s="174">
        <f>$D$58</f>
        <v>200</v>
      </c>
      <c r="AJ146" s="174">
        <f>10*AS146/IF(AX146=1,IF(AY146=1,4.5,4),4)</f>
        <v>2</v>
      </c>
      <c r="AK146" s="174">
        <f>SUM(AL146:AN146)</f>
        <v>8196.5010303036597</v>
      </c>
      <c r="AL146" s="174">
        <f>IF(AV146=1,$D$61*(VLOOKUP(C146,$B$36:$AG$39,25,FALSE)+VLOOKUP(C146,$B$40:$AG$43,25,FALSE)*$D$54),(IF(H146="근접",$D$61*(VLOOKUP(C146,$B$36:$AG$39,25,FALSE)+VLOOKUP(C146,$B$40:$AG$43,25,FALSE)*$D$54),$D$60*(VLOOKUP(C146,$B$36:$AG$39,25,FALSE)+VLOOKUP(C146,$B$40:$AG$43,25,FALSE)*$D$54))))*$D$59/100</f>
        <v>4894.3758685371959</v>
      </c>
      <c r="AM146" s="174">
        <f>(IF(AV146=1,$D$61*(VLOOKUP(C146,$B$36:$AG$39,26,FALSE)+VLOOKUP(C146,$B$40:$AG$43,26,FALSE)*$D$54),IF(H146="근접",$D$61*(VLOOKUP(C146,$B$36:$AG$39,26,FALSE)+VLOOKUP(C146,$B$40:$AG$43,26,FALSE)*$D$54),$D$60*(VLOOKUP(C146,$B$36:$AG$39,26,FALSE)+VLOOKUP(C146,$B$40:$AG$43,26,FALSE)*$D$54))))*$D$59/100</f>
        <v>3302.1251617664634</v>
      </c>
      <c r="AN146" s="174"/>
      <c r="AO146" s="176">
        <v>24</v>
      </c>
      <c r="AP146" s="174">
        <v>36</v>
      </c>
      <c r="AQ146" s="175">
        <f>VLOOKUP(C146,$B$45:$AA$48,25,FALSE)</f>
        <v>521</v>
      </c>
      <c r="AR146" s="31">
        <f>IF(LEFT(E146,1)*1=1,$S$68,$R$68)</f>
        <v>0</v>
      </c>
      <c r="AS146" s="2">
        <f>IF(LEFT(E146,1)*1=2,$U$68,$T$68)</f>
        <v>0.8</v>
      </c>
      <c r="AT146" s="33">
        <f>IF(LEFT(E146,1)*1=3,$W$68,$V$68)</f>
        <v>1</v>
      </c>
      <c r="AU146" s="31">
        <f>IF(MID(E146,3,1)*1=1,$Y$68,$X$68)</f>
        <v>0</v>
      </c>
      <c r="AV146" s="2">
        <f>IF(MID(E146,3,1)*1=2,$AA$68,$Z$68)</f>
        <v>1</v>
      </c>
      <c r="AW146" s="33" t="str">
        <f>IF(MID(E146,3,1)*1=3,$AC$68,$AB$68)</f>
        <v>보스대상</v>
      </c>
      <c r="AX146" s="31">
        <f>IF(MID(E146,5,1)*1=1,$AE$68,$AD$68)</f>
        <v>1</v>
      </c>
      <c r="AY146" s="33">
        <f>IF(MID(E146,5,1)*1=2,$AG$68,$AF$68)</f>
        <v>3</v>
      </c>
      <c r="AZ146" s="2"/>
      <c r="BA146" s="101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 ht="12" customHeight="1">
      <c r="A147" s="2"/>
      <c r="B147" s="107">
        <v>546</v>
      </c>
      <c r="C147" s="31">
        <v>10</v>
      </c>
      <c r="D147" s="111" t="s">
        <v>14</v>
      </c>
      <c r="E147" s="2" t="s">
        <v>141</v>
      </c>
      <c r="F147" s="2" t="s">
        <v>149</v>
      </c>
      <c r="G147" s="2"/>
      <c r="H147" s="33" t="s">
        <v>81</v>
      </c>
      <c r="I147" s="173">
        <f>M147/AE147</f>
        <v>1219.0905374032081</v>
      </c>
      <c r="J147" s="174">
        <f>AH147/AE147</f>
        <v>23.695174714659018</v>
      </c>
      <c r="K147" s="207">
        <f>RANK(I147,$I$76:$I$977)</f>
        <v>72</v>
      </c>
      <c r="L147" s="208" t="e">
        <f>RANK(I147,$I$451:$I$866)</f>
        <v>#N/A</v>
      </c>
      <c r="M147" s="173">
        <f>SUM(N147:R147)</f>
        <v>33801.923502104619</v>
      </c>
      <c r="N147" s="174">
        <f>T147*(1+((AG147+IF(F147="백어택",8,0))/100)*(AI147/100-1))</f>
        <v>5510.9385015658936</v>
      </c>
      <c r="O147" s="174">
        <f>U147*(1+((AG147+IF(F147="백어택",8,0))/100)*(AI147/100-1))</f>
        <v>5510.9385015658936</v>
      </c>
      <c r="P147" s="174">
        <f>V147*(1+((AG147+IF(F147="백어택",8,0))/100)*(AI147*IF(AX147=1,AW147,1)/100-1))</f>
        <v>7446.9475739826221</v>
      </c>
      <c r="Q147" s="174">
        <f>W147*(1+((AG147+IF(F147="백어택",8,0))/100)*(AI147*AW147/100-1))</f>
        <v>15333.098924990209</v>
      </c>
      <c r="R147" s="175"/>
      <c r="S147" s="173">
        <f>SUM(T147:X147)</f>
        <v>25012.640242766633</v>
      </c>
      <c r="T147" s="174">
        <f>AL147*AY147*IF(F147="백어택",1.2,1)</f>
        <v>4339.2772369778049</v>
      </c>
      <c r="U147" s="174">
        <f>AM147*AY147*IF(F147="백어택",1.2,1)</f>
        <v>4339.2772369778049</v>
      </c>
      <c r="V147" s="174">
        <f>AN147*AY147*IF(F147="백어택",1.2,1)</f>
        <v>5863.6782253273168</v>
      </c>
      <c r="W147" s="174">
        <f>(T147+U147+V147)*IF(AX147=1,0,0.6)*IF(F147="백어택",1.2,1)</f>
        <v>10470.407543483705</v>
      </c>
      <c r="X147" s="175"/>
      <c r="Y147" s="173">
        <f>SUM(Z147:AD147)</f>
        <v>57563.973916841525</v>
      </c>
      <c r="Z147" s="174">
        <f>T147*AI147/100</f>
        <v>8678.5544739556099</v>
      </c>
      <c r="AA147" s="174">
        <f>U147*AI147/100</f>
        <v>8678.5544739556099</v>
      </c>
      <c r="AB147" s="174">
        <f>V147*AI147*IF(AX147=1,AW147,1)/100</f>
        <v>11727.356450654634</v>
      </c>
      <c r="AC147" s="174">
        <f>W147*AI147*AW147/100</f>
        <v>28479.508518275677</v>
      </c>
      <c r="AD147" s="175"/>
      <c r="AE147" s="173">
        <f>AO147*(1-$D$20/100)*(1-$D$17/100)</f>
        <v>27.727164197424003</v>
      </c>
      <c r="AF147" s="174">
        <f>AP147</f>
        <v>36</v>
      </c>
      <c r="AG147" s="174">
        <f>IF($D$57+AU147&gt;100,100,$D$57+AU147)</f>
        <v>19.001300000000001</v>
      </c>
      <c r="AH147" s="174">
        <f>AQ147*AS147</f>
        <v>657</v>
      </c>
      <c r="AI147" s="174">
        <f>$D$58+IF(H147="근접",AR147,0)+IF(AY147=1,0,50)</f>
        <v>200</v>
      </c>
      <c r="AJ147" s="174">
        <f>10/3</f>
        <v>3.3333333333333335</v>
      </c>
      <c r="AK147" s="174">
        <f>SUM(AL147:AN147)</f>
        <v>12118.527249402439</v>
      </c>
      <c r="AL147" s="174">
        <f>(IF(H147="근접",$D$61*(VLOOKUP(C147,$B$36:$AG$39,19,FALSE)+VLOOKUP(C147,$B$40:$AG$43,19,FALSE)*$D$54),$D$60*(VLOOKUP(C147,$B$36:$AG$39,19,FALSE)+VLOOKUP(C147,$B$40:$AG$43,19,FALSE)*$D$54)))*$D$59/100</f>
        <v>3616.0643641481706</v>
      </c>
      <c r="AM147" s="174">
        <f>(IF(H147="근접",$D$61*(VLOOKUP(C147,$B$36:$AG$39,20,FALSE)+VLOOKUP(C147,$B$40:$AG$43,20,FALSE)*$D$54),$D$60*(VLOOKUP(C147,$B$36:$AG$39,20,FALSE)+VLOOKUP(C147,$B$40:$AG$43,20,FALSE)*$D$54)))*$D$59/100</f>
        <v>3616.0643641481706</v>
      </c>
      <c r="AN147" s="174">
        <f>(IF(H147="근접",$D$61*(VLOOKUP(C147,$B$36:$AG$39,21,FALSE)+VLOOKUP(C147,$B$40:$AG$43,21,FALSE)*$D$54),$D$60*(VLOOKUP(C147,$B$36:$AG$39,21,FALSE)+VLOOKUP(C147,$B$40:$AG$43,21,FALSE)*$D$54)))*$D$59/100</f>
        <v>4886.3985211060972</v>
      </c>
      <c r="AO147" s="176">
        <v>36</v>
      </c>
      <c r="AP147" s="174">
        <v>36</v>
      </c>
      <c r="AQ147" s="175">
        <f>VLOOKUP(C147,$B$45:$AA$48,19,FALSE)</f>
        <v>657</v>
      </c>
      <c r="AR147" s="31">
        <f>IF(LEFT(E147,1)*1=1,$S$64,$R$64)</f>
        <v>0</v>
      </c>
      <c r="AS147" s="2">
        <f>IF(LEFT(E147,1)*1=2,$U$64,$T$64)</f>
        <v>1</v>
      </c>
      <c r="AT147" s="33">
        <f>IF(LEFT(E147,1)*1=3,$W$64,$V$64)</f>
        <v>0</v>
      </c>
      <c r="AU147" s="31">
        <f>IF(MID(E147,3,1)*1=1,$Y$64,$X$64)</f>
        <v>0</v>
      </c>
      <c r="AV147" s="2">
        <f>IF(MID(E147,3,1)*1=2,$AA$64,$Z$64)</f>
        <v>0</v>
      </c>
      <c r="AW147" s="33">
        <f>IF(MID(E147,3,1)*1=3,$AC$64,$AB$64)</f>
        <v>1.36</v>
      </c>
      <c r="AX147" s="31">
        <f>IF(MID(E147,5,1)*1=1,$AE$64,$AD$64)</f>
        <v>0.6</v>
      </c>
      <c r="AY147" s="33">
        <f>IF(MID(E147,5,1)*1=2,$AG$64,$AF$64)</f>
        <v>1</v>
      </c>
      <c r="AZ147" s="2"/>
      <c r="BA147" s="101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 ht="12" customHeight="1">
      <c r="A148" s="2"/>
      <c r="B148" s="107">
        <v>552</v>
      </c>
      <c r="C148" s="31">
        <v>10</v>
      </c>
      <c r="D148" s="111" t="s">
        <v>14</v>
      </c>
      <c r="E148" s="2" t="s">
        <v>171</v>
      </c>
      <c r="F148" s="2" t="s">
        <v>149</v>
      </c>
      <c r="G148" s="2"/>
      <c r="H148" s="33" t="s">
        <v>81</v>
      </c>
      <c r="I148" s="173">
        <f>M148/AE148</f>
        <v>1219.0905374032081</v>
      </c>
      <c r="J148" s="174">
        <f>AH148/AE148</f>
        <v>11.847587357329509</v>
      </c>
      <c r="K148" s="207">
        <f>RANK(I148,$I$76:$I$977)</f>
        <v>72</v>
      </c>
      <c r="L148" s="208" t="e">
        <f>RANK(I148,$I$451:$I$866)</f>
        <v>#N/A</v>
      </c>
      <c r="M148" s="173">
        <f>SUM(N148:R148)</f>
        <v>33801.923502104619</v>
      </c>
      <c r="N148" s="174">
        <f>T148*(1+((AG148+IF(F148="백어택",8,0))/100)*(AI148/100-1))</f>
        <v>5510.9385015658936</v>
      </c>
      <c r="O148" s="174">
        <f>U148*(1+((AG148+IF(F148="백어택",8,0))/100)*(AI148/100-1))</f>
        <v>5510.9385015658936</v>
      </c>
      <c r="P148" s="174">
        <f>V148*(1+((AG148+IF(F148="백어택",8,0))/100)*(AI148*IF(AX148=1,AW148,1)/100-1))</f>
        <v>7446.9475739826221</v>
      </c>
      <c r="Q148" s="174">
        <f>W148*(1+((AG148+IF(F148="백어택",8,0))/100)*(AI148*AW148/100-1))</f>
        <v>15333.098924990209</v>
      </c>
      <c r="R148" s="175"/>
      <c r="S148" s="173">
        <f>SUM(T148:X148)</f>
        <v>25012.640242766633</v>
      </c>
      <c r="T148" s="174">
        <f>AL148*AY148*IF(F148="백어택",1.2,1)</f>
        <v>4339.2772369778049</v>
      </c>
      <c r="U148" s="174">
        <f>AM148*AY148*IF(F148="백어택",1.2,1)</f>
        <v>4339.2772369778049</v>
      </c>
      <c r="V148" s="174">
        <f>AN148*AY148*IF(F148="백어택",1.2,1)</f>
        <v>5863.6782253273168</v>
      </c>
      <c r="W148" s="174">
        <f>(T148+U148+V148)*IF(AX148=1,0,0.6)*IF(F148="백어택",1.2,1)</f>
        <v>10470.407543483705</v>
      </c>
      <c r="X148" s="175"/>
      <c r="Y148" s="173">
        <f>SUM(Z148:AD148)</f>
        <v>57563.973916841525</v>
      </c>
      <c r="Z148" s="174">
        <f>T148*AI148/100</f>
        <v>8678.5544739556099</v>
      </c>
      <c r="AA148" s="174">
        <f>U148*AI148/100</f>
        <v>8678.5544739556099</v>
      </c>
      <c r="AB148" s="174">
        <f>V148*AI148*IF(AX148=1,AW148,1)/100</f>
        <v>11727.356450654634</v>
      </c>
      <c r="AC148" s="174">
        <f>W148*AI148*AW148/100</f>
        <v>28479.508518275677</v>
      </c>
      <c r="AD148" s="175"/>
      <c r="AE148" s="173">
        <f>AO148*(1-$D$20/100)*(1-$D$17/100)</f>
        <v>27.727164197424003</v>
      </c>
      <c r="AF148" s="174">
        <f>AP148</f>
        <v>36</v>
      </c>
      <c r="AG148" s="174">
        <f>IF($D$57+AU148&gt;100,100,$D$57+AU148)</f>
        <v>19.001300000000001</v>
      </c>
      <c r="AH148" s="174">
        <f>AQ148*AS148</f>
        <v>328.5</v>
      </c>
      <c r="AI148" s="174">
        <f>$D$58+IF(H148="근접",AR148,0)+IF(AY148=1,0,50)</f>
        <v>200</v>
      </c>
      <c r="AJ148" s="174">
        <f>10/3</f>
        <v>3.3333333333333335</v>
      </c>
      <c r="AK148" s="174">
        <f>SUM(AL148:AN148)</f>
        <v>12118.527249402439</v>
      </c>
      <c r="AL148" s="174">
        <f>(IF(H148="근접",$D$61*(VLOOKUP(C148,$B$36:$AG$39,19,FALSE)+VLOOKUP(C148,$B$40:$AG$43,19,FALSE)*$D$54),$D$60*(VLOOKUP(C148,$B$36:$AG$39,19,FALSE)+VLOOKUP(C148,$B$40:$AG$43,19,FALSE)*$D$54)))*$D$59/100</f>
        <v>3616.0643641481706</v>
      </c>
      <c r="AM148" s="174">
        <f>(IF(H148="근접",$D$61*(VLOOKUP(C148,$B$36:$AG$39,20,FALSE)+VLOOKUP(C148,$B$40:$AG$43,20,FALSE)*$D$54),$D$60*(VLOOKUP(C148,$B$36:$AG$39,20,FALSE)+VLOOKUP(C148,$B$40:$AG$43,20,FALSE)*$D$54)))*$D$59/100</f>
        <v>3616.0643641481706</v>
      </c>
      <c r="AN148" s="174">
        <f>(IF(H148="근접",$D$61*(VLOOKUP(C148,$B$36:$AG$39,21,FALSE)+VLOOKUP(C148,$B$40:$AG$43,21,FALSE)*$D$54),$D$60*(VLOOKUP(C148,$B$36:$AG$39,21,FALSE)+VLOOKUP(C148,$B$40:$AG$43,21,FALSE)*$D$54)))*$D$59/100</f>
        <v>4886.3985211060972</v>
      </c>
      <c r="AO148" s="176">
        <v>36</v>
      </c>
      <c r="AP148" s="174">
        <v>36</v>
      </c>
      <c r="AQ148" s="175">
        <f>VLOOKUP(C148,$B$45:$AA$48,19,FALSE)</f>
        <v>657</v>
      </c>
      <c r="AR148" s="31">
        <f>IF(LEFT(E148,1)*1=1,$S$64,$R$64)</f>
        <v>0</v>
      </c>
      <c r="AS148" s="2">
        <f>IF(LEFT(E148,1)*1=2,$U$64,$T$64)</f>
        <v>0.5</v>
      </c>
      <c r="AT148" s="33">
        <f>IF(LEFT(E148,1)*1=3,$W$64,$V$64)</f>
        <v>0</v>
      </c>
      <c r="AU148" s="31">
        <f>IF(MID(E148,3,1)*1=1,$Y$64,$X$64)</f>
        <v>0</v>
      </c>
      <c r="AV148" s="2">
        <f>IF(MID(E148,3,1)*1=2,$AA$64,$Z$64)</f>
        <v>0</v>
      </c>
      <c r="AW148" s="33">
        <f>IF(MID(E148,3,1)*1=3,$AC$64,$AB$64)</f>
        <v>1.36</v>
      </c>
      <c r="AX148" s="31">
        <f>IF(MID(E148,5,1)*1=1,$AE$64,$AD$64)</f>
        <v>0.6</v>
      </c>
      <c r="AY148" s="33">
        <f>IF(MID(E148,5,1)*1=2,$AG$64,$AF$64)</f>
        <v>1</v>
      </c>
      <c r="AZ148" s="2"/>
      <c r="BA148" s="101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 ht="12" customHeight="1">
      <c r="A149" s="2"/>
      <c r="B149" s="107">
        <v>616</v>
      </c>
      <c r="C149" s="31">
        <v>10</v>
      </c>
      <c r="D149" s="111" t="s">
        <v>18</v>
      </c>
      <c r="E149" s="2" t="s">
        <v>154</v>
      </c>
      <c r="F149" s="2"/>
      <c r="G149" s="2"/>
      <c r="H149" s="33" t="s">
        <v>81</v>
      </c>
      <c r="I149" s="173">
        <f>M149/AE149</f>
        <v>1215.9722981419754</v>
      </c>
      <c r="J149" s="174">
        <f>AH149/AE149</f>
        <v>35.968798914524506</v>
      </c>
      <c r="K149" s="207">
        <f>RANK(I149,$I$76:$I$977)</f>
        <v>74</v>
      </c>
      <c r="L149" s="208" t="e">
        <f>RANK(I149,$I$451:$I$866)</f>
        <v>#N/A</v>
      </c>
      <c r="M149" s="173">
        <f>SUM(N149:R149)</f>
        <v>17613.086520833138</v>
      </c>
      <c r="N149" s="174">
        <f>T149*(1+((AG149+IF(F149="백어택",8,0))/100)*(AI149/100-1))</f>
        <v>5824.3709104455538</v>
      </c>
      <c r="O149" s="174">
        <f>U149*(1+(($D$57+IF(F149="백어택",8,0))/100)*(AI149/100-1))</f>
        <v>11788.715610387582</v>
      </c>
      <c r="P149" s="174"/>
      <c r="Q149" s="174"/>
      <c r="R149" s="175"/>
      <c r="S149" s="173">
        <f>SUM(T149:X149)</f>
        <v>14800.751353836586</v>
      </c>
      <c r="T149" s="174">
        <f>AL149*IF(H149="근접",AT149,IF(AV149=1,AT149,1))*AX149*IF(F149="백어택",1.2,1)</f>
        <v>4894.3758685371959</v>
      </c>
      <c r="U149" s="174">
        <f>IF(AX149=1,AM149*IF(H149="근접",AT149,IF(AV149=1,AT149,1)),0)*AY149*IF(AX149=1,1,0)*IF(F149="백어택",1.2,1)</f>
        <v>9906.3754852993898</v>
      </c>
      <c r="V149" s="174"/>
      <c r="W149" s="174"/>
      <c r="X149" s="175"/>
      <c r="Y149" s="173">
        <f>SUM(Z149:AD149)</f>
        <v>29601.502707673171</v>
      </c>
      <c r="Z149" s="174">
        <f>T149*$D$58/100</f>
        <v>9788.7517370743917</v>
      </c>
      <c r="AA149" s="174">
        <f>U149*$D$58/100</f>
        <v>19812.75097059878</v>
      </c>
      <c r="AB149" s="174"/>
      <c r="AC149" s="174"/>
      <c r="AD149" s="175"/>
      <c r="AE149" s="173">
        <f>(AO149*(1-$D$20/100)*(1-$D$17/100)-AR149)*IF(AW149="보스대상",1,POWER(0.85,AW149))</f>
        <v>14.484776131615998</v>
      </c>
      <c r="AF149" s="174">
        <f>AP149</f>
        <v>36</v>
      </c>
      <c r="AG149" s="174">
        <f>IF($D$57+AU149&gt;100,100,$D$57+AU149)</f>
        <v>19.001300000000001</v>
      </c>
      <c r="AH149" s="174">
        <f>AQ149</f>
        <v>521</v>
      </c>
      <c r="AI149" s="174">
        <f>$D$58</f>
        <v>200</v>
      </c>
      <c r="AJ149" s="174">
        <f>10*AS149/IF(AX149=1,IF(AY149=1,4.5,4),4)</f>
        <v>2.5</v>
      </c>
      <c r="AK149" s="174">
        <f>SUM(AL149:AN149)</f>
        <v>8196.5010303036597</v>
      </c>
      <c r="AL149" s="174">
        <f>IF(AV149=1,$D$61*(VLOOKUP(C149,$B$36:$AG$39,25,FALSE)+VLOOKUP(C149,$B$40:$AG$43,25,FALSE)*$D$54),(IF(H149="근접",$D$61*(VLOOKUP(C149,$B$36:$AG$39,25,FALSE)+VLOOKUP(C149,$B$40:$AG$43,25,FALSE)*$D$54),$D$60*(VLOOKUP(C149,$B$36:$AG$39,25,FALSE)+VLOOKUP(C149,$B$40:$AG$43,25,FALSE)*$D$54))))*$D$59/100</f>
        <v>4894.3758685371959</v>
      </c>
      <c r="AM149" s="174">
        <f>(IF(AV149=1,$D$61*(VLOOKUP(C149,$B$36:$AG$39,26,FALSE)+VLOOKUP(C149,$B$40:$AG$43,26,FALSE)*$D$54),IF(H149="근접",$D$61*(VLOOKUP(C149,$B$36:$AG$39,26,FALSE)+VLOOKUP(C149,$B$40:$AG$43,26,FALSE)*$D$54),$D$60*(VLOOKUP(C149,$B$36:$AG$39,26,FALSE)+VLOOKUP(C149,$B$40:$AG$43,26,FALSE)*$D$54))))*$D$59/100</f>
        <v>3302.1251617664634</v>
      </c>
      <c r="AN149" s="174"/>
      <c r="AO149" s="176">
        <v>24</v>
      </c>
      <c r="AP149" s="174">
        <v>36</v>
      </c>
      <c r="AQ149" s="175">
        <f>VLOOKUP(C149,$B$45:$AA$48,25,FALSE)</f>
        <v>521</v>
      </c>
      <c r="AR149" s="31">
        <f>IF(LEFT(E149,1)*1=1,$S$68,$R$68)</f>
        <v>4</v>
      </c>
      <c r="AS149" s="2">
        <f>IF(LEFT(E149,1)*1=2,$U$68,$T$68)</f>
        <v>1</v>
      </c>
      <c r="AT149" s="33">
        <f>IF(LEFT(E149,1)*1=3,$W$68,$V$68)</f>
        <v>1</v>
      </c>
      <c r="AU149" s="31">
        <f>IF(MID(E149,3,1)*1=1,$Y$68,$X$68)</f>
        <v>0</v>
      </c>
      <c r="AV149" s="2">
        <f>IF(MID(E149,3,1)*1=2,$AA$68,$Z$68)</f>
        <v>1</v>
      </c>
      <c r="AW149" s="33" t="str">
        <f>IF(MID(E149,3,1)*1=3,$AC$68,$AB$68)</f>
        <v>보스대상</v>
      </c>
      <c r="AX149" s="31">
        <f>IF(MID(E149,5,1)*1=1,$AE$68,$AD$68)</f>
        <v>1</v>
      </c>
      <c r="AY149" s="33">
        <f>IF(MID(E149,5,1)*1=2,$AG$68,$AF$68)</f>
        <v>3</v>
      </c>
      <c r="AZ149" s="2"/>
      <c r="BA149" s="101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 ht="12" customHeight="1">
      <c r="A150" s="2"/>
      <c r="B150" s="107">
        <v>647</v>
      </c>
      <c r="C150" s="31">
        <v>10</v>
      </c>
      <c r="D150" s="111" t="s">
        <v>18</v>
      </c>
      <c r="E150" s="2" t="s">
        <v>154</v>
      </c>
      <c r="F150" s="2"/>
      <c r="G150" s="2"/>
      <c r="H150" s="33" t="s">
        <v>80</v>
      </c>
      <c r="I150" s="173">
        <f>M150/AE150</f>
        <v>1215.9722981419754</v>
      </c>
      <c r="J150" s="174">
        <f>AH150/AE150</f>
        <v>35.968798914524506</v>
      </c>
      <c r="K150" s="207">
        <f>RANK(I150,$I$76:$I$977)</f>
        <v>74</v>
      </c>
      <c r="L150" s="208" t="e">
        <f>RANK(I150,$I$451:$I$866)</f>
        <v>#N/A</v>
      </c>
      <c r="M150" s="173">
        <f>SUM(N150:R150)</f>
        <v>17613.086520833138</v>
      </c>
      <c r="N150" s="174">
        <f>T150*(1+((AG150+IF(F150="백어택",8,0))/100)*(AI150/100-1))</f>
        <v>5824.3709104455538</v>
      </c>
      <c r="O150" s="174">
        <f>U150*(1+(($D$57+IF(F150="백어택",8,0))/100)*(AI150/100-1))</f>
        <v>11788.715610387582</v>
      </c>
      <c r="P150" s="174"/>
      <c r="Q150" s="174"/>
      <c r="R150" s="175"/>
      <c r="S150" s="173">
        <f>SUM(T150:X150)</f>
        <v>14800.751353836586</v>
      </c>
      <c r="T150" s="174">
        <f>AL150*IF(H150="근접",AT150,IF(AV150=1,AT150,1))*AX150*IF(F150="백어택",1.2,1)</f>
        <v>4894.3758685371959</v>
      </c>
      <c r="U150" s="174">
        <f>IF(AX150=1,AM150*IF(H150="근접",AT150,IF(AV150=1,AT150,1)),0)*AY150*IF(AX150=1,1,0)*IF(F150="백어택",1.2,1)</f>
        <v>9906.3754852993898</v>
      </c>
      <c r="V150" s="174"/>
      <c r="W150" s="174"/>
      <c r="X150" s="175"/>
      <c r="Y150" s="173">
        <f>SUM(Z150:AD150)</f>
        <v>29601.502707673171</v>
      </c>
      <c r="Z150" s="174">
        <f>T150*$D$58/100</f>
        <v>9788.7517370743917</v>
      </c>
      <c r="AA150" s="174">
        <f>U150*$D$58/100</f>
        <v>19812.75097059878</v>
      </c>
      <c r="AB150" s="174"/>
      <c r="AC150" s="174"/>
      <c r="AD150" s="175"/>
      <c r="AE150" s="173">
        <f>(AO150*(1-$D$20/100)*(1-$D$17/100)-AR150)*IF(AW150="보스대상",1,POWER(0.85,AW150))</f>
        <v>14.484776131615998</v>
      </c>
      <c r="AF150" s="174">
        <f>AP150</f>
        <v>36</v>
      </c>
      <c r="AG150" s="174">
        <f>IF($D$57+AU150&gt;100,100,$D$57+AU150)</f>
        <v>19.001300000000001</v>
      </c>
      <c r="AH150" s="174">
        <f>AQ150</f>
        <v>521</v>
      </c>
      <c r="AI150" s="174">
        <f>$D$58</f>
        <v>200</v>
      </c>
      <c r="AJ150" s="174">
        <f>10*AS150/IF(AX150=1,IF(AY150=1,4.5,4),4)</f>
        <v>2.5</v>
      </c>
      <c r="AK150" s="174">
        <f>SUM(AL150:AN150)</f>
        <v>8196.5010303036597</v>
      </c>
      <c r="AL150" s="174">
        <f>IF(AV150=1,$D$61*(VLOOKUP(C150,$B$36:$AG$39,25,FALSE)+VLOOKUP(C150,$B$40:$AG$43,25,FALSE)*$D$54),(IF(H150="근접",$D$61*(VLOOKUP(C150,$B$36:$AG$39,25,FALSE)+VLOOKUP(C150,$B$40:$AG$43,25,FALSE)*$D$54),$D$60*(VLOOKUP(C150,$B$36:$AG$39,25,FALSE)+VLOOKUP(C150,$B$40:$AG$43,25,FALSE)*$D$54))))*$D$59/100</f>
        <v>4894.3758685371959</v>
      </c>
      <c r="AM150" s="174">
        <f>(IF(AV150=1,$D$61*(VLOOKUP(C150,$B$36:$AG$39,26,FALSE)+VLOOKUP(C150,$B$40:$AG$43,26,FALSE)*$D$54),IF(H150="근접",$D$61*(VLOOKUP(C150,$B$36:$AG$39,26,FALSE)+VLOOKUP(C150,$B$40:$AG$43,26,FALSE)*$D$54),$D$60*(VLOOKUP(C150,$B$36:$AG$39,26,FALSE)+VLOOKUP(C150,$B$40:$AG$43,26,FALSE)*$D$54))))*$D$59/100</f>
        <v>3302.1251617664634</v>
      </c>
      <c r="AN150" s="174"/>
      <c r="AO150" s="176">
        <v>24</v>
      </c>
      <c r="AP150" s="174">
        <v>36</v>
      </c>
      <c r="AQ150" s="175">
        <f>VLOOKUP(C150,$B$45:$AA$48,25,FALSE)</f>
        <v>521</v>
      </c>
      <c r="AR150" s="31">
        <f>IF(LEFT(E150,1)*1=1,$S$68,$R$68)</f>
        <v>4</v>
      </c>
      <c r="AS150" s="2">
        <f>IF(LEFT(E150,1)*1=2,$U$68,$T$68)</f>
        <v>1</v>
      </c>
      <c r="AT150" s="33">
        <f>IF(LEFT(E150,1)*1=3,$W$68,$V$68)</f>
        <v>1</v>
      </c>
      <c r="AU150" s="31">
        <f>IF(MID(E150,3,1)*1=1,$Y$68,$X$68)</f>
        <v>0</v>
      </c>
      <c r="AV150" s="2">
        <f>IF(MID(E150,3,1)*1=2,$AA$68,$Z$68)</f>
        <v>1</v>
      </c>
      <c r="AW150" s="33" t="str">
        <f>IF(MID(E150,3,1)*1=3,$AC$68,$AB$68)</f>
        <v>보스대상</v>
      </c>
      <c r="AX150" s="31">
        <f>IF(MID(E150,5,1)*1=1,$AE$68,$AD$68)</f>
        <v>1</v>
      </c>
      <c r="AY150" s="33">
        <f>IF(MID(E150,5,1)*1=2,$AG$68,$AF$68)</f>
        <v>3</v>
      </c>
      <c r="AZ150" s="2"/>
      <c r="BA150" s="101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 ht="12" customHeight="1">
      <c r="A151" s="2"/>
      <c r="B151" s="107">
        <v>428</v>
      </c>
      <c r="C151" s="31">
        <v>10</v>
      </c>
      <c r="D151" s="111" t="s">
        <v>8</v>
      </c>
      <c r="E151" s="2" t="s">
        <v>165</v>
      </c>
      <c r="F151" s="2" t="s">
        <v>149</v>
      </c>
      <c r="G151" s="2"/>
      <c r="H151" s="33" t="s">
        <v>81</v>
      </c>
      <c r="I151" s="173">
        <f>M151/AE151</f>
        <v>1213.8290533108548</v>
      </c>
      <c r="J151" s="174">
        <f>AH151/AE151</f>
        <v>28.185356224514496</v>
      </c>
      <c r="K151" s="207">
        <f>RANK(I151,$I$76:$I$977)</f>
        <v>76</v>
      </c>
      <c r="L151" s="208" t="e">
        <f>RANK(I151,$I$451:$I$866)</f>
        <v>#N/A</v>
      </c>
      <c r="M151" s="173">
        <f>SUM(N151:R151)</f>
        <v>22437.358312502532</v>
      </c>
      <c r="N151" s="174">
        <f>T151*(1+((AG151+IF(F151="백어택",8,0))/100)*(IF(AY151=1,$D$58,$D$58+50)/100-1))</f>
        <v>9857.1174285645393</v>
      </c>
      <c r="O151" s="174">
        <f>U151*(1+((AG151+IF(F151="백어택",8,0))/100)*(AI151/100-1))</f>
        <v>12580.240883937993</v>
      </c>
      <c r="P151" s="174">
        <f>V151*(1+((AG151+IF(F151="백어택",8,0))/100)*(AI151/100-1))</f>
        <v>0</v>
      </c>
      <c r="Q151" s="174"/>
      <c r="R151" s="175"/>
      <c r="S151" s="173">
        <f>SUM(T151:X151)</f>
        <v>12605.119389142947</v>
      </c>
      <c r="T151" s="174">
        <f>AL151*IF(H151="근접",AR151,1)*AY151*IF(F151="백어택",1.2,1)</f>
        <v>5537.6457553215223</v>
      </c>
      <c r="U151" s="174">
        <f>AM151*IF(H151="근접",AR151,1)*AY151*IF(F151="백어택",1.2,1)</f>
        <v>7067.4736338214234</v>
      </c>
      <c r="V151" s="174">
        <f>IF(AX151=1,0,AM151*IF(H151="근접",AR151,1)*AY151)*IF(F151="백어택",1.2,1)</f>
        <v>0</v>
      </c>
      <c r="W151" s="174"/>
      <c r="X151" s="175"/>
      <c r="Y151" s="173">
        <f>SUM(Z151:AD151)</f>
        <v>31512.798472857365</v>
      </c>
      <c r="Z151" s="174">
        <f>T151*IF(AY151=1,$D$58,$D$58+50)/100</f>
        <v>13844.114388303806</v>
      </c>
      <c r="AA151" s="174">
        <f>U151*AI151/100</f>
        <v>17668.684084553559</v>
      </c>
      <c r="AB151" s="174">
        <f>V151*AI151/100</f>
        <v>0</v>
      </c>
      <c r="AC151" s="174"/>
      <c r="AD151" s="175"/>
      <c r="AE151" s="173">
        <f>AO151*(1-$D$20/100)*(1-$D$17/100)</f>
        <v>18.484776131615998</v>
      </c>
      <c r="AF151" s="174">
        <f>AP151</f>
        <v>36</v>
      </c>
      <c r="AG151" s="174">
        <f>IF($D$57+AU151&gt;100,100,$D$57+AU151)</f>
        <v>44.001300000000001</v>
      </c>
      <c r="AH151" s="174">
        <f>IF(AX151=1,AQ151,AQ151*1.4)</f>
        <v>521</v>
      </c>
      <c r="AI151" s="174">
        <f>IF(AY151=1,$D$58,$D$58+50)*AW151</f>
        <v>250</v>
      </c>
      <c r="AJ151" s="174">
        <f>10/6/AX151</f>
        <v>1.6666666666666667</v>
      </c>
      <c r="AK151" s="174">
        <f>SUM(AL151:AN151)</f>
        <v>7294.6292761243903</v>
      </c>
      <c r="AL151" s="174">
        <f>(IF(H151="근접",$D$61*(VLOOKUP(C151,$B$36:$AG$39,9,FALSE)+VLOOKUP(C151,$B$40:$AG$43,9,FALSE)*$D$54),$D$60*(VLOOKUP(C151,$B$36:$AG$39,9,FALSE)+VLOOKUP(C151,$B$40:$AG$43,9,FALSE)*$D$54)))*$D$59/100</f>
        <v>3204.6561084036589</v>
      </c>
      <c r="AM151" s="174">
        <f>(IF(H151="근접",$D$61*(VLOOKUP(C151,$B$36:$AG$39,10,FALSE)+VLOOKUP(C151,$B$40:$AG$43,10,FALSE)*$D$54),$D$60*(VLOOKUP(C151,$B$36:$AG$39,10,FALSE)+VLOOKUP(C151,$B$40:$AG$43,10,FALSE)*$D$54)))*$D$59/100</f>
        <v>4089.9731677207315</v>
      </c>
      <c r="AN151" s="174"/>
      <c r="AO151" s="176">
        <v>24</v>
      </c>
      <c r="AP151" s="174">
        <v>36</v>
      </c>
      <c r="AQ151" s="175">
        <f>VLOOKUP(C151,$B$45:$AA$48,9,FALSE)</f>
        <v>521</v>
      </c>
      <c r="AR151" s="31">
        <f>IF(LEFT(E151,1)*1=1,$S$58,$R$58)</f>
        <v>1.2</v>
      </c>
      <c r="AS151" s="2">
        <f>IF(LEFT(E151,1)*1=2,$U$58,$T$58)</f>
        <v>0</v>
      </c>
      <c r="AT151" s="33">
        <f>IF(LEFT(E151,1)*1=3,$W$58,$V$58)</f>
        <v>0</v>
      </c>
      <c r="AU151" s="31">
        <f>IF(MID(E151,3,1)*1=1,$Y$58,$X$58)</f>
        <v>25</v>
      </c>
      <c r="AV151" s="2">
        <f>IF(MID(E151,3,1)*1=2,$AA$58,$Z$58)</f>
        <v>0</v>
      </c>
      <c r="AW151" s="33">
        <f>IF(MID(E151,3,1)*1=3,$AC$58,$AB$58)</f>
        <v>1</v>
      </c>
      <c r="AX151" s="31">
        <f>IF(MID(E151,5,1)*1=1,$AE$58,$AD$58)</f>
        <v>1</v>
      </c>
      <c r="AY151" s="33">
        <f>IF(MID(E151,5,1)*1=2,$AG$58,$AF$58)</f>
        <v>1.2</v>
      </c>
      <c r="AZ151" s="2"/>
      <c r="BA151" s="101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 ht="12" customHeight="1">
      <c r="A152" s="2"/>
      <c r="B152" s="107">
        <v>423</v>
      </c>
      <c r="C152" s="31">
        <v>10</v>
      </c>
      <c r="D152" s="111" t="s">
        <v>8</v>
      </c>
      <c r="E152" s="2" t="s">
        <v>156</v>
      </c>
      <c r="F152" s="2" t="s">
        <v>149</v>
      </c>
      <c r="G152" s="2"/>
      <c r="H152" s="33" t="s">
        <v>81</v>
      </c>
      <c r="I152" s="173">
        <f>M152/AE152</f>
        <v>1208.941981043039</v>
      </c>
      <c r="J152" s="174">
        <f>AH152/AE152</f>
        <v>39.459498714320297</v>
      </c>
      <c r="K152" s="207">
        <f>RANK(I152,$I$76:$I$977)</f>
        <v>77</v>
      </c>
      <c r="L152" s="208" t="e">
        <f>RANK(I152,$I$451:$I$866)</f>
        <v>#N/A</v>
      </c>
      <c r="M152" s="173">
        <f>SUM(N152:R152)</f>
        <v>22347.021875692928</v>
      </c>
      <c r="N152" s="174">
        <f>T152*(1+((AG152+IF(F152="백어택",8,0))/100)*(IF(AY152=1,$D$58,$D$58+50)/100-1))</f>
        <v>5860.7350822109611</v>
      </c>
      <c r="O152" s="174">
        <f>U152*(1+((AG152+IF(F152="백어택",8,0))/100)*(AI152/100-1))</f>
        <v>8243.143396740983</v>
      </c>
      <c r="P152" s="174">
        <f>V152*(1+((AG152+IF(F152="백어택",8,0))/100)*(AI152/100-1))</f>
        <v>8243.143396740983</v>
      </c>
      <c r="Q152" s="174"/>
      <c r="R152" s="175"/>
      <c r="S152" s="173">
        <f>SUM(T152:X152)</f>
        <v>16393.827519136972</v>
      </c>
      <c r="T152" s="174">
        <f>AL152*IF(H152="근접",AR152,1)*AY152*IF(F152="백어택",1.2,1)</f>
        <v>4614.7047961012686</v>
      </c>
      <c r="U152" s="174">
        <f>AM152*IF(H152="근접",AR152,1)*AY152*IF(F152="백어택",1.2,1)</f>
        <v>5889.5613615178527</v>
      </c>
      <c r="V152" s="174">
        <f>IF(AX152=1,0,AM152*IF(H152="근접",AR152,1)*AY152)*IF(F152="백어택",1.2,1)</f>
        <v>5889.5613615178527</v>
      </c>
      <c r="W152" s="174"/>
      <c r="X152" s="175"/>
      <c r="Y152" s="173">
        <f>SUM(Z152:AD152)</f>
        <v>38441.633945331087</v>
      </c>
      <c r="Z152" s="174">
        <f>T152*IF(AY152=1,$D$58,$D$58+50)/100</f>
        <v>9229.4095922025372</v>
      </c>
      <c r="AA152" s="174">
        <f>U152*AI152/100</f>
        <v>14606.112176564275</v>
      </c>
      <c r="AB152" s="174">
        <f>V152*AI152/100</f>
        <v>14606.112176564275</v>
      </c>
      <c r="AC152" s="174"/>
      <c r="AD152" s="175"/>
      <c r="AE152" s="173">
        <f>AO152*(1-$D$20/100)*(1-$D$17/100)</f>
        <v>18.484776131615998</v>
      </c>
      <c r="AF152" s="174">
        <f>AP152</f>
        <v>36</v>
      </c>
      <c r="AG152" s="174">
        <f>IF($D$57+AU152&gt;100,100,$D$57+AU152)</f>
        <v>19.001300000000001</v>
      </c>
      <c r="AH152" s="174">
        <f>IF(AX152=1,AQ152,AQ152*1.4)</f>
        <v>729.4</v>
      </c>
      <c r="AI152" s="174">
        <f>IF(AY152=1,$D$58,$D$58+50)*AW152</f>
        <v>248</v>
      </c>
      <c r="AJ152" s="174">
        <f>10/6/AX152</f>
        <v>1.1111111111111112</v>
      </c>
      <c r="AK152" s="174">
        <f>SUM(AL152:AN152)</f>
        <v>7294.6292761243903</v>
      </c>
      <c r="AL152" s="174">
        <f>(IF(H152="근접",$D$61*(VLOOKUP(C152,$B$36:$AG$39,9,FALSE)+VLOOKUP(C152,$B$40:$AG$43,9,FALSE)*$D$54),$D$60*(VLOOKUP(C152,$B$36:$AG$39,9,FALSE)+VLOOKUP(C152,$B$40:$AG$43,9,FALSE)*$D$54)))*$D$59/100</f>
        <v>3204.6561084036589</v>
      </c>
      <c r="AM152" s="174">
        <f>(IF(H152="근접",$D$61*(VLOOKUP(C152,$B$36:$AG$39,10,FALSE)+VLOOKUP(C152,$B$40:$AG$43,10,FALSE)*$D$54),$D$60*(VLOOKUP(C152,$B$36:$AG$39,10,FALSE)+VLOOKUP(C152,$B$40:$AG$43,10,FALSE)*$D$54)))*$D$59/100</f>
        <v>4089.9731677207315</v>
      </c>
      <c r="AN152" s="174"/>
      <c r="AO152" s="176">
        <v>24</v>
      </c>
      <c r="AP152" s="174">
        <v>36</v>
      </c>
      <c r="AQ152" s="175">
        <f>VLOOKUP(C152,$B$45:$AA$48,9,FALSE)</f>
        <v>521</v>
      </c>
      <c r="AR152" s="31">
        <f>IF(LEFT(E152,1)*1=1,$S$58,$R$58)</f>
        <v>1.2</v>
      </c>
      <c r="AS152" s="2">
        <f>IF(LEFT(E152,1)*1=2,$U$58,$T$58)</f>
        <v>0</v>
      </c>
      <c r="AT152" s="33">
        <f>IF(LEFT(E152,1)*1=3,$W$58,$V$58)</f>
        <v>0</v>
      </c>
      <c r="AU152" s="31">
        <f>IF(MID(E152,3,1)*1=1,$Y$58,$X$58)</f>
        <v>0</v>
      </c>
      <c r="AV152" s="2">
        <f>IF(MID(E152,3,1)*1=2,$AA$58,$Z$58)</f>
        <v>0</v>
      </c>
      <c r="AW152" s="33">
        <f>IF(MID(E152,3,1)*1=3,$AC$58,$AB$58)</f>
        <v>1.24</v>
      </c>
      <c r="AX152" s="31">
        <f>IF(MID(E152,5,1)*1=1,$AE$58,$AD$58)</f>
        <v>1.5</v>
      </c>
      <c r="AY152" s="33">
        <f>IF(MID(E152,5,1)*1=2,$AG$58,$AF$58)</f>
        <v>1</v>
      </c>
      <c r="AZ152" s="2"/>
      <c r="BA152" s="101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 ht="12" customHeight="1">
      <c r="A153" s="2"/>
      <c r="B153" s="107">
        <v>158</v>
      </c>
      <c r="C153" s="31">
        <v>10</v>
      </c>
      <c r="D153" s="106" t="s">
        <v>10</v>
      </c>
      <c r="E153" s="2" t="s">
        <v>140</v>
      </c>
      <c r="F153" s="2" t="s">
        <v>149</v>
      </c>
      <c r="G153" s="2" t="s">
        <v>137</v>
      </c>
      <c r="H153" s="33"/>
      <c r="I153" s="173">
        <f>M153/AE153</f>
        <v>1193.9630328858971</v>
      </c>
      <c r="J153" s="174">
        <f>AH153/AE153</f>
        <v>25.811482952392598</v>
      </c>
      <c r="K153" s="207">
        <f>RANK(I153,$I$76:$I$977)</f>
        <v>78</v>
      </c>
      <c r="L153" s="208">
        <f>RANK(I153,$I$76:$I$450)</f>
        <v>78</v>
      </c>
      <c r="M153" s="173">
        <f>SUM(N153:R153)</f>
        <v>19057.904207065007</v>
      </c>
      <c r="N153" s="174">
        <f>T153*(1+((AG153+IF(F153="백어택",8,0))/100)*((AI153/100-1)))</f>
        <v>19057.904207065007</v>
      </c>
      <c r="O153" s="174"/>
      <c r="P153" s="174"/>
      <c r="Q153" s="174"/>
      <c r="R153" s="175"/>
      <c r="S153" s="173">
        <f>SUM(T153:X153)</f>
        <v>9717.9493113014632</v>
      </c>
      <c r="T153" s="174">
        <f>AL153*AS153*AU153*AX153*IF(AY153=0,1,0.5)*IF(F153="백어택",1.2,1)</f>
        <v>9717.9493113014632</v>
      </c>
      <c r="U153" s="174"/>
      <c r="V153" s="174"/>
      <c r="W153" s="174"/>
      <c r="X153" s="175"/>
      <c r="Y153" s="173">
        <f>SUM(Z153:AD153)</f>
        <v>26103.461388681349</v>
      </c>
      <c r="Z153" s="174">
        <f>T153*AI153/100</f>
        <v>26103.461388681349</v>
      </c>
      <c r="AA153" s="174"/>
      <c r="AB153" s="174"/>
      <c r="AC153" s="174"/>
      <c r="AD153" s="175"/>
      <c r="AE153" s="173">
        <f>AO153*(1-$D$17/100)</f>
        <v>15.961888</v>
      </c>
      <c r="AF153" s="174">
        <f>AP153</f>
        <v>36</v>
      </c>
      <c r="AG153" s="174">
        <f>IF($D$57+AV153&gt;100,100,$D$57+AV153)</f>
        <v>49.001300000000001</v>
      </c>
      <c r="AH153" s="174">
        <f>AQ153</f>
        <v>412</v>
      </c>
      <c r="AI153" s="174">
        <f>$D$58+$D$19</f>
        <v>268.61079999999998</v>
      </c>
      <c r="AJ153" s="174">
        <f>10*AR153/(7-IF(AX153=1,0,3))</f>
        <v>1.4285714285714286</v>
      </c>
      <c r="AK153" s="174">
        <f>SUM(AL153:AN153)</f>
        <v>8098.2910927512203</v>
      </c>
      <c r="AL153" s="174">
        <f>(VLOOKUP(C153,$B$36:$AG$39,13,FALSE)+VLOOKUP(C153,$B$40:$AG$43,13,FALSE)*$D$54)*$D$59/100</f>
        <v>8098.2910927512203</v>
      </c>
      <c r="AM153" s="174"/>
      <c r="AN153" s="174"/>
      <c r="AO153" s="176">
        <v>16</v>
      </c>
      <c r="AP153" s="174">
        <v>36</v>
      </c>
      <c r="AQ153" s="175">
        <f>VLOOKUP(C153,$B$45:$AA$48,13,FALSE)</f>
        <v>412</v>
      </c>
      <c r="AR153" s="31">
        <f>IF(LEFT(E153,1)*1=1,$S$60,$R$60)</f>
        <v>1</v>
      </c>
      <c r="AS153" s="2">
        <f>IF(LEFT(E153,1)*1=2,$U$60,$T$60)</f>
        <v>1</v>
      </c>
      <c r="AT153" s="33">
        <f>IF(LEFT(E153,1)*1=3,$W$60,$V$60)</f>
        <v>0</v>
      </c>
      <c r="AU153" s="31">
        <f>IF(MID(E153,3,1)*1=1,$Y$60,$X$60)</f>
        <v>1</v>
      </c>
      <c r="AV153" s="2">
        <f>IF(MID(E153,3,1)*1=2,$AA$60,$Z$60)</f>
        <v>30</v>
      </c>
      <c r="AW153" s="33">
        <f>IF(MID(E153,3,1)*1=3,$AC$60,$AB$60)</f>
        <v>0</v>
      </c>
      <c r="AX153" s="31">
        <f>IF(MID(E153,5,1)*1=1,$AE$60,$AD$60)</f>
        <v>1</v>
      </c>
      <c r="AY153" s="33">
        <f>IF(MID(E153,5,1)*1=2,$AG$60,$AF$60)</f>
        <v>0</v>
      </c>
      <c r="AZ153" s="2"/>
      <c r="BA153" s="101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 ht="12" customHeight="1">
      <c r="A154" s="2"/>
      <c r="B154" s="107">
        <v>161</v>
      </c>
      <c r="C154" s="31">
        <v>10</v>
      </c>
      <c r="D154" s="106" t="s">
        <v>10</v>
      </c>
      <c r="E154" s="2" t="s">
        <v>153</v>
      </c>
      <c r="F154" s="2" t="s">
        <v>149</v>
      </c>
      <c r="G154" s="2" t="s">
        <v>137</v>
      </c>
      <c r="H154" s="33"/>
      <c r="I154" s="173">
        <f>M154/AE154</f>
        <v>1193.9630328858971</v>
      </c>
      <c r="J154" s="174">
        <f>AH154/AE154</f>
        <v>25.811482952392598</v>
      </c>
      <c r="K154" s="207">
        <f>RANK(I154,$I$76:$I$977)</f>
        <v>78</v>
      </c>
      <c r="L154" s="208">
        <f>RANK(I154,$I$76:$I$450)</f>
        <v>78</v>
      </c>
      <c r="M154" s="173">
        <f>SUM(N154:R154)</f>
        <v>19057.904207065007</v>
      </c>
      <c r="N154" s="174">
        <f>T154*(1+((AG154+IF(F154="백어택",8,0))/100)*((AI154/100-1)))</f>
        <v>19057.904207065007</v>
      </c>
      <c r="O154" s="174"/>
      <c r="P154" s="174"/>
      <c r="Q154" s="174"/>
      <c r="R154" s="175"/>
      <c r="S154" s="173">
        <f>SUM(T154:X154)</f>
        <v>9717.9493113014632</v>
      </c>
      <c r="T154" s="174">
        <f>AL154*AS154*AU154*AX154*IF(AY154=0,1,0.5)*IF(F154="백어택",1.2,1)</f>
        <v>9717.9493113014632</v>
      </c>
      <c r="U154" s="174"/>
      <c r="V154" s="174"/>
      <c r="W154" s="174"/>
      <c r="X154" s="175"/>
      <c r="Y154" s="173">
        <f>SUM(Z154:AD154)</f>
        <v>26103.461388681349</v>
      </c>
      <c r="Z154" s="174">
        <f>T154*AI154/100</f>
        <v>26103.461388681349</v>
      </c>
      <c r="AA154" s="174"/>
      <c r="AB154" s="174"/>
      <c r="AC154" s="174"/>
      <c r="AD154" s="175"/>
      <c r="AE154" s="173">
        <f>AO154*(1-$D$17/100)</f>
        <v>15.961888</v>
      </c>
      <c r="AF154" s="174">
        <f>AP154</f>
        <v>36</v>
      </c>
      <c r="AG154" s="174">
        <f>IF($D$57+AV154&gt;100,100,$D$57+AV154)</f>
        <v>49.001300000000001</v>
      </c>
      <c r="AH154" s="174">
        <f>AQ154</f>
        <v>412</v>
      </c>
      <c r="AI154" s="174">
        <f>$D$58+$D$19</f>
        <v>268.61079999999998</v>
      </c>
      <c r="AJ154" s="174">
        <f>10*AR154/(7-IF(AX154=1,0,3))</f>
        <v>1.2142857142857142</v>
      </c>
      <c r="AK154" s="174">
        <f>SUM(AL154:AN154)</f>
        <v>8098.2910927512203</v>
      </c>
      <c r="AL154" s="174">
        <f>(VLOOKUP(C154,$B$36:$AG$39,13,FALSE)+VLOOKUP(C154,$B$40:$AG$43,13,FALSE)*$D$54)*$D$59/100</f>
        <v>8098.2910927512203</v>
      </c>
      <c r="AM154" s="174"/>
      <c r="AN154" s="174"/>
      <c r="AO154" s="176">
        <v>16</v>
      </c>
      <c r="AP154" s="174">
        <v>36</v>
      </c>
      <c r="AQ154" s="175">
        <f>VLOOKUP(C154,$B$45:$AA$48,13,FALSE)</f>
        <v>412</v>
      </c>
      <c r="AR154" s="31">
        <f>IF(LEFT(E154,1)*1=1,$S$60,$R$60)</f>
        <v>0.85</v>
      </c>
      <c r="AS154" s="2">
        <f>IF(LEFT(E154,1)*1=2,$U$60,$T$60)</f>
        <v>1</v>
      </c>
      <c r="AT154" s="33">
        <f>IF(LEFT(E154,1)*1=3,$W$60,$V$60)</f>
        <v>0</v>
      </c>
      <c r="AU154" s="31">
        <f>IF(MID(E154,3,1)*1=1,$Y$60,$X$60)</f>
        <v>1</v>
      </c>
      <c r="AV154" s="2">
        <f>IF(MID(E154,3,1)*1=2,$AA$60,$Z$60)</f>
        <v>30</v>
      </c>
      <c r="AW154" s="33">
        <f>IF(MID(E154,3,1)*1=3,$AC$60,$AB$60)</f>
        <v>0</v>
      </c>
      <c r="AX154" s="31">
        <f>IF(MID(E154,5,1)*1=1,$AE$60,$AD$60)</f>
        <v>1</v>
      </c>
      <c r="AY154" s="33">
        <f>IF(MID(E154,5,1)*1=2,$AG$60,$AF$60)</f>
        <v>0</v>
      </c>
      <c r="AZ154" s="2"/>
      <c r="BA154" s="101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 ht="12" customHeight="1">
      <c r="A155" s="2"/>
      <c r="B155" s="107">
        <v>609</v>
      </c>
      <c r="C155" s="31">
        <v>10</v>
      </c>
      <c r="D155" s="111" t="s">
        <v>18</v>
      </c>
      <c r="E155" s="2" t="s">
        <v>169</v>
      </c>
      <c r="F155" s="2"/>
      <c r="G155" s="2"/>
      <c r="H155" s="33" t="s">
        <v>81</v>
      </c>
      <c r="I155" s="173">
        <f>M155/AE155</f>
        <v>1178.8046209951185</v>
      </c>
      <c r="J155" s="174">
        <f>AH155/AE155</f>
        <v>28.185356224514496</v>
      </c>
      <c r="K155" s="207">
        <f>RANK(I155,$I$76:$I$977)</f>
        <v>80</v>
      </c>
      <c r="L155" s="208" t="e">
        <f>RANK(I155,$I$451:$I$866)</f>
        <v>#N/A</v>
      </c>
      <c r="M155" s="173">
        <f>SUM(N155:R155)</f>
        <v>21789.939522009208</v>
      </c>
      <c r="N155" s="174">
        <f>T155*(1+((AG155+IF(F155="백어택",8,0))/100)*(AI155/100-1))</f>
        <v>21789.939522009208</v>
      </c>
      <c r="O155" s="174">
        <f>U155*(1+(($D$57+IF(F155="백어택",8,0))/100)*(AI155/100-1))</f>
        <v>0</v>
      </c>
      <c r="P155" s="174"/>
      <c r="Q155" s="174"/>
      <c r="R155" s="175"/>
      <c r="S155" s="173">
        <f>SUM(T155:X155)</f>
        <v>13704.252431904148</v>
      </c>
      <c r="T155" s="174">
        <f>AL155*IF(H155="근접",AT155,IF(AV155=1,AT155,1))*AX155*IF(F155="백어택",1.2,1)</f>
        <v>13704.252431904148</v>
      </c>
      <c r="U155" s="174">
        <f>IF(AX155=1,AM155*IF(H155="근접",AT155,IF(AV155=1,AT155,1)),0)*AY155*IF(AX155=1,1,0)*IF(F155="백어택",1.2,1)</f>
        <v>0</v>
      </c>
      <c r="V155" s="174"/>
      <c r="W155" s="174"/>
      <c r="X155" s="175"/>
      <c r="Y155" s="173">
        <f>SUM(Z155:AD155)</f>
        <v>27408.504863808295</v>
      </c>
      <c r="Z155" s="174">
        <f>T155*$D$58/100</f>
        <v>27408.504863808295</v>
      </c>
      <c r="AA155" s="174">
        <f>U155*$D$58/100</f>
        <v>0</v>
      </c>
      <c r="AB155" s="174"/>
      <c r="AC155" s="174"/>
      <c r="AD155" s="175"/>
      <c r="AE155" s="173">
        <f>(AO155*(1-$D$20/100)*(1-$D$17/100)-AR155)*IF(AW155="보스대상",1,POWER(0.85,AW155))</f>
        <v>18.484776131615998</v>
      </c>
      <c r="AF155" s="174">
        <f>AP155</f>
        <v>36</v>
      </c>
      <c r="AG155" s="174">
        <f>IF($D$57+AU155&gt;100,100,$D$57+AU155)</f>
        <v>59.001300000000001</v>
      </c>
      <c r="AH155" s="174">
        <f>AQ155</f>
        <v>521</v>
      </c>
      <c r="AI155" s="174">
        <f>$D$58</f>
        <v>200</v>
      </c>
      <c r="AJ155" s="174">
        <f>10*AS155/IF(AX155=1,IF(AY155=1,4.5,4),4)</f>
        <v>2</v>
      </c>
      <c r="AK155" s="174">
        <f>SUM(AL155:AN155)</f>
        <v>8196.5010303036597</v>
      </c>
      <c r="AL155" s="174">
        <f>IF(AV155=1,$D$61*(VLOOKUP(C155,$B$36:$AG$39,25,FALSE)+VLOOKUP(C155,$B$40:$AG$43,25,FALSE)*$D$54),(IF(H155="근접",$D$61*(VLOOKUP(C155,$B$36:$AG$39,25,FALSE)+VLOOKUP(C155,$B$40:$AG$43,25,FALSE)*$D$54),$D$60*(VLOOKUP(C155,$B$36:$AG$39,25,FALSE)+VLOOKUP(C155,$B$40:$AG$43,25,FALSE)*$D$54))))*$D$59/100</f>
        <v>4894.3758685371959</v>
      </c>
      <c r="AM155" s="174">
        <f>(IF(AV155=1,$D$61*(VLOOKUP(C155,$B$36:$AG$39,26,FALSE)+VLOOKUP(C155,$B$40:$AG$43,26,FALSE)*$D$54),IF(H155="근접",$D$61*(VLOOKUP(C155,$B$36:$AG$39,26,FALSE)+VLOOKUP(C155,$B$40:$AG$43,26,FALSE)*$D$54),$D$60*(VLOOKUP(C155,$B$36:$AG$39,26,FALSE)+VLOOKUP(C155,$B$40:$AG$43,26,FALSE)*$D$54))))*$D$59/100</f>
        <v>3302.1251617664634</v>
      </c>
      <c r="AN155" s="174"/>
      <c r="AO155" s="176">
        <v>24</v>
      </c>
      <c r="AP155" s="174">
        <v>36</v>
      </c>
      <c r="AQ155" s="175">
        <f>VLOOKUP(C155,$B$45:$AA$48,25,FALSE)</f>
        <v>521</v>
      </c>
      <c r="AR155" s="31">
        <f>IF(LEFT(E155,1)*1=1,$S$68,$R$68)</f>
        <v>0</v>
      </c>
      <c r="AS155" s="2">
        <f>IF(LEFT(E155,1)*1=2,$U$68,$T$68)</f>
        <v>0.8</v>
      </c>
      <c r="AT155" s="33">
        <f>IF(LEFT(E155,1)*1=3,$W$68,$V$68)</f>
        <v>1</v>
      </c>
      <c r="AU155" s="31">
        <f>IF(MID(E155,3,1)*1=1,$Y$68,$X$68)</f>
        <v>40</v>
      </c>
      <c r="AV155" s="2">
        <f>IF(MID(E155,3,1)*1=2,$AA$68,$Z$68)</f>
        <v>0</v>
      </c>
      <c r="AW155" s="33" t="str">
        <f>IF(MID(E155,3,1)*1=3,$AC$68,$AB$68)</f>
        <v>보스대상</v>
      </c>
      <c r="AX155" s="31">
        <f>IF(MID(E155,5,1)*1=1,$AE$68,$AD$68)</f>
        <v>2.8</v>
      </c>
      <c r="AY155" s="33">
        <f>IF(MID(E155,5,1)*1=2,$AG$68,$AF$68)</f>
        <v>1</v>
      </c>
      <c r="AZ155" s="2"/>
      <c r="BA155" s="101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 ht="12" customHeight="1">
      <c r="A156" s="2"/>
      <c r="B156" s="107">
        <v>486</v>
      </c>
      <c r="C156" s="31">
        <v>10</v>
      </c>
      <c r="D156" s="111" t="s">
        <v>14</v>
      </c>
      <c r="E156" s="2" t="s">
        <v>164</v>
      </c>
      <c r="F156" s="2"/>
      <c r="G156" s="2"/>
      <c r="H156" s="33" t="s">
        <v>81</v>
      </c>
      <c r="I156" s="173">
        <f>M156/AE156</f>
        <v>1160.8538919913569</v>
      </c>
      <c r="J156" s="174">
        <f>AH156/AE156</f>
        <v>23.695174714659018</v>
      </c>
      <c r="K156" s="207">
        <f>RANK(I156,$I$76:$I$977)</f>
        <v>81</v>
      </c>
      <c r="L156" s="208" t="e">
        <f>RANK(I156,$I$451:$I$866)</f>
        <v>#N/A</v>
      </c>
      <c r="M156" s="173">
        <f>SUM(N156:R156)</f>
        <v>32187.186472463061</v>
      </c>
      <c r="N156" s="174">
        <f>T156*(1+((AG156+IF(F156="백어택",8,0))/100)*(AI156/100-1))</f>
        <v>6002.7373577410644</v>
      </c>
      <c r="O156" s="174">
        <f>U156*(1+((AG156+IF(F156="백어택",8,0))/100)*(AI156/100-1))</f>
        <v>6002.7373577410644</v>
      </c>
      <c r="P156" s="174">
        <f>V156*(1+((AG156+IF(F156="백어택",8,0))/100)*(AI156*IF(AX156=1,AW156,1)/100-1))</f>
        <v>8111.5168298072831</v>
      </c>
      <c r="Q156" s="174">
        <f>W156*(1+((AG156+IF(F156="백어택",8,0))/100)*(AI156*AW156/100-1))</f>
        <v>12070.194927173648</v>
      </c>
      <c r="R156" s="175"/>
      <c r="S156" s="173">
        <f>SUM(T156:X156)</f>
        <v>19389.643599043902</v>
      </c>
      <c r="T156" s="174">
        <f>AL156*AY156*IF(F156="백어택",1.2,1)</f>
        <v>3616.0643641481706</v>
      </c>
      <c r="U156" s="174">
        <f>AM156*AY156*IF(F156="백어택",1.2,1)</f>
        <v>3616.0643641481706</v>
      </c>
      <c r="V156" s="174">
        <f>AN156*AY156*IF(F156="백어택",1.2,1)</f>
        <v>4886.3985211060972</v>
      </c>
      <c r="W156" s="174">
        <f>(T156+U156+V156)*IF(AX156=1,0,0.6)*IF(F156="백어택",1.2,1)</f>
        <v>7271.1163496414638</v>
      </c>
      <c r="X156" s="175"/>
      <c r="Y156" s="173">
        <f>SUM(Z156:AD156)</f>
        <v>48474.108997609757</v>
      </c>
      <c r="Z156" s="174">
        <f>T156*AI156/100</f>
        <v>9040.1609103704268</v>
      </c>
      <c r="AA156" s="174">
        <f>U156*AI156/100</f>
        <v>9040.1609103704268</v>
      </c>
      <c r="AB156" s="174">
        <f>V156*AI156*IF(AX156=1,AW156,1)/100</f>
        <v>12215.996302765243</v>
      </c>
      <c r="AC156" s="174">
        <f>W156*AI156*AW156/100</f>
        <v>18177.790874103659</v>
      </c>
      <c r="AD156" s="175"/>
      <c r="AE156" s="173">
        <f>AO156*(1-$D$20/100)*(1-$D$17/100)</f>
        <v>27.727164197424003</v>
      </c>
      <c r="AF156" s="174">
        <f>AP156</f>
        <v>36</v>
      </c>
      <c r="AG156" s="174">
        <f>IF($D$57+AU156&gt;100,100,$D$57+AU156)</f>
        <v>44.001300000000001</v>
      </c>
      <c r="AH156" s="174">
        <f>AQ156*AS156</f>
        <v>657</v>
      </c>
      <c r="AI156" s="174">
        <f>$D$58+IF(H156="근접",AR156,0)+IF(AY156=1,0,50)</f>
        <v>250</v>
      </c>
      <c r="AJ156" s="174">
        <f>10/3</f>
        <v>3.3333333333333335</v>
      </c>
      <c r="AK156" s="174">
        <f>SUM(AL156:AN156)</f>
        <v>12118.527249402439</v>
      </c>
      <c r="AL156" s="174">
        <f>(IF(H156="근접",$D$61*(VLOOKUP(C156,$B$36:$AG$39,19,FALSE)+VLOOKUP(C156,$B$40:$AG$43,19,FALSE)*$D$54),$D$60*(VLOOKUP(C156,$B$36:$AG$39,19,FALSE)+VLOOKUP(C156,$B$40:$AG$43,19,FALSE)*$D$54)))*$D$59/100</f>
        <v>3616.0643641481706</v>
      </c>
      <c r="AM156" s="174">
        <f>(IF(H156="근접",$D$61*(VLOOKUP(C156,$B$36:$AG$39,20,FALSE)+VLOOKUP(C156,$B$40:$AG$43,20,FALSE)*$D$54),$D$60*(VLOOKUP(C156,$B$36:$AG$39,20,FALSE)+VLOOKUP(C156,$B$40:$AG$43,20,FALSE)*$D$54)))*$D$59/100</f>
        <v>3616.0643641481706</v>
      </c>
      <c r="AN156" s="174">
        <f>(IF(H156="근접",$D$61*(VLOOKUP(C156,$B$36:$AG$39,21,FALSE)+VLOOKUP(C156,$B$40:$AG$43,21,FALSE)*$D$54),$D$60*(VLOOKUP(C156,$B$36:$AG$39,21,FALSE)+VLOOKUP(C156,$B$40:$AG$43,21,FALSE)*$D$54)))*$D$59/100</f>
        <v>4886.3985211060972</v>
      </c>
      <c r="AO156" s="176">
        <v>36</v>
      </c>
      <c r="AP156" s="174">
        <v>36</v>
      </c>
      <c r="AQ156" s="175">
        <f>VLOOKUP(C156,$B$45:$AA$48,19,FALSE)</f>
        <v>657</v>
      </c>
      <c r="AR156" s="31">
        <f>IF(LEFT(E156,1)*1=1,$S$64,$R$64)</f>
        <v>50</v>
      </c>
      <c r="AS156" s="2">
        <f>IF(LEFT(E156,1)*1=2,$U$64,$T$64)</f>
        <v>1</v>
      </c>
      <c r="AT156" s="33">
        <f>IF(LEFT(E156,1)*1=3,$W$64,$V$64)</f>
        <v>0</v>
      </c>
      <c r="AU156" s="31">
        <f>IF(MID(E156,3,1)*1=1,$Y$64,$X$64)</f>
        <v>25</v>
      </c>
      <c r="AV156" s="2">
        <f>IF(MID(E156,3,1)*1=2,$AA$64,$Z$64)</f>
        <v>0</v>
      </c>
      <c r="AW156" s="33">
        <f>IF(MID(E156,3,1)*1=3,$AC$64,$AB$64)</f>
        <v>1</v>
      </c>
      <c r="AX156" s="31">
        <f>IF(MID(E156,5,1)*1=1,$AE$64,$AD$64)</f>
        <v>0.6</v>
      </c>
      <c r="AY156" s="33">
        <f>IF(MID(E156,5,1)*1=2,$AG$64,$AF$64)</f>
        <v>1</v>
      </c>
      <c r="AZ156" s="2"/>
      <c r="BA156" s="101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 ht="12" customHeight="1">
      <c r="A157" s="2"/>
      <c r="B157" s="107">
        <v>708</v>
      </c>
      <c r="C157" s="31">
        <v>10</v>
      </c>
      <c r="D157" s="111" t="s">
        <v>18</v>
      </c>
      <c r="E157" s="2" t="s">
        <v>165</v>
      </c>
      <c r="F157" s="2" t="s">
        <v>149</v>
      </c>
      <c r="G157" s="2"/>
      <c r="H157" s="33" t="s">
        <v>80</v>
      </c>
      <c r="I157" s="173">
        <f>M157/AE157</f>
        <v>1146.3012911191975</v>
      </c>
      <c r="J157" s="174">
        <f>AH157/AE157</f>
        <v>35.968798914524506</v>
      </c>
      <c r="K157" s="207">
        <f>RANK(I157,$I$76:$I$977)</f>
        <v>82</v>
      </c>
      <c r="L157" s="208" t="e">
        <f>RANK(I157,$I$451:$I$866)</f>
        <v>#N/A</v>
      </c>
      <c r="M157" s="173">
        <f>SUM(N157:R157)</f>
        <v>16603.917581243953</v>
      </c>
      <c r="N157" s="174">
        <f>T157*(1+((AG157+IF(F157="백어택",8,0))/100)*(AI157/100-1))</f>
        <v>6538.9370618747262</v>
      </c>
      <c r="O157" s="174">
        <f>U157*(1+(($D$57+IF(F157="백어택",8,0))/100)*(AI157/100-1))</f>
        <v>10064.980519369228</v>
      </c>
      <c r="P157" s="174"/>
      <c r="Q157" s="174"/>
      <c r="R157" s="175"/>
      <c r="S157" s="173">
        <f>SUM(T157:X157)</f>
        <v>11840.601083069268</v>
      </c>
      <c r="T157" s="174">
        <f>AL157*IF(H157="근접",AT157,IF(AV157=1,AT157,1))*AX157*IF(F157="백어택",1.2,1)</f>
        <v>3915.5006948297564</v>
      </c>
      <c r="U157" s="174">
        <f>IF(AX157=1,AM157*IF(H157="근접",AT157,IF(AV157=1,AT157,1)),0)*AY157*IF(AX157=1,1,0)*IF(F157="백어택",1.2,1)</f>
        <v>7925.1003882395125</v>
      </c>
      <c r="V157" s="174"/>
      <c r="W157" s="174"/>
      <c r="X157" s="175"/>
      <c r="Y157" s="173">
        <f>SUM(Z157:AD157)</f>
        <v>23681.202166138537</v>
      </c>
      <c r="Z157" s="174">
        <f>T157*$D$58/100</f>
        <v>7831.0013896595128</v>
      </c>
      <c r="AA157" s="174">
        <f>U157*$D$58/100</f>
        <v>15850.200776479025</v>
      </c>
      <c r="AB157" s="174"/>
      <c r="AC157" s="174"/>
      <c r="AD157" s="175"/>
      <c r="AE157" s="173">
        <f>(AO157*(1-$D$20/100)*(1-$D$17/100)-AR157)*IF(AW157="보스대상",1,POWER(0.85,AW157))</f>
        <v>14.484776131615998</v>
      </c>
      <c r="AF157" s="174">
        <f>AP157</f>
        <v>36</v>
      </c>
      <c r="AG157" s="174">
        <f>IF($D$57+AU157&gt;100,100,$D$57+AU157)</f>
        <v>59.001300000000001</v>
      </c>
      <c r="AH157" s="174">
        <f>AQ157</f>
        <v>521</v>
      </c>
      <c r="AI157" s="174">
        <f>$D$58</f>
        <v>200</v>
      </c>
      <c r="AJ157" s="174">
        <f>10*AS157/IF(AX157=1,IF(AY157=1,4.5,4),4)</f>
        <v>2.5</v>
      </c>
      <c r="AK157" s="174">
        <f>SUM(AL157:AN157)</f>
        <v>5464.3340202024392</v>
      </c>
      <c r="AL157" s="174">
        <f>IF(AV157=1,$D$61*(VLOOKUP(C157,$B$36:$AG$39,25,FALSE)+VLOOKUP(C157,$B$40:$AG$43,25,FALSE)*$D$54),(IF(H157="근접",$D$61*(VLOOKUP(C157,$B$36:$AG$39,25,FALSE)+VLOOKUP(C157,$B$40:$AG$43,25,FALSE)*$D$54),$D$60*(VLOOKUP(C157,$B$36:$AG$39,25,FALSE)+VLOOKUP(C157,$B$40:$AG$43,25,FALSE)*$D$54))))*$D$59/100</f>
        <v>3262.9172456914639</v>
      </c>
      <c r="AM157" s="174">
        <f>(IF(AV157=1,$D$61*(VLOOKUP(C157,$B$36:$AG$39,26,FALSE)+VLOOKUP(C157,$B$40:$AG$43,26,FALSE)*$D$54),IF(H157="근접",$D$61*(VLOOKUP(C157,$B$36:$AG$39,26,FALSE)+VLOOKUP(C157,$B$40:$AG$43,26,FALSE)*$D$54),$D$60*(VLOOKUP(C157,$B$36:$AG$39,26,FALSE)+VLOOKUP(C157,$B$40:$AG$43,26,FALSE)*$D$54))))*$D$59/100</f>
        <v>2201.4167745109758</v>
      </c>
      <c r="AN157" s="174"/>
      <c r="AO157" s="176">
        <v>24</v>
      </c>
      <c r="AP157" s="174">
        <v>36</v>
      </c>
      <c r="AQ157" s="175">
        <f>VLOOKUP(C157,$B$45:$AA$48,25,FALSE)</f>
        <v>521</v>
      </c>
      <c r="AR157" s="31">
        <f>IF(LEFT(E157,1)*1=1,$S$68,$R$68)</f>
        <v>4</v>
      </c>
      <c r="AS157" s="2">
        <f>IF(LEFT(E157,1)*1=2,$U$68,$T$68)</f>
        <v>1</v>
      </c>
      <c r="AT157" s="33">
        <f>IF(LEFT(E157,1)*1=3,$W$68,$V$68)</f>
        <v>1</v>
      </c>
      <c r="AU157" s="31">
        <f>IF(MID(E157,3,1)*1=1,$Y$68,$X$68)</f>
        <v>40</v>
      </c>
      <c r="AV157" s="2">
        <f>IF(MID(E157,3,1)*1=2,$AA$68,$Z$68)</f>
        <v>0</v>
      </c>
      <c r="AW157" s="33" t="str">
        <f>IF(MID(E157,3,1)*1=3,$AC$68,$AB$68)</f>
        <v>보스대상</v>
      </c>
      <c r="AX157" s="31">
        <f>IF(MID(E157,5,1)*1=1,$AE$68,$AD$68)</f>
        <v>1</v>
      </c>
      <c r="AY157" s="33">
        <f>IF(MID(E157,5,1)*1=2,$AG$68,$AF$68)</f>
        <v>3</v>
      </c>
      <c r="AZ157" s="2"/>
      <c r="BA157" s="101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 ht="12" customHeight="1">
      <c r="A158" s="2"/>
      <c r="B158" s="107">
        <v>544</v>
      </c>
      <c r="C158" s="31">
        <v>10</v>
      </c>
      <c r="D158" s="111" t="s">
        <v>14</v>
      </c>
      <c r="E158" s="2" t="s">
        <v>144</v>
      </c>
      <c r="F158" s="2" t="s">
        <v>149</v>
      </c>
      <c r="G158" s="2"/>
      <c r="H158" s="33" t="s">
        <v>81</v>
      </c>
      <c r="I158" s="173">
        <f>M158/AE158</f>
        <v>1145.6771434125976</v>
      </c>
      <c r="J158" s="174">
        <f>AH158/AE158</f>
        <v>23.695174714659018</v>
      </c>
      <c r="K158" s="207">
        <f>RANK(I158,$I$76:$I$977)</f>
        <v>83</v>
      </c>
      <c r="L158" s="208" t="e">
        <f>RANK(I158,$I$451:$I$866)</f>
        <v>#N/A</v>
      </c>
      <c r="M158" s="173">
        <f>SUM(N158:R158)</f>
        <v>31766.378272636779</v>
      </c>
      <c r="N158" s="174">
        <f>T158*(1+((AG158+IF(F158="백어택",8,0))/100)*(AI158/100-1))</f>
        <v>5510.9385015658936</v>
      </c>
      <c r="O158" s="174">
        <f>U158*(1+((AG158+IF(F158="백어택",8,0))/100)*(AI158/100-1))</f>
        <v>5510.9385015658936</v>
      </c>
      <c r="P158" s="174">
        <f>V158*(1+((AG158+IF(F158="백어택",8,0))/100)*(AI158*IF(AX158=1,AW158,1)/100-1))</f>
        <v>7446.9475739826221</v>
      </c>
      <c r="Q158" s="174">
        <f>W158*(1+((AG158+IF(F158="백어택",8,0))/100)*(AI158*AW158/100-1))</f>
        <v>13297.553695522371</v>
      </c>
      <c r="R158" s="175"/>
      <c r="S158" s="173">
        <f>SUM(T158:X158)</f>
        <v>25012.640242766633</v>
      </c>
      <c r="T158" s="174">
        <f>AL158*AY158*IF(F158="백어택",1.2,1)</f>
        <v>4339.2772369778049</v>
      </c>
      <c r="U158" s="174">
        <f>AM158*AY158*IF(F158="백어택",1.2,1)</f>
        <v>4339.2772369778049</v>
      </c>
      <c r="V158" s="174">
        <f>AN158*AY158*IF(F158="백어택",1.2,1)</f>
        <v>5863.6782253273168</v>
      </c>
      <c r="W158" s="174">
        <f>(T158+U158+V158)*IF(AX158=1,0,0.6)*IF(F158="백어택",1.2,1)</f>
        <v>10470.407543483705</v>
      </c>
      <c r="X158" s="175"/>
      <c r="Y158" s="173">
        <f>SUM(Z158:AD158)</f>
        <v>50025.280485533265</v>
      </c>
      <c r="Z158" s="174">
        <f>T158*AI158/100</f>
        <v>8678.5544739556099</v>
      </c>
      <c r="AA158" s="174">
        <f>U158*AI158/100</f>
        <v>8678.5544739556099</v>
      </c>
      <c r="AB158" s="174">
        <f>V158*AI158*IF(AX158=1,AW158,1)/100</f>
        <v>11727.356450654634</v>
      </c>
      <c r="AC158" s="174">
        <f>W158*AI158*AW158/100</f>
        <v>20940.81508696741</v>
      </c>
      <c r="AD158" s="175"/>
      <c r="AE158" s="173">
        <f>AO158*(1-$D$20/100)*(1-$D$17/100)</f>
        <v>27.727164197424003</v>
      </c>
      <c r="AF158" s="174">
        <f>AP158</f>
        <v>36</v>
      </c>
      <c r="AG158" s="174">
        <f>IF($D$57+AU158&gt;100,100,$D$57+AU158)</f>
        <v>19.001300000000001</v>
      </c>
      <c r="AH158" s="174">
        <f>AQ158*AS158</f>
        <v>657</v>
      </c>
      <c r="AI158" s="174">
        <f>$D$58+IF(H158="근접",AR158,0)+IF(AY158=1,0,50)</f>
        <v>200</v>
      </c>
      <c r="AJ158" s="174">
        <f>10/3</f>
        <v>3.3333333333333335</v>
      </c>
      <c r="AK158" s="174">
        <f>SUM(AL158:AN158)</f>
        <v>12118.527249402439</v>
      </c>
      <c r="AL158" s="174">
        <f>(IF(H158="근접",$D$61*(VLOOKUP(C158,$B$36:$AG$39,19,FALSE)+VLOOKUP(C158,$B$40:$AG$43,19,FALSE)*$D$54),$D$60*(VLOOKUP(C158,$B$36:$AG$39,19,FALSE)+VLOOKUP(C158,$B$40:$AG$43,19,FALSE)*$D$54)))*$D$59/100</f>
        <v>3616.0643641481706</v>
      </c>
      <c r="AM158" s="174">
        <f>(IF(H158="근접",$D$61*(VLOOKUP(C158,$B$36:$AG$39,20,FALSE)+VLOOKUP(C158,$B$40:$AG$43,20,FALSE)*$D$54),$D$60*(VLOOKUP(C158,$B$36:$AG$39,20,FALSE)+VLOOKUP(C158,$B$40:$AG$43,20,FALSE)*$D$54)))*$D$59/100</f>
        <v>3616.0643641481706</v>
      </c>
      <c r="AN158" s="174">
        <f>(IF(H158="근접",$D$61*(VLOOKUP(C158,$B$36:$AG$39,21,FALSE)+VLOOKUP(C158,$B$40:$AG$43,21,FALSE)*$D$54),$D$60*(VLOOKUP(C158,$B$36:$AG$39,21,FALSE)+VLOOKUP(C158,$B$40:$AG$43,21,FALSE)*$D$54)))*$D$59/100</f>
        <v>4886.3985211060972</v>
      </c>
      <c r="AO158" s="176">
        <v>36</v>
      </c>
      <c r="AP158" s="174">
        <v>36</v>
      </c>
      <c r="AQ158" s="175">
        <f>VLOOKUP(C158,$B$45:$AA$48,19,FALSE)</f>
        <v>657</v>
      </c>
      <c r="AR158" s="31">
        <f>IF(LEFT(E158,1)*1=1,$S$64,$R$64)</f>
        <v>0</v>
      </c>
      <c r="AS158" s="2">
        <f>IF(LEFT(E158,1)*1=2,$U$64,$T$64)</f>
        <v>1</v>
      </c>
      <c r="AT158" s="33">
        <f>IF(LEFT(E158,1)*1=3,$W$64,$V$64)</f>
        <v>0</v>
      </c>
      <c r="AU158" s="31">
        <f>IF(MID(E158,3,1)*1=1,$Y$64,$X$64)</f>
        <v>0</v>
      </c>
      <c r="AV158" s="2">
        <f>IF(MID(E158,3,1)*1=2,$AA$64,$Z$64)</f>
        <v>0</v>
      </c>
      <c r="AW158" s="33">
        <f>IF(MID(E158,3,1)*1=3,$AC$64,$AB$64)</f>
        <v>1</v>
      </c>
      <c r="AX158" s="31">
        <f>IF(MID(E158,5,1)*1=1,$AE$64,$AD$64)</f>
        <v>0.6</v>
      </c>
      <c r="AY158" s="33">
        <f>IF(MID(E158,5,1)*1=2,$AG$64,$AF$64)</f>
        <v>1</v>
      </c>
      <c r="AZ158" s="2"/>
      <c r="BA158" s="101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 ht="12" customHeight="1">
      <c r="A159" s="2"/>
      <c r="B159" s="107">
        <v>550</v>
      </c>
      <c r="C159" s="31">
        <v>10</v>
      </c>
      <c r="D159" s="111" t="s">
        <v>14</v>
      </c>
      <c r="E159" s="2" t="s">
        <v>161</v>
      </c>
      <c r="F159" s="2" t="s">
        <v>149</v>
      </c>
      <c r="G159" s="2"/>
      <c r="H159" s="33" t="s">
        <v>81</v>
      </c>
      <c r="I159" s="173">
        <f>M159/AE159</f>
        <v>1145.6771434125976</v>
      </c>
      <c r="J159" s="174">
        <f>AH159/AE159</f>
        <v>11.847587357329509</v>
      </c>
      <c r="K159" s="207">
        <f>RANK(I159,$I$76:$I$977)</f>
        <v>83</v>
      </c>
      <c r="L159" s="208" t="e">
        <f>RANK(I159,$I$451:$I$866)</f>
        <v>#N/A</v>
      </c>
      <c r="M159" s="173">
        <f>SUM(N159:R159)</f>
        <v>31766.378272636779</v>
      </c>
      <c r="N159" s="174">
        <f>T159*(1+((AG159+IF(F159="백어택",8,0))/100)*(AI159/100-1))</f>
        <v>5510.9385015658936</v>
      </c>
      <c r="O159" s="174">
        <f>U159*(1+((AG159+IF(F159="백어택",8,0))/100)*(AI159/100-1))</f>
        <v>5510.9385015658936</v>
      </c>
      <c r="P159" s="174">
        <f>V159*(1+((AG159+IF(F159="백어택",8,0))/100)*(AI159*IF(AX159=1,AW159,1)/100-1))</f>
        <v>7446.9475739826221</v>
      </c>
      <c r="Q159" s="174">
        <f>W159*(1+((AG159+IF(F159="백어택",8,0))/100)*(AI159*AW159/100-1))</f>
        <v>13297.553695522371</v>
      </c>
      <c r="R159" s="175"/>
      <c r="S159" s="173">
        <f>SUM(T159:X159)</f>
        <v>25012.640242766633</v>
      </c>
      <c r="T159" s="174">
        <f>AL159*AY159*IF(F159="백어택",1.2,1)</f>
        <v>4339.2772369778049</v>
      </c>
      <c r="U159" s="174">
        <f>AM159*AY159*IF(F159="백어택",1.2,1)</f>
        <v>4339.2772369778049</v>
      </c>
      <c r="V159" s="174">
        <f>AN159*AY159*IF(F159="백어택",1.2,1)</f>
        <v>5863.6782253273168</v>
      </c>
      <c r="W159" s="174">
        <f>(T159+U159+V159)*IF(AX159=1,0,0.6)*IF(F159="백어택",1.2,1)</f>
        <v>10470.407543483705</v>
      </c>
      <c r="X159" s="175"/>
      <c r="Y159" s="173">
        <f>SUM(Z159:AD159)</f>
        <v>50025.280485533265</v>
      </c>
      <c r="Z159" s="174">
        <f>T159*AI159/100</f>
        <v>8678.5544739556099</v>
      </c>
      <c r="AA159" s="174">
        <f>U159*AI159/100</f>
        <v>8678.5544739556099</v>
      </c>
      <c r="AB159" s="174">
        <f>V159*AI159*IF(AX159=1,AW159,1)/100</f>
        <v>11727.356450654634</v>
      </c>
      <c r="AC159" s="174">
        <f>W159*AI159*AW159/100</f>
        <v>20940.81508696741</v>
      </c>
      <c r="AD159" s="175"/>
      <c r="AE159" s="173">
        <f>AO159*(1-$D$20/100)*(1-$D$17/100)</f>
        <v>27.727164197424003</v>
      </c>
      <c r="AF159" s="174">
        <f>AP159</f>
        <v>36</v>
      </c>
      <c r="AG159" s="174">
        <f>IF($D$57+AU159&gt;100,100,$D$57+AU159)</f>
        <v>19.001300000000001</v>
      </c>
      <c r="AH159" s="174">
        <f>AQ159*AS159</f>
        <v>328.5</v>
      </c>
      <c r="AI159" s="174">
        <f>$D$58+IF(H159="근접",AR159,0)+IF(AY159=1,0,50)</f>
        <v>200</v>
      </c>
      <c r="AJ159" s="174">
        <f>10/3</f>
        <v>3.3333333333333335</v>
      </c>
      <c r="AK159" s="174">
        <f>SUM(AL159:AN159)</f>
        <v>12118.527249402439</v>
      </c>
      <c r="AL159" s="174">
        <f>(IF(H159="근접",$D$61*(VLOOKUP(C159,$B$36:$AG$39,19,FALSE)+VLOOKUP(C159,$B$40:$AG$43,19,FALSE)*$D$54),$D$60*(VLOOKUP(C159,$B$36:$AG$39,19,FALSE)+VLOOKUP(C159,$B$40:$AG$43,19,FALSE)*$D$54)))*$D$59/100</f>
        <v>3616.0643641481706</v>
      </c>
      <c r="AM159" s="174">
        <f>(IF(H159="근접",$D$61*(VLOOKUP(C159,$B$36:$AG$39,20,FALSE)+VLOOKUP(C159,$B$40:$AG$43,20,FALSE)*$D$54),$D$60*(VLOOKUP(C159,$B$36:$AG$39,20,FALSE)+VLOOKUP(C159,$B$40:$AG$43,20,FALSE)*$D$54)))*$D$59/100</f>
        <v>3616.0643641481706</v>
      </c>
      <c r="AN159" s="174">
        <f>(IF(H159="근접",$D$61*(VLOOKUP(C159,$B$36:$AG$39,21,FALSE)+VLOOKUP(C159,$B$40:$AG$43,21,FALSE)*$D$54),$D$60*(VLOOKUP(C159,$B$36:$AG$39,21,FALSE)+VLOOKUP(C159,$B$40:$AG$43,21,FALSE)*$D$54)))*$D$59/100</f>
        <v>4886.3985211060972</v>
      </c>
      <c r="AO159" s="176">
        <v>36</v>
      </c>
      <c r="AP159" s="174">
        <v>36</v>
      </c>
      <c r="AQ159" s="175">
        <f>VLOOKUP(C159,$B$45:$AA$48,19,FALSE)</f>
        <v>657</v>
      </c>
      <c r="AR159" s="31">
        <f>IF(LEFT(E159,1)*1=1,$S$64,$R$64)</f>
        <v>0</v>
      </c>
      <c r="AS159" s="2">
        <f>IF(LEFT(E159,1)*1=2,$U$64,$T$64)</f>
        <v>0.5</v>
      </c>
      <c r="AT159" s="33">
        <f>IF(LEFT(E159,1)*1=3,$W$64,$V$64)</f>
        <v>0</v>
      </c>
      <c r="AU159" s="31">
        <f>IF(MID(E159,3,1)*1=1,$Y$64,$X$64)</f>
        <v>0</v>
      </c>
      <c r="AV159" s="2">
        <f>IF(MID(E159,3,1)*1=2,$AA$64,$Z$64)</f>
        <v>0</v>
      </c>
      <c r="AW159" s="33">
        <f>IF(MID(E159,3,1)*1=3,$AC$64,$AB$64)</f>
        <v>1</v>
      </c>
      <c r="AX159" s="31">
        <f>IF(MID(E159,5,1)*1=1,$AE$64,$AD$64)</f>
        <v>0.6</v>
      </c>
      <c r="AY159" s="33">
        <f>IF(MID(E159,5,1)*1=2,$AG$64,$AF$64)</f>
        <v>1</v>
      </c>
      <c r="AZ159" s="2"/>
      <c r="BA159" s="101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 ht="12" customHeight="1">
      <c r="A160" s="2"/>
      <c r="B160" s="107">
        <v>763</v>
      </c>
      <c r="C160" s="31">
        <v>10</v>
      </c>
      <c r="D160" s="111" t="s">
        <v>21</v>
      </c>
      <c r="E160" s="2" t="s">
        <v>141</v>
      </c>
      <c r="F160" s="2" t="s">
        <v>149</v>
      </c>
      <c r="G160" s="2" t="s">
        <v>177</v>
      </c>
      <c r="H160" s="33"/>
      <c r="I160" s="173">
        <f>M160/AE160</f>
        <v>1144.9683805008531</v>
      </c>
      <c r="J160" s="174">
        <f>AH160/AE160</f>
        <v>23.695174714659018</v>
      </c>
      <c r="K160" s="207">
        <f>RANK(I160,$I$76:$I$977)</f>
        <v>85</v>
      </c>
      <c r="L160" s="208" t="e">
        <f>RANK(I160,$I$451:$I$866)</f>
        <v>#N/A</v>
      </c>
      <c r="M160" s="173">
        <f>SUM(N160:R160)</f>
        <v>31746.726287005797</v>
      </c>
      <c r="N160" s="174">
        <f>T160*(1+((AG160+IF(F160="백어택",8,0))/100)*(AI160/100-1))</f>
        <v>31746.726287005797</v>
      </c>
      <c r="O160" s="174"/>
      <c r="P160" s="174"/>
      <c r="Q160" s="174"/>
      <c r="R160" s="175">
        <f>X160*(1+(AG160/100)*(AI160/100-1))</f>
        <v>0</v>
      </c>
      <c r="S160" s="173">
        <f>SUM(T160:X160)</f>
        <v>24997.166396726487</v>
      </c>
      <c r="T160" s="174">
        <f>AL160*AW160*AX160*AY160*IF(F160="백어택",1.2,1)</f>
        <v>24997.166396726487</v>
      </c>
      <c r="U160" s="174"/>
      <c r="V160" s="174"/>
      <c r="W160" s="174"/>
      <c r="X160" s="175">
        <f>AL160*AS160+IF(AX160=1,AL160*AU160,AL160*AU160*2)</f>
        <v>0</v>
      </c>
      <c r="Y160" s="173">
        <f>SUM(Z160:AD160)</f>
        <v>49994.332793452973</v>
      </c>
      <c r="Z160" s="174">
        <f>T160*$D$58/100</f>
        <v>49994.332793452973</v>
      </c>
      <c r="AA160" s="174"/>
      <c r="AB160" s="174"/>
      <c r="AC160" s="174"/>
      <c r="AD160" s="175">
        <f>X160*$D$58/100</f>
        <v>0</v>
      </c>
      <c r="AE160" s="173">
        <f>AO160*(1-$D$20/100)*(1-$D$17/100)-AR160</f>
        <v>27.727164197424003</v>
      </c>
      <c r="AF160" s="174">
        <f>AP160</f>
        <v>36</v>
      </c>
      <c r="AG160" s="174">
        <f>IF($D$57&gt;100,100,$D$57)</f>
        <v>19.001300000000001</v>
      </c>
      <c r="AH160" s="174">
        <f>AQ160</f>
        <v>657</v>
      </c>
      <c r="AI160" s="174">
        <f>$D$58</f>
        <v>200</v>
      </c>
      <c r="AJ160" s="174">
        <f>10/6</f>
        <v>1.6666666666666667</v>
      </c>
      <c r="AK160" s="174">
        <f>SUM(AL160:AN160)</f>
        <v>9919.5104748914655</v>
      </c>
      <c r="AL160" s="174">
        <f>(VLOOKUP(C160,$B$36:$AG$39,31,FALSE)+VLOOKUP(C160,$B$40:$AG$43,31,FALSE)*$D$54)*$D$59/100</f>
        <v>9919.5104748914655</v>
      </c>
      <c r="AM160" s="174"/>
      <c r="AN160" s="174"/>
      <c r="AO160" s="176">
        <v>36</v>
      </c>
      <c r="AP160" s="174">
        <v>36</v>
      </c>
      <c r="AQ160" s="175">
        <f>VLOOKUP(C160,$B$45:$AG$48,31,FALSE)</f>
        <v>657</v>
      </c>
      <c r="AR160" s="31">
        <f>IF(LEFT(E160,1)*1=1,$S$71,$R$71)</f>
        <v>0</v>
      </c>
      <c r="AS160" s="2">
        <f>IF(LEFT(E160,1)*1=2,$U$71,$T$71)</f>
        <v>0</v>
      </c>
      <c r="AT160" s="33">
        <f>IF(LEFT(E160,1)*1=3,$W$71,$V$71)</f>
        <v>0</v>
      </c>
      <c r="AU160" s="31">
        <f>IF(MID(E160,3,1)*1=1,$Y$71,$X$71)</f>
        <v>0</v>
      </c>
      <c r="AV160" s="2">
        <f>IF(MID(E160,3,1)*1=2,$AA$71,$Z$71)</f>
        <v>0</v>
      </c>
      <c r="AW160" s="33">
        <f>IF(MID(E160,3,1)*1=3,$AC$71,$AB$71)</f>
        <v>1.5</v>
      </c>
      <c r="AX160" s="31">
        <f>IF(MID(E160,5,1)*1=1,$AE$71,$AD$71)</f>
        <v>1.4</v>
      </c>
      <c r="AY160" s="33">
        <f>IF(MID(E160,5,1)*1=2,$AG$71,$AF$71)</f>
        <v>1</v>
      </c>
      <c r="AZ160" s="2"/>
      <c r="BA160" s="101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 ht="12" customHeight="1">
      <c r="A161" s="2"/>
      <c r="B161" s="107">
        <v>35</v>
      </c>
      <c r="C161" s="31">
        <v>10</v>
      </c>
      <c r="D161" s="106" t="s">
        <v>3</v>
      </c>
      <c r="E161" s="2" t="s">
        <v>139</v>
      </c>
      <c r="F161" s="2"/>
      <c r="G161" s="2"/>
      <c r="H161" s="33"/>
      <c r="I161" s="173">
        <f>M161/AE161</f>
        <v>1144.4390200589523</v>
      </c>
      <c r="J161" s="174">
        <f>AH161/AE161</f>
        <v>39.260184425969328</v>
      </c>
      <c r="K161" s="207">
        <f>RANK(I161,$I$76:$I$977)</f>
        <v>86</v>
      </c>
      <c r="L161" s="208">
        <f>RANK(I161,$I$76:$I$450)</f>
        <v>86</v>
      </c>
      <c r="M161" s="173">
        <f>SUM(N161:R161)</f>
        <v>6850.2777978790309</v>
      </c>
      <c r="N161" s="174">
        <f>T161*(1+((AG161+IF(F161="백어택",8,0))/100)*((AI161/100-1)))</f>
        <v>3425.1388989395155</v>
      </c>
      <c r="O161" s="174"/>
      <c r="P161" s="174"/>
      <c r="Q161" s="174"/>
      <c r="R161" s="175">
        <f>X161*(1+(AG161/100)*(AI161/100-1))</f>
        <v>3425.1388989395155</v>
      </c>
      <c r="S161" s="173">
        <f>SUM(T161:X161)</f>
        <v>5188.1012602463416</v>
      </c>
      <c r="T161" s="174">
        <f>AL161*AU161*AV161*AW161*AX161</f>
        <v>2594.0506301231708</v>
      </c>
      <c r="U161" s="174"/>
      <c r="V161" s="174"/>
      <c r="W161" s="174"/>
      <c r="X161" s="175">
        <f>AL161*AU161*AV161*IF(AW161=1,1,0.25)*AX161*AY161</f>
        <v>2594.0506301231708</v>
      </c>
      <c r="Y161" s="173">
        <f>SUM(Z161:AD161)</f>
        <v>10376.202520492683</v>
      </c>
      <c r="Z161" s="174">
        <f>T161*$D$58/100</f>
        <v>5188.1012602463416</v>
      </c>
      <c r="AA161" s="174"/>
      <c r="AB161" s="174"/>
      <c r="AC161" s="174"/>
      <c r="AD161" s="175">
        <f>X161*$D$58/100</f>
        <v>5188.1012602463416</v>
      </c>
      <c r="AE161" s="173">
        <f>IF(AV161=1,AO161*(1-$D$17/100),AO161*(1-$D$17/100)+6)</f>
        <v>5.9857079999999998</v>
      </c>
      <c r="AF161" s="174">
        <f>AP161</f>
        <v>36</v>
      </c>
      <c r="AG161" s="174">
        <f>IF($D$57&gt;100,100,$D$57)</f>
        <v>19.001300000000001</v>
      </c>
      <c r="AH161" s="174">
        <f>AQ161</f>
        <v>235</v>
      </c>
      <c r="AI161" s="174">
        <f>$D$58+$D$19</f>
        <v>268.61079999999998</v>
      </c>
      <c r="AJ161" s="174">
        <f>10/13</f>
        <v>0.76923076923076927</v>
      </c>
      <c r="AK161" s="174">
        <f>SUM(AL161:AN161)</f>
        <v>1729.3670867487806</v>
      </c>
      <c r="AL161" s="174">
        <f>(VLOOKUP(C161,$B$36:$AG$39,3,FALSE)+VLOOKUP(C161,$B$40:$AG$43,3,FALSE)*$D$54)*$D$59/100</f>
        <v>1729.3670867487806</v>
      </c>
      <c r="AM161" s="174"/>
      <c r="AN161" s="174"/>
      <c r="AO161" s="176">
        <v>6</v>
      </c>
      <c r="AP161" s="174">
        <v>36</v>
      </c>
      <c r="AQ161" s="175">
        <f>VLOOKUP(C161,$B$45:$AA$48,3,FALSE)</f>
        <v>235</v>
      </c>
      <c r="AR161" s="31">
        <f>IF(LEFT(E161,1)*1=1,$S$53,$R$53)</f>
        <v>0</v>
      </c>
      <c r="AS161" s="2">
        <f>IF(LEFT(E161,1)*1=2,$U$53,$T$53)</f>
        <v>0</v>
      </c>
      <c r="AT161" s="33">
        <f>IF(LEFT(E161,1)*1=3,$W$53,$V$53)</f>
        <v>0</v>
      </c>
      <c r="AU161" s="31">
        <f>IF(MID(E161,3,1)*1=1,$Y$53,$X$53)</f>
        <v>1.5</v>
      </c>
      <c r="AV161" s="2">
        <f>IF(MID(E161,3,1)*1=2,$AA$53,$Z$53)</f>
        <v>1</v>
      </c>
      <c r="AW161" s="33">
        <f>IF(MID(E161,3,1)*1=3,$AC$53,$AB$53)</f>
        <v>1</v>
      </c>
      <c r="AX161" s="31">
        <f>IF(MID(E161,5,1)*1=1,$AE$53,$AD$53)</f>
        <v>1</v>
      </c>
      <c r="AY161" s="33">
        <f>IF(MID(E161,5,1)*1=2,$AG$53,$AF$53)</f>
        <v>1</v>
      </c>
      <c r="AZ161" s="2"/>
      <c r="BA161" s="101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 ht="12" customHeight="1">
      <c r="A162" s="2"/>
      <c r="B162" s="107">
        <v>622</v>
      </c>
      <c r="C162" s="31">
        <v>10</v>
      </c>
      <c r="D162" s="111" t="s">
        <v>18</v>
      </c>
      <c r="E162" s="2" t="s">
        <v>132</v>
      </c>
      <c r="F162" s="2"/>
      <c r="G162" s="2"/>
      <c r="H162" s="33" t="s">
        <v>81</v>
      </c>
      <c r="I162" s="173">
        <f>M162/AE162</f>
        <v>1143.4114037686218</v>
      </c>
      <c r="J162" s="174">
        <f>AH162/AE162</f>
        <v>28.185356224514496</v>
      </c>
      <c r="K162" s="207">
        <f>RANK(I162,$I$76:$I$977)</f>
        <v>87</v>
      </c>
      <c r="L162" s="208" t="e">
        <f>RANK(I162,$I$451:$I$866)</f>
        <v>#N/A</v>
      </c>
      <c r="M162" s="173">
        <f>SUM(N162:R162)</f>
        <v>21135.703824999764</v>
      </c>
      <c r="N162" s="174">
        <f>T162*(1+((AG162+IF(F162="백어택",8,0))/100)*(AI162/100-1))</f>
        <v>6989.2450925346648</v>
      </c>
      <c r="O162" s="174">
        <f>U162*(1+(($D$57+IF(F162="백어택",8,0))/100)*(AI162/100-1))</f>
        <v>14146.458732465098</v>
      </c>
      <c r="P162" s="174"/>
      <c r="Q162" s="174"/>
      <c r="R162" s="175"/>
      <c r="S162" s="173">
        <f>SUM(T162:X162)</f>
        <v>17760.901624603903</v>
      </c>
      <c r="T162" s="174">
        <f>AL162*IF(H162="근접",AT162,IF(AV162=1,AT162,1))*AX162*IF(F162="백어택",1.2,1)</f>
        <v>5873.2510422446348</v>
      </c>
      <c r="U162" s="174">
        <f>IF(AX162=1,AM162*IF(H162="근접",AT162,IF(AV162=1,AT162,1)),0)*AY162*IF(AX162=1,1,0)*IF(F162="백어택",1.2,1)</f>
        <v>11887.650582359267</v>
      </c>
      <c r="V162" s="174"/>
      <c r="W162" s="174"/>
      <c r="X162" s="175"/>
      <c r="Y162" s="173">
        <f>SUM(Z162:AD162)</f>
        <v>35521.803249207805</v>
      </c>
      <c r="Z162" s="174">
        <f>T162*$D$58/100</f>
        <v>11746.50208448927</v>
      </c>
      <c r="AA162" s="174">
        <f>U162*$D$58/100</f>
        <v>23775.301164718534</v>
      </c>
      <c r="AB162" s="174"/>
      <c r="AC162" s="174"/>
      <c r="AD162" s="175"/>
      <c r="AE162" s="173">
        <f>(AO162*(1-$D$20/100)*(1-$D$17/100)-AR162)*IF(AW162="보스대상",1,POWER(0.85,AW162))</f>
        <v>18.484776131615998</v>
      </c>
      <c r="AF162" s="174">
        <f>AP162</f>
        <v>36</v>
      </c>
      <c r="AG162" s="174">
        <f>IF($D$57+AU162&gt;100,100,$D$57+AU162)</f>
        <v>19.001300000000001</v>
      </c>
      <c r="AH162" s="174">
        <f>AQ162</f>
        <v>521</v>
      </c>
      <c r="AI162" s="174">
        <f>$D$58</f>
        <v>200</v>
      </c>
      <c r="AJ162" s="174">
        <f>10*AS162/IF(AX162=1,IF(AY162=1,4.5,4),4)</f>
        <v>2.5</v>
      </c>
      <c r="AK162" s="174">
        <f>SUM(AL162:AN162)</f>
        <v>8196.5010303036597</v>
      </c>
      <c r="AL162" s="174">
        <f>IF(AV162=1,$D$61*(VLOOKUP(C162,$B$36:$AG$39,25,FALSE)+VLOOKUP(C162,$B$40:$AG$43,25,FALSE)*$D$54),(IF(H162="근접",$D$61*(VLOOKUP(C162,$B$36:$AG$39,25,FALSE)+VLOOKUP(C162,$B$40:$AG$43,25,FALSE)*$D$54),$D$60*(VLOOKUP(C162,$B$36:$AG$39,25,FALSE)+VLOOKUP(C162,$B$40:$AG$43,25,FALSE)*$D$54))))*$D$59/100</f>
        <v>4894.3758685371959</v>
      </c>
      <c r="AM162" s="174">
        <f>(IF(AV162=1,$D$61*(VLOOKUP(C162,$B$36:$AG$39,26,FALSE)+VLOOKUP(C162,$B$40:$AG$43,26,FALSE)*$D$54),IF(H162="근접",$D$61*(VLOOKUP(C162,$B$36:$AG$39,26,FALSE)+VLOOKUP(C162,$B$40:$AG$43,26,FALSE)*$D$54),$D$60*(VLOOKUP(C162,$B$36:$AG$39,26,FALSE)+VLOOKUP(C162,$B$40:$AG$43,26,FALSE)*$D$54))))*$D$59/100</f>
        <v>3302.1251617664634</v>
      </c>
      <c r="AN162" s="174"/>
      <c r="AO162" s="176">
        <v>24</v>
      </c>
      <c r="AP162" s="174">
        <v>36</v>
      </c>
      <c r="AQ162" s="175">
        <f>VLOOKUP(C162,$B$45:$AA$48,25,FALSE)</f>
        <v>521</v>
      </c>
      <c r="AR162" s="31">
        <f>IF(LEFT(E162,1)*1=1,$S$68,$R$68)</f>
        <v>0</v>
      </c>
      <c r="AS162" s="2">
        <f>IF(LEFT(E162,1)*1=2,$U$68,$T$68)</f>
        <v>1</v>
      </c>
      <c r="AT162" s="33">
        <f>IF(LEFT(E162,1)*1=3,$W$68,$V$68)</f>
        <v>1.2</v>
      </c>
      <c r="AU162" s="31">
        <f>IF(MID(E162,3,1)*1=1,$Y$68,$X$68)</f>
        <v>0</v>
      </c>
      <c r="AV162" s="2">
        <f>IF(MID(E162,3,1)*1=2,$AA$68,$Z$68)</f>
        <v>1</v>
      </c>
      <c r="AW162" s="33" t="str">
        <f>IF(MID(E162,3,1)*1=3,$AC$68,$AB$68)</f>
        <v>보스대상</v>
      </c>
      <c r="AX162" s="31">
        <f>IF(MID(E162,5,1)*1=1,$AE$68,$AD$68)</f>
        <v>1</v>
      </c>
      <c r="AY162" s="33">
        <f>IF(MID(E162,5,1)*1=2,$AG$68,$AF$68)</f>
        <v>3</v>
      </c>
      <c r="AZ162" s="2"/>
      <c r="BA162" s="101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 ht="12" customHeight="1">
      <c r="A163" s="2"/>
      <c r="B163" s="107">
        <v>653</v>
      </c>
      <c r="C163" s="31">
        <v>10</v>
      </c>
      <c r="D163" s="111" t="s">
        <v>18</v>
      </c>
      <c r="E163" s="2" t="s">
        <v>132</v>
      </c>
      <c r="F163" s="2"/>
      <c r="G163" s="2"/>
      <c r="H163" s="33" t="s">
        <v>80</v>
      </c>
      <c r="I163" s="173">
        <f>M163/AE163</f>
        <v>1143.4114037686218</v>
      </c>
      <c r="J163" s="174">
        <f>AH163/AE163</f>
        <v>28.185356224514496</v>
      </c>
      <c r="K163" s="207">
        <f>RANK(I163,$I$76:$I$977)</f>
        <v>87</v>
      </c>
      <c r="L163" s="208" t="e">
        <f>RANK(I163,$I$451:$I$866)</f>
        <v>#N/A</v>
      </c>
      <c r="M163" s="173">
        <f>SUM(N163:R163)</f>
        <v>21135.703824999764</v>
      </c>
      <c r="N163" s="174">
        <f>T163*(1+((AG163+IF(F163="백어택",8,0))/100)*(AI163/100-1))</f>
        <v>6989.2450925346648</v>
      </c>
      <c r="O163" s="174">
        <f>U163*(1+(($D$57+IF(F163="백어택",8,0))/100)*(AI163/100-1))</f>
        <v>14146.458732465098</v>
      </c>
      <c r="P163" s="174"/>
      <c r="Q163" s="174"/>
      <c r="R163" s="175"/>
      <c r="S163" s="173">
        <f>SUM(T163:X163)</f>
        <v>17760.901624603903</v>
      </c>
      <c r="T163" s="174">
        <f>AL163*IF(H163="근접",AT163,IF(AV163=1,AT163,1))*AX163*IF(F163="백어택",1.2,1)</f>
        <v>5873.2510422446348</v>
      </c>
      <c r="U163" s="174">
        <f>IF(AX163=1,AM163*IF(H163="근접",AT163,IF(AV163=1,AT163,1)),0)*AY163*IF(AX163=1,1,0)*IF(F163="백어택",1.2,1)</f>
        <v>11887.650582359267</v>
      </c>
      <c r="V163" s="174"/>
      <c r="W163" s="174"/>
      <c r="X163" s="175"/>
      <c r="Y163" s="173">
        <f>SUM(Z163:AD163)</f>
        <v>35521.803249207805</v>
      </c>
      <c r="Z163" s="174">
        <f>T163*$D$58/100</f>
        <v>11746.50208448927</v>
      </c>
      <c r="AA163" s="174">
        <f>U163*$D$58/100</f>
        <v>23775.301164718534</v>
      </c>
      <c r="AB163" s="174"/>
      <c r="AC163" s="174"/>
      <c r="AD163" s="175"/>
      <c r="AE163" s="173">
        <f>(AO163*(1-$D$20/100)*(1-$D$17/100)-AR163)*IF(AW163="보스대상",1,POWER(0.85,AW163))</f>
        <v>18.484776131615998</v>
      </c>
      <c r="AF163" s="174">
        <f>AP163</f>
        <v>36</v>
      </c>
      <c r="AG163" s="174">
        <f>IF($D$57+AU163&gt;100,100,$D$57+AU163)</f>
        <v>19.001300000000001</v>
      </c>
      <c r="AH163" s="174">
        <f>AQ163</f>
        <v>521</v>
      </c>
      <c r="AI163" s="174">
        <f>$D$58</f>
        <v>200</v>
      </c>
      <c r="AJ163" s="174">
        <f>10*AS163/IF(AX163=1,IF(AY163=1,4.5,4),4)</f>
        <v>2.5</v>
      </c>
      <c r="AK163" s="174">
        <f>SUM(AL163:AN163)</f>
        <v>8196.5010303036597</v>
      </c>
      <c r="AL163" s="174">
        <f>IF(AV163=1,$D$61*(VLOOKUP(C163,$B$36:$AG$39,25,FALSE)+VLOOKUP(C163,$B$40:$AG$43,25,FALSE)*$D$54),(IF(H163="근접",$D$61*(VLOOKUP(C163,$B$36:$AG$39,25,FALSE)+VLOOKUP(C163,$B$40:$AG$43,25,FALSE)*$D$54),$D$60*(VLOOKUP(C163,$B$36:$AG$39,25,FALSE)+VLOOKUP(C163,$B$40:$AG$43,25,FALSE)*$D$54))))*$D$59/100</f>
        <v>4894.3758685371959</v>
      </c>
      <c r="AM163" s="174">
        <f>(IF(AV163=1,$D$61*(VLOOKUP(C163,$B$36:$AG$39,26,FALSE)+VLOOKUP(C163,$B$40:$AG$43,26,FALSE)*$D$54),IF(H163="근접",$D$61*(VLOOKUP(C163,$B$36:$AG$39,26,FALSE)+VLOOKUP(C163,$B$40:$AG$43,26,FALSE)*$D$54),$D$60*(VLOOKUP(C163,$B$36:$AG$39,26,FALSE)+VLOOKUP(C163,$B$40:$AG$43,26,FALSE)*$D$54))))*$D$59/100</f>
        <v>3302.1251617664634</v>
      </c>
      <c r="AN163" s="174"/>
      <c r="AO163" s="176">
        <v>24</v>
      </c>
      <c r="AP163" s="174">
        <v>36</v>
      </c>
      <c r="AQ163" s="175">
        <f>VLOOKUP(C163,$B$45:$AA$48,25,FALSE)</f>
        <v>521</v>
      </c>
      <c r="AR163" s="31">
        <f>IF(LEFT(E163,1)*1=1,$S$68,$R$68)</f>
        <v>0</v>
      </c>
      <c r="AS163" s="2">
        <f>IF(LEFT(E163,1)*1=2,$U$68,$T$68)</f>
        <v>1</v>
      </c>
      <c r="AT163" s="33">
        <f>IF(LEFT(E163,1)*1=3,$W$68,$V$68)</f>
        <v>1.2</v>
      </c>
      <c r="AU163" s="31">
        <f>IF(MID(E163,3,1)*1=1,$Y$68,$X$68)</f>
        <v>0</v>
      </c>
      <c r="AV163" s="2">
        <f>IF(MID(E163,3,1)*1=2,$AA$68,$Z$68)</f>
        <v>1</v>
      </c>
      <c r="AW163" s="33" t="str">
        <f>IF(MID(E163,3,1)*1=3,$AC$68,$AB$68)</f>
        <v>보스대상</v>
      </c>
      <c r="AX163" s="31">
        <f>IF(MID(E163,5,1)*1=1,$AE$68,$AD$68)</f>
        <v>1</v>
      </c>
      <c r="AY163" s="33">
        <f>IF(MID(E163,5,1)*1=2,$AG$68,$AF$68)</f>
        <v>3</v>
      </c>
      <c r="AZ163" s="2"/>
      <c r="BA163" s="101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 ht="12" customHeight="1">
      <c r="A164" s="2"/>
      <c r="B164" s="107">
        <v>176</v>
      </c>
      <c r="C164" s="31">
        <v>7</v>
      </c>
      <c r="D164" s="106" t="s">
        <v>10</v>
      </c>
      <c r="E164" s="2" t="s">
        <v>89</v>
      </c>
      <c r="F164" s="2" t="s">
        <v>149</v>
      </c>
      <c r="G164" s="2"/>
      <c r="H164" s="33"/>
      <c r="I164" s="173">
        <f>M164/AE164</f>
        <v>1143.1283533913897</v>
      </c>
      <c r="J164" s="174">
        <f>AH164/AE164</f>
        <v>17.980329144021059</v>
      </c>
      <c r="K164" s="207">
        <f>RANK(I164,$I$76:$I$977)</f>
        <v>89</v>
      </c>
      <c r="L164" s="208">
        <f>RANK(I164,$I$76:$I$450)</f>
        <v>89</v>
      </c>
      <c r="M164" s="173">
        <f>SUM(N164:R164)</f>
        <v>18246.486746457784</v>
      </c>
      <c r="N164" s="174">
        <f>T164*(1+((AG164+IF(F164="백어택",8,0))/100)*((AI164/100-1)))</f>
        <v>18246.486746457784</v>
      </c>
      <c r="O164" s="174"/>
      <c r="P164" s="174"/>
      <c r="Q164" s="174"/>
      <c r="R164" s="175"/>
      <c r="S164" s="173">
        <f>SUM(T164:X164)</f>
        <v>9304.1937552439013</v>
      </c>
      <c r="T164" s="174">
        <f>AL164*AS164*AU164*AX164*IF(AY164=0,1,0.5)*IF(F164="백어택",1.2,1)</f>
        <v>9304.1937552439013</v>
      </c>
      <c r="U164" s="174"/>
      <c r="V164" s="174"/>
      <c r="W164" s="174"/>
      <c r="X164" s="175"/>
      <c r="Y164" s="173">
        <f>SUM(Z164:AD164)</f>
        <v>24992.069279510681</v>
      </c>
      <c r="Z164" s="174">
        <f>T164*AI164/100</f>
        <v>24992.069279510681</v>
      </c>
      <c r="AA164" s="174"/>
      <c r="AB164" s="174"/>
      <c r="AC164" s="174"/>
      <c r="AD164" s="175"/>
      <c r="AE164" s="173">
        <f>AO164*(1-$D$17/100)</f>
        <v>15.961888</v>
      </c>
      <c r="AF164" s="174">
        <f>AP164</f>
        <v>36</v>
      </c>
      <c r="AG164" s="174">
        <f>IF($D$57+AV164&gt;100,100,$D$57+AV164)</f>
        <v>49.001300000000001</v>
      </c>
      <c r="AH164" s="174">
        <f>AQ164</f>
        <v>287</v>
      </c>
      <c r="AI164" s="174">
        <f>$D$58+$D$19</f>
        <v>268.61079999999998</v>
      </c>
      <c r="AJ164" s="174">
        <f>10*AR164/(7-IF(AX164=1,0,3))</f>
        <v>1.4285714285714286</v>
      </c>
      <c r="AK164" s="174">
        <f>SUM(AL164:AN164)</f>
        <v>7753.4947960365853</v>
      </c>
      <c r="AL164" s="174">
        <f>(VLOOKUP(C164,$B$36:$AG$39,13,FALSE)+VLOOKUP(C164,$B$40:$AG$43,13,FALSE)*$D$54)*$D$59/100</f>
        <v>7753.4947960365853</v>
      </c>
      <c r="AM164" s="174"/>
      <c r="AN164" s="174"/>
      <c r="AO164" s="176">
        <v>16</v>
      </c>
      <c r="AP164" s="174">
        <v>36</v>
      </c>
      <c r="AQ164" s="175">
        <f>VLOOKUP(C164,$B$45:$AA$48,13,FALSE)</f>
        <v>287</v>
      </c>
      <c r="AR164" s="31">
        <f>IF(LEFT(E164,1)*1=1,$S$60,$R$60)</f>
        <v>1</v>
      </c>
      <c r="AS164" s="2">
        <f>IF(LEFT(E164,1)*1=2,$U$60,$T$60)</f>
        <v>1</v>
      </c>
      <c r="AT164" s="33">
        <f>IF(LEFT(E164,1)*1=3,$W$60,$V$60)</f>
        <v>0</v>
      </c>
      <c r="AU164" s="31">
        <f>IF(MID(E164,3,1)*1=1,$Y$60,$X$60)</f>
        <v>1</v>
      </c>
      <c r="AV164" s="2">
        <f>IF(MID(E164,3,1)*1=2,$AA$60,$Z$60)</f>
        <v>30</v>
      </c>
      <c r="AW164" s="33">
        <f>IF(MID(E164,3,1)*1=3,$AC$60,$AB$60)</f>
        <v>0</v>
      </c>
      <c r="AX164" s="31">
        <f>IF(MID(E164,5,1)*1=1,$AE$60,$AD$60)</f>
        <v>1</v>
      </c>
      <c r="AY164" s="33">
        <f>IF(MID(E164,5,1)*1=2,$AG$60,$AF$60)</f>
        <v>0</v>
      </c>
      <c r="AZ164" s="2"/>
      <c r="BA164" s="101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 ht="12" customHeight="1">
      <c r="A165" s="2"/>
      <c r="B165" s="107">
        <v>179</v>
      </c>
      <c r="C165" s="31">
        <v>7</v>
      </c>
      <c r="D165" s="106" t="s">
        <v>10</v>
      </c>
      <c r="E165" s="2" t="s">
        <v>152</v>
      </c>
      <c r="F165" s="2" t="s">
        <v>149</v>
      </c>
      <c r="G165" s="2"/>
      <c r="H165" s="33"/>
      <c r="I165" s="173">
        <f>M165/AE165</f>
        <v>1143.1283533913897</v>
      </c>
      <c r="J165" s="174">
        <f>AH165/AE165</f>
        <v>17.980329144021059</v>
      </c>
      <c r="K165" s="207">
        <f>RANK(I165,$I$76:$I$977)</f>
        <v>89</v>
      </c>
      <c r="L165" s="208">
        <f>RANK(I165,$I$76:$I$450)</f>
        <v>89</v>
      </c>
      <c r="M165" s="173">
        <f>SUM(N165:R165)</f>
        <v>18246.486746457784</v>
      </c>
      <c r="N165" s="174">
        <f>T165*(1+((AG165+IF(F165="백어택",8,0))/100)*((AI165/100-1)))</f>
        <v>18246.486746457784</v>
      </c>
      <c r="O165" s="174"/>
      <c r="P165" s="174"/>
      <c r="Q165" s="174"/>
      <c r="R165" s="175"/>
      <c r="S165" s="173">
        <f>SUM(T165:X165)</f>
        <v>9304.1937552439013</v>
      </c>
      <c r="T165" s="174">
        <f>AL165*AS165*AU165*AX165*IF(AY165=0,1,0.5)*IF(F165="백어택",1.2,1)</f>
        <v>9304.1937552439013</v>
      </c>
      <c r="U165" s="174"/>
      <c r="V165" s="174"/>
      <c r="W165" s="174"/>
      <c r="X165" s="175"/>
      <c r="Y165" s="173">
        <f>SUM(Z165:AD165)</f>
        <v>24992.069279510681</v>
      </c>
      <c r="Z165" s="174">
        <f>T165*AI165/100</f>
        <v>24992.069279510681</v>
      </c>
      <c r="AA165" s="174"/>
      <c r="AB165" s="174"/>
      <c r="AC165" s="174"/>
      <c r="AD165" s="175"/>
      <c r="AE165" s="173">
        <f>AO165*(1-$D$17/100)</f>
        <v>15.961888</v>
      </c>
      <c r="AF165" s="174">
        <f>AP165</f>
        <v>36</v>
      </c>
      <c r="AG165" s="174">
        <f>IF($D$57+AV165&gt;100,100,$D$57+AV165)</f>
        <v>49.001300000000001</v>
      </c>
      <c r="AH165" s="174">
        <f>AQ165</f>
        <v>287</v>
      </c>
      <c r="AI165" s="174">
        <f>$D$58+$D$19</f>
        <v>268.61079999999998</v>
      </c>
      <c r="AJ165" s="174">
        <f>10*AR165/(7-IF(AX165=1,0,3))</f>
        <v>1.2142857142857142</v>
      </c>
      <c r="AK165" s="174">
        <f>SUM(AL165:AN165)</f>
        <v>7753.4947960365853</v>
      </c>
      <c r="AL165" s="174">
        <f>(VLOOKUP(C165,$B$36:$AG$39,13,FALSE)+VLOOKUP(C165,$B$40:$AG$43,13,FALSE)*$D$54)*$D$59/100</f>
        <v>7753.4947960365853</v>
      </c>
      <c r="AM165" s="174"/>
      <c r="AN165" s="174"/>
      <c r="AO165" s="176">
        <v>16</v>
      </c>
      <c r="AP165" s="174">
        <v>36</v>
      </c>
      <c r="AQ165" s="175">
        <f>VLOOKUP(C165,$B$45:$AA$48,13,FALSE)</f>
        <v>287</v>
      </c>
      <c r="AR165" s="31">
        <f>IF(LEFT(E165,1)*1=1,$S$60,$R$60)</f>
        <v>0.85</v>
      </c>
      <c r="AS165" s="2">
        <f>IF(LEFT(E165,1)*1=2,$U$60,$T$60)</f>
        <v>1</v>
      </c>
      <c r="AT165" s="33">
        <f>IF(LEFT(E165,1)*1=3,$W$60,$V$60)</f>
        <v>0</v>
      </c>
      <c r="AU165" s="31">
        <f>IF(MID(E165,3,1)*1=1,$Y$60,$X$60)</f>
        <v>1</v>
      </c>
      <c r="AV165" s="2">
        <f>IF(MID(E165,3,1)*1=2,$AA$60,$Z$60)</f>
        <v>30</v>
      </c>
      <c r="AW165" s="33">
        <f>IF(MID(E165,3,1)*1=3,$AC$60,$AB$60)</f>
        <v>0</v>
      </c>
      <c r="AX165" s="31">
        <f>IF(MID(E165,5,1)*1=1,$AE$60,$AD$60)</f>
        <v>1</v>
      </c>
      <c r="AY165" s="33">
        <f>IF(MID(E165,5,1)*1=2,$AG$60,$AF$60)</f>
        <v>0</v>
      </c>
      <c r="AZ165" s="2"/>
      <c r="BA165" s="101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 ht="12" customHeight="1">
      <c r="A166" s="2"/>
      <c r="B166" s="107">
        <v>735</v>
      </c>
      <c r="C166" s="31">
        <v>10</v>
      </c>
      <c r="D166" s="111" t="s">
        <v>21</v>
      </c>
      <c r="E166" s="2" t="s">
        <v>156</v>
      </c>
      <c r="F166" s="2"/>
      <c r="G166" s="2" t="s">
        <v>177</v>
      </c>
      <c r="H166" s="33"/>
      <c r="I166" s="173">
        <f>M166/AE166</f>
        <v>1140.9278842900612</v>
      </c>
      <c r="J166" s="174">
        <f>AH166/AE166</f>
        <v>30.238644768832497</v>
      </c>
      <c r="K166" s="207">
        <f>RANK(I166,$I$76:$I$977)</f>
        <v>91</v>
      </c>
      <c r="L166" s="208" t="e">
        <f>RANK(I166,$I$451:$I$866)</f>
        <v>#N/A</v>
      </c>
      <c r="M166" s="173">
        <f>SUM(N166:R166)</f>
        <v>24789.127479389732</v>
      </c>
      <c r="N166" s="174">
        <f>T166*(1+((AG166+IF(F166="백어택",8,0))/100)*(AI166/100-1))</f>
        <v>24789.127479389732</v>
      </c>
      <c r="O166" s="174"/>
      <c r="P166" s="174"/>
      <c r="Q166" s="174"/>
      <c r="R166" s="175">
        <f>X166*(1+(AG166/100)*(AI166/100-1))</f>
        <v>0</v>
      </c>
      <c r="S166" s="173">
        <f>SUM(T166:X166)</f>
        <v>20830.971997272074</v>
      </c>
      <c r="T166" s="174">
        <f>AL166*AW166*AX166*AY166*IF(F166="백어택",1.2,1)</f>
        <v>20830.971997272074</v>
      </c>
      <c r="U166" s="174"/>
      <c r="V166" s="174"/>
      <c r="W166" s="174"/>
      <c r="X166" s="175">
        <f>AL166*AS166+IF(AX166=1,AL166*AU166,AL166*AU166*2)</f>
        <v>0</v>
      </c>
      <c r="Y166" s="173">
        <f>SUM(Z166:AD166)</f>
        <v>41661.943994544148</v>
      </c>
      <c r="Z166" s="174">
        <f>T166*$D$58/100</f>
        <v>41661.943994544148</v>
      </c>
      <c r="AA166" s="174"/>
      <c r="AB166" s="174"/>
      <c r="AC166" s="174"/>
      <c r="AD166" s="175">
        <f>X166*$D$58/100</f>
        <v>0</v>
      </c>
      <c r="AE166" s="173">
        <f>AO166*(1-$D$20/100)*(1-$D$17/100)-AR166</f>
        <v>21.727164197424003</v>
      </c>
      <c r="AF166" s="174">
        <f>AP166</f>
        <v>36</v>
      </c>
      <c r="AG166" s="174">
        <f>IF($D$57&gt;100,100,$D$57)</f>
        <v>19.001300000000001</v>
      </c>
      <c r="AH166" s="174">
        <f>AQ166</f>
        <v>657</v>
      </c>
      <c r="AI166" s="174">
        <f>$D$58</f>
        <v>200</v>
      </c>
      <c r="AJ166" s="174">
        <f>10/6</f>
        <v>1.6666666666666667</v>
      </c>
      <c r="AK166" s="174">
        <f>SUM(AL166:AN166)</f>
        <v>9919.5104748914655</v>
      </c>
      <c r="AL166" s="174">
        <f>(VLOOKUP(C166,$B$36:$AG$39,31,FALSE)+VLOOKUP(C166,$B$40:$AG$43,31,FALSE)*$D$54)*$D$59/100</f>
        <v>9919.5104748914655</v>
      </c>
      <c r="AM166" s="174"/>
      <c r="AN166" s="174"/>
      <c r="AO166" s="176">
        <v>36</v>
      </c>
      <c r="AP166" s="174">
        <v>36</v>
      </c>
      <c r="AQ166" s="175">
        <f>VLOOKUP(C166,$B$45:$AG$48,31,FALSE)</f>
        <v>657</v>
      </c>
      <c r="AR166" s="31">
        <f>IF(LEFT(E166,1)*1=1,$S$71,$R$71)</f>
        <v>6</v>
      </c>
      <c r="AS166" s="2">
        <f>IF(LEFT(E166,1)*1=2,$U$71,$T$71)</f>
        <v>0</v>
      </c>
      <c r="AT166" s="33">
        <f>IF(LEFT(E166,1)*1=3,$W$71,$V$71)</f>
        <v>0</v>
      </c>
      <c r="AU166" s="31">
        <f>IF(MID(E166,3,1)*1=1,$Y$71,$X$71)</f>
        <v>0</v>
      </c>
      <c r="AV166" s="2">
        <f>IF(MID(E166,3,1)*1=2,$AA$71,$Z$71)</f>
        <v>0</v>
      </c>
      <c r="AW166" s="33">
        <f>IF(MID(E166,3,1)*1=3,$AC$71,$AB$71)</f>
        <v>1.5</v>
      </c>
      <c r="AX166" s="31">
        <f>IF(MID(E166,5,1)*1=1,$AE$71,$AD$71)</f>
        <v>1.4</v>
      </c>
      <c r="AY166" s="33">
        <f>IF(MID(E166,5,1)*1=2,$AG$71,$AF$71)</f>
        <v>1</v>
      </c>
      <c r="AZ166" s="2"/>
      <c r="BA166" s="101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 ht="12" hidden="1" customHeight="1">
      <c r="A167" s="2"/>
      <c r="B167" s="107">
        <v>629</v>
      </c>
      <c r="C167" s="31">
        <v>7</v>
      </c>
      <c r="D167" s="111" t="s">
        <v>18</v>
      </c>
      <c r="E167" s="2" t="s">
        <v>103</v>
      </c>
      <c r="F167" s="2"/>
      <c r="G167" s="2" t="s">
        <v>186</v>
      </c>
      <c r="H167" s="33" t="s">
        <v>81</v>
      </c>
      <c r="I167" s="173">
        <f>M167/AE167</f>
        <v>1138.1038740134443</v>
      </c>
      <c r="J167" s="174">
        <f>AH167/AE167</f>
        <v>44.258613162461806</v>
      </c>
      <c r="K167" s="207">
        <f>RANK(I167,$I$76:$I$977)</f>
        <v>92</v>
      </c>
      <c r="L167" s="208" t="e">
        <f>RANK(I167,$I$451:$I$866)</f>
        <v>#N/A</v>
      </c>
      <c r="M167" s="173">
        <f>SUM(N167:R167)</f>
        <v>9334.4928082220231</v>
      </c>
      <c r="N167" s="174">
        <f>T167*(1+((AG167+IF(F167="백어택",8,0))/100)*(AI167/100-1))</f>
        <v>5571.815978240782</v>
      </c>
      <c r="O167" s="174">
        <f>U167*(1+(($D$57+IF(F167="백어택",8,0))/100)*(AI167/100-1))</f>
        <v>3762.6768299812406</v>
      </c>
      <c r="P167" s="174"/>
      <c r="Q167" s="174"/>
      <c r="R167" s="175"/>
      <c r="S167" s="173">
        <f>SUM(T167:X167)</f>
        <v>7844.0259125085377</v>
      </c>
      <c r="T167" s="174">
        <f>AL167*IF(H167="근접",AT167,IF(AV167=1,AT167,1))*AX167*IF(F167="백어택",1.2,1)</f>
        <v>4682.1471515359763</v>
      </c>
      <c r="U167" s="174">
        <f>IF(AX167=1,AM167*IF(H167="근접",AT167,IF(AV167=1,AT167,1)),0)*AY167*IF(AX167=1,1,0)*IF(F167="백어택",1.2,1)</f>
        <v>3161.8787609725614</v>
      </c>
      <c r="V167" s="174"/>
      <c r="W167" s="174"/>
      <c r="X167" s="175"/>
      <c r="Y167" s="173">
        <f>SUM(Z167:AD167)</f>
        <v>15688.051825017075</v>
      </c>
      <c r="Z167" s="174">
        <f>T167*$D$58/100</f>
        <v>9364.2943030719525</v>
      </c>
      <c r="AA167" s="174">
        <f>U167*$D$58/100</f>
        <v>6323.7575219451228</v>
      </c>
      <c r="AB167" s="174"/>
      <c r="AC167" s="174"/>
      <c r="AD167" s="175"/>
      <c r="AE167" s="173">
        <f>(AO167*(1-$D$20/100)*(1-$D$17/100)-AR167)*IF(AW167="보스대상",1,POWER(0.85,AW167))</f>
        <v>8.2017933699712149</v>
      </c>
      <c r="AF167" s="174">
        <f>AP167</f>
        <v>36</v>
      </c>
      <c r="AG167" s="174">
        <f>IF($D$57+AU167&gt;100,100,$D$57+AU167)</f>
        <v>19.001300000000001</v>
      </c>
      <c r="AH167" s="174">
        <f>AQ167</f>
        <v>363</v>
      </c>
      <c r="AI167" s="174">
        <f>$D$58</f>
        <v>200</v>
      </c>
      <c r="AJ167" s="174">
        <f>10*AS167/IF(AX167=1,IF(AY167=1,4.5,4),4)</f>
        <v>1.7777777777777777</v>
      </c>
      <c r="AK167" s="174">
        <f>SUM(AL167:AN167)</f>
        <v>7844.0259125085377</v>
      </c>
      <c r="AL167" s="174">
        <f>IF(AV167=1,$D$61*(VLOOKUP(C167,$B$36:$AG$39,25,FALSE)+VLOOKUP(C167,$B$40:$AG$43,25,FALSE)*$D$54),(IF(H167="근접",$D$61*(VLOOKUP(C167,$B$36:$AG$39,25,FALSE)+VLOOKUP(C167,$B$40:$AG$43,25,FALSE)*$D$54),$D$60*(VLOOKUP(C167,$B$36:$AG$39,25,FALSE)+VLOOKUP(C167,$B$40:$AG$43,25,FALSE)*$D$54))))*$D$59/100</f>
        <v>4682.1471515359763</v>
      </c>
      <c r="AM167" s="174">
        <f>(IF(AV167=1,$D$61*(VLOOKUP(C167,$B$36:$AG$39,26,FALSE)+VLOOKUP(C167,$B$40:$AG$43,26,FALSE)*$D$54),IF(H167="근접",$D$61*(VLOOKUP(C167,$B$36:$AG$39,26,FALSE)+VLOOKUP(C167,$B$40:$AG$43,26,FALSE)*$D$54),$D$60*(VLOOKUP(C167,$B$36:$AG$39,26,FALSE)+VLOOKUP(C167,$B$40:$AG$43,26,FALSE)*$D$54))))*$D$59/100</f>
        <v>3161.8787609725614</v>
      </c>
      <c r="AN167" s="174"/>
      <c r="AO167" s="176">
        <v>24</v>
      </c>
      <c r="AP167" s="174">
        <v>36</v>
      </c>
      <c r="AQ167" s="175">
        <f>VLOOKUP(C167,$B$45:$AA$48,25,FALSE)</f>
        <v>363</v>
      </c>
      <c r="AR167" s="31">
        <f>IF(LEFT(E167,1)*1=1,$S$68,$R$68)</f>
        <v>0</v>
      </c>
      <c r="AS167" s="2">
        <f>IF(LEFT(E167,1)*1=2,$U$68,$T$68)</f>
        <v>0.8</v>
      </c>
      <c r="AT167" s="33">
        <f>IF(LEFT(E167,1)*1=3,$W$68,$V$68)</f>
        <v>1</v>
      </c>
      <c r="AU167" s="31">
        <f>IF(MID(E167,3,1)*1=1,$Y$68,$X$68)</f>
        <v>0</v>
      </c>
      <c r="AV167" s="2">
        <f>IF(MID(E167,3,1)*1=2,$AA$68,$Z$68)</f>
        <v>0</v>
      </c>
      <c r="AW167" s="33">
        <f>IF(MID(E167,3,1)*1=3,$AC$68,$AB$68)</f>
        <v>5</v>
      </c>
      <c r="AX167" s="31">
        <f>IF(MID(E167,5,1)*1=1,$AE$68,$AD$68)</f>
        <v>1</v>
      </c>
      <c r="AY167" s="33">
        <f>IF(MID(E167,5,1)*1=2,$AG$68,$AF$68)</f>
        <v>1</v>
      </c>
      <c r="AZ167" s="2"/>
      <c r="BA167" s="101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 ht="12" customHeight="1">
      <c r="A168" s="2"/>
      <c r="B168" s="107">
        <v>672</v>
      </c>
      <c r="C168" s="31">
        <v>10</v>
      </c>
      <c r="D168" s="111" t="s">
        <v>18</v>
      </c>
      <c r="E168" s="2" t="s">
        <v>162</v>
      </c>
      <c r="F168" s="2" t="s">
        <v>149</v>
      </c>
      <c r="G168" s="2"/>
      <c r="H168" s="33" t="s">
        <v>81</v>
      </c>
      <c r="I168" s="173">
        <f>M168/AE168</f>
        <v>1129.8754360804901</v>
      </c>
      <c r="J168" s="174">
        <f>AH168/AE168</f>
        <v>28.185356224514496</v>
      </c>
      <c r="K168" s="207">
        <f>RANK(I168,$I$76:$I$977)</f>
        <v>93</v>
      </c>
      <c r="L168" s="208" t="e">
        <f>RANK(I168,$I$451:$I$866)</f>
        <v>#N/A</v>
      </c>
      <c r="M168" s="173">
        <f>SUM(N168:R168)</f>
        <v>20885.494492559861</v>
      </c>
      <c r="N168" s="174">
        <f>T168*(1+((AG168+IF(F168="백어택",8,0))/100)*(AI168/100-1))</f>
        <v>20885.494492559861</v>
      </c>
      <c r="O168" s="174">
        <f>U168*(1+(($D$57+IF(F168="백어택",8,0))/100)*(AI168/100-1))</f>
        <v>0</v>
      </c>
      <c r="P168" s="174"/>
      <c r="Q168" s="174"/>
      <c r="R168" s="175"/>
      <c r="S168" s="173">
        <f>SUM(T168:X168)</f>
        <v>16445.102918284978</v>
      </c>
      <c r="T168" s="174">
        <f>AL168*IF(H168="근접",AT168,IF(AV168=1,AT168,1))*AX168*IF(F168="백어택",1.2,1)</f>
        <v>16445.102918284978</v>
      </c>
      <c r="U168" s="174">
        <f>IF(AX168=1,AM168*IF(H168="근접",AT168,IF(AV168=1,AT168,1)),0)*AY168*IF(AX168=1,1,0)*IF(F168="백어택",1.2,1)</f>
        <v>0</v>
      </c>
      <c r="V168" s="174"/>
      <c r="W168" s="174"/>
      <c r="X168" s="175"/>
      <c r="Y168" s="173">
        <f>SUM(Z168:AD168)</f>
        <v>32890.205836569956</v>
      </c>
      <c r="Z168" s="174">
        <f>T168*$D$58/100</f>
        <v>32890.205836569956</v>
      </c>
      <c r="AA168" s="174">
        <f>U168*$D$58/100</f>
        <v>0</v>
      </c>
      <c r="AB168" s="174"/>
      <c r="AC168" s="174"/>
      <c r="AD168" s="175"/>
      <c r="AE168" s="173">
        <f>(AO168*(1-$D$20/100)*(1-$D$17/100)-AR168)*IF(AW168="보스대상",1,POWER(0.85,AW168))</f>
        <v>18.484776131615998</v>
      </c>
      <c r="AF168" s="174">
        <f>AP168</f>
        <v>36</v>
      </c>
      <c r="AG168" s="174">
        <f>IF($D$57+AU168&gt;100,100,$D$57+AU168)</f>
        <v>19.001300000000001</v>
      </c>
      <c r="AH168" s="174">
        <f>AQ168</f>
        <v>521</v>
      </c>
      <c r="AI168" s="174">
        <f>$D$58</f>
        <v>200</v>
      </c>
      <c r="AJ168" s="174">
        <f>10*AS168/IF(AX168=1,IF(AY168=1,4.5,4),4)</f>
        <v>2</v>
      </c>
      <c r="AK168" s="174">
        <f>SUM(AL168:AN168)</f>
        <v>8196.5010303036597</v>
      </c>
      <c r="AL168" s="174">
        <f>IF(AV168=1,$D$61*(VLOOKUP(C168,$B$36:$AG$39,25,FALSE)+VLOOKUP(C168,$B$40:$AG$43,25,FALSE)*$D$54),(IF(H168="근접",$D$61*(VLOOKUP(C168,$B$36:$AG$39,25,FALSE)+VLOOKUP(C168,$B$40:$AG$43,25,FALSE)*$D$54),$D$60*(VLOOKUP(C168,$B$36:$AG$39,25,FALSE)+VLOOKUP(C168,$B$40:$AG$43,25,FALSE)*$D$54))))*$D$59/100</f>
        <v>4894.3758685371959</v>
      </c>
      <c r="AM168" s="174">
        <f>(IF(AV168=1,$D$61*(VLOOKUP(C168,$B$36:$AG$39,26,FALSE)+VLOOKUP(C168,$B$40:$AG$43,26,FALSE)*$D$54),IF(H168="근접",$D$61*(VLOOKUP(C168,$B$36:$AG$39,26,FALSE)+VLOOKUP(C168,$B$40:$AG$43,26,FALSE)*$D$54),$D$60*(VLOOKUP(C168,$B$36:$AG$39,26,FALSE)+VLOOKUP(C168,$B$40:$AG$43,26,FALSE)*$D$54))))*$D$59/100</f>
        <v>3302.1251617664634</v>
      </c>
      <c r="AN168" s="174"/>
      <c r="AO168" s="176">
        <v>24</v>
      </c>
      <c r="AP168" s="174">
        <v>36</v>
      </c>
      <c r="AQ168" s="175">
        <f>VLOOKUP(C168,$B$45:$AA$48,25,FALSE)</f>
        <v>521</v>
      </c>
      <c r="AR168" s="31">
        <f>IF(LEFT(E168,1)*1=1,$S$68,$R$68)</f>
        <v>0</v>
      </c>
      <c r="AS168" s="2">
        <f>IF(LEFT(E168,1)*1=2,$U$68,$T$68)</f>
        <v>0.8</v>
      </c>
      <c r="AT168" s="33">
        <f>IF(LEFT(E168,1)*1=3,$W$68,$V$68)</f>
        <v>1</v>
      </c>
      <c r="AU168" s="31">
        <f>IF(MID(E168,3,1)*1=1,$Y$68,$X$68)</f>
        <v>0</v>
      </c>
      <c r="AV168" s="2">
        <f>IF(MID(E168,3,1)*1=2,$AA$68,$Z$68)</f>
        <v>1</v>
      </c>
      <c r="AW168" s="33" t="str">
        <f>IF(MID(E168,3,1)*1=3,$AC$68,$AB$68)</f>
        <v>보스대상</v>
      </c>
      <c r="AX168" s="31">
        <f>IF(MID(E168,5,1)*1=1,$AE$68,$AD$68)</f>
        <v>2.8</v>
      </c>
      <c r="AY168" s="33">
        <f>IF(MID(E168,5,1)*1=2,$AG$68,$AF$68)</f>
        <v>1</v>
      </c>
      <c r="AZ168" s="2"/>
      <c r="BA168" s="101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 ht="12" customHeight="1">
      <c r="A169" s="2"/>
      <c r="B169" s="107">
        <v>703</v>
      </c>
      <c r="C169" s="31">
        <v>10</v>
      </c>
      <c r="D169" s="111" t="s">
        <v>18</v>
      </c>
      <c r="E169" s="2" t="s">
        <v>162</v>
      </c>
      <c r="F169" s="2" t="s">
        <v>149</v>
      </c>
      <c r="G169" s="2"/>
      <c r="H169" s="33" t="s">
        <v>80</v>
      </c>
      <c r="I169" s="173">
        <f>M169/AE169</f>
        <v>1129.8754360804901</v>
      </c>
      <c r="J169" s="174">
        <f>AH169/AE169</f>
        <v>28.185356224514496</v>
      </c>
      <c r="K169" s="207">
        <f>RANK(I169,$I$76:$I$977)</f>
        <v>93</v>
      </c>
      <c r="L169" s="208" t="e">
        <f>RANK(I169,$I$451:$I$866)</f>
        <v>#N/A</v>
      </c>
      <c r="M169" s="173">
        <f>SUM(N169:R169)</f>
        <v>20885.494492559861</v>
      </c>
      <c r="N169" s="174">
        <f>T169*(1+((AG169+IF(F169="백어택",8,0))/100)*(AI169/100-1))</f>
        <v>20885.494492559861</v>
      </c>
      <c r="O169" s="174">
        <f>U169*(1+(($D$57+IF(F169="백어택",8,0))/100)*(AI169/100-1))</f>
        <v>0</v>
      </c>
      <c r="P169" s="174"/>
      <c r="Q169" s="174"/>
      <c r="R169" s="175"/>
      <c r="S169" s="173">
        <f>SUM(T169:X169)</f>
        <v>16445.102918284978</v>
      </c>
      <c r="T169" s="174">
        <f>AL169*IF(H169="근접",AT169,IF(AV169=1,AT169,1))*AX169*IF(F169="백어택",1.2,1)</f>
        <v>16445.102918284978</v>
      </c>
      <c r="U169" s="174">
        <f>IF(AX169=1,AM169*IF(H169="근접",AT169,IF(AV169=1,AT169,1)),0)*AY169*IF(AX169=1,1,0)*IF(F169="백어택",1.2,1)</f>
        <v>0</v>
      </c>
      <c r="V169" s="174"/>
      <c r="W169" s="174"/>
      <c r="X169" s="175"/>
      <c r="Y169" s="173">
        <f>SUM(Z169:AD169)</f>
        <v>32890.205836569956</v>
      </c>
      <c r="Z169" s="174">
        <f>T169*$D$58/100</f>
        <v>32890.205836569956</v>
      </c>
      <c r="AA169" s="174">
        <f>U169*$D$58/100</f>
        <v>0</v>
      </c>
      <c r="AB169" s="174"/>
      <c r="AC169" s="174"/>
      <c r="AD169" s="175"/>
      <c r="AE169" s="173">
        <f>(AO169*(1-$D$20/100)*(1-$D$17/100)-AR169)*IF(AW169="보스대상",1,POWER(0.85,AW169))</f>
        <v>18.484776131615998</v>
      </c>
      <c r="AF169" s="174">
        <f>AP169</f>
        <v>36</v>
      </c>
      <c r="AG169" s="174">
        <f>IF($D$57+AU169&gt;100,100,$D$57+AU169)</f>
        <v>19.001300000000001</v>
      </c>
      <c r="AH169" s="174">
        <f>AQ169</f>
        <v>521</v>
      </c>
      <c r="AI169" s="174">
        <f>$D$58</f>
        <v>200</v>
      </c>
      <c r="AJ169" s="174">
        <f>10*AS169/IF(AX169=1,IF(AY169=1,4.5,4),4)</f>
        <v>2</v>
      </c>
      <c r="AK169" s="174">
        <f>SUM(AL169:AN169)</f>
        <v>8196.5010303036597</v>
      </c>
      <c r="AL169" s="174">
        <f>IF(AV169=1,$D$61*(VLOOKUP(C169,$B$36:$AG$39,25,FALSE)+VLOOKUP(C169,$B$40:$AG$43,25,FALSE)*$D$54),(IF(H169="근접",$D$61*(VLOOKUP(C169,$B$36:$AG$39,25,FALSE)+VLOOKUP(C169,$B$40:$AG$43,25,FALSE)*$D$54),$D$60*(VLOOKUP(C169,$B$36:$AG$39,25,FALSE)+VLOOKUP(C169,$B$40:$AG$43,25,FALSE)*$D$54))))*$D$59/100</f>
        <v>4894.3758685371959</v>
      </c>
      <c r="AM169" s="174">
        <f>(IF(AV169=1,$D$61*(VLOOKUP(C169,$B$36:$AG$39,26,FALSE)+VLOOKUP(C169,$B$40:$AG$43,26,FALSE)*$D$54),IF(H169="근접",$D$61*(VLOOKUP(C169,$B$36:$AG$39,26,FALSE)+VLOOKUP(C169,$B$40:$AG$43,26,FALSE)*$D$54),$D$60*(VLOOKUP(C169,$B$36:$AG$39,26,FALSE)+VLOOKUP(C169,$B$40:$AG$43,26,FALSE)*$D$54))))*$D$59/100</f>
        <v>3302.1251617664634</v>
      </c>
      <c r="AN169" s="174"/>
      <c r="AO169" s="176">
        <v>24</v>
      </c>
      <c r="AP169" s="174">
        <v>36</v>
      </c>
      <c r="AQ169" s="175">
        <f>VLOOKUP(C169,$B$45:$AA$48,25,FALSE)</f>
        <v>521</v>
      </c>
      <c r="AR169" s="31">
        <f>IF(LEFT(E169,1)*1=1,$S$68,$R$68)</f>
        <v>0</v>
      </c>
      <c r="AS169" s="2">
        <f>IF(LEFT(E169,1)*1=2,$U$68,$T$68)</f>
        <v>0.8</v>
      </c>
      <c r="AT169" s="33">
        <f>IF(LEFT(E169,1)*1=3,$W$68,$V$68)</f>
        <v>1</v>
      </c>
      <c r="AU169" s="31">
        <f>IF(MID(E169,3,1)*1=1,$Y$68,$X$68)</f>
        <v>0</v>
      </c>
      <c r="AV169" s="2">
        <f>IF(MID(E169,3,1)*1=2,$AA$68,$Z$68)</f>
        <v>1</v>
      </c>
      <c r="AW169" s="33" t="str">
        <f>IF(MID(E169,3,1)*1=3,$AC$68,$AB$68)</f>
        <v>보스대상</v>
      </c>
      <c r="AX169" s="31">
        <f>IF(MID(E169,5,1)*1=1,$AE$68,$AD$68)</f>
        <v>2.8</v>
      </c>
      <c r="AY169" s="33">
        <f>IF(MID(E169,5,1)*1=2,$AG$68,$AF$68)</f>
        <v>1</v>
      </c>
      <c r="AZ169" s="2"/>
      <c r="BA169" s="101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 ht="12" customHeight="1">
      <c r="A170" s="2"/>
      <c r="B170" s="107">
        <v>421</v>
      </c>
      <c r="C170" s="31">
        <v>10</v>
      </c>
      <c r="D170" s="111" t="s">
        <v>8</v>
      </c>
      <c r="E170" s="2" t="s">
        <v>150</v>
      </c>
      <c r="F170" s="2" t="s">
        <v>149</v>
      </c>
      <c r="G170" s="2"/>
      <c r="H170" s="33" t="s">
        <v>81</v>
      </c>
      <c r="I170" s="173">
        <f>M170/AE170</f>
        <v>1126.3525141346424</v>
      </c>
      <c r="J170" s="174">
        <f>AH170/AE170</f>
        <v>39.459498714320297</v>
      </c>
      <c r="K170" s="207">
        <f>RANK(I170,$I$76:$I$977)</f>
        <v>95</v>
      </c>
      <c r="L170" s="208" t="e">
        <f>RANK(I170,$I$451:$I$866)</f>
        <v>#N/A</v>
      </c>
      <c r="M170" s="173">
        <f>SUM(N170:R170)</f>
        <v>20820.374069061709</v>
      </c>
      <c r="N170" s="174">
        <f>T170*(1+((AG170+IF(F170="백어택",8,0))/100)*(IF(AY170=1,$D$58,$D$58+50)/100-1))</f>
        <v>5860.7350822109611</v>
      </c>
      <c r="O170" s="174">
        <f>U170*(1+((AG170+IF(F170="백어택",8,0))/100)*(AI170/100-1))</f>
        <v>7479.8194934253734</v>
      </c>
      <c r="P170" s="174">
        <f>V170*(1+((AG170+IF(F170="백어택",8,0))/100)*(AI170/100-1))</f>
        <v>7479.8194934253734</v>
      </c>
      <c r="Q170" s="174"/>
      <c r="R170" s="175"/>
      <c r="S170" s="173">
        <f>SUM(T170:X170)</f>
        <v>16393.827519136972</v>
      </c>
      <c r="T170" s="174">
        <f>AL170*IF(H170="근접",AR170,1)*AY170*IF(F170="백어택",1.2,1)</f>
        <v>4614.7047961012686</v>
      </c>
      <c r="U170" s="174">
        <f>AM170*IF(H170="근접",AR170,1)*AY170*IF(F170="백어택",1.2,1)</f>
        <v>5889.5613615178527</v>
      </c>
      <c r="V170" s="174">
        <f>IF(AX170=1,0,AM170*IF(H170="근접",AR170,1)*AY170)*IF(F170="백어택",1.2,1)</f>
        <v>5889.5613615178527</v>
      </c>
      <c r="W170" s="174"/>
      <c r="X170" s="175"/>
      <c r="Y170" s="173">
        <f>SUM(Z170:AD170)</f>
        <v>32787.655038273944</v>
      </c>
      <c r="Z170" s="174">
        <f>T170*IF(AY170=1,$D$58,$D$58+50)/100</f>
        <v>9229.4095922025372</v>
      </c>
      <c r="AA170" s="174">
        <f>U170*AI170/100</f>
        <v>11779.122723035705</v>
      </c>
      <c r="AB170" s="174">
        <f>V170*AI170/100</f>
        <v>11779.122723035705</v>
      </c>
      <c r="AC170" s="174"/>
      <c r="AD170" s="175"/>
      <c r="AE170" s="173">
        <f>AO170*(1-$D$20/100)*(1-$D$17/100)</f>
        <v>18.484776131615998</v>
      </c>
      <c r="AF170" s="174">
        <f>AP170</f>
        <v>36</v>
      </c>
      <c r="AG170" s="174">
        <f>IF($D$57+AU170&gt;100,100,$D$57+AU170)</f>
        <v>19.001300000000001</v>
      </c>
      <c r="AH170" s="174">
        <f>IF(AX170=1,AQ170,AQ170*1.4)</f>
        <v>729.4</v>
      </c>
      <c r="AI170" s="174">
        <f>IF(AY170=1,$D$58,$D$58+50)*AW170</f>
        <v>200</v>
      </c>
      <c r="AJ170" s="174">
        <f>10/6/AX170</f>
        <v>1.1111111111111112</v>
      </c>
      <c r="AK170" s="174">
        <f>SUM(AL170:AN170)</f>
        <v>7294.6292761243903</v>
      </c>
      <c r="AL170" s="174">
        <f>(IF(H170="근접",$D$61*(VLOOKUP(C170,$B$36:$AG$39,9,FALSE)+VLOOKUP(C170,$B$40:$AG$43,9,FALSE)*$D$54),$D$60*(VLOOKUP(C170,$B$36:$AG$39,9,FALSE)+VLOOKUP(C170,$B$40:$AG$43,9,FALSE)*$D$54)))*$D$59/100</f>
        <v>3204.6561084036589</v>
      </c>
      <c r="AM170" s="174">
        <f>(IF(H170="근접",$D$61*(VLOOKUP(C170,$B$36:$AG$39,10,FALSE)+VLOOKUP(C170,$B$40:$AG$43,10,FALSE)*$D$54),$D$60*(VLOOKUP(C170,$B$36:$AG$39,10,FALSE)+VLOOKUP(C170,$B$40:$AG$43,10,FALSE)*$D$54)))*$D$59/100</f>
        <v>4089.9731677207315</v>
      </c>
      <c r="AN170" s="174"/>
      <c r="AO170" s="176">
        <v>24</v>
      </c>
      <c r="AP170" s="174">
        <v>36</v>
      </c>
      <c r="AQ170" s="175">
        <f>VLOOKUP(C170,$B$45:$AA$48,9,FALSE)</f>
        <v>521</v>
      </c>
      <c r="AR170" s="31">
        <f>IF(LEFT(E170,1)*1=1,$S$58,$R$58)</f>
        <v>1.2</v>
      </c>
      <c r="AS170" s="2">
        <f>IF(LEFT(E170,1)*1=2,$U$58,$T$58)</f>
        <v>0</v>
      </c>
      <c r="AT170" s="33">
        <f>IF(LEFT(E170,1)*1=3,$W$58,$V$58)</f>
        <v>0</v>
      </c>
      <c r="AU170" s="31">
        <f>IF(MID(E170,3,1)*1=1,$Y$58,$X$58)</f>
        <v>0</v>
      </c>
      <c r="AV170" s="2">
        <f>IF(MID(E170,3,1)*1=2,$AA$58,$Z$58)</f>
        <v>0</v>
      </c>
      <c r="AW170" s="33">
        <f>IF(MID(E170,3,1)*1=3,$AC$58,$AB$58)</f>
        <v>1</v>
      </c>
      <c r="AX170" s="31">
        <f>IF(MID(E170,5,1)*1=1,$AE$58,$AD$58)</f>
        <v>1.5</v>
      </c>
      <c r="AY170" s="33">
        <f>IF(MID(E170,5,1)*1=2,$AG$58,$AF$58)</f>
        <v>1</v>
      </c>
      <c r="AZ170" s="2"/>
      <c r="BA170" s="101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 ht="12" customHeight="1">
      <c r="A171" s="2"/>
      <c r="B171" s="107">
        <v>607</v>
      </c>
      <c r="C171" s="31">
        <v>10</v>
      </c>
      <c r="D171" s="111" t="s">
        <v>18</v>
      </c>
      <c r="E171" s="2" t="s">
        <v>153</v>
      </c>
      <c r="F171" s="2"/>
      <c r="G171" s="2"/>
      <c r="H171" s="33" t="s">
        <v>81</v>
      </c>
      <c r="I171" s="173">
        <f>M171/AE171</f>
        <v>1125.8882015892168</v>
      </c>
      <c r="J171" s="174">
        <f>AH171/AE171</f>
        <v>35.968798914524506</v>
      </c>
      <c r="K171" s="207">
        <f>RANK(I171,$I$76:$I$977)</f>
        <v>96</v>
      </c>
      <c r="L171" s="208" t="e">
        <f>RANK(I171,$I$451:$I$866)</f>
        <v>#N/A</v>
      </c>
      <c r="M171" s="173">
        <f>SUM(N171:R171)</f>
        <v>16308.23854924755</v>
      </c>
      <c r="N171" s="174">
        <f>T171*(1+((AG171+IF(F171="백어택",8,0))/100)*(AI171/100-1))</f>
        <v>16308.23854924755</v>
      </c>
      <c r="O171" s="174">
        <f>U171*(1+(($D$57+IF(F171="백어택",8,0))/100)*(AI171/100-1))</f>
        <v>0</v>
      </c>
      <c r="P171" s="174"/>
      <c r="Q171" s="174"/>
      <c r="R171" s="175"/>
      <c r="S171" s="173">
        <f>SUM(T171:X171)</f>
        <v>13704.252431904148</v>
      </c>
      <c r="T171" s="174">
        <f>AL171*IF(H171="근접",AT171,IF(AV171=1,AT171,1))*AX171*IF(F171="백어택",1.2,1)</f>
        <v>13704.252431904148</v>
      </c>
      <c r="U171" s="174">
        <f>IF(AX171=1,AM171*IF(H171="근접",AT171,IF(AV171=1,AT171,1)),0)*AY171*IF(AX171=1,1,0)*IF(F171="백어택",1.2,1)</f>
        <v>0</v>
      </c>
      <c r="V171" s="174"/>
      <c r="W171" s="174"/>
      <c r="X171" s="175"/>
      <c r="Y171" s="173">
        <f>SUM(Z171:AD171)</f>
        <v>27408.504863808295</v>
      </c>
      <c r="Z171" s="174">
        <f>T171*$D$58/100</f>
        <v>27408.504863808295</v>
      </c>
      <c r="AA171" s="174">
        <f>U171*$D$58/100</f>
        <v>0</v>
      </c>
      <c r="AB171" s="174"/>
      <c r="AC171" s="174"/>
      <c r="AD171" s="175"/>
      <c r="AE171" s="173">
        <f>(AO171*(1-$D$20/100)*(1-$D$17/100)-AR171)*IF(AW171="보스대상",1,POWER(0.85,AW171))</f>
        <v>14.484776131615998</v>
      </c>
      <c r="AF171" s="174">
        <f>AP171</f>
        <v>36</v>
      </c>
      <c r="AG171" s="174">
        <f>IF($D$57+AU171&gt;100,100,$D$57+AU171)</f>
        <v>19.001300000000001</v>
      </c>
      <c r="AH171" s="174">
        <f>AQ171</f>
        <v>521</v>
      </c>
      <c r="AI171" s="174">
        <f>$D$58</f>
        <v>200</v>
      </c>
      <c r="AJ171" s="174">
        <f>10*AS171/IF(AX171=1,IF(AY171=1,4.5,4),4)</f>
        <v>2.5</v>
      </c>
      <c r="AK171" s="174">
        <f>SUM(AL171:AN171)</f>
        <v>8196.5010303036597</v>
      </c>
      <c r="AL171" s="174">
        <f>IF(AV171=1,$D$61*(VLOOKUP(C171,$B$36:$AG$39,25,FALSE)+VLOOKUP(C171,$B$40:$AG$43,25,FALSE)*$D$54),(IF(H171="근접",$D$61*(VLOOKUP(C171,$B$36:$AG$39,25,FALSE)+VLOOKUP(C171,$B$40:$AG$43,25,FALSE)*$D$54),$D$60*(VLOOKUP(C171,$B$36:$AG$39,25,FALSE)+VLOOKUP(C171,$B$40:$AG$43,25,FALSE)*$D$54))))*$D$59/100</f>
        <v>4894.3758685371959</v>
      </c>
      <c r="AM171" s="174">
        <f>(IF(AV171=1,$D$61*(VLOOKUP(C171,$B$36:$AG$39,26,FALSE)+VLOOKUP(C171,$B$40:$AG$43,26,FALSE)*$D$54),IF(H171="근접",$D$61*(VLOOKUP(C171,$B$36:$AG$39,26,FALSE)+VLOOKUP(C171,$B$40:$AG$43,26,FALSE)*$D$54),$D$60*(VLOOKUP(C171,$B$36:$AG$39,26,FALSE)+VLOOKUP(C171,$B$40:$AG$43,26,FALSE)*$D$54))))*$D$59/100</f>
        <v>3302.1251617664634</v>
      </c>
      <c r="AN171" s="174"/>
      <c r="AO171" s="176">
        <v>24</v>
      </c>
      <c r="AP171" s="174">
        <v>36</v>
      </c>
      <c r="AQ171" s="175">
        <f>VLOOKUP(C171,$B$45:$AA$48,25,FALSE)</f>
        <v>521</v>
      </c>
      <c r="AR171" s="31">
        <f>IF(LEFT(E171,1)*1=1,$S$68,$R$68)</f>
        <v>4</v>
      </c>
      <c r="AS171" s="2">
        <f>IF(LEFT(E171,1)*1=2,$U$68,$T$68)</f>
        <v>1</v>
      </c>
      <c r="AT171" s="33">
        <f>IF(LEFT(E171,1)*1=3,$W$68,$V$68)</f>
        <v>1</v>
      </c>
      <c r="AU171" s="31">
        <f>IF(MID(E171,3,1)*1=1,$Y$68,$X$68)</f>
        <v>0</v>
      </c>
      <c r="AV171" s="2">
        <f>IF(MID(E171,3,1)*1=2,$AA$68,$Z$68)</f>
        <v>1</v>
      </c>
      <c r="AW171" s="33" t="str">
        <f>IF(MID(E171,3,1)*1=3,$AC$68,$AB$68)</f>
        <v>보스대상</v>
      </c>
      <c r="AX171" s="31">
        <f>IF(MID(E171,5,1)*1=1,$AE$68,$AD$68)</f>
        <v>2.8</v>
      </c>
      <c r="AY171" s="33">
        <f>IF(MID(E171,5,1)*1=2,$AG$68,$AF$68)</f>
        <v>1</v>
      </c>
      <c r="AZ171" s="2"/>
      <c r="BA171" s="101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 ht="12" customHeight="1">
      <c r="A172" s="2"/>
      <c r="B172" s="107">
        <v>638</v>
      </c>
      <c r="C172" s="31">
        <v>10</v>
      </c>
      <c r="D172" s="111" t="s">
        <v>18</v>
      </c>
      <c r="E172" s="2" t="s">
        <v>153</v>
      </c>
      <c r="F172" s="2"/>
      <c r="G172" s="2"/>
      <c r="H172" s="33" t="s">
        <v>80</v>
      </c>
      <c r="I172" s="173">
        <f>M172/AE172</f>
        <v>1125.8882015892168</v>
      </c>
      <c r="J172" s="174">
        <f>AH172/AE172</f>
        <v>35.968798914524506</v>
      </c>
      <c r="K172" s="207">
        <f>RANK(I172,$I$76:$I$977)</f>
        <v>96</v>
      </c>
      <c r="L172" s="208" t="e">
        <f>RANK(I172,$I$451:$I$866)</f>
        <v>#N/A</v>
      </c>
      <c r="M172" s="173">
        <f>SUM(N172:R172)</f>
        <v>16308.23854924755</v>
      </c>
      <c r="N172" s="174">
        <f>T172*(1+((AG172+IF(F172="백어택",8,0))/100)*(AI172/100-1))</f>
        <v>16308.23854924755</v>
      </c>
      <c r="O172" s="174">
        <f>U172*(1+(($D$57+IF(F172="백어택",8,0))/100)*(AI172/100-1))</f>
        <v>0</v>
      </c>
      <c r="P172" s="174"/>
      <c r="Q172" s="174"/>
      <c r="R172" s="175"/>
      <c r="S172" s="173">
        <f>SUM(T172:X172)</f>
        <v>13704.252431904148</v>
      </c>
      <c r="T172" s="174">
        <f>AL172*IF(H172="근접",AT172,IF(AV172=1,AT172,1))*AX172*IF(F172="백어택",1.2,1)</f>
        <v>13704.252431904148</v>
      </c>
      <c r="U172" s="174">
        <f>IF(AX172=1,AM172*IF(H172="근접",AT172,IF(AV172=1,AT172,1)),0)*AY172*IF(AX172=1,1,0)*IF(F172="백어택",1.2,1)</f>
        <v>0</v>
      </c>
      <c r="V172" s="174"/>
      <c r="W172" s="174"/>
      <c r="X172" s="175"/>
      <c r="Y172" s="173">
        <f>SUM(Z172:AD172)</f>
        <v>27408.504863808295</v>
      </c>
      <c r="Z172" s="174">
        <f>T172*$D$58/100</f>
        <v>27408.504863808295</v>
      </c>
      <c r="AA172" s="174">
        <f>U172*$D$58/100</f>
        <v>0</v>
      </c>
      <c r="AB172" s="174"/>
      <c r="AC172" s="174"/>
      <c r="AD172" s="175"/>
      <c r="AE172" s="173">
        <f>(AO172*(1-$D$20/100)*(1-$D$17/100)-AR172)*IF(AW172="보스대상",1,POWER(0.85,AW172))</f>
        <v>14.484776131615998</v>
      </c>
      <c r="AF172" s="174">
        <f>AP172</f>
        <v>36</v>
      </c>
      <c r="AG172" s="174">
        <f>IF($D$57+AU172&gt;100,100,$D$57+AU172)</f>
        <v>19.001300000000001</v>
      </c>
      <c r="AH172" s="174">
        <f>AQ172</f>
        <v>521</v>
      </c>
      <c r="AI172" s="174">
        <f>$D$58</f>
        <v>200</v>
      </c>
      <c r="AJ172" s="174">
        <f>10*AS172/IF(AX172=1,IF(AY172=1,4.5,4),4)</f>
        <v>2.5</v>
      </c>
      <c r="AK172" s="174">
        <f>SUM(AL172:AN172)</f>
        <v>8196.5010303036597</v>
      </c>
      <c r="AL172" s="174">
        <f>IF(AV172=1,$D$61*(VLOOKUP(C172,$B$36:$AG$39,25,FALSE)+VLOOKUP(C172,$B$40:$AG$43,25,FALSE)*$D$54),(IF(H172="근접",$D$61*(VLOOKUP(C172,$B$36:$AG$39,25,FALSE)+VLOOKUP(C172,$B$40:$AG$43,25,FALSE)*$D$54),$D$60*(VLOOKUP(C172,$B$36:$AG$39,25,FALSE)+VLOOKUP(C172,$B$40:$AG$43,25,FALSE)*$D$54))))*$D$59/100</f>
        <v>4894.3758685371959</v>
      </c>
      <c r="AM172" s="174">
        <f>(IF(AV172=1,$D$61*(VLOOKUP(C172,$B$36:$AG$39,26,FALSE)+VLOOKUP(C172,$B$40:$AG$43,26,FALSE)*$D$54),IF(H172="근접",$D$61*(VLOOKUP(C172,$B$36:$AG$39,26,FALSE)+VLOOKUP(C172,$B$40:$AG$43,26,FALSE)*$D$54),$D$60*(VLOOKUP(C172,$B$36:$AG$39,26,FALSE)+VLOOKUP(C172,$B$40:$AG$43,26,FALSE)*$D$54))))*$D$59/100</f>
        <v>3302.1251617664634</v>
      </c>
      <c r="AN172" s="174"/>
      <c r="AO172" s="176">
        <v>24</v>
      </c>
      <c r="AP172" s="174">
        <v>36</v>
      </c>
      <c r="AQ172" s="175">
        <f>VLOOKUP(C172,$B$45:$AA$48,25,FALSE)</f>
        <v>521</v>
      </c>
      <c r="AR172" s="31">
        <f>IF(LEFT(E172,1)*1=1,$S$68,$R$68)</f>
        <v>4</v>
      </c>
      <c r="AS172" s="2">
        <f>IF(LEFT(E172,1)*1=2,$U$68,$T$68)</f>
        <v>1</v>
      </c>
      <c r="AT172" s="33">
        <f>IF(LEFT(E172,1)*1=3,$W$68,$V$68)</f>
        <v>1</v>
      </c>
      <c r="AU172" s="31">
        <f>IF(MID(E172,3,1)*1=1,$Y$68,$X$68)</f>
        <v>0</v>
      </c>
      <c r="AV172" s="2">
        <f>IF(MID(E172,3,1)*1=2,$AA$68,$Z$68)</f>
        <v>1</v>
      </c>
      <c r="AW172" s="33" t="str">
        <f>IF(MID(E172,3,1)*1=3,$AC$68,$AB$68)</f>
        <v>보스대상</v>
      </c>
      <c r="AX172" s="31">
        <f>IF(MID(E172,5,1)*1=1,$AE$68,$AD$68)</f>
        <v>2.8</v>
      </c>
      <c r="AY172" s="33">
        <f>IF(MID(E172,5,1)*1=2,$AG$68,$AF$68)</f>
        <v>1</v>
      </c>
      <c r="AZ172" s="2"/>
      <c r="BA172" s="101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 ht="12" customHeight="1">
      <c r="A173" s="2"/>
      <c r="B173" s="107">
        <v>419</v>
      </c>
      <c r="C173" s="31">
        <v>10</v>
      </c>
      <c r="D173" s="111" t="s">
        <v>8</v>
      </c>
      <c r="E173" s="2" t="s">
        <v>138</v>
      </c>
      <c r="F173" s="2" t="s">
        <v>149</v>
      </c>
      <c r="G173" s="2"/>
      <c r="H173" s="33" t="s">
        <v>81</v>
      </c>
      <c r="I173" s="173">
        <f>M173/AE173</f>
        <v>1123.3943170052457</v>
      </c>
      <c r="J173" s="174">
        <f>AH173/AE173</f>
        <v>39.459498714320297</v>
      </c>
      <c r="K173" s="207">
        <f>RANK(I173,$I$76:$I$977)</f>
        <v>98</v>
      </c>
      <c r="L173" s="208" t="e">
        <f>RANK(I173,$I$451:$I$866)</f>
        <v>#N/A</v>
      </c>
      <c r="M173" s="173">
        <f>SUM(N173:R173)</f>
        <v>20765.692457371624</v>
      </c>
      <c r="N173" s="174">
        <f>T173*(1+((AG173+IF(F173="백어택",8,0))/100)*(IF(AY173=1,$D$58,$D$58+50)/100-1))</f>
        <v>5845.3427343635649</v>
      </c>
      <c r="O173" s="174">
        <f>U173*(1+((AG173+IF(F173="백어택",8,0))/100)*(AI173/100-1))</f>
        <v>7460.1748615040306</v>
      </c>
      <c r="P173" s="174">
        <f>V173*(1+((AG173+IF(F173="백어택",8,0))/100)*(AI173/100-1))</f>
        <v>7460.1748615040306</v>
      </c>
      <c r="Q173" s="174"/>
      <c r="R173" s="175"/>
      <c r="S173" s="173">
        <f>SUM(T173:X173)</f>
        <v>13661.522932614145</v>
      </c>
      <c r="T173" s="174">
        <f>AL173*IF(H173="근접",AR173,1)*AY173*IF(F173="백어택",1.2,1)</f>
        <v>3845.5873300843905</v>
      </c>
      <c r="U173" s="174">
        <f>AM173*IF(H173="근접",AR173,1)*AY173*IF(F173="백어택",1.2,1)</f>
        <v>4907.9678012648774</v>
      </c>
      <c r="V173" s="174">
        <f>IF(AX173=1,0,AM173*IF(H173="근접",AR173,1)*AY173)*IF(F173="백어택",1.2,1)</f>
        <v>4907.9678012648774</v>
      </c>
      <c r="W173" s="174"/>
      <c r="X173" s="175"/>
      <c r="Y173" s="173">
        <f>SUM(Z173:AD173)</f>
        <v>27323.04586522829</v>
      </c>
      <c r="Z173" s="174">
        <f>T173*IF(AY173=1,$D$58,$D$58+50)/100</f>
        <v>7691.174660168781</v>
      </c>
      <c r="AA173" s="174">
        <f>U173*AI173/100</f>
        <v>9815.9356025297548</v>
      </c>
      <c r="AB173" s="174">
        <f>V173*AI173/100</f>
        <v>9815.9356025297548</v>
      </c>
      <c r="AC173" s="174"/>
      <c r="AD173" s="175"/>
      <c r="AE173" s="173">
        <f>AO173*(1-$D$20/100)*(1-$D$17/100)</f>
        <v>18.484776131615998</v>
      </c>
      <c r="AF173" s="174">
        <f>AP173</f>
        <v>36</v>
      </c>
      <c r="AG173" s="174">
        <f>IF($D$57+AU173&gt;100,100,$D$57+AU173)</f>
        <v>44.001300000000001</v>
      </c>
      <c r="AH173" s="174">
        <f>IF(AX173=1,AQ173,AQ173*1.4)</f>
        <v>729.4</v>
      </c>
      <c r="AI173" s="174">
        <f>IF(AY173=1,$D$58,$D$58+50)*AW173</f>
        <v>200</v>
      </c>
      <c r="AJ173" s="174">
        <f>10/6/AX173</f>
        <v>1.1111111111111112</v>
      </c>
      <c r="AK173" s="174">
        <f>SUM(AL173:AN173)</f>
        <v>7294.6292761243903</v>
      </c>
      <c r="AL173" s="174">
        <f>(IF(H173="근접",$D$61*(VLOOKUP(C173,$B$36:$AG$39,9,FALSE)+VLOOKUP(C173,$B$40:$AG$43,9,FALSE)*$D$54),$D$60*(VLOOKUP(C173,$B$36:$AG$39,9,FALSE)+VLOOKUP(C173,$B$40:$AG$43,9,FALSE)*$D$54)))*$D$59/100</f>
        <v>3204.6561084036589</v>
      </c>
      <c r="AM173" s="174">
        <f>(IF(H173="근접",$D$61*(VLOOKUP(C173,$B$36:$AG$39,10,FALSE)+VLOOKUP(C173,$B$40:$AG$43,10,FALSE)*$D$54),$D$60*(VLOOKUP(C173,$B$36:$AG$39,10,FALSE)+VLOOKUP(C173,$B$40:$AG$43,10,FALSE)*$D$54)))*$D$59/100</f>
        <v>4089.9731677207315</v>
      </c>
      <c r="AN173" s="174"/>
      <c r="AO173" s="176">
        <v>24</v>
      </c>
      <c r="AP173" s="174">
        <v>36</v>
      </c>
      <c r="AQ173" s="175">
        <f>VLOOKUP(C173,$B$45:$AA$48,9,FALSE)</f>
        <v>521</v>
      </c>
      <c r="AR173" s="31">
        <f>IF(LEFT(E173,1)*1=1,$S$58,$R$58)</f>
        <v>1</v>
      </c>
      <c r="AS173" s="2">
        <f>IF(LEFT(E173,1)*1=2,$U$58,$T$58)</f>
        <v>0</v>
      </c>
      <c r="AT173" s="33">
        <f>IF(LEFT(E173,1)*1=3,$W$58,$V$58)</f>
        <v>0</v>
      </c>
      <c r="AU173" s="31">
        <f>IF(MID(E173,3,1)*1=1,$Y$58,$X$58)</f>
        <v>25</v>
      </c>
      <c r="AV173" s="2">
        <f>IF(MID(E173,3,1)*1=2,$AA$58,$Z$58)</f>
        <v>0</v>
      </c>
      <c r="AW173" s="33">
        <f>IF(MID(E173,3,1)*1=3,$AC$58,$AB$58)</f>
        <v>1</v>
      </c>
      <c r="AX173" s="31">
        <f>IF(MID(E173,5,1)*1=1,$AE$58,$AD$58)</f>
        <v>1.5</v>
      </c>
      <c r="AY173" s="33">
        <f>IF(MID(E173,5,1)*1=2,$AG$58,$AF$58)</f>
        <v>1</v>
      </c>
      <c r="AZ173" s="2"/>
      <c r="BA173" s="101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 ht="12" customHeight="1">
      <c r="A174" s="2"/>
      <c r="B174" s="107">
        <v>554</v>
      </c>
      <c r="C174" s="31">
        <v>10</v>
      </c>
      <c r="D174" s="111" t="s">
        <v>14</v>
      </c>
      <c r="E174" s="2" t="s">
        <v>139</v>
      </c>
      <c r="F174" s="2" t="s">
        <v>149</v>
      </c>
      <c r="G174" s="2"/>
      <c r="H174" s="33" t="s">
        <v>81</v>
      </c>
      <c r="I174" s="173">
        <f>M174/AE174</f>
        <v>1120.2930495430676</v>
      </c>
      <c r="J174" s="174">
        <f>AH174/AE174</f>
        <v>23.695174714659018</v>
      </c>
      <c r="K174" s="207">
        <f>RANK(I174,$I$76:$I$977)</f>
        <v>99</v>
      </c>
      <c r="L174" s="208" t="e">
        <f>RANK(I174,$I$451:$I$866)</f>
        <v>#N/A</v>
      </c>
      <c r="M174" s="173">
        <f>SUM(N174:R174)</f>
        <v>31062.549333913496</v>
      </c>
      <c r="N174" s="174">
        <f>T174*(1+((AG174+IF(F174="백어택",8,0))/100)*(AI174/100-1))</f>
        <v>9268.7977172719366</v>
      </c>
      <c r="O174" s="174">
        <f>U174*(1+((AG174+IF(F174="백어택",8,0))/100)*(AI174/100-1))</f>
        <v>9268.7977172719366</v>
      </c>
      <c r="P174" s="174">
        <f>V174*(1+((AG174+IF(F174="백어택",8,0))/100)*(AI174*IF(AX174=1,AW174,1)/100-1))</f>
        <v>12524.953899369622</v>
      </c>
      <c r="Q174" s="174">
        <f>W174*(1+((AG174+IF(F174="백어택",8,0))/100)*(AI174*AW174/100-1))</f>
        <v>0</v>
      </c>
      <c r="R174" s="175"/>
      <c r="S174" s="173">
        <f>SUM(T174:X174)</f>
        <v>17450.679239139514</v>
      </c>
      <c r="T174" s="174">
        <f>AL174*AY174*IF(F174="백어택",1.2,1)</f>
        <v>5207.1326843733659</v>
      </c>
      <c r="U174" s="174">
        <f>AM174*AY174*IF(F174="백어택",1.2,1)</f>
        <v>5207.1326843733659</v>
      </c>
      <c r="V174" s="174">
        <f>AN174*AY174*IF(F174="백어택",1.2,1)</f>
        <v>7036.4138703927802</v>
      </c>
      <c r="W174" s="174">
        <f>(T174+U174+V174)*IF(AX174=1,0,0.6)*IF(F174="백어택",1.2,1)</f>
        <v>0</v>
      </c>
      <c r="X174" s="175"/>
      <c r="Y174" s="173">
        <f>SUM(Z174:AD174)</f>
        <v>43626.698097848785</v>
      </c>
      <c r="Z174" s="174">
        <f>T174*AI174/100</f>
        <v>13017.831710933415</v>
      </c>
      <c r="AA174" s="174">
        <f>U174*AI174/100</f>
        <v>13017.831710933415</v>
      </c>
      <c r="AB174" s="174">
        <f>V174*AI174*IF(AX174=1,AW174,1)/100</f>
        <v>17591.034675981951</v>
      </c>
      <c r="AC174" s="174">
        <f>W174*AI174*AW174/100</f>
        <v>0</v>
      </c>
      <c r="AD174" s="175"/>
      <c r="AE174" s="173">
        <f>AO174*(1-$D$20/100)*(1-$D$17/100)</f>
        <v>27.727164197424003</v>
      </c>
      <c r="AF174" s="174">
        <f>AP174</f>
        <v>36</v>
      </c>
      <c r="AG174" s="174">
        <f>IF($D$57+AU174&gt;100,100,$D$57+AU174)</f>
        <v>44.001300000000001</v>
      </c>
      <c r="AH174" s="174">
        <f>AQ174*AS174</f>
        <v>657</v>
      </c>
      <c r="AI174" s="174">
        <f>$D$58+IF(H174="근접",AR174,0)+IF(AY174=1,0,50)</f>
        <v>250</v>
      </c>
      <c r="AJ174" s="174">
        <f>10/3</f>
        <v>3.3333333333333335</v>
      </c>
      <c r="AK174" s="174">
        <f>SUM(AL174:AN174)</f>
        <v>12118.527249402439</v>
      </c>
      <c r="AL174" s="174">
        <f>(IF(H174="근접",$D$61*(VLOOKUP(C174,$B$36:$AG$39,19,FALSE)+VLOOKUP(C174,$B$40:$AG$43,19,FALSE)*$D$54),$D$60*(VLOOKUP(C174,$B$36:$AG$39,19,FALSE)+VLOOKUP(C174,$B$40:$AG$43,19,FALSE)*$D$54)))*$D$59/100</f>
        <v>3616.0643641481706</v>
      </c>
      <c r="AM174" s="174">
        <f>(IF(H174="근접",$D$61*(VLOOKUP(C174,$B$36:$AG$39,20,FALSE)+VLOOKUP(C174,$B$40:$AG$43,20,FALSE)*$D$54),$D$60*(VLOOKUP(C174,$B$36:$AG$39,20,FALSE)+VLOOKUP(C174,$B$40:$AG$43,20,FALSE)*$D$54)))*$D$59/100</f>
        <v>3616.0643641481706</v>
      </c>
      <c r="AN174" s="174">
        <f>(IF(H174="근접",$D$61*(VLOOKUP(C174,$B$36:$AG$39,21,FALSE)+VLOOKUP(C174,$B$40:$AG$43,21,FALSE)*$D$54),$D$60*(VLOOKUP(C174,$B$36:$AG$39,21,FALSE)+VLOOKUP(C174,$B$40:$AG$43,21,FALSE)*$D$54)))*$D$59/100</f>
        <v>4886.3985211060972</v>
      </c>
      <c r="AO174" s="176">
        <v>36</v>
      </c>
      <c r="AP174" s="174">
        <v>36</v>
      </c>
      <c r="AQ174" s="175">
        <f>VLOOKUP(C174,$B$45:$AA$48,19,FALSE)</f>
        <v>657</v>
      </c>
      <c r="AR174" s="31">
        <f>IF(LEFT(E174,1)*1=1,$S$64,$R$64)</f>
        <v>0</v>
      </c>
      <c r="AS174" s="2">
        <f>IF(LEFT(E174,1)*1=2,$U$64,$T$64)</f>
        <v>1</v>
      </c>
      <c r="AT174" s="33">
        <f>IF(LEFT(E174,1)*1=3,$W$64,$V$64)</f>
        <v>0</v>
      </c>
      <c r="AU174" s="31">
        <f>IF(MID(E174,3,1)*1=1,$Y$64,$X$64)</f>
        <v>25</v>
      </c>
      <c r="AV174" s="2">
        <f>IF(MID(E174,3,1)*1=2,$AA$64,$Z$64)</f>
        <v>0</v>
      </c>
      <c r="AW174" s="33">
        <f>IF(MID(E174,3,1)*1=3,$AC$64,$AB$64)</f>
        <v>1</v>
      </c>
      <c r="AX174" s="31">
        <f>IF(MID(E174,5,1)*1=1,$AE$64,$AD$64)</f>
        <v>1</v>
      </c>
      <c r="AY174" s="33">
        <f>IF(MID(E174,5,1)*1=2,$AG$64,$AF$64)</f>
        <v>1.2</v>
      </c>
      <c r="AZ174" s="2"/>
      <c r="BA174" s="101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 ht="12" customHeight="1">
      <c r="A175" s="2"/>
      <c r="B175" s="107">
        <v>560</v>
      </c>
      <c r="C175" s="31">
        <v>10</v>
      </c>
      <c r="D175" s="111" t="s">
        <v>14</v>
      </c>
      <c r="E175" s="2" t="s">
        <v>170</v>
      </c>
      <c r="F175" s="2" t="s">
        <v>149</v>
      </c>
      <c r="G175" s="2"/>
      <c r="H175" s="33" t="s">
        <v>81</v>
      </c>
      <c r="I175" s="173">
        <f>M175/AE175</f>
        <v>1120.2930495430676</v>
      </c>
      <c r="J175" s="174">
        <f>AH175/AE175</f>
        <v>11.847587357329509</v>
      </c>
      <c r="K175" s="207">
        <f>RANK(I175,$I$76:$I$977)</f>
        <v>99</v>
      </c>
      <c r="L175" s="208" t="e">
        <f>RANK(I175,$I$451:$I$866)</f>
        <v>#N/A</v>
      </c>
      <c r="M175" s="173">
        <f>SUM(N175:R175)</f>
        <v>31062.549333913496</v>
      </c>
      <c r="N175" s="174">
        <f>T175*(1+((AG175+IF(F175="백어택",8,0))/100)*(AI175/100-1))</f>
        <v>9268.7977172719366</v>
      </c>
      <c r="O175" s="174">
        <f>U175*(1+((AG175+IF(F175="백어택",8,0))/100)*(AI175/100-1))</f>
        <v>9268.7977172719366</v>
      </c>
      <c r="P175" s="174">
        <f>V175*(1+((AG175+IF(F175="백어택",8,0))/100)*(AI175*IF(AX175=1,AW175,1)/100-1))</f>
        <v>12524.953899369622</v>
      </c>
      <c r="Q175" s="174">
        <f>W175*(1+((AG175+IF(F175="백어택",8,0))/100)*(AI175*AW175/100-1))</f>
        <v>0</v>
      </c>
      <c r="R175" s="175"/>
      <c r="S175" s="173">
        <f>SUM(T175:X175)</f>
        <v>17450.679239139514</v>
      </c>
      <c r="T175" s="174">
        <f>AL175*AY175*IF(F175="백어택",1.2,1)</f>
        <v>5207.1326843733659</v>
      </c>
      <c r="U175" s="174">
        <f>AM175*AY175*IF(F175="백어택",1.2,1)</f>
        <v>5207.1326843733659</v>
      </c>
      <c r="V175" s="174">
        <f>AN175*AY175*IF(F175="백어택",1.2,1)</f>
        <v>7036.4138703927802</v>
      </c>
      <c r="W175" s="174">
        <f>(T175+U175+V175)*IF(AX175=1,0,0.6)*IF(F175="백어택",1.2,1)</f>
        <v>0</v>
      </c>
      <c r="X175" s="175"/>
      <c r="Y175" s="173">
        <f>SUM(Z175:AD175)</f>
        <v>43626.698097848785</v>
      </c>
      <c r="Z175" s="174">
        <f>T175*AI175/100</f>
        <v>13017.831710933415</v>
      </c>
      <c r="AA175" s="174">
        <f>U175*AI175/100</f>
        <v>13017.831710933415</v>
      </c>
      <c r="AB175" s="174">
        <f>V175*AI175*IF(AX175=1,AW175,1)/100</f>
        <v>17591.034675981951</v>
      </c>
      <c r="AC175" s="174">
        <f>W175*AI175*AW175/100</f>
        <v>0</v>
      </c>
      <c r="AD175" s="175"/>
      <c r="AE175" s="173">
        <f>AO175*(1-$D$20/100)*(1-$D$17/100)</f>
        <v>27.727164197424003</v>
      </c>
      <c r="AF175" s="174">
        <f>AP175</f>
        <v>36</v>
      </c>
      <c r="AG175" s="174">
        <f>IF($D$57+AU175&gt;100,100,$D$57+AU175)</f>
        <v>44.001300000000001</v>
      </c>
      <c r="AH175" s="174">
        <f>AQ175*AS175</f>
        <v>328.5</v>
      </c>
      <c r="AI175" s="174">
        <f>$D$58+IF(H175="근접",AR175,0)+IF(AY175=1,0,50)</f>
        <v>250</v>
      </c>
      <c r="AJ175" s="174">
        <f>10/3</f>
        <v>3.3333333333333335</v>
      </c>
      <c r="AK175" s="174">
        <f>SUM(AL175:AN175)</f>
        <v>12118.527249402439</v>
      </c>
      <c r="AL175" s="174">
        <f>(IF(H175="근접",$D$61*(VLOOKUP(C175,$B$36:$AG$39,19,FALSE)+VLOOKUP(C175,$B$40:$AG$43,19,FALSE)*$D$54),$D$60*(VLOOKUP(C175,$B$36:$AG$39,19,FALSE)+VLOOKUP(C175,$B$40:$AG$43,19,FALSE)*$D$54)))*$D$59/100</f>
        <v>3616.0643641481706</v>
      </c>
      <c r="AM175" s="174">
        <f>(IF(H175="근접",$D$61*(VLOOKUP(C175,$B$36:$AG$39,20,FALSE)+VLOOKUP(C175,$B$40:$AG$43,20,FALSE)*$D$54),$D$60*(VLOOKUP(C175,$B$36:$AG$39,20,FALSE)+VLOOKUP(C175,$B$40:$AG$43,20,FALSE)*$D$54)))*$D$59/100</f>
        <v>3616.0643641481706</v>
      </c>
      <c r="AN175" s="174">
        <f>(IF(H175="근접",$D$61*(VLOOKUP(C175,$B$36:$AG$39,21,FALSE)+VLOOKUP(C175,$B$40:$AG$43,21,FALSE)*$D$54),$D$60*(VLOOKUP(C175,$B$36:$AG$39,21,FALSE)+VLOOKUP(C175,$B$40:$AG$43,21,FALSE)*$D$54)))*$D$59/100</f>
        <v>4886.3985211060972</v>
      </c>
      <c r="AO175" s="176">
        <v>36</v>
      </c>
      <c r="AP175" s="174">
        <v>36</v>
      </c>
      <c r="AQ175" s="175">
        <f>VLOOKUP(C175,$B$45:$AA$48,19,FALSE)</f>
        <v>657</v>
      </c>
      <c r="AR175" s="31">
        <f>IF(LEFT(E175,1)*1=1,$S$64,$R$64)</f>
        <v>0</v>
      </c>
      <c r="AS175" s="2">
        <f>IF(LEFT(E175,1)*1=2,$U$64,$T$64)</f>
        <v>0.5</v>
      </c>
      <c r="AT175" s="33">
        <f>IF(LEFT(E175,1)*1=3,$W$64,$V$64)</f>
        <v>0</v>
      </c>
      <c r="AU175" s="31">
        <f>IF(MID(E175,3,1)*1=1,$Y$64,$X$64)</f>
        <v>25</v>
      </c>
      <c r="AV175" s="2">
        <f>IF(MID(E175,3,1)*1=2,$AA$64,$Z$64)</f>
        <v>0</v>
      </c>
      <c r="AW175" s="33">
        <f>IF(MID(E175,3,1)*1=3,$AC$64,$AB$64)</f>
        <v>1</v>
      </c>
      <c r="AX175" s="31">
        <f>IF(MID(E175,5,1)*1=1,$AE$64,$AD$64)</f>
        <v>1</v>
      </c>
      <c r="AY175" s="33">
        <f>IF(MID(E175,5,1)*1=2,$AG$64,$AF$64)</f>
        <v>1.2</v>
      </c>
      <c r="AZ175" s="2"/>
      <c r="BA175" s="101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 ht="12" customHeight="1">
      <c r="A176" s="2"/>
      <c r="B176" s="107">
        <v>110</v>
      </c>
      <c r="C176" s="31">
        <v>10</v>
      </c>
      <c r="D176" s="106" t="s">
        <v>6</v>
      </c>
      <c r="E176" s="2" t="s">
        <v>132</v>
      </c>
      <c r="F176" s="2"/>
      <c r="G176" s="2" t="s">
        <v>183</v>
      </c>
      <c r="H176" s="33"/>
      <c r="I176" s="173">
        <f>M176/AE176</f>
        <v>1114.3935572524558</v>
      </c>
      <c r="J176" s="174">
        <f>AH176/AE176</f>
        <v>23.505991271208018</v>
      </c>
      <c r="K176" s="207">
        <f>RANK(I176,$I$76:$I$977)</f>
        <v>101</v>
      </c>
      <c r="L176" s="208">
        <f>RANK(I176,$I$76:$I$450)</f>
        <v>101</v>
      </c>
      <c r="M176" s="173">
        <f>SUM(N176:R176)</f>
        <v>22234.781435981608</v>
      </c>
      <c r="N176" s="174">
        <f>T176*(1+((AG176+IF(F176="백어택",8,0))/100)*((AI176/100-1)))</f>
        <v>22234.781435981608</v>
      </c>
      <c r="O176" s="174"/>
      <c r="P176" s="174"/>
      <c r="Q176" s="174"/>
      <c r="R176" s="175"/>
      <c r="S176" s="173">
        <f>SUM(T176:X176)</f>
        <v>9534.4472703152187</v>
      </c>
      <c r="T176" s="174">
        <f>AL176*AW176*AT176*AX176*AY176</f>
        <v>9534.4472703152187</v>
      </c>
      <c r="U176" s="174"/>
      <c r="V176" s="174"/>
      <c r="W176" s="174"/>
      <c r="X176" s="175"/>
      <c r="Y176" s="173">
        <f>SUM(Z176:AD176)</f>
        <v>19068.894540630437</v>
      </c>
      <c r="Z176" s="174">
        <f>T176*$D$58/100</f>
        <v>19068.894540630437</v>
      </c>
      <c r="AA176" s="174"/>
      <c r="AB176" s="174"/>
      <c r="AC176" s="174"/>
      <c r="AD176" s="175"/>
      <c r="AE176" s="173">
        <f>AO176*(1-$D$17/100)</f>
        <v>19.952359999999999</v>
      </c>
      <c r="AF176" s="174">
        <f>AP176</f>
        <v>36</v>
      </c>
      <c r="AG176" s="174">
        <f>IF($D$57+AV176&gt;100,100,$D$57+AV176)</f>
        <v>79.001300000000001</v>
      </c>
      <c r="AH176" s="174">
        <f>AQ176*AR176</f>
        <v>469</v>
      </c>
      <c r="AI176" s="174">
        <f>$D$58+$D$19</f>
        <v>268.61079999999998</v>
      </c>
      <c r="AJ176" s="174">
        <f>10/IF(AX176=1,IF(AY176=1,5,6),4)</f>
        <v>1.6666666666666667</v>
      </c>
      <c r="AK176" s="174">
        <f>SUM(AL176:AN176)</f>
        <v>5675.2662323304885</v>
      </c>
      <c r="AL176" s="174">
        <f>(VLOOKUP(C176,$B$36:$AG$39,7,FALSE)+VLOOKUP(C176,$B$40:$AG$43,7,FALSE)*$D$54)*$D$59/100</f>
        <v>5675.2662323304885</v>
      </c>
      <c r="AM176" s="174"/>
      <c r="AN176" s="174"/>
      <c r="AO176" s="176">
        <v>20</v>
      </c>
      <c r="AP176" s="174">
        <v>36</v>
      </c>
      <c r="AQ176" s="175">
        <f>VLOOKUP(C176,$B$45:$AA$48,7,FALSE)</f>
        <v>469</v>
      </c>
      <c r="AR176" s="31">
        <f>IF(LEFT(E176,1)*1=1,$S$56,$R$56)</f>
        <v>1</v>
      </c>
      <c r="AS176" s="2">
        <f>IF(LEFT(E176,1)*1=2,$U$56,$T$56)</f>
        <v>0</v>
      </c>
      <c r="AT176" s="33">
        <f>IF(LEFT(E176,1)*1=3,$W$56,$V$56)</f>
        <v>1.2</v>
      </c>
      <c r="AU176" s="31">
        <f>IF(MID(E176,3,1)*1=1,$Y$56,$X$56)</f>
        <v>0</v>
      </c>
      <c r="AV176" s="2">
        <f>IF(MID(E176,3,1)*1=2,$AA$56,$Z$56)</f>
        <v>60</v>
      </c>
      <c r="AW176" s="33">
        <f>IF(MID(E176,3,1)*1=3,$AC$56,$AB$56)</f>
        <v>1</v>
      </c>
      <c r="AX176" s="31">
        <f>IF(MID(E176,5,1)*1=1,$AE$56,$AD$56)</f>
        <v>1</v>
      </c>
      <c r="AY176" s="33">
        <f>IF(MID(E176,5,1)*1=2,$AG$56,$AF$56)</f>
        <v>1.4</v>
      </c>
      <c r="AZ176" s="2"/>
      <c r="BA176" s="101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 ht="12" customHeight="1">
      <c r="A177" s="2"/>
      <c r="B177" s="107">
        <v>773</v>
      </c>
      <c r="C177" s="31">
        <v>10</v>
      </c>
      <c r="D177" s="111" t="s">
        <v>21</v>
      </c>
      <c r="E177" s="2" t="s">
        <v>151</v>
      </c>
      <c r="F177" s="2" t="s">
        <v>149</v>
      </c>
      <c r="G177" s="2"/>
      <c r="H177" s="33"/>
      <c r="I177" s="173">
        <f>M177/AE177</f>
        <v>1113.2599594301662</v>
      </c>
      <c r="J177" s="174">
        <f>AH177/AE177</f>
        <v>30.238644768832497</v>
      </c>
      <c r="K177" s="207">
        <f>RANK(I177,$I$76:$I$977)</f>
        <v>102</v>
      </c>
      <c r="L177" s="208" t="e">
        <f>RANK(I177,$I$451:$I$866)</f>
        <v>#N/A</v>
      </c>
      <c r="M177" s="173">
        <f>SUM(N177:R177)</f>
        <v>24187.981932956805</v>
      </c>
      <c r="N177" s="174">
        <f>T177*(1+((AG177+IF(F177="백어택",8,0))/100)*(AI177/100-1))</f>
        <v>24187.981932956805</v>
      </c>
      <c r="O177" s="174"/>
      <c r="P177" s="174"/>
      <c r="Q177" s="174"/>
      <c r="R177" s="175">
        <f>X177*(1+(AG177/100)*(AI177/100-1))</f>
        <v>0</v>
      </c>
      <c r="S177" s="173">
        <f>SUM(T177:X177)</f>
        <v>19045.460111791614</v>
      </c>
      <c r="T177" s="174">
        <f>AL177*AW177*AX177*AY177*IF(F177="백어택",1.2,1)</f>
        <v>19045.460111791614</v>
      </c>
      <c r="U177" s="174"/>
      <c r="V177" s="174"/>
      <c r="W177" s="174"/>
      <c r="X177" s="175">
        <f>AL177*AS177+IF(AX177=1,AL177*AU177,AL177*AU177*2)</f>
        <v>0</v>
      </c>
      <c r="Y177" s="173">
        <f>SUM(Z177:AD177)</f>
        <v>38090.920223583227</v>
      </c>
      <c r="Z177" s="174">
        <f>T177*$D$58/100</f>
        <v>38090.920223583227</v>
      </c>
      <c r="AA177" s="174"/>
      <c r="AB177" s="174"/>
      <c r="AC177" s="174"/>
      <c r="AD177" s="175">
        <f>X177*$D$58/100</f>
        <v>0</v>
      </c>
      <c r="AE177" s="173">
        <f>AO177*(1-$D$20/100)*(1-$D$17/100)-AR177</f>
        <v>21.727164197424003</v>
      </c>
      <c r="AF177" s="174">
        <f>AP177</f>
        <v>36</v>
      </c>
      <c r="AG177" s="174">
        <f>IF($D$57&gt;100,100,$D$57)</f>
        <v>19.001300000000001</v>
      </c>
      <c r="AH177" s="174">
        <f>AQ177</f>
        <v>657</v>
      </c>
      <c r="AI177" s="174">
        <f>$D$58</f>
        <v>200</v>
      </c>
      <c r="AJ177" s="174">
        <f>10/6</f>
        <v>1.6666666666666667</v>
      </c>
      <c r="AK177" s="174">
        <f>SUM(AL177:AN177)</f>
        <v>9919.5104748914655</v>
      </c>
      <c r="AL177" s="174">
        <f>(VLOOKUP(C177,$B$36:$AG$39,31,FALSE)+VLOOKUP(C177,$B$40:$AG$43,31,FALSE)*$D$54)*$D$59/100</f>
        <v>9919.5104748914655</v>
      </c>
      <c r="AM177" s="174"/>
      <c r="AN177" s="174"/>
      <c r="AO177" s="176">
        <v>36</v>
      </c>
      <c r="AP177" s="174">
        <v>36</v>
      </c>
      <c r="AQ177" s="175">
        <f>VLOOKUP(C177,$B$45:$AG$48,31,FALSE)</f>
        <v>657</v>
      </c>
      <c r="AR177" s="31">
        <f>IF(LEFT(E177,1)*1=1,$S$71,$R$71)</f>
        <v>6</v>
      </c>
      <c r="AS177" s="2">
        <f>IF(LEFT(E177,1)*1=2,$U$71,$T$71)</f>
        <v>0</v>
      </c>
      <c r="AT177" s="33">
        <f>IF(LEFT(E177,1)*1=3,$W$71,$V$71)</f>
        <v>0</v>
      </c>
      <c r="AU177" s="31">
        <f>IF(MID(E177,3,1)*1=1,$Y$71,$X$71)</f>
        <v>0</v>
      </c>
      <c r="AV177" s="2">
        <f>IF(MID(E177,3,1)*1=2,$AA$71,$Z$71)</f>
        <v>0</v>
      </c>
      <c r="AW177" s="33">
        <f>IF(MID(E177,3,1)*1=3,$AC$71,$AB$71)</f>
        <v>1</v>
      </c>
      <c r="AX177" s="31">
        <f>IF(MID(E177,5,1)*1=1,$AE$71,$AD$71)</f>
        <v>1</v>
      </c>
      <c r="AY177" s="33">
        <f>IF(MID(E177,5,1)*1=2,$AG$71,$AF$71)</f>
        <v>1.6</v>
      </c>
      <c r="AZ177" s="2"/>
      <c r="BA177" s="101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 ht="12" customHeight="1">
      <c r="A178" s="2"/>
      <c r="B178" s="107">
        <v>76</v>
      </c>
      <c r="C178" s="31">
        <v>10</v>
      </c>
      <c r="D178" s="106" t="s">
        <v>5</v>
      </c>
      <c r="E178" s="2" t="s">
        <v>139</v>
      </c>
      <c r="F178" s="2"/>
      <c r="G178" s="2"/>
      <c r="H178" s="33">
        <v>9</v>
      </c>
      <c r="I178" s="173">
        <f>M178/AE178</f>
        <v>1111.9103444079594</v>
      </c>
      <c r="J178" s="174">
        <f>AH178/AE178</f>
        <v>34.707673678702669</v>
      </c>
      <c r="K178" s="207">
        <f>RANK(I178,$I$76:$I$977)</f>
        <v>103</v>
      </c>
      <c r="L178" s="208">
        <f>RANK(I178,$I$76:$I$450)</f>
        <v>103</v>
      </c>
      <c r="M178" s="173">
        <f>SUM(N178:R178)</f>
        <v>8874.0941917406381</v>
      </c>
      <c r="N178" s="174">
        <f>T178*(1+((AG178+IF(F178="백어택",8,0))/100)*((AI178/100-1)))</f>
        <v>8874.0941917406381</v>
      </c>
      <c r="O178" s="174"/>
      <c r="P178" s="174"/>
      <c r="Q178" s="174"/>
      <c r="R178" s="175"/>
      <c r="S178" s="173">
        <f>SUM(T178:X178)</f>
        <v>6720.8514191890235</v>
      </c>
      <c r="T178" s="174">
        <f>AL178*AU178*AW178*AX178*AY178</f>
        <v>6720.8514191890235</v>
      </c>
      <c r="U178" s="174"/>
      <c r="V178" s="174"/>
      <c r="W178" s="174"/>
      <c r="X178" s="175"/>
      <c r="Y178" s="173">
        <f>SUM(Z178:AD178)</f>
        <v>13441.702838378049</v>
      </c>
      <c r="Z178" s="174">
        <f>T178*$D$58/100</f>
        <v>13441.702838378049</v>
      </c>
      <c r="AA178" s="174"/>
      <c r="AB178" s="174"/>
      <c r="AC178" s="174"/>
      <c r="AD178" s="175"/>
      <c r="AE178" s="173">
        <f>AO178*(1-$D$17/100)</f>
        <v>7.980944</v>
      </c>
      <c r="AF178" s="174">
        <f>AP178</f>
        <v>36</v>
      </c>
      <c r="AG178" s="174">
        <f>IF($D$57&gt;100,100,$D$57)</f>
        <v>19.001300000000001</v>
      </c>
      <c r="AH178" s="174">
        <f>AQ178</f>
        <v>277</v>
      </c>
      <c r="AI178" s="174">
        <f>$D$58+$D$19</f>
        <v>268.61079999999998</v>
      </c>
      <c r="AJ178" s="174">
        <f>1*AS178</f>
        <v>1</v>
      </c>
      <c r="AK178" s="174">
        <f>SUM(AL178:AN178)</f>
        <v>2240.2838063963413</v>
      </c>
      <c r="AL178" s="174">
        <f>(H178*(VLOOKUP(C178,$B$36:$AG$39,6,FALSE)+VLOOKUP(C178,$B$40:$AG$43,6,FALSE)*$D$54))*$D$59/100</f>
        <v>2240.2838063963413</v>
      </c>
      <c r="AM178" s="174"/>
      <c r="AN178" s="174"/>
      <c r="AO178" s="176">
        <v>8</v>
      </c>
      <c r="AP178" s="174">
        <v>36</v>
      </c>
      <c r="AQ178" s="175">
        <f>VLOOKUP(C178,$B$45:$AA$48,6,FALSE)</f>
        <v>277</v>
      </c>
      <c r="AR178" s="31">
        <f>IF(LEFT(E178,1)*1=1,$S$55,$R$55)</f>
        <v>0</v>
      </c>
      <c r="AS178" s="2">
        <f>IF(LEFT(E178,1)*1=2,$U$55,$T$55)</f>
        <v>1</v>
      </c>
      <c r="AT178" s="33">
        <f>IF(LEFT(E178,1)*1=3,$W$55,$V$55)</f>
        <v>0</v>
      </c>
      <c r="AU178" s="31">
        <f>IF(MID(E178,3,1)*1=1,$Y$55,$X$55)</f>
        <v>1.25</v>
      </c>
      <c r="AV178" s="2">
        <f>IF(MID(E178,3,1)*1=2,$AA$55,$Z$55)</f>
        <v>0</v>
      </c>
      <c r="AW178" s="33">
        <f>IF(MID(E178,3,1)*1=3,$AC$55,$AB$55)</f>
        <v>1</v>
      </c>
      <c r="AX178" s="31">
        <f>IF(MID(E178,5,1)*1=1,$AE$55,$AD$55)</f>
        <v>1</v>
      </c>
      <c r="AY178" s="33">
        <f>IF(MID(E178,5,1)*1=2,$AG$55,$AF$55)</f>
        <v>2.4</v>
      </c>
      <c r="AZ178" s="2"/>
      <c r="BA178" s="101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 ht="12" customHeight="1">
      <c r="A179" s="2"/>
      <c r="B179" s="107">
        <v>82</v>
      </c>
      <c r="C179" s="31">
        <v>10</v>
      </c>
      <c r="D179" s="106" t="s">
        <v>5</v>
      </c>
      <c r="E179" s="2" t="s">
        <v>170</v>
      </c>
      <c r="F179" s="2"/>
      <c r="G179" s="2"/>
      <c r="H179" s="33">
        <v>9</v>
      </c>
      <c r="I179" s="173">
        <f>M179/AE179</f>
        <v>1111.9103444079594</v>
      </c>
      <c r="J179" s="174">
        <f>AH179/AE179</f>
        <v>34.707673678702669</v>
      </c>
      <c r="K179" s="207">
        <f>RANK(I179,$I$76:$I$977)</f>
        <v>103</v>
      </c>
      <c r="L179" s="208">
        <f>RANK(I179,$I$76:$I$450)</f>
        <v>103</v>
      </c>
      <c r="M179" s="173">
        <f>SUM(N179:R179)</f>
        <v>8874.0941917406381</v>
      </c>
      <c r="N179" s="174">
        <f>T179*(1+((AG179+IF(F179="백어택",8,0))/100)*((AI179/100-1)))</f>
        <v>8874.0941917406381</v>
      </c>
      <c r="O179" s="174"/>
      <c r="P179" s="174"/>
      <c r="Q179" s="174"/>
      <c r="R179" s="175"/>
      <c r="S179" s="173">
        <f>SUM(T179:X179)</f>
        <v>6720.8514191890235</v>
      </c>
      <c r="T179" s="174">
        <f>AL179*AU179*AW179*AX179*AY179</f>
        <v>6720.8514191890235</v>
      </c>
      <c r="U179" s="174"/>
      <c r="V179" s="174"/>
      <c r="W179" s="174"/>
      <c r="X179" s="175"/>
      <c r="Y179" s="173">
        <f>SUM(Z179:AD179)</f>
        <v>13441.702838378049</v>
      </c>
      <c r="Z179" s="174">
        <f>T179*$D$58/100</f>
        <v>13441.702838378049</v>
      </c>
      <c r="AA179" s="174"/>
      <c r="AB179" s="174"/>
      <c r="AC179" s="174"/>
      <c r="AD179" s="175"/>
      <c r="AE179" s="173">
        <f>AO179*(1-$D$17/100)</f>
        <v>7.980944</v>
      </c>
      <c r="AF179" s="174">
        <f>AP179</f>
        <v>36</v>
      </c>
      <c r="AG179" s="174">
        <f>IF($D$57&gt;100,100,$D$57)</f>
        <v>19.001300000000001</v>
      </c>
      <c r="AH179" s="174">
        <f>AQ179</f>
        <v>277</v>
      </c>
      <c r="AI179" s="174">
        <f>$D$58+$D$19</f>
        <v>268.61079999999998</v>
      </c>
      <c r="AJ179" s="174">
        <f>1*AS179</f>
        <v>0.8</v>
      </c>
      <c r="AK179" s="174">
        <f>SUM(AL179:AN179)</f>
        <v>2240.2838063963413</v>
      </c>
      <c r="AL179" s="174">
        <f>(H179*(VLOOKUP(C179,$B$36:$AG$39,6,FALSE)+VLOOKUP(C179,$B$40:$AG$43,6,FALSE)*$D$54))*$D$59/100</f>
        <v>2240.2838063963413</v>
      </c>
      <c r="AM179" s="174"/>
      <c r="AN179" s="174"/>
      <c r="AO179" s="176">
        <v>8</v>
      </c>
      <c r="AP179" s="174">
        <v>36</v>
      </c>
      <c r="AQ179" s="175">
        <f>VLOOKUP(C179,$B$45:$AA$48,6,FALSE)</f>
        <v>277</v>
      </c>
      <c r="AR179" s="31">
        <f>IF(LEFT(E179,1)*1=1,$S$55,$R$55)</f>
        <v>0</v>
      </c>
      <c r="AS179" s="2">
        <f>IF(LEFT(E179,1)*1=2,$U$55,$T$55)</f>
        <v>0.8</v>
      </c>
      <c r="AT179" s="33">
        <f>IF(LEFT(E179,1)*1=3,$W$55,$V$55)</f>
        <v>0</v>
      </c>
      <c r="AU179" s="31">
        <f>IF(MID(E179,3,1)*1=1,$Y$55,$X$55)</f>
        <v>1.25</v>
      </c>
      <c r="AV179" s="2">
        <f>IF(MID(E179,3,1)*1=2,$AA$55,$Z$55)</f>
        <v>0</v>
      </c>
      <c r="AW179" s="33">
        <f>IF(MID(E179,3,1)*1=3,$AC$55,$AB$55)</f>
        <v>1</v>
      </c>
      <c r="AX179" s="31">
        <f>IF(MID(E179,5,1)*1=1,$AE$55,$AD$55)</f>
        <v>1</v>
      </c>
      <c r="AY179" s="33">
        <f>IF(MID(E179,5,1)*1=2,$AG$55,$AF$55)</f>
        <v>2.4</v>
      </c>
      <c r="AZ179" s="2"/>
      <c r="BA179" s="101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 ht="12" customHeight="1">
      <c r="A180" s="2"/>
      <c r="B180" s="107">
        <v>157</v>
      </c>
      <c r="C180" s="31">
        <v>10</v>
      </c>
      <c r="D180" s="106" t="s">
        <v>10</v>
      </c>
      <c r="E180" s="2" t="s">
        <v>138</v>
      </c>
      <c r="F180" s="2" t="s">
        <v>149</v>
      </c>
      <c r="G180" s="2" t="s">
        <v>137</v>
      </c>
      <c r="H180" s="33"/>
      <c r="I180" s="173">
        <f>M180/AE180</f>
        <v>1107.5013951866972</v>
      </c>
      <c r="J180" s="174">
        <f>AH180/AE180</f>
        <v>25.811482952392598</v>
      </c>
      <c r="K180" s="207">
        <f>RANK(I180,$I$76:$I$977)</f>
        <v>105</v>
      </c>
      <c r="L180" s="208">
        <f>RANK(I180,$I$76:$I$450)</f>
        <v>105</v>
      </c>
      <c r="M180" s="173">
        <f>SUM(N180:R180)</f>
        <v>17677.813229813801</v>
      </c>
      <c r="N180" s="174">
        <f>T180*(1+((AG180+IF(F180="백어택",8,0))/100)*((AI180/100-1)))</f>
        <v>17677.813229813801</v>
      </c>
      <c r="O180" s="174"/>
      <c r="P180" s="174"/>
      <c r="Q180" s="174"/>
      <c r="R180" s="175"/>
      <c r="S180" s="173">
        <f>SUM(T180:X180)</f>
        <v>12147.43663912683</v>
      </c>
      <c r="T180" s="174">
        <f>AL180*AS180*AU180*AX180*IF(AY180=0,1,0.5)*IF(F180="백어택",1.2,1)</f>
        <v>12147.43663912683</v>
      </c>
      <c r="U180" s="174"/>
      <c r="V180" s="174"/>
      <c r="W180" s="174"/>
      <c r="X180" s="175"/>
      <c r="Y180" s="173">
        <f>SUM(Z180:AD180)</f>
        <v>32629.32673585169</v>
      </c>
      <c r="Z180" s="174">
        <f>T180*AI180/100</f>
        <v>32629.32673585169</v>
      </c>
      <c r="AA180" s="174"/>
      <c r="AB180" s="174"/>
      <c r="AC180" s="174"/>
      <c r="AD180" s="175"/>
      <c r="AE180" s="173">
        <f>AO180*(1-$D$17/100)</f>
        <v>15.961888</v>
      </c>
      <c r="AF180" s="174">
        <f>AP180</f>
        <v>36</v>
      </c>
      <c r="AG180" s="174">
        <f>IF($D$57+AV180&gt;100,100,$D$57+AV180)</f>
        <v>19.001300000000001</v>
      </c>
      <c r="AH180" s="174">
        <f>AQ180</f>
        <v>412</v>
      </c>
      <c r="AI180" s="174">
        <f>$D$58+$D$19</f>
        <v>268.61079999999998</v>
      </c>
      <c r="AJ180" s="174">
        <f>10*AR180/(7-IF(AX180=1,0,3))</f>
        <v>1.4285714285714286</v>
      </c>
      <c r="AK180" s="174">
        <f>SUM(AL180:AN180)</f>
        <v>8098.2910927512203</v>
      </c>
      <c r="AL180" s="174">
        <f>(VLOOKUP(C180,$B$36:$AG$39,13,FALSE)+VLOOKUP(C180,$B$40:$AG$43,13,FALSE)*$D$54)*$D$59/100</f>
        <v>8098.2910927512203</v>
      </c>
      <c r="AM180" s="174"/>
      <c r="AN180" s="174"/>
      <c r="AO180" s="176">
        <v>16</v>
      </c>
      <c r="AP180" s="174">
        <v>36</v>
      </c>
      <c r="AQ180" s="175">
        <f>VLOOKUP(C180,$B$45:$AA$48,13,FALSE)</f>
        <v>412</v>
      </c>
      <c r="AR180" s="31">
        <f>IF(LEFT(E180,1)*1=1,$S$60,$R$60)</f>
        <v>1</v>
      </c>
      <c r="AS180" s="2">
        <f>IF(LEFT(E180,1)*1=2,$U$60,$T$60)</f>
        <v>1</v>
      </c>
      <c r="AT180" s="33">
        <f>IF(LEFT(E180,1)*1=3,$W$60,$V$60)</f>
        <v>0</v>
      </c>
      <c r="AU180" s="31">
        <f>IF(MID(E180,3,1)*1=1,$Y$60,$X$60)</f>
        <v>1.25</v>
      </c>
      <c r="AV180" s="2">
        <f>IF(MID(E180,3,1)*1=2,$AA$60,$Z$60)</f>
        <v>0</v>
      </c>
      <c r="AW180" s="33">
        <f>IF(MID(E180,3,1)*1=3,$AC$60,$AB$60)</f>
        <v>0</v>
      </c>
      <c r="AX180" s="31">
        <f>IF(MID(E180,5,1)*1=1,$AE$60,$AD$60)</f>
        <v>1</v>
      </c>
      <c r="AY180" s="33">
        <f>IF(MID(E180,5,1)*1=2,$AG$60,$AF$60)</f>
        <v>0</v>
      </c>
      <c r="AZ180" s="2"/>
      <c r="BA180" s="101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 ht="12" customHeight="1">
      <c r="A181" s="2"/>
      <c r="B181" s="107">
        <v>160</v>
      </c>
      <c r="C181" s="31">
        <v>10</v>
      </c>
      <c r="D181" s="106" t="s">
        <v>10</v>
      </c>
      <c r="E181" s="2" t="s">
        <v>164</v>
      </c>
      <c r="F181" s="2" t="s">
        <v>149</v>
      </c>
      <c r="G181" s="2" t="s">
        <v>137</v>
      </c>
      <c r="H181" s="33"/>
      <c r="I181" s="173">
        <f>M181/AE181</f>
        <v>1107.5013951866972</v>
      </c>
      <c r="J181" s="174">
        <f>AH181/AE181</f>
        <v>25.811482952392598</v>
      </c>
      <c r="K181" s="207">
        <f>RANK(I181,$I$76:$I$977)</f>
        <v>105</v>
      </c>
      <c r="L181" s="208">
        <f>RANK(I181,$I$76:$I$450)</f>
        <v>105</v>
      </c>
      <c r="M181" s="173">
        <f>SUM(N181:R181)</f>
        <v>17677.813229813801</v>
      </c>
      <c r="N181" s="174">
        <f>T181*(1+((AG181+IF(F181="백어택",8,0))/100)*((AI181/100-1)))</f>
        <v>17677.813229813801</v>
      </c>
      <c r="O181" s="174"/>
      <c r="P181" s="174"/>
      <c r="Q181" s="174"/>
      <c r="R181" s="175"/>
      <c r="S181" s="173">
        <f>SUM(T181:X181)</f>
        <v>12147.43663912683</v>
      </c>
      <c r="T181" s="174">
        <f>AL181*AS181*AU181*AX181*IF(AY181=0,1,0.5)*IF(F181="백어택",1.2,1)</f>
        <v>12147.43663912683</v>
      </c>
      <c r="U181" s="174"/>
      <c r="V181" s="174"/>
      <c r="W181" s="174"/>
      <c r="X181" s="175"/>
      <c r="Y181" s="173">
        <f>SUM(Z181:AD181)</f>
        <v>32629.32673585169</v>
      </c>
      <c r="Z181" s="174">
        <f>T181*AI181/100</f>
        <v>32629.32673585169</v>
      </c>
      <c r="AA181" s="174"/>
      <c r="AB181" s="174"/>
      <c r="AC181" s="174"/>
      <c r="AD181" s="175"/>
      <c r="AE181" s="173">
        <f>AO181*(1-$D$17/100)</f>
        <v>15.961888</v>
      </c>
      <c r="AF181" s="174">
        <f>AP181</f>
        <v>36</v>
      </c>
      <c r="AG181" s="174">
        <f>IF($D$57+AV181&gt;100,100,$D$57+AV181)</f>
        <v>19.001300000000001</v>
      </c>
      <c r="AH181" s="174">
        <f>AQ181</f>
        <v>412</v>
      </c>
      <c r="AI181" s="174">
        <f>$D$58+$D$19</f>
        <v>268.61079999999998</v>
      </c>
      <c r="AJ181" s="174">
        <f>10*AR181/(7-IF(AX181=1,0,3))</f>
        <v>1.2142857142857142</v>
      </c>
      <c r="AK181" s="174">
        <f>SUM(AL181:AN181)</f>
        <v>8098.2910927512203</v>
      </c>
      <c r="AL181" s="174">
        <f>(VLOOKUP(C181,$B$36:$AG$39,13,FALSE)+VLOOKUP(C181,$B$40:$AG$43,13,FALSE)*$D$54)*$D$59/100</f>
        <v>8098.2910927512203</v>
      </c>
      <c r="AM181" s="174"/>
      <c r="AN181" s="174"/>
      <c r="AO181" s="176">
        <v>16</v>
      </c>
      <c r="AP181" s="174">
        <v>36</v>
      </c>
      <c r="AQ181" s="175">
        <f>VLOOKUP(C181,$B$45:$AA$48,13,FALSE)</f>
        <v>412</v>
      </c>
      <c r="AR181" s="31">
        <f>IF(LEFT(E181,1)*1=1,$S$60,$R$60)</f>
        <v>0.85</v>
      </c>
      <c r="AS181" s="2">
        <f>IF(LEFT(E181,1)*1=2,$U$60,$T$60)</f>
        <v>1</v>
      </c>
      <c r="AT181" s="33">
        <f>IF(LEFT(E181,1)*1=3,$W$60,$V$60)</f>
        <v>0</v>
      </c>
      <c r="AU181" s="31">
        <f>IF(MID(E181,3,1)*1=1,$Y$60,$X$60)</f>
        <v>1.25</v>
      </c>
      <c r="AV181" s="2">
        <f>IF(MID(E181,3,1)*1=2,$AA$60,$Z$60)</f>
        <v>0</v>
      </c>
      <c r="AW181" s="33">
        <f>IF(MID(E181,3,1)*1=3,$AC$60,$AB$60)</f>
        <v>0</v>
      </c>
      <c r="AX181" s="31">
        <f>IF(MID(E181,5,1)*1=1,$AE$60,$AD$60)</f>
        <v>1</v>
      </c>
      <c r="AY181" s="33">
        <f>IF(MID(E181,5,1)*1=2,$AG$60,$AF$60)</f>
        <v>0</v>
      </c>
      <c r="AZ181" s="2"/>
      <c r="BA181" s="101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 ht="12" customHeight="1">
      <c r="A182" s="2"/>
      <c r="B182" s="107">
        <v>747</v>
      </c>
      <c r="C182" s="31">
        <v>10</v>
      </c>
      <c r="D182" s="111" t="s">
        <v>21</v>
      </c>
      <c r="E182" s="2" t="s">
        <v>108</v>
      </c>
      <c r="F182" s="2"/>
      <c r="G182" s="2" t="s">
        <v>177</v>
      </c>
      <c r="H182" s="33"/>
      <c r="I182" s="173">
        <f>M182/AE182</f>
        <v>1106.903701735918</v>
      </c>
      <c r="J182" s="174">
        <f>AH182/AE182</f>
        <v>23.695174714659018</v>
      </c>
      <c r="K182" s="207">
        <f>RANK(I182,$I$76:$I$977)</f>
        <v>107</v>
      </c>
      <c r="L182" s="208" t="e">
        <f>RANK(I182,$I$451:$I$866)</f>
        <v>#N/A</v>
      </c>
      <c r="M182" s="173">
        <f>SUM(N182:R182)</f>
        <v>30691.300688768246</v>
      </c>
      <c r="N182" s="174">
        <f>T182*(1+((AG182+IF(F182="백어택",8,0))/100)*(AI182/100-1))</f>
        <v>28330.431405016843</v>
      </c>
      <c r="O182" s="174"/>
      <c r="P182" s="174"/>
      <c r="Q182" s="174"/>
      <c r="R182" s="175">
        <f>X182*(1+(AG182/100)*(AI182/100-1))</f>
        <v>2360.8692837514036</v>
      </c>
      <c r="S182" s="173">
        <f>SUM(T182:X182)</f>
        <v>25790.727234717811</v>
      </c>
      <c r="T182" s="174">
        <f>AL182*AW182*AX182*AY182*IF(F182="백어택",1.2,1)</f>
        <v>23806.825139739518</v>
      </c>
      <c r="U182" s="174"/>
      <c r="V182" s="174"/>
      <c r="W182" s="174"/>
      <c r="X182" s="175">
        <f>AL182*AS182+IF(AX182=1,AL182*AU182,AL182*AU182*2)</f>
        <v>1983.9020949782932</v>
      </c>
      <c r="Y182" s="173">
        <f>SUM(Z182:AD182)</f>
        <v>51581.454469435623</v>
      </c>
      <c r="Z182" s="174">
        <f>T182*$D$58/100</f>
        <v>47613.650279479036</v>
      </c>
      <c r="AA182" s="174"/>
      <c r="AB182" s="174"/>
      <c r="AC182" s="174"/>
      <c r="AD182" s="175">
        <f>X182*$D$58/100</f>
        <v>3967.8041899565865</v>
      </c>
      <c r="AE182" s="173">
        <f>AO182*(1-$D$20/100)*(1-$D$17/100)-AR182</f>
        <v>27.727164197424003</v>
      </c>
      <c r="AF182" s="174">
        <f>AP182</f>
        <v>36</v>
      </c>
      <c r="AG182" s="174">
        <f>IF($D$57&gt;100,100,$D$57)</f>
        <v>19.001300000000001</v>
      </c>
      <c r="AH182" s="174">
        <f>AQ182</f>
        <v>657</v>
      </c>
      <c r="AI182" s="174">
        <f>$D$58</f>
        <v>200</v>
      </c>
      <c r="AJ182" s="174">
        <f>10/6</f>
        <v>1.6666666666666667</v>
      </c>
      <c r="AK182" s="174">
        <f>SUM(AL182:AN182)</f>
        <v>9919.5104748914655</v>
      </c>
      <c r="AL182" s="174">
        <f>(VLOOKUP(C182,$B$36:$AG$39,31,FALSE)+VLOOKUP(C182,$B$40:$AG$43,31,FALSE)*$D$54)*$D$59/100</f>
        <v>9919.5104748914655</v>
      </c>
      <c r="AM182" s="174"/>
      <c r="AN182" s="174"/>
      <c r="AO182" s="176">
        <v>36</v>
      </c>
      <c r="AP182" s="174">
        <v>36</v>
      </c>
      <c r="AQ182" s="175">
        <f>VLOOKUP(C182,$B$45:$AG$48,31,FALSE)</f>
        <v>657</v>
      </c>
      <c r="AR182" s="31">
        <f>IF(LEFT(E182,1)*1=1,$S$71,$R$71)</f>
        <v>0</v>
      </c>
      <c r="AS182" s="2">
        <f>IF(LEFT(E182,1)*1=2,$U$71,$T$71)</f>
        <v>0.2</v>
      </c>
      <c r="AT182" s="33">
        <f>IF(LEFT(E182,1)*1=3,$W$71,$V$71)</f>
        <v>0</v>
      </c>
      <c r="AU182" s="31">
        <f>IF(MID(E182,3,1)*1=1,$Y$71,$X$71)</f>
        <v>0</v>
      </c>
      <c r="AV182" s="2">
        <f>IF(MID(E182,3,1)*1=2,$AA$71,$Z$71)</f>
        <v>0</v>
      </c>
      <c r="AW182" s="33">
        <f>IF(MID(E182,3,1)*1=3,$AC$71,$AB$71)</f>
        <v>1.5</v>
      </c>
      <c r="AX182" s="31">
        <f>IF(MID(E182,5,1)*1=1,$AE$71,$AD$71)</f>
        <v>1</v>
      </c>
      <c r="AY182" s="33">
        <f>IF(MID(E182,5,1)*1=2,$AG$71,$AF$71)</f>
        <v>1.6</v>
      </c>
      <c r="AZ182" s="2"/>
      <c r="BA182" s="101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 ht="12" customHeight="1">
      <c r="A183" s="2"/>
      <c r="B183" s="107">
        <v>768</v>
      </c>
      <c r="C183" s="31">
        <v>10</v>
      </c>
      <c r="D183" s="111" t="s">
        <v>21</v>
      </c>
      <c r="E183" s="2" t="s">
        <v>169</v>
      </c>
      <c r="F183" s="2" t="s">
        <v>149</v>
      </c>
      <c r="G183" s="2"/>
      <c r="H183" s="33"/>
      <c r="I183" s="173">
        <f>M183/AE183</f>
        <v>1103.898008047518</v>
      </c>
      <c r="J183" s="174">
        <f>AH183/AE183</f>
        <v>23.695174714659018</v>
      </c>
      <c r="K183" s="207">
        <f>RANK(I183,$I$76:$I$977)</f>
        <v>108</v>
      </c>
      <c r="L183" s="208" t="e">
        <f>RANK(I183,$I$451:$I$866)</f>
        <v>#N/A</v>
      </c>
      <c r="M183" s="173">
        <f>SUM(N183:R183)</f>
        <v>30607.961326342818</v>
      </c>
      <c r="N183" s="174">
        <f>T183*(1+((AG183+IF(F183="백어택",8,0))/100)*(AI183/100-1))</f>
        <v>21164.484191337204</v>
      </c>
      <c r="O183" s="174"/>
      <c r="P183" s="174"/>
      <c r="Q183" s="174"/>
      <c r="R183" s="175">
        <f>X183*(1+(AG183/100)*(AI183/100-1))</f>
        <v>9443.4771350056144</v>
      </c>
      <c r="S183" s="173">
        <f>SUM(T183:X183)</f>
        <v>24600.385977730835</v>
      </c>
      <c r="T183" s="174">
        <f>AL183*AW183*AX183*AY183*IF(F183="백어택",1.2,1)</f>
        <v>16664.777597817661</v>
      </c>
      <c r="U183" s="174"/>
      <c r="V183" s="174"/>
      <c r="W183" s="174"/>
      <c r="X183" s="175">
        <f>AL183*AS183+IF(AX183=1,AL183*AU183,AL183*AU183*2)</f>
        <v>7935.6083799131729</v>
      </c>
      <c r="Y183" s="173">
        <f>SUM(Z183:AD183)</f>
        <v>49200.771955461671</v>
      </c>
      <c r="Z183" s="174">
        <f>T183*$D$58/100</f>
        <v>33329.555195635323</v>
      </c>
      <c r="AA183" s="174"/>
      <c r="AB183" s="174"/>
      <c r="AC183" s="174"/>
      <c r="AD183" s="175">
        <f>X183*$D$58/100</f>
        <v>15871.216759826346</v>
      </c>
      <c r="AE183" s="173">
        <f>AO183*(1-$D$20/100)*(1-$D$17/100)-AR183</f>
        <v>27.727164197424003</v>
      </c>
      <c r="AF183" s="174">
        <f>AP183</f>
        <v>36</v>
      </c>
      <c r="AG183" s="174">
        <f>IF($D$57&gt;100,100,$D$57)</f>
        <v>19.001300000000001</v>
      </c>
      <c r="AH183" s="174">
        <f>AQ183</f>
        <v>657</v>
      </c>
      <c r="AI183" s="174">
        <f>$D$58</f>
        <v>200</v>
      </c>
      <c r="AJ183" s="174">
        <f>10/6</f>
        <v>1.6666666666666667</v>
      </c>
      <c r="AK183" s="174">
        <f>SUM(AL183:AN183)</f>
        <v>9919.5104748914655</v>
      </c>
      <c r="AL183" s="174">
        <f>(VLOOKUP(C183,$B$36:$AG$39,31,FALSE)+VLOOKUP(C183,$B$40:$AG$43,31,FALSE)*$D$54)*$D$59/100</f>
        <v>9919.5104748914655</v>
      </c>
      <c r="AM183" s="174"/>
      <c r="AN183" s="174"/>
      <c r="AO183" s="176">
        <v>36</v>
      </c>
      <c r="AP183" s="174">
        <v>36</v>
      </c>
      <c r="AQ183" s="175">
        <f>VLOOKUP(C183,$B$45:$AG$48,31,FALSE)</f>
        <v>657</v>
      </c>
      <c r="AR183" s="31">
        <f>IF(LEFT(E183,1)*1=1,$S$71,$R$71)</f>
        <v>0</v>
      </c>
      <c r="AS183" s="2">
        <f>IF(LEFT(E183,1)*1=2,$U$71,$T$71)</f>
        <v>0.2</v>
      </c>
      <c r="AT183" s="33">
        <f>IF(LEFT(E183,1)*1=3,$W$71,$V$71)</f>
        <v>0</v>
      </c>
      <c r="AU183" s="31">
        <f>IF(MID(E183,3,1)*1=1,$Y$71,$X$71)</f>
        <v>0.3</v>
      </c>
      <c r="AV183" s="2">
        <f>IF(MID(E183,3,1)*1=2,$AA$71,$Z$71)</f>
        <v>0</v>
      </c>
      <c r="AW183" s="33">
        <f>IF(MID(E183,3,1)*1=3,$AC$71,$AB$71)</f>
        <v>1</v>
      </c>
      <c r="AX183" s="31">
        <f>IF(MID(E183,5,1)*1=1,$AE$71,$AD$71)</f>
        <v>1.4</v>
      </c>
      <c r="AY183" s="33">
        <f>IF(MID(E183,5,1)*1=2,$AG$71,$AF$71)</f>
        <v>1</v>
      </c>
      <c r="AZ183" s="2"/>
      <c r="BA183" s="101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 ht="12" hidden="1" customHeight="1">
      <c r="A184" s="2"/>
      <c r="B184" s="107">
        <v>195</v>
      </c>
      <c r="C184" s="31">
        <v>10</v>
      </c>
      <c r="D184" s="106" t="s">
        <v>10</v>
      </c>
      <c r="E184" s="2" t="s">
        <v>162</v>
      </c>
      <c r="F184" s="2"/>
      <c r="G184" s="2" t="s">
        <v>185</v>
      </c>
      <c r="H184" s="33"/>
      <c r="I184" s="173">
        <f>M184/AE184</f>
        <v>1093.3091908379952</v>
      </c>
      <c r="J184" s="174">
        <f>AH184/AE184</f>
        <v>25.811482952392598</v>
      </c>
      <c r="K184" s="207">
        <f>RANK(I184,$I$76:$I$977)</f>
        <v>109</v>
      </c>
      <c r="L184" s="208">
        <f>RANK(I184,$I$76:$I$450)</f>
        <v>109</v>
      </c>
      <c r="M184" s="173">
        <f>SUM(N184:R184)</f>
        <v>17451.278853526706</v>
      </c>
      <c r="N184" s="174">
        <f>T184*(1+((AG184+IF(F184="백어택",8,0))/100)*((AI184/100-1)))</f>
        <v>17451.278853526706</v>
      </c>
      <c r="O184" s="174"/>
      <c r="P184" s="174"/>
      <c r="Q184" s="174"/>
      <c r="R184" s="175"/>
      <c r="S184" s="173">
        <f>SUM(T184:X184)</f>
        <v>9555.9834894464402</v>
      </c>
      <c r="T184" s="174">
        <f>AL184*AS184*AU184*AX184*IF(AY184=0,1,0.5)*IF(F184="백어택",1.2,1)</f>
        <v>9555.9834894464402</v>
      </c>
      <c r="U184" s="174"/>
      <c r="V184" s="174"/>
      <c r="W184" s="174"/>
      <c r="X184" s="175"/>
      <c r="Y184" s="173">
        <f>SUM(Z184:AD184)</f>
        <v>25668.403698869995</v>
      </c>
      <c r="Z184" s="174">
        <f>T184*AI184/100</f>
        <v>25668.403698869995</v>
      </c>
      <c r="AA184" s="174"/>
      <c r="AB184" s="174"/>
      <c r="AC184" s="174"/>
      <c r="AD184" s="175"/>
      <c r="AE184" s="173">
        <f>AO184*(1-$D$17/100)</f>
        <v>15.961888</v>
      </c>
      <c r="AF184" s="174">
        <f>AP184</f>
        <v>36</v>
      </c>
      <c r="AG184" s="174">
        <f>IF($D$57+AV184&gt;100,100,$D$57+AV184)</f>
        <v>49.001300000000001</v>
      </c>
      <c r="AH184" s="174">
        <f>AQ184</f>
        <v>412</v>
      </c>
      <c r="AI184" s="174">
        <f>$D$58+$D$19</f>
        <v>268.61079999999998</v>
      </c>
      <c r="AJ184" s="174">
        <f>10*AR184/(7-IF(AX184=1,0,3))</f>
        <v>1.4285714285714286</v>
      </c>
      <c r="AK184" s="174">
        <f>SUM(AL184:AN184)</f>
        <v>8098.2910927512203</v>
      </c>
      <c r="AL184" s="174">
        <f>(VLOOKUP(C184,$B$36:$AG$39,13,FALSE)+VLOOKUP(C184,$B$40:$AG$43,13,FALSE)*$D$54)*$D$59/100</f>
        <v>8098.2910927512203</v>
      </c>
      <c r="AM184" s="174"/>
      <c r="AN184" s="174"/>
      <c r="AO184" s="176">
        <v>16</v>
      </c>
      <c r="AP184" s="174">
        <v>36</v>
      </c>
      <c r="AQ184" s="175">
        <f>VLOOKUP(C184,$B$45:$AA$48,13,FALSE)</f>
        <v>412</v>
      </c>
      <c r="AR184" s="31">
        <f>IF(LEFT(E184,1)*1=1,$S$60,$R$60)</f>
        <v>1</v>
      </c>
      <c r="AS184" s="2">
        <f>IF(LEFT(E184,1)*1=2,$U$60,$T$60)</f>
        <v>1.18</v>
      </c>
      <c r="AT184" s="33">
        <f>IF(LEFT(E184,1)*1=3,$W$60,$V$60)</f>
        <v>0</v>
      </c>
      <c r="AU184" s="31">
        <f>IF(MID(E184,3,1)*1=1,$Y$60,$X$60)</f>
        <v>1</v>
      </c>
      <c r="AV184" s="2">
        <f>IF(MID(E184,3,1)*1=2,$AA$60,$Z$60)</f>
        <v>30</v>
      </c>
      <c r="AW184" s="33">
        <f>IF(MID(E184,3,1)*1=3,$AC$60,$AB$60)</f>
        <v>0</v>
      </c>
      <c r="AX184" s="31">
        <f>IF(MID(E184,5,1)*1=1,$AE$60,$AD$60)</f>
        <v>1</v>
      </c>
      <c r="AY184" s="33">
        <f>IF(MID(E184,5,1)*1=2,$AG$60,$AF$60)</f>
        <v>0</v>
      </c>
      <c r="AZ184" s="2"/>
      <c r="BA184" s="101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 ht="12" customHeight="1">
      <c r="A185" s="2"/>
      <c r="B185" s="107">
        <v>734</v>
      </c>
      <c r="C185" s="31">
        <v>10</v>
      </c>
      <c r="D185" s="111" t="s">
        <v>21</v>
      </c>
      <c r="E185" s="2" t="s">
        <v>164</v>
      </c>
      <c r="F185" s="2"/>
      <c r="G185" s="2"/>
      <c r="H185" s="33"/>
      <c r="I185" s="173">
        <f>M185/AE185</f>
        <v>1086.5979850381536</v>
      </c>
      <c r="J185" s="174">
        <f>AH185/AE185</f>
        <v>30.238644768832497</v>
      </c>
      <c r="K185" s="207">
        <f>RANK(I185,$I$76:$I$977)</f>
        <v>110</v>
      </c>
      <c r="L185" s="208" t="e">
        <f>RANK(I185,$I$451:$I$866)</f>
        <v>#N/A</v>
      </c>
      <c r="M185" s="173">
        <f>SUM(N185:R185)</f>
        <v>23608.692837514034</v>
      </c>
      <c r="N185" s="174">
        <f>T185*(1+((AG185+IF(F185="백어택",8,0))/100)*(AI185/100-1))</f>
        <v>16526.084986259822</v>
      </c>
      <c r="O185" s="174"/>
      <c r="P185" s="174"/>
      <c r="Q185" s="174"/>
      <c r="R185" s="175">
        <f>X185*(1+(AG185/100)*(AI185/100-1))</f>
        <v>7082.6078512542108</v>
      </c>
      <c r="S185" s="173">
        <f>SUM(T185:X185)</f>
        <v>19839.020949782931</v>
      </c>
      <c r="T185" s="174">
        <f>AL185*AW185*AX185*AY185*IF(F185="백어택",1.2,1)</f>
        <v>13887.314664848051</v>
      </c>
      <c r="U185" s="174"/>
      <c r="V185" s="174"/>
      <c r="W185" s="174"/>
      <c r="X185" s="175">
        <f>AL185*AS185+IF(AX185=1,AL185*AU185,AL185*AU185*2)</f>
        <v>5951.7062849348795</v>
      </c>
      <c r="Y185" s="173">
        <f>SUM(Z185:AD185)</f>
        <v>39678.041899565862</v>
      </c>
      <c r="Z185" s="174">
        <f>T185*$D$58/100</f>
        <v>27774.629329696101</v>
      </c>
      <c r="AA185" s="174"/>
      <c r="AB185" s="174"/>
      <c r="AC185" s="174"/>
      <c r="AD185" s="175">
        <f>X185*$D$58/100</f>
        <v>11903.412569869759</v>
      </c>
      <c r="AE185" s="173">
        <f>AO185*(1-$D$20/100)*(1-$D$17/100)-AR185</f>
        <v>21.727164197424003</v>
      </c>
      <c r="AF185" s="174">
        <f>AP185</f>
        <v>36</v>
      </c>
      <c r="AG185" s="174">
        <f>IF($D$57&gt;100,100,$D$57)</f>
        <v>19.001300000000001</v>
      </c>
      <c r="AH185" s="174">
        <f>AQ185</f>
        <v>657</v>
      </c>
      <c r="AI185" s="174">
        <f>$D$58</f>
        <v>200</v>
      </c>
      <c r="AJ185" s="174">
        <f>10/6</f>
        <v>1.6666666666666667</v>
      </c>
      <c r="AK185" s="174">
        <f>SUM(AL185:AN185)</f>
        <v>9919.5104748914655</v>
      </c>
      <c r="AL185" s="174">
        <f>(VLOOKUP(C185,$B$36:$AG$39,31,FALSE)+VLOOKUP(C185,$B$40:$AG$43,31,FALSE)*$D$54)*$D$59/100</f>
        <v>9919.5104748914655</v>
      </c>
      <c r="AM185" s="174"/>
      <c r="AN185" s="174"/>
      <c r="AO185" s="176">
        <v>36</v>
      </c>
      <c r="AP185" s="174">
        <v>36</v>
      </c>
      <c r="AQ185" s="175">
        <f>VLOOKUP(C185,$B$45:$AG$48,31,FALSE)</f>
        <v>657</v>
      </c>
      <c r="AR185" s="31">
        <f>IF(LEFT(E185,1)*1=1,$S$71,$R$71)</f>
        <v>6</v>
      </c>
      <c r="AS185" s="2">
        <f>IF(LEFT(E185,1)*1=2,$U$71,$T$71)</f>
        <v>0</v>
      </c>
      <c r="AT185" s="33">
        <f>IF(LEFT(E185,1)*1=3,$W$71,$V$71)</f>
        <v>0</v>
      </c>
      <c r="AU185" s="31">
        <f>IF(MID(E185,3,1)*1=1,$Y$71,$X$71)</f>
        <v>0.3</v>
      </c>
      <c r="AV185" s="2">
        <f>IF(MID(E185,3,1)*1=2,$AA$71,$Z$71)</f>
        <v>0</v>
      </c>
      <c r="AW185" s="33">
        <f>IF(MID(E185,3,1)*1=3,$AC$71,$AB$71)</f>
        <v>1</v>
      </c>
      <c r="AX185" s="31">
        <f>IF(MID(E185,5,1)*1=1,$AE$71,$AD$71)</f>
        <v>1.4</v>
      </c>
      <c r="AY185" s="33">
        <f>IF(MID(E185,5,1)*1=2,$AG$71,$AF$71)</f>
        <v>1</v>
      </c>
      <c r="AZ185" s="2"/>
      <c r="BA185" s="101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 ht="12" customHeight="1">
      <c r="A186" s="2"/>
      <c r="B186" s="107">
        <v>777</v>
      </c>
      <c r="C186" s="31">
        <v>10</v>
      </c>
      <c r="D186" s="111" t="s">
        <v>21</v>
      </c>
      <c r="E186" s="2" t="s">
        <v>170</v>
      </c>
      <c r="F186" s="2" t="s">
        <v>149</v>
      </c>
      <c r="G186" s="2"/>
      <c r="H186" s="33"/>
      <c r="I186" s="173">
        <f>M186/AE186</f>
        <v>1085.2229578216602</v>
      </c>
      <c r="J186" s="174">
        <f>AH186/AE186</f>
        <v>23.695174714659018</v>
      </c>
      <c r="K186" s="207">
        <f>RANK(I186,$I$76:$I$977)</f>
        <v>111</v>
      </c>
      <c r="L186" s="208" t="e">
        <f>RANK(I186,$I$451:$I$866)</f>
        <v>#N/A</v>
      </c>
      <c r="M186" s="173">
        <f>SUM(N186:R186)</f>
        <v>30090.155142335316</v>
      </c>
      <c r="N186" s="174">
        <f>T186*(1+((AG186+IF(F186="백어택",8,0))/100)*(AI186/100-1))</f>
        <v>24187.981932956805</v>
      </c>
      <c r="O186" s="174"/>
      <c r="P186" s="174"/>
      <c r="Q186" s="174"/>
      <c r="R186" s="175">
        <f>X186*(1+(AG186/100)*(AI186/100-1))</f>
        <v>5902.1732093785085</v>
      </c>
      <c r="S186" s="173">
        <f>SUM(T186:X186)</f>
        <v>24005.215349237347</v>
      </c>
      <c r="T186" s="174">
        <f>AL186*AW186*AX186*AY186*IF(F186="백어택",1.2,1)</f>
        <v>19045.460111791614</v>
      </c>
      <c r="U186" s="174"/>
      <c r="V186" s="174"/>
      <c r="W186" s="174"/>
      <c r="X186" s="175">
        <f>AL186*AS186+IF(AX186=1,AL186*AU186,AL186*AU186*2)</f>
        <v>4959.7552374457327</v>
      </c>
      <c r="Y186" s="173">
        <f>SUM(Z186:AD186)</f>
        <v>48010.430698474695</v>
      </c>
      <c r="Z186" s="174">
        <f>T186*$D$58/100</f>
        <v>38090.920223583227</v>
      </c>
      <c r="AA186" s="174"/>
      <c r="AB186" s="174"/>
      <c r="AC186" s="174"/>
      <c r="AD186" s="175">
        <f>X186*$D$58/100</f>
        <v>9919.5104748914655</v>
      </c>
      <c r="AE186" s="173">
        <f>AO186*(1-$D$20/100)*(1-$D$17/100)-AR186</f>
        <v>27.727164197424003</v>
      </c>
      <c r="AF186" s="174">
        <f>AP186</f>
        <v>36</v>
      </c>
      <c r="AG186" s="174">
        <f>IF($D$57&gt;100,100,$D$57)</f>
        <v>19.001300000000001</v>
      </c>
      <c r="AH186" s="174">
        <f>AQ186</f>
        <v>657</v>
      </c>
      <c r="AI186" s="174">
        <f>$D$58</f>
        <v>200</v>
      </c>
      <c r="AJ186" s="174">
        <f>10/6</f>
        <v>1.6666666666666667</v>
      </c>
      <c r="AK186" s="174">
        <f>SUM(AL186:AN186)</f>
        <v>9919.5104748914655</v>
      </c>
      <c r="AL186" s="174">
        <f>(VLOOKUP(C186,$B$36:$AG$39,31,FALSE)+VLOOKUP(C186,$B$40:$AG$43,31,FALSE)*$D$54)*$D$59/100</f>
        <v>9919.5104748914655</v>
      </c>
      <c r="AM186" s="174"/>
      <c r="AN186" s="174"/>
      <c r="AO186" s="176">
        <v>36</v>
      </c>
      <c r="AP186" s="174">
        <v>36</v>
      </c>
      <c r="AQ186" s="175">
        <f>VLOOKUP(C186,$B$45:$AG$48,31,FALSE)</f>
        <v>657</v>
      </c>
      <c r="AR186" s="31">
        <f>IF(LEFT(E186,1)*1=1,$S$71,$R$71)</f>
        <v>0</v>
      </c>
      <c r="AS186" s="2">
        <f>IF(LEFT(E186,1)*1=2,$U$71,$T$71)</f>
        <v>0.2</v>
      </c>
      <c r="AT186" s="33">
        <f>IF(LEFT(E186,1)*1=3,$W$71,$V$71)</f>
        <v>0</v>
      </c>
      <c r="AU186" s="31">
        <f>IF(MID(E186,3,1)*1=1,$Y$71,$X$71)</f>
        <v>0.3</v>
      </c>
      <c r="AV186" s="2">
        <f>IF(MID(E186,3,1)*1=2,$AA$71,$Z$71)</f>
        <v>0</v>
      </c>
      <c r="AW186" s="33">
        <f>IF(MID(E186,3,1)*1=3,$AC$71,$AB$71)</f>
        <v>1</v>
      </c>
      <c r="AX186" s="31">
        <f>IF(MID(E186,5,1)*1=1,$AE$71,$AD$71)</f>
        <v>1</v>
      </c>
      <c r="AY186" s="33">
        <f>IF(MID(E186,5,1)*1=2,$AG$71,$AF$71)</f>
        <v>1.6</v>
      </c>
      <c r="AZ186" s="2"/>
      <c r="BA186" s="101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 ht="12" customHeight="1">
      <c r="A187" s="2"/>
      <c r="B187" s="107">
        <v>78</v>
      </c>
      <c r="C187" s="31">
        <v>10</v>
      </c>
      <c r="D187" s="106" t="s">
        <v>5</v>
      </c>
      <c r="E187" s="2" t="s">
        <v>98</v>
      </c>
      <c r="F187" s="2"/>
      <c r="G187" s="2"/>
      <c r="H187" s="33">
        <v>9</v>
      </c>
      <c r="I187" s="173">
        <f>M187/AE187</f>
        <v>1079.2943076386593</v>
      </c>
      <c r="J187" s="174">
        <f>AH187/AE187</f>
        <v>34.707673678702669</v>
      </c>
      <c r="K187" s="207">
        <f>RANK(I187,$I$76:$I$977)</f>
        <v>112</v>
      </c>
      <c r="L187" s="208">
        <f>RANK(I187,$I$76:$I$450)</f>
        <v>112</v>
      </c>
      <c r="M187" s="173">
        <f>SUM(N187:R187)</f>
        <v>8613.7874287829127</v>
      </c>
      <c r="N187" s="174">
        <f>T187*(1+((AG187+IF(F187="백어택",8,0))/100)*((AI187/100-1)))</f>
        <v>8613.7874287829127</v>
      </c>
      <c r="O187" s="174"/>
      <c r="P187" s="174"/>
      <c r="Q187" s="174"/>
      <c r="R187" s="175"/>
      <c r="S187" s="173">
        <f>SUM(T187:X187)</f>
        <v>6523.7064442261453</v>
      </c>
      <c r="T187" s="174">
        <f>AL187*AU187*AW187*AX187*AY187</f>
        <v>6523.7064442261453</v>
      </c>
      <c r="U187" s="174"/>
      <c r="V187" s="174"/>
      <c r="W187" s="174"/>
      <c r="X187" s="175"/>
      <c r="Y187" s="173">
        <f>SUM(Z187:AD187)</f>
        <v>13047.412888452289</v>
      </c>
      <c r="Z187" s="174">
        <f>T187*$D$58/100</f>
        <v>13047.412888452289</v>
      </c>
      <c r="AA187" s="174"/>
      <c r="AB187" s="174"/>
      <c r="AC187" s="174"/>
      <c r="AD187" s="175"/>
      <c r="AE187" s="173">
        <f>AO187*(1-$D$17/100)</f>
        <v>7.980944</v>
      </c>
      <c r="AF187" s="174">
        <f>AP187</f>
        <v>36</v>
      </c>
      <c r="AG187" s="174">
        <f>IF($D$57&gt;100,100,$D$57)</f>
        <v>19.001300000000001</v>
      </c>
      <c r="AH187" s="174">
        <f>AQ187</f>
        <v>277</v>
      </c>
      <c r="AI187" s="174">
        <f>$D$58+$D$19</f>
        <v>268.61079999999998</v>
      </c>
      <c r="AJ187" s="174">
        <f>1*AS187</f>
        <v>1</v>
      </c>
      <c r="AK187" s="174">
        <f>SUM(AL187:AN187)</f>
        <v>2240.2838063963413</v>
      </c>
      <c r="AL187" s="174">
        <f>(H187*(VLOOKUP(C187,$B$36:$AG$39,6,FALSE)+VLOOKUP(C187,$B$40:$AG$43,6,FALSE)*$D$54))*$D$59/100</f>
        <v>2240.2838063963413</v>
      </c>
      <c r="AM187" s="174"/>
      <c r="AN187" s="174"/>
      <c r="AO187" s="176">
        <v>8</v>
      </c>
      <c r="AP187" s="174">
        <v>36</v>
      </c>
      <c r="AQ187" s="175">
        <f>VLOOKUP(C187,$B$45:$AA$48,6,FALSE)</f>
        <v>277</v>
      </c>
      <c r="AR187" s="31">
        <f>IF(LEFT(E187,1)*1=1,$S$55,$R$55)</f>
        <v>0</v>
      </c>
      <c r="AS187" s="2">
        <f>IF(LEFT(E187,1)*1=2,$U$55,$T$55)</f>
        <v>1</v>
      </c>
      <c r="AT187" s="33">
        <f>IF(LEFT(E187,1)*1=3,$W$55,$V$55)</f>
        <v>0</v>
      </c>
      <c r="AU187" s="31">
        <f>IF(MID(E187,3,1)*1=1,$Y$55,$X$55)</f>
        <v>1</v>
      </c>
      <c r="AV187" s="2">
        <f>IF(MID(E187,3,1)*1=2,$AA$55,$Z$55)</f>
        <v>0</v>
      </c>
      <c r="AW187" s="60">
        <f>IF(MID(E187,3,1)*1=3,$AC$55,$AB$55)</f>
        <v>1.2133333333333334</v>
      </c>
      <c r="AX187" s="31">
        <f>IF(MID(E187,5,1)*1=1,$AE$55,$AD$55)</f>
        <v>1</v>
      </c>
      <c r="AY187" s="33">
        <f>IF(MID(E187,5,1)*1=2,$AG$55,$AF$55)</f>
        <v>2.4</v>
      </c>
      <c r="AZ187" s="2"/>
      <c r="BA187" s="101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 ht="12" customHeight="1">
      <c r="A188" s="2"/>
      <c r="B188" s="107">
        <v>84</v>
      </c>
      <c r="C188" s="31">
        <v>10</v>
      </c>
      <c r="D188" s="106" t="s">
        <v>5</v>
      </c>
      <c r="E188" s="2" t="s">
        <v>108</v>
      </c>
      <c r="F188" s="2"/>
      <c r="G188" s="2"/>
      <c r="H188" s="33">
        <v>9</v>
      </c>
      <c r="I188" s="173">
        <f>M188/AE188</f>
        <v>1079.2943076386593</v>
      </c>
      <c r="J188" s="174">
        <f>AH188/AE188</f>
        <v>34.707673678702669</v>
      </c>
      <c r="K188" s="207">
        <f>RANK(I188,$I$76:$I$977)</f>
        <v>112</v>
      </c>
      <c r="L188" s="208">
        <f>RANK(I188,$I$76:$I$450)</f>
        <v>112</v>
      </c>
      <c r="M188" s="173">
        <f>SUM(N188:R188)</f>
        <v>8613.7874287829127</v>
      </c>
      <c r="N188" s="174">
        <f>T188*(1+((AG188+IF(F188="백어택",8,0))/100)*((AI188/100-1)))</f>
        <v>8613.7874287829127</v>
      </c>
      <c r="O188" s="174"/>
      <c r="P188" s="174"/>
      <c r="Q188" s="174"/>
      <c r="R188" s="175"/>
      <c r="S188" s="173">
        <f>SUM(T188:X188)</f>
        <v>6523.7064442261453</v>
      </c>
      <c r="T188" s="174">
        <f>AL188*AU188*AW188*AX188*AY188</f>
        <v>6523.7064442261453</v>
      </c>
      <c r="U188" s="174"/>
      <c r="V188" s="174"/>
      <c r="W188" s="174"/>
      <c r="X188" s="175"/>
      <c r="Y188" s="173">
        <f>SUM(Z188:AD188)</f>
        <v>13047.412888452289</v>
      </c>
      <c r="Z188" s="174">
        <f>T188*$D$58/100</f>
        <v>13047.412888452289</v>
      </c>
      <c r="AA188" s="174"/>
      <c r="AB188" s="174"/>
      <c r="AC188" s="174"/>
      <c r="AD188" s="175"/>
      <c r="AE188" s="173">
        <f>AO188*(1-$D$17/100)</f>
        <v>7.980944</v>
      </c>
      <c r="AF188" s="174">
        <f>AP188</f>
        <v>36</v>
      </c>
      <c r="AG188" s="174">
        <f>IF($D$57&gt;100,100,$D$57)</f>
        <v>19.001300000000001</v>
      </c>
      <c r="AH188" s="174">
        <f>AQ188</f>
        <v>277</v>
      </c>
      <c r="AI188" s="174">
        <f>$D$58+$D$19</f>
        <v>268.61079999999998</v>
      </c>
      <c r="AJ188" s="174">
        <f>1*AS188</f>
        <v>0.8</v>
      </c>
      <c r="AK188" s="174">
        <f>SUM(AL188:AN188)</f>
        <v>2240.2838063963413</v>
      </c>
      <c r="AL188" s="174">
        <f>(H188*(VLOOKUP(C188,$B$36:$AG$39,6,FALSE)+VLOOKUP(C188,$B$40:$AG$43,6,FALSE)*$D$54))*$D$59/100</f>
        <v>2240.2838063963413</v>
      </c>
      <c r="AM188" s="174"/>
      <c r="AN188" s="174"/>
      <c r="AO188" s="176">
        <v>8</v>
      </c>
      <c r="AP188" s="174">
        <v>36</v>
      </c>
      <c r="AQ188" s="175">
        <f>VLOOKUP(C188,$B$45:$AA$48,6,FALSE)</f>
        <v>277</v>
      </c>
      <c r="AR188" s="31">
        <f>IF(LEFT(E188,1)*1=1,$S$55,$R$55)</f>
        <v>0</v>
      </c>
      <c r="AS188" s="2">
        <f>IF(LEFT(E188,1)*1=2,$U$55,$T$55)</f>
        <v>0.8</v>
      </c>
      <c r="AT188" s="33">
        <f>IF(LEFT(E188,1)*1=3,$W$55,$V$55)</f>
        <v>0</v>
      </c>
      <c r="AU188" s="31">
        <f>IF(MID(E188,3,1)*1=1,$Y$55,$X$55)</f>
        <v>1</v>
      </c>
      <c r="AV188" s="2">
        <f>IF(MID(E188,3,1)*1=2,$AA$55,$Z$55)</f>
        <v>0</v>
      </c>
      <c r="AW188" s="60">
        <f>IF(MID(E188,3,1)*1=3,$AC$55,$AB$55)</f>
        <v>1.2133333333333334</v>
      </c>
      <c r="AX188" s="31">
        <f>IF(MID(E188,5,1)*1=1,$AE$55,$AD$55)</f>
        <v>1</v>
      </c>
      <c r="AY188" s="33">
        <f>IF(MID(E188,5,1)*1=2,$AG$55,$AF$55)</f>
        <v>2.4</v>
      </c>
      <c r="AZ188" s="2"/>
      <c r="BA188" s="101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 ht="12" customHeight="1">
      <c r="A189" s="2"/>
      <c r="B189" s="107">
        <v>380</v>
      </c>
      <c r="C189" s="31">
        <v>10</v>
      </c>
      <c r="D189" s="111" t="s">
        <v>8</v>
      </c>
      <c r="E189" s="2" t="s">
        <v>164</v>
      </c>
      <c r="F189" s="2"/>
      <c r="G189" s="2"/>
      <c r="H189" s="33" t="s">
        <v>81</v>
      </c>
      <c r="I189" s="173">
        <f>M189/AE189</f>
        <v>1064.2688059994719</v>
      </c>
      <c r="J189" s="174">
        <f>AH189/AE189</f>
        <v>39.459498714320297</v>
      </c>
      <c r="K189" s="207">
        <f>RANK(I189,$I$76:$I$977)</f>
        <v>114</v>
      </c>
      <c r="L189" s="208" t="e">
        <f>RANK(I189,$I$451:$I$866)</f>
        <v>#N/A</v>
      </c>
      <c r="M189" s="173">
        <f>SUM(N189:R189)</f>
        <v>19672.770622762495</v>
      </c>
      <c r="N189" s="174">
        <f>T189*(1+((AG189+IF(F189="백어택",8,0))/100)*(IF(AY189=1,$D$58,$D$58+50)/100-1))</f>
        <v>5537.6957479568136</v>
      </c>
      <c r="O189" s="174">
        <f>U189*(1+((AG189+IF(F189="백어택",8,0))/100)*(AI189/100-1))</f>
        <v>7067.5374374028397</v>
      </c>
      <c r="P189" s="174">
        <f>V189*(1+((AG189+IF(F189="백어택",8,0))/100)*(AI189/100-1))</f>
        <v>7067.5374374028397</v>
      </c>
      <c r="Q189" s="174"/>
      <c r="R189" s="175"/>
      <c r="S189" s="173">
        <f>SUM(T189:X189)</f>
        <v>13661.522932614145</v>
      </c>
      <c r="T189" s="174">
        <f>AL189*IF(H189="근접",AR189,1)*AY189*IF(F189="백어택",1.2,1)</f>
        <v>3845.5873300843905</v>
      </c>
      <c r="U189" s="174">
        <f>AM189*IF(H189="근접",AR189,1)*AY189*IF(F189="백어택",1.2,1)</f>
        <v>4907.9678012648774</v>
      </c>
      <c r="V189" s="174">
        <f>IF(AX189=1,0,AM189*IF(H189="근접",AR189,1)*AY189)*IF(F189="백어택",1.2,1)</f>
        <v>4907.9678012648774</v>
      </c>
      <c r="W189" s="174"/>
      <c r="X189" s="175"/>
      <c r="Y189" s="173">
        <f>SUM(Z189:AD189)</f>
        <v>27323.04586522829</v>
      </c>
      <c r="Z189" s="174">
        <f>T189*IF(AY189=1,$D$58,$D$58+50)/100</f>
        <v>7691.174660168781</v>
      </c>
      <c r="AA189" s="174">
        <f>U189*AI189/100</f>
        <v>9815.9356025297548</v>
      </c>
      <c r="AB189" s="174">
        <f>V189*AI189/100</f>
        <v>9815.9356025297548</v>
      </c>
      <c r="AC189" s="174"/>
      <c r="AD189" s="175"/>
      <c r="AE189" s="173">
        <f>AO189*(1-$D$20/100)*(1-$D$17/100)</f>
        <v>18.484776131615998</v>
      </c>
      <c r="AF189" s="174">
        <f>AP189</f>
        <v>36</v>
      </c>
      <c r="AG189" s="174">
        <f>IF($D$57+AU189&gt;100,100,$D$57+AU189)</f>
        <v>44.001300000000001</v>
      </c>
      <c r="AH189" s="174">
        <f>IF(AX189=1,AQ189,AQ189*1.4)</f>
        <v>729.4</v>
      </c>
      <c r="AI189" s="174">
        <f>IF(AY189=1,$D$58,$D$58+50)*AW189</f>
        <v>200</v>
      </c>
      <c r="AJ189" s="174">
        <f>10/6/AX189</f>
        <v>1.1111111111111112</v>
      </c>
      <c r="AK189" s="174">
        <f>SUM(AL189:AN189)</f>
        <v>7294.6292761243903</v>
      </c>
      <c r="AL189" s="174">
        <f>(IF(H189="근접",$D$61*(VLOOKUP(C189,$B$36:$AG$39,9,FALSE)+VLOOKUP(C189,$B$40:$AG$43,9,FALSE)*$D$54),$D$60*(VLOOKUP(C189,$B$36:$AG$39,9,FALSE)+VLOOKUP(C189,$B$40:$AG$43,9,FALSE)*$D$54)))*$D$59/100</f>
        <v>3204.6561084036589</v>
      </c>
      <c r="AM189" s="174">
        <f>(IF(H189="근접",$D$61*(VLOOKUP(C189,$B$36:$AG$39,10,FALSE)+VLOOKUP(C189,$B$40:$AG$43,10,FALSE)*$D$54),$D$60*(VLOOKUP(C189,$B$36:$AG$39,10,FALSE)+VLOOKUP(C189,$B$40:$AG$43,10,FALSE)*$D$54)))*$D$59/100</f>
        <v>4089.9731677207315</v>
      </c>
      <c r="AN189" s="174"/>
      <c r="AO189" s="176">
        <v>24</v>
      </c>
      <c r="AP189" s="174">
        <v>36</v>
      </c>
      <c r="AQ189" s="175">
        <f>VLOOKUP(C189,$B$45:$AA$48,9,FALSE)</f>
        <v>521</v>
      </c>
      <c r="AR189" s="31">
        <f>IF(LEFT(E189,1)*1=1,$S$58,$R$58)</f>
        <v>1.2</v>
      </c>
      <c r="AS189" s="2">
        <f>IF(LEFT(E189,1)*1=2,$U$58,$T$58)</f>
        <v>0</v>
      </c>
      <c r="AT189" s="33">
        <f>IF(LEFT(E189,1)*1=3,$W$58,$V$58)</f>
        <v>0</v>
      </c>
      <c r="AU189" s="31">
        <f>IF(MID(E189,3,1)*1=1,$Y$58,$X$58)</f>
        <v>25</v>
      </c>
      <c r="AV189" s="2">
        <f>IF(MID(E189,3,1)*1=2,$AA$58,$Z$58)</f>
        <v>0</v>
      </c>
      <c r="AW189" s="33">
        <f>IF(MID(E189,3,1)*1=3,$AC$58,$AB$58)</f>
        <v>1</v>
      </c>
      <c r="AX189" s="31">
        <f>IF(MID(E189,5,1)*1=1,$AE$58,$AD$58)</f>
        <v>1.5</v>
      </c>
      <c r="AY189" s="33">
        <f>IF(MID(E189,5,1)*1=2,$AG$58,$AF$58)</f>
        <v>1</v>
      </c>
      <c r="AZ189" s="2"/>
      <c r="BA189" s="101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 ht="12" customHeight="1">
      <c r="A190" s="2"/>
      <c r="B190" s="107">
        <v>95</v>
      </c>
      <c r="C190" s="31">
        <v>10</v>
      </c>
      <c r="D190" s="106" t="s">
        <v>6</v>
      </c>
      <c r="E190" s="2" t="s">
        <v>140</v>
      </c>
      <c r="F190" s="2"/>
      <c r="G190" s="2" t="s">
        <v>183</v>
      </c>
      <c r="H190" s="33"/>
      <c r="I190" s="173">
        <f>M190/AE190</f>
        <v>1061.3271973832916</v>
      </c>
      <c r="J190" s="174">
        <f>AH190/AE190</f>
        <v>23.505991271208018</v>
      </c>
      <c r="K190" s="207">
        <f>RANK(I190,$I$76:$I$977)</f>
        <v>115</v>
      </c>
      <c r="L190" s="208">
        <f>RANK(I190,$I$76:$I$450)</f>
        <v>115</v>
      </c>
      <c r="M190" s="173">
        <f>SUM(N190:R190)</f>
        <v>21175.98231998249</v>
      </c>
      <c r="N190" s="174">
        <f>T190*(1+((AG190+IF(F190="백어택",8,0))/100)*((AI190/100-1)))</f>
        <v>21175.98231998249</v>
      </c>
      <c r="O190" s="174"/>
      <c r="P190" s="174"/>
      <c r="Q190" s="174"/>
      <c r="R190" s="175"/>
      <c r="S190" s="173">
        <f>SUM(T190:X190)</f>
        <v>9080.4259717287823</v>
      </c>
      <c r="T190" s="174">
        <f>AL190*AW190*AT190*AX190*AY190</f>
        <v>9080.4259717287823</v>
      </c>
      <c r="U190" s="174"/>
      <c r="V190" s="174"/>
      <c r="W190" s="174"/>
      <c r="X190" s="175"/>
      <c r="Y190" s="173">
        <f>SUM(Z190:AD190)</f>
        <v>18160.851943457565</v>
      </c>
      <c r="Z190" s="174">
        <f>T190*$D$58/100</f>
        <v>18160.851943457565</v>
      </c>
      <c r="AA190" s="174"/>
      <c r="AB190" s="174"/>
      <c r="AC190" s="174"/>
      <c r="AD190" s="175"/>
      <c r="AE190" s="173">
        <f>AO190*(1-$D$17/100)</f>
        <v>19.952359999999999</v>
      </c>
      <c r="AF190" s="174">
        <f>AP190</f>
        <v>36</v>
      </c>
      <c r="AG190" s="174">
        <f>IF($D$57+AV190&gt;100,100,$D$57+AV190)</f>
        <v>79.001300000000001</v>
      </c>
      <c r="AH190" s="174">
        <f>AQ190*AR190</f>
        <v>469</v>
      </c>
      <c r="AI190" s="174">
        <f>$D$58+$D$19</f>
        <v>268.61079999999998</v>
      </c>
      <c r="AJ190" s="174">
        <f>10/IF(AX190=1,IF(AY190=1,5,6),4)</f>
        <v>2.5</v>
      </c>
      <c r="AK190" s="174">
        <f>SUM(AL190:AN190)</f>
        <v>5675.2662323304885</v>
      </c>
      <c r="AL190" s="174">
        <f>(VLOOKUP(C190,$B$36:$AG$39,7,FALSE)+VLOOKUP(C190,$B$40:$AG$43,7,FALSE)*$D$54)*$D$59/100</f>
        <v>5675.2662323304885</v>
      </c>
      <c r="AM190" s="174"/>
      <c r="AN190" s="174"/>
      <c r="AO190" s="176">
        <v>20</v>
      </c>
      <c r="AP190" s="174">
        <v>36</v>
      </c>
      <c r="AQ190" s="175">
        <f>VLOOKUP(C190,$B$45:$AA$48,7,FALSE)</f>
        <v>469</v>
      </c>
      <c r="AR190" s="31">
        <f>IF(LEFT(E190,1)*1=1,$S$56,$R$56)</f>
        <v>1</v>
      </c>
      <c r="AS190" s="2">
        <f>IF(LEFT(E190,1)*1=2,$U$56,$T$56)</f>
        <v>0</v>
      </c>
      <c r="AT190" s="33">
        <f>IF(LEFT(E190,1)*1=3,$W$56,$V$56)</f>
        <v>1</v>
      </c>
      <c r="AU190" s="31">
        <f>IF(MID(E190,3,1)*1=1,$Y$56,$X$56)</f>
        <v>0</v>
      </c>
      <c r="AV190" s="2">
        <f>IF(MID(E190,3,1)*1=2,$AA$56,$Z$56)</f>
        <v>60</v>
      </c>
      <c r="AW190" s="33">
        <f>IF(MID(E190,3,1)*1=3,$AC$56,$AB$56)</f>
        <v>1</v>
      </c>
      <c r="AX190" s="31">
        <f>IF(MID(E190,5,1)*1=1,$AE$56,$AD$56)</f>
        <v>1.6</v>
      </c>
      <c r="AY190" s="33">
        <f>IF(MID(E190,5,1)*1=2,$AG$56,$AF$56)</f>
        <v>1</v>
      </c>
      <c r="AZ190" s="2"/>
      <c r="BA190" s="101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 ht="12" customHeight="1">
      <c r="A191" s="2"/>
      <c r="B191" s="107">
        <v>98</v>
      </c>
      <c r="C191" s="31">
        <v>10</v>
      </c>
      <c r="D191" s="106" t="s">
        <v>6</v>
      </c>
      <c r="E191" s="2" t="s">
        <v>153</v>
      </c>
      <c r="F191" s="2"/>
      <c r="G191" s="2" t="s">
        <v>183</v>
      </c>
      <c r="H191" s="33"/>
      <c r="I191" s="173">
        <f>M191/AE191</f>
        <v>1061.3271973832916</v>
      </c>
      <c r="J191" s="174">
        <f>AH191/AE191</f>
        <v>11.752995635604009</v>
      </c>
      <c r="K191" s="207">
        <f>RANK(I191,$I$76:$I$977)</f>
        <v>115</v>
      </c>
      <c r="L191" s="208">
        <f>RANK(I191,$I$76:$I$450)</f>
        <v>115</v>
      </c>
      <c r="M191" s="173">
        <f>SUM(N191:R191)</f>
        <v>21175.98231998249</v>
      </c>
      <c r="N191" s="174">
        <f>T191*(1+((AG191+IF(F191="백어택",8,0))/100)*((AI191/100-1)))</f>
        <v>21175.98231998249</v>
      </c>
      <c r="O191" s="174"/>
      <c r="P191" s="174"/>
      <c r="Q191" s="174"/>
      <c r="R191" s="175"/>
      <c r="S191" s="173">
        <f>SUM(T191:X191)</f>
        <v>9080.4259717287823</v>
      </c>
      <c r="T191" s="174">
        <f>AL191*AW191*AT191*AX191*AY191</f>
        <v>9080.4259717287823</v>
      </c>
      <c r="U191" s="174"/>
      <c r="V191" s="174"/>
      <c r="W191" s="174"/>
      <c r="X191" s="175"/>
      <c r="Y191" s="173">
        <f>SUM(Z191:AD191)</f>
        <v>18160.851943457565</v>
      </c>
      <c r="Z191" s="174">
        <f>T191*$D$58/100</f>
        <v>18160.851943457565</v>
      </c>
      <c r="AA191" s="174"/>
      <c r="AB191" s="174"/>
      <c r="AC191" s="174"/>
      <c r="AD191" s="175"/>
      <c r="AE191" s="173">
        <f>AO191*(1-$D$17/100)</f>
        <v>19.952359999999999</v>
      </c>
      <c r="AF191" s="174">
        <f>AP191</f>
        <v>36</v>
      </c>
      <c r="AG191" s="174">
        <f>IF($D$57+AV191&gt;100,100,$D$57+AV191)</f>
        <v>79.001300000000001</v>
      </c>
      <c r="AH191" s="174">
        <f>AQ191*AR191</f>
        <v>234.5</v>
      </c>
      <c r="AI191" s="174">
        <f>$D$58+$D$19</f>
        <v>268.61079999999998</v>
      </c>
      <c r="AJ191" s="174">
        <f>10/IF(AX191=1,IF(AY191=1,5,6),4)</f>
        <v>2.5</v>
      </c>
      <c r="AK191" s="174">
        <f>SUM(AL191:AN191)</f>
        <v>5675.2662323304885</v>
      </c>
      <c r="AL191" s="174">
        <f>(VLOOKUP(C191,$B$36:$AG$39,7,FALSE)+VLOOKUP(C191,$B$40:$AG$43,7,FALSE)*$D$54)*$D$59/100</f>
        <v>5675.2662323304885</v>
      </c>
      <c r="AM191" s="174"/>
      <c r="AN191" s="174"/>
      <c r="AO191" s="176">
        <v>20</v>
      </c>
      <c r="AP191" s="174">
        <v>36</v>
      </c>
      <c r="AQ191" s="175">
        <f>VLOOKUP(C191,$B$45:$AA$48,7,FALSE)</f>
        <v>469</v>
      </c>
      <c r="AR191" s="31">
        <f>IF(LEFT(E191,1)*1=1,$S$56,$R$56)</f>
        <v>0.5</v>
      </c>
      <c r="AS191" s="2">
        <f>IF(LEFT(E191,1)*1=2,$U$56,$T$56)</f>
        <v>0</v>
      </c>
      <c r="AT191" s="33">
        <f>IF(LEFT(E191,1)*1=3,$W$56,$V$56)</f>
        <v>1</v>
      </c>
      <c r="AU191" s="31">
        <f>IF(MID(E191,3,1)*1=1,$Y$56,$X$56)</f>
        <v>0</v>
      </c>
      <c r="AV191" s="2">
        <f>IF(MID(E191,3,1)*1=2,$AA$56,$Z$56)</f>
        <v>60</v>
      </c>
      <c r="AW191" s="33">
        <f>IF(MID(E191,3,1)*1=3,$AC$56,$AB$56)</f>
        <v>1</v>
      </c>
      <c r="AX191" s="31">
        <f>IF(MID(E191,5,1)*1=1,$AE$56,$AD$56)</f>
        <v>1.6</v>
      </c>
      <c r="AY191" s="33">
        <f>IF(MID(E191,5,1)*1=2,$AG$56,$AF$56)</f>
        <v>1</v>
      </c>
      <c r="AZ191" s="2"/>
      <c r="BA191" s="101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 ht="12" customHeight="1">
      <c r="A192" s="2"/>
      <c r="B192" s="107">
        <v>175</v>
      </c>
      <c r="C192" s="31">
        <v>7</v>
      </c>
      <c r="D192" s="106" t="s">
        <v>10</v>
      </c>
      <c r="E192" s="2" t="s">
        <v>136</v>
      </c>
      <c r="F192" s="2" t="s">
        <v>149</v>
      </c>
      <c r="G192" s="2"/>
      <c r="H192" s="33"/>
      <c r="I192" s="173">
        <f>M192/AE192</f>
        <v>1060.3479432678757</v>
      </c>
      <c r="J192" s="174">
        <f>AH192/AE192</f>
        <v>17.980329144021059</v>
      </c>
      <c r="K192" s="207">
        <f>RANK(I192,$I$76:$I$977)</f>
        <v>117</v>
      </c>
      <c r="L192" s="208">
        <f>RANK(I192,$I$76:$I$450)</f>
        <v>117</v>
      </c>
      <c r="M192" s="173">
        <f>SUM(N192:R192)</f>
        <v>16925.155111472188</v>
      </c>
      <c r="N192" s="174">
        <f>T192*(1+((AG192+IF(F192="백어택",8,0))/100)*((AI192/100-1)))</f>
        <v>16925.155111472188</v>
      </c>
      <c r="O192" s="174"/>
      <c r="P192" s="174"/>
      <c r="Q192" s="174"/>
      <c r="R192" s="175"/>
      <c r="S192" s="173">
        <f>SUM(T192:X192)</f>
        <v>11630.242194054877</v>
      </c>
      <c r="T192" s="174">
        <f>AL192*AS192*AU192*AX192*IF(AY192=0,1,0.5)*IF(F192="백어택",1.2,1)</f>
        <v>11630.242194054877</v>
      </c>
      <c r="U192" s="174"/>
      <c r="V192" s="174"/>
      <c r="W192" s="174"/>
      <c r="X192" s="175"/>
      <c r="Y192" s="173">
        <f>SUM(Z192:AD192)</f>
        <v>31240.086599388356</v>
      </c>
      <c r="Z192" s="174">
        <f>T192*AI192/100</f>
        <v>31240.086599388356</v>
      </c>
      <c r="AA192" s="174"/>
      <c r="AB192" s="174"/>
      <c r="AC192" s="174"/>
      <c r="AD192" s="175"/>
      <c r="AE192" s="173">
        <f>AO192*(1-$D$17/100)</f>
        <v>15.961888</v>
      </c>
      <c r="AF192" s="174">
        <f>AP192</f>
        <v>36</v>
      </c>
      <c r="AG192" s="174">
        <f>IF($D$57+AV192&gt;100,100,$D$57+AV192)</f>
        <v>19.001300000000001</v>
      </c>
      <c r="AH192" s="174">
        <f>AQ192</f>
        <v>287</v>
      </c>
      <c r="AI192" s="174">
        <f>$D$58+$D$19</f>
        <v>268.61079999999998</v>
      </c>
      <c r="AJ192" s="174">
        <f>10*AR192/(7-IF(AX192=1,0,3))</f>
        <v>1.4285714285714286</v>
      </c>
      <c r="AK192" s="174">
        <f>SUM(AL192:AN192)</f>
        <v>7753.4947960365853</v>
      </c>
      <c r="AL192" s="174">
        <f>(VLOOKUP(C192,$B$36:$AG$39,13,FALSE)+VLOOKUP(C192,$B$40:$AG$43,13,FALSE)*$D$54)*$D$59/100</f>
        <v>7753.4947960365853</v>
      </c>
      <c r="AM192" s="174"/>
      <c r="AN192" s="174"/>
      <c r="AO192" s="176">
        <v>16</v>
      </c>
      <c r="AP192" s="174">
        <v>36</v>
      </c>
      <c r="AQ192" s="175">
        <f>VLOOKUP(C192,$B$45:$AA$48,13,FALSE)</f>
        <v>287</v>
      </c>
      <c r="AR192" s="31">
        <f>IF(LEFT(E192,1)*1=1,$S$60,$R$60)</f>
        <v>1</v>
      </c>
      <c r="AS192" s="2">
        <f>IF(LEFT(E192,1)*1=2,$U$60,$T$60)</f>
        <v>1</v>
      </c>
      <c r="AT192" s="33">
        <f>IF(LEFT(E192,1)*1=3,$W$60,$V$60)</f>
        <v>0</v>
      </c>
      <c r="AU192" s="31">
        <f>IF(MID(E192,3,1)*1=1,$Y$60,$X$60)</f>
        <v>1.25</v>
      </c>
      <c r="AV192" s="2">
        <f>IF(MID(E192,3,1)*1=2,$AA$60,$Z$60)</f>
        <v>0</v>
      </c>
      <c r="AW192" s="33">
        <f>IF(MID(E192,3,1)*1=3,$AC$60,$AB$60)</f>
        <v>0</v>
      </c>
      <c r="AX192" s="31">
        <f>IF(MID(E192,5,1)*1=1,$AE$60,$AD$60)</f>
        <v>1</v>
      </c>
      <c r="AY192" s="33">
        <f>IF(MID(E192,5,1)*1=2,$AG$60,$AF$60)</f>
        <v>0</v>
      </c>
      <c r="AZ192" s="2"/>
      <c r="BA192" s="101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 ht="12" customHeight="1">
      <c r="A193" s="2"/>
      <c r="B193" s="107">
        <v>178</v>
      </c>
      <c r="C193" s="31">
        <v>7</v>
      </c>
      <c r="D193" s="106" t="s">
        <v>10</v>
      </c>
      <c r="E193" s="2" t="s">
        <v>163</v>
      </c>
      <c r="F193" s="2" t="s">
        <v>149</v>
      </c>
      <c r="G193" s="2"/>
      <c r="H193" s="33"/>
      <c r="I193" s="173">
        <f>M193/AE193</f>
        <v>1060.3479432678757</v>
      </c>
      <c r="J193" s="174">
        <f>AH193/AE193</f>
        <v>17.980329144021059</v>
      </c>
      <c r="K193" s="207">
        <f>RANK(I193,$I$76:$I$977)</f>
        <v>117</v>
      </c>
      <c r="L193" s="208">
        <f>RANK(I193,$I$76:$I$450)</f>
        <v>117</v>
      </c>
      <c r="M193" s="173">
        <f>SUM(N193:R193)</f>
        <v>16925.155111472188</v>
      </c>
      <c r="N193" s="174">
        <f>T193*(1+((AG193+IF(F193="백어택",8,0))/100)*((AI193/100-1)))</f>
        <v>16925.155111472188</v>
      </c>
      <c r="O193" s="174"/>
      <c r="P193" s="174"/>
      <c r="Q193" s="174"/>
      <c r="R193" s="175"/>
      <c r="S193" s="173">
        <f>SUM(T193:X193)</f>
        <v>11630.242194054877</v>
      </c>
      <c r="T193" s="174">
        <f>AL193*AS193*AU193*AX193*IF(AY193=0,1,0.5)*IF(F193="백어택",1.2,1)</f>
        <v>11630.242194054877</v>
      </c>
      <c r="U193" s="174"/>
      <c r="V193" s="174"/>
      <c r="W193" s="174"/>
      <c r="X193" s="175"/>
      <c r="Y193" s="173">
        <f>SUM(Z193:AD193)</f>
        <v>31240.086599388356</v>
      </c>
      <c r="Z193" s="174">
        <f>T193*AI193/100</f>
        <v>31240.086599388356</v>
      </c>
      <c r="AA193" s="174"/>
      <c r="AB193" s="174"/>
      <c r="AC193" s="174"/>
      <c r="AD193" s="175"/>
      <c r="AE193" s="173">
        <f>AO193*(1-$D$17/100)</f>
        <v>15.961888</v>
      </c>
      <c r="AF193" s="174">
        <f>AP193</f>
        <v>36</v>
      </c>
      <c r="AG193" s="174">
        <f>IF($D$57+AV193&gt;100,100,$D$57+AV193)</f>
        <v>19.001300000000001</v>
      </c>
      <c r="AH193" s="174">
        <f>AQ193</f>
        <v>287</v>
      </c>
      <c r="AI193" s="174">
        <f>$D$58+$D$19</f>
        <v>268.61079999999998</v>
      </c>
      <c r="AJ193" s="174">
        <f>10*AR193/(7-IF(AX193=1,0,3))</f>
        <v>1.2142857142857142</v>
      </c>
      <c r="AK193" s="174">
        <f>SUM(AL193:AN193)</f>
        <v>7753.4947960365853</v>
      </c>
      <c r="AL193" s="174">
        <f>(VLOOKUP(C193,$B$36:$AG$39,13,FALSE)+VLOOKUP(C193,$B$40:$AG$43,13,FALSE)*$D$54)*$D$59/100</f>
        <v>7753.4947960365853</v>
      </c>
      <c r="AM193" s="174"/>
      <c r="AN193" s="174"/>
      <c r="AO193" s="176">
        <v>16</v>
      </c>
      <c r="AP193" s="174">
        <v>36</v>
      </c>
      <c r="AQ193" s="175">
        <f>VLOOKUP(C193,$B$45:$AA$48,13,FALSE)</f>
        <v>287</v>
      </c>
      <c r="AR193" s="31">
        <f>IF(LEFT(E193,1)*1=1,$S$60,$R$60)</f>
        <v>0.85</v>
      </c>
      <c r="AS193" s="2">
        <f>IF(LEFT(E193,1)*1=2,$U$60,$T$60)</f>
        <v>1</v>
      </c>
      <c r="AT193" s="33">
        <f>IF(LEFT(E193,1)*1=3,$W$60,$V$60)</f>
        <v>0</v>
      </c>
      <c r="AU193" s="31">
        <f>IF(MID(E193,3,1)*1=1,$Y$60,$X$60)</f>
        <v>1.25</v>
      </c>
      <c r="AV193" s="2">
        <f>IF(MID(E193,3,1)*1=2,$AA$60,$Z$60)</f>
        <v>0</v>
      </c>
      <c r="AW193" s="33">
        <f>IF(MID(E193,3,1)*1=3,$AC$60,$AB$60)</f>
        <v>0</v>
      </c>
      <c r="AX193" s="31">
        <f>IF(MID(E193,5,1)*1=1,$AE$60,$AD$60)</f>
        <v>1</v>
      </c>
      <c r="AY193" s="33">
        <f>IF(MID(E193,5,1)*1=2,$AG$60,$AF$60)</f>
        <v>0</v>
      </c>
      <c r="AZ193" s="2"/>
      <c r="BA193" s="101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 ht="12" customHeight="1">
      <c r="A194" s="2"/>
      <c r="B194" s="107">
        <v>618</v>
      </c>
      <c r="C194" s="31">
        <v>10</v>
      </c>
      <c r="D194" s="111" t="s">
        <v>18</v>
      </c>
      <c r="E194" s="2" t="s">
        <v>170</v>
      </c>
      <c r="F194" s="2"/>
      <c r="G194" s="2"/>
      <c r="H194" s="33" t="s">
        <v>81</v>
      </c>
      <c r="I194" s="173">
        <f>M194/AE194</f>
        <v>1058.7543354000613</v>
      </c>
      <c r="J194" s="174">
        <f>AH194/AE194</f>
        <v>28.185356224514496</v>
      </c>
      <c r="K194" s="207">
        <f>RANK(I194,$I$76:$I$977)</f>
        <v>119</v>
      </c>
      <c r="L194" s="208" t="e">
        <f>RANK(I194,$I$451:$I$866)</f>
        <v>#N/A</v>
      </c>
      <c r="M194" s="173">
        <f>SUM(N194:R194)</f>
        <v>19570.836868248014</v>
      </c>
      <c r="N194" s="174">
        <f>T194*(1+((AG194+IF(F194="백어택",8,0))/100)*(AI194/100-1))</f>
        <v>7782.1212578604318</v>
      </c>
      <c r="O194" s="174">
        <f>U194*(1+(($D$57+IF(F194="백어택",8,0))/100)*(AI194/100-1))</f>
        <v>11788.715610387582</v>
      </c>
      <c r="P194" s="174"/>
      <c r="Q194" s="174"/>
      <c r="R194" s="175"/>
      <c r="S194" s="173">
        <f>SUM(T194:X194)</f>
        <v>14800.751353836586</v>
      </c>
      <c r="T194" s="174">
        <f>AL194*IF(H194="근접",AT194,IF(AV194=1,AT194,1))*AX194*IF(F194="백어택",1.2,1)</f>
        <v>4894.3758685371959</v>
      </c>
      <c r="U194" s="174">
        <f>IF(AX194=1,AM194*IF(H194="근접",AT194,IF(AV194=1,AT194,1)),0)*AY194*IF(AX194=1,1,0)*IF(F194="백어택",1.2,1)</f>
        <v>9906.3754852993898</v>
      </c>
      <c r="V194" s="174"/>
      <c r="W194" s="174"/>
      <c r="X194" s="175"/>
      <c r="Y194" s="173">
        <f>SUM(Z194:AD194)</f>
        <v>29601.502707673171</v>
      </c>
      <c r="Z194" s="174">
        <f>T194*$D$58/100</f>
        <v>9788.7517370743917</v>
      </c>
      <c r="AA194" s="174">
        <f>U194*$D$58/100</f>
        <v>19812.75097059878</v>
      </c>
      <c r="AB194" s="174"/>
      <c r="AC194" s="174"/>
      <c r="AD194" s="175"/>
      <c r="AE194" s="173">
        <f>(AO194*(1-$D$20/100)*(1-$D$17/100)-AR194)*IF(AW194="보스대상",1,POWER(0.85,AW194))</f>
        <v>18.484776131615998</v>
      </c>
      <c r="AF194" s="174">
        <f>AP194</f>
        <v>36</v>
      </c>
      <c r="AG194" s="174">
        <f>IF($D$57+AU194&gt;100,100,$D$57+AU194)</f>
        <v>59.001300000000001</v>
      </c>
      <c r="AH194" s="174">
        <f>AQ194</f>
        <v>521</v>
      </c>
      <c r="AI194" s="174">
        <f>$D$58</f>
        <v>200</v>
      </c>
      <c r="AJ194" s="174">
        <f>10*AS194/IF(AX194=1,IF(AY194=1,4.5,4),4)</f>
        <v>2</v>
      </c>
      <c r="AK194" s="174">
        <f>SUM(AL194:AN194)</f>
        <v>8196.5010303036597</v>
      </c>
      <c r="AL194" s="174">
        <f>IF(AV194=1,$D$61*(VLOOKUP(C194,$B$36:$AG$39,25,FALSE)+VLOOKUP(C194,$B$40:$AG$43,25,FALSE)*$D$54),(IF(H194="근접",$D$61*(VLOOKUP(C194,$B$36:$AG$39,25,FALSE)+VLOOKUP(C194,$B$40:$AG$43,25,FALSE)*$D$54),$D$60*(VLOOKUP(C194,$B$36:$AG$39,25,FALSE)+VLOOKUP(C194,$B$40:$AG$43,25,FALSE)*$D$54))))*$D$59/100</f>
        <v>4894.3758685371959</v>
      </c>
      <c r="AM194" s="174">
        <f>(IF(AV194=1,$D$61*(VLOOKUP(C194,$B$36:$AG$39,26,FALSE)+VLOOKUP(C194,$B$40:$AG$43,26,FALSE)*$D$54),IF(H194="근접",$D$61*(VLOOKUP(C194,$B$36:$AG$39,26,FALSE)+VLOOKUP(C194,$B$40:$AG$43,26,FALSE)*$D$54),$D$60*(VLOOKUP(C194,$B$36:$AG$39,26,FALSE)+VLOOKUP(C194,$B$40:$AG$43,26,FALSE)*$D$54))))*$D$59/100</f>
        <v>3302.1251617664634</v>
      </c>
      <c r="AN194" s="174"/>
      <c r="AO194" s="176">
        <v>24</v>
      </c>
      <c r="AP194" s="174">
        <v>36</v>
      </c>
      <c r="AQ194" s="175">
        <f>VLOOKUP(C194,$B$45:$AA$48,25,FALSE)</f>
        <v>521</v>
      </c>
      <c r="AR194" s="31">
        <f>IF(LEFT(E194,1)*1=1,$S$68,$R$68)</f>
        <v>0</v>
      </c>
      <c r="AS194" s="2">
        <f>IF(LEFT(E194,1)*1=2,$U$68,$T$68)</f>
        <v>0.8</v>
      </c>
      <c r="AT194" s="33">
        <f>IF(LEFT(E194,1)*1=3,$W$68,$V$68)</f>
        <v>1</v>
      </c>
      <c r="AU194" s="31">
        <f>IF(MID(E194,3,1)*1=1,$Y$68,$X$68)</f>
        <v>40</v>
      </c>
      <c r="AV194" s="2">
        <f>IF(MID(E194,3,1)*1=2,$AA$68,$Z$68)</f>
        <v>0</v>
      </c>
      <c r="AW194" s="33" t="str">
        <f>IF(MID(E194,3,1)*1=3,$AC$68,$AB$68)</f>
        <v>보스대상</v>
      </c>
      <c r="AX194" s="31">
        <f>IF(MID(E194,5,1)*1=1,$AE$68,$AD$68)</f>
        <v>1</v>
      </c>
      <c r="AY194" s="33">
        <f>IF(MID(E194,5,1)*1=2,$AG$68,$AF$68)</f>
        <v>3</v>
      </c>
      <c r="AZ194" s="2"/>
      <c r="BA194" s="101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 ht="12" customHeight="1">
      <c r="A195" s="2"/>
      <c r="B195" s="107">
        <v>613</v>
      </c>
      <c r="C195" s="31">
        <v>10</v>
      </c>
      <c r="D195" s="111" t="s">
        <v>18</v>
      </c>
      <c r="E195" s="2" t="s">
        <v>159</v>
      </c>
      <c r="F195" s="2"/>
      <c r="G195" s="2"/>
      <c r="H195" s="33" t="s">
        <v>81</v>
      </c>
      <c r="I195" s="173">
        <f>M195/AE195</f>
        <v>1058.702908802077</v>
      </c>
      <c r="J195" s="174">
        <f>AH195/AE195</f>
        <v>28.185356224514496</v>
      </c>
      <c r="K195" s="207">
        <f>RANK(I195,$I$76:$I$977)</f>
        <v>120</v>
      </c>
      <c r="L195" s="208" t="e">
        <f>RANK(I195,$I$451:$I$866)</f>
        <v>#N/A</v>
      </c>
      <c r="M195" s="173">
        <f>SUM(N195:R195)</f>
        <v>19569.88625909706</v>
      </c>
      <c r="N195" s="174">
        <f>T195*(1+((AG195+IF(F195="백어택",8,0))/100)*(AI195/100-1))</f>
        <v>19569.88625909706</v>
      </c>
      <c r="O195" s="174">
        <f>U195*(1+(($D$57+IF(F195="백어택",8,0))/100)*(AI195/100-1))</f>
        <v>0</v>
      </c>
      <c r="P195" s="174"/>
      <c r="Q195" s="174"/>
      <c r="R195" s="175"/>
      <c r="S195" s="173">
        <f>SUM(T195:X195)</f>
        <v>16445.102918284978</v>
      </c>
      <c r="T195" s="174">
        <f>AL195*IF(H195="근접",AT195,IF(AV195=1,AT195,1))*AX195*IF(F195="백어택",1.2,1)</f>
        <v>16445.102918284978</v>
      </c>
      <c r="U195" s="174">
        <f>IF(AX195=1,AM195*IF(H195="근접",AT195,IF(AV195=1,AT195,1)),0)*AY195*IF(AX195=1,1,0)*IF(F195="백어택",1.2,1)</f>
        <v>0</v>
      </c>
      <c r="V195" s="174"/>
      <c r="W195" s="174"/>
      <c r="X195" s="175"/>
      <c r="Y195" s="173">
        <f>SUM(Z195:AD195)</f>
        <v>32890.205836569956</v>
      </c>
      <c r="Z195" s="174">
        <f>T195*$D$58/100</f>
        <v>32890.205836569956</v>
      </c>
      <c r="AA195" s="174">
        <f>U195*$D$58/100</f>
        <v>0</v>
      </c>
      <c r="AB195" s="174"/>
      <c r="AC195" s="174"/>
      <c r="AD195" s="175"/>
      <c r="AE195" s="173">
        <f>(AO195*(1-$D$20/100)*(1-$D$17/100)-AR195)*IF(AW195="보스대상",1,POWER(0.85,AW195))</f>
        <v>18.484776131615998</v>
      </c>
      <c r="AF195" s="174">
        <f>AP195</f>
        <v>36</v>
      </c>
      <c r="AG195" s="174">
        <f>IF($D$57+AU195&gt;100,100,$D$57+AU195)</f>
        <v>19.001300000000001</v>
      </c>
      <c r="AH195" s="174">
        <f>AQ195</f>
        <v>521</v>
      </c>
      <c r="AI195" s="174">
        <f>$D$58</f>
        <v>200</v>
      </c>
      <c r="AJ195" s="174">
        <f>10*AS195/IF(AX195=1,IF(AY195=1,4.5,4),4)</f>
        <v>2.5</v>
      </c>
      <c r="AK195" s="174">
        <f>SUM(AL195:AN195)</f>
        <v>8196.5010303036597</v>
      </c>
      <c r="AL195" s="174">
        <f>IF(AV195=1,$D$61*(VLOOKUP(C195,$B$36:$AG$39,25,FALSE)+VLOOKUP(C195,$B$40:$AG$43,25,FALSE)*$D$54),(IF(H195="근접",$D$61*(VLOOKUP(C195,$B$36:$AG$39,25,FALSE)+VLOOKUP(C195,$B$40:$AG$43,25,FALSE)*$D$54),$D$60*(VLOOKUP(C195,$B$36:$AG$39,25,FALSE)+VLOOKUP(C195,$B$40:$AG$43,25,FALSE)*$D$54))))*$D$59/100</f>
        <v>4894.3758685371959</v>
      </c>
      <c r="AM195" s="174">
        <f>(IF(AV195=1,$D$61*(VLOOKUP(C195,$B$36:$AG$39,26,FALSE)+VLOOKUP(C195,$B$40:$AG$43,26,FALSE)*$D$54),IF(H195="근접",$D$61*(VLOOKUP(C195,$B$36:$AG$39,26,FALSE)+VLOOKUP(C195,$B$40:$AG$43,26,FALSE)*$D$54),$D$60*(VLOOKUP(C195,$B$36:$AG$39,26,FALSE)+VLOOKUP(C195,$B$40:$AG$43,26,FALSE)*$D$54))))*$D$59/100</f>
        <v>3302.1251617664634</v>
      </c>
      <c r="AN195" s="174"/>
      <c r="AO195" s="176">
        <v>24</v>
      </c>
      <c r="AP195" s="174">
        <v>36</v>
      </c>
      <c r="AQ195" s="175">
        <f>VLOOKUP(C195,$B$45:$AA$48,25,FALSE)</f>
        <v>521</v>
      </c>
      <c r="AR195" s="31">
        <f>IF(LEFT(E195,1)*1=1,$S$68,$R$68)</f>
        <v>0</v>
      </c>
      <c r="AS195" s="2">
        <f>IF(LEFT(E195,1)*1=2,$U$68,$T$68)</f>
        <v>1</v>
      </c>
      <c r="AT195" s="33">
        <f>IF(LEFT(E195,1)*1=3,$W$68,$V$68)</f>
        <v>1.2</v>
      </c>
      <c r="AU195" s="31">
        <f>IF(MID(E195,3,1)*1=1,$Y$68,$X$68)</f>
        <v>0</v>
      </c>
      <c r="AV195" s="2">
        <f>IF(MID(E195,3,1)*1=2,$AA$68,$Z$68)</f>
        <v>1</v>
      </c>
      <c r="AW195" s="33" t="str">
        <f>IF(MID(E195,3,1)*1=3,$AC$68,$AB$68)</f>
        <v>보스대상</v>
      </c>
      <c r="AX195" s="31">
        <f>IF(MID(E195,5,1)*1=1,$AE$68,$AD$68)</f>
        <v>2.8</v>
      </c>
      <c r="AY195" s="33">
        <f>IF(MID(E195,5,1)*1=2,$AG$68,$AF$68)</f>
        <v>1</v>
      </c>
      <c r="AZ195" s="2"/>
      <c r="BA195" s="101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 ht="12" customHeight="1">
      <c r="A196" s="2"/>
      <c r="B196" s="107">
        <v>644</v>
      </c>
      <c r="C196" s="31">
        <v>10</v>
      </c>
      <c r="D196" s="111" t="s">
        <v>18</v>
      </c>
      <c r="E196" s="2" t="s">
        <v>159</v>
      </c>
      <c r="F196" s="2"/>
      <c r="G196" s="2"/>
      <c r="H196" s="33" t="s">
        <v>80</v>
      </c>
      <c r="I196" s="173">
        <f>M196/AE196</f>
        <v>1058.702908802077</v>
      </c>
      <c r="J196" s="174">
        <f>AH196/AE196</f>
        <v>28.185356224514496</v>
      </c>
      <c r="K196" s="207">
        <f>RANK(I196,$I$76:$I$977)</f>
        <v>120</v>
      </c>
      <c r="L196" s="208" t="e">
        <f>RANK(I196,$I$451:$I$866)</f>
        <v>#N/A</v>
      </c>
      <c r="M196" s="173">
        <f>SUM(N196:R196)</f>
        <v>19569.88625909706</v>
      </c>
      <c r="N196" s="174">
        <f>T196*(1+((AG196+IF(F196="백어택",8,0))/100)*(AI196/100-1))</f>
        <v>19569.88625909706</v>
      </c>
      <c r="O196" s="174">
        <f>U196*(1+(($D$57+IF(F196="백어택",8,0))/100)*(AI196/100-1))</f>
        <v>0</v>
      </c>
      <c r="P196" s="174"/>
      <c r="Q196" s="174"/>
      <c r="R196" s="175"/>
      <c r="S196" s="173">
        <f>SUM(T196:X196)</f>
        <v>16445.102918284978</v>
      </c>
      <c r="T196" s="174">
        <f>AL196*IF(H196="근접",AT196,IF(AV196=1,AT196,1))*AX196*IF(F196="백어택",1.2,1)</f>
        <v>16445.102918284978</v>
      </c>
      <c r="U196" s="174">
        <f>IF(AX196=1,AM196*IF(H196="근접",AT196,IF(AV196=1,AT196,1)),0)*AY196*IF(AX196=1,1,0)*IF(F196="백어택",1.2,1)</f>
        <v>0</v>
      </c>
      <c r="V196" s="174"/>
      <c r="W196" s="174"/>
      <c r="X196" s="175"/>
      <c r="Y196" s="173">
        <f>SUM(Z196:AD196)</f>
        <v>32890.205836569956</v>
      </c>
      <c r="Z196" s="174">
        <f>T196*$D$58/100</f>
        <v>32890.205836569956</v>
      </c>
      <c r="AA196" s="174">
        <f>U196*$D$58/100</f>
        <v>0</v>
      </c>
      <c r="AB196" s="174"/>
      <c r="AC196" s="174"/>
      <c r="AD196" s="175"/>
      <c r="AE196" s="173">
        <f>(AO196*(1-$D$20/100)*(1-$D$17/100)-AR196)*IF(AW196="보스대상",1,POWER(0.85,AW196))</f>
        <v>18.484776131615998</v>
      </c>
      <c r="AF196" s="174">
        <f>AP196</f>
        <v>36</v>
      </c>
      <c r="AG196" s="174">
        <f>IF($D$57+AU196&gt;100,100,$D$57+AU196)</f>
        <v>19.001300000000001</v>
      </c>
      <c r="AH196" s="174">
        <f>AQ196</f>
        <v>521</v>
      </c>
      <c r="AI196" s="174">
        <f>$D$58</f>
        <v>200</v>
      </c>
      <c r="AJ196" s="174">
        <f>10*AS196/IF(AX196=1,IF(AY196=1,4.5,4),4)</f>
        <v>2.5</v>
      </c>
      <c r="AK196" s="174">
        <f>SUM(AL196:AN196)</f>
        <v>8196.5010303036597</v>
      </c>
      <c r="AL196" s="174">
        <f>IF(AV196=1,$D$61*(VLOOKUP(C196,$B$36:$AG$39,25,FALSE)+VLOOKUP(C196,$B$40:$AG$43,25,FALSE)*$D$54),(IF(H196="근접",$D$61*(VLOOKUP(C196,$B$36:$AG$39,25,FALSE)+VLOOKUP(C196,$B$40:$AG$43,25,FALSE)*$D$54),$D$60*(VLOOKUP(C196,$B$36:$AG$39,25,FALSE)+VLOOKUP(C196,$B$40:$AG$43,25,FALSE)*$D$54))))*$D$59/100</f>
        <v>4894.3758685371959</v>
      </c>
      <c r="AM196" s="174">
        <f>(IF(AV196=1,$D$61*(VLOOKUP(C196,$B$36:$AG$39,26,FALSE)+VLOOKUP(C196,$B$40:$AG$43,26,FALSE)*$D$54),IF(H196="근접",$D$61*(VLOOKUP(C196,$B$36:$AG$39,26,FALSE)+VLOOKUP(C196,$B$40:$AG$43,26,FALSE)*$D$54),$D$60*(VLOOKUP(C196,$B$36:$AG$39,26,FALSE)+VLOOKUP(C196,$B$40:$AG$43,26,FALSE)*$D$54))))*$D$59/100</f>
        <v>3302.1251617664634</v>
      </c>
      <c r="AN196" s="174"/>
      <c r="AO196" s="176">
        <v>24</v>
      </c>
      <c r="AP196" s="174">
        <v>36</v>
      </c>
      <c r="AQ196" s="175">
        <f>VLOOKUP(C196,$B$45:$AA$48,25,FALSE)</f>
        <v>521</v>
      </c>
      <c r="AR196" s="31">
        <f>IF(LEFT(E196,1)*1=1,$S$68,$R$68)</f>
        <v>0</v>
      </c>
      <c r="AS196" s="2">
        <f>IF(LEFT(E196,1)*1=2,$U$68,$T$68)</f>
        <v>1</v>
      </c>
      <c r="AT196" s="33">
        <f>IF(LEFT(E196,1)*1=3,$W$68,$V$68)</f>
        <v>1.2</v>
      </c>
      <c r="AU196" s="31">
        <f>IF(MID(E196,3,1)*1=1,$Y$68,$X$68)</f>
        <v>0</v>
      </c>
      <c r="AV196" s="2">
        <f>IF(MID(E196,3,1)*1=2,$AA$68,$Z$68)</f>
        <v>1</v>
      </c>
      <c r="AW196" s="33" t="str">
        <f>IF(MID(E196,3,1)*1=3,$AC$68,$AB$68)</f>
        <v>보스대상</v>
      </c>
      <c r="AX196" s="31">
        <f>IF(MID(E196,5,1)*1=1,$AE$68,$AD$68)</f>
        <v>2.8</v>
      </c>
      <c r="AY196" s="33">
        <f>IF(MID(E196,5,1)*1=2,$AG$68,$AF$68)</f>
        <v>1</v>
      </c>
      <c r="AZ196" s="2"/>
      <c r="BA196" s="101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 ht="12" hidden="1" customHeight="1">
      <c r="A197" s="2"/>
      <c r="B197" s="107">
        <v>213</v>
      </c>
      <c r="C197" s="31">
        <v>7</v>
      </c>
      <c r="D197" s="106" t="s">
        <v>10</v>
      </c>
      <c r="E197" s="2" t="s">
        <v>101</v>
      </c>
      <c r="F197" s="2"/>
      <c r="G197" s="2" t="s">
        <v>184</v>
      </c>
      <c r="H197" s="33"/>
      <c r="I197" s="173">
        <f>M197/AE197</f>
        <v>1046.759992266652</v>
      </c>
      <c r="J197" s="174">
        <f>AH197/AE197</f>
        <v>17.980329144021059</v>
      </c>
      <c r="K197" s="207">
        <f>RANK(I197,$I$76:$I$977)</f>
        <v>122</v>
      </c>
      <c r="L197" s="208">
        <f>RANK(I197,$I$76:$I$450)</f>
        <v>122</v>
      </c>
      <c r="M197" s="173">
        <f>SUM(N197:R197)</f>
        <v>16708.265759441165</v>
      </c>
      <c r="N197" s="174">
        <f>T197*(1+((AG197+IF(F197="백어택",8,0))/100)*((AI197/100-1)))</f>
        <v>16708.265759441165</v>
      </c>
      <c r="O197" s="174"/>
      <c r="P197" s="174"/>
      <c r="Q197" s="174"/>
      <c r="R197" s="175"/>
      <c r="S197" s="173">
        <f>SUM(T197:X197)</f>
        <v>9149.1238593231701</v>
      </c>
      <c r="T197" s="174">
        <f>AL197*AS197*AU197*AX197*IF(AY197=0,1,0.5)*IF(F197="백어택",1.2,1)</f>
        <v>9149.1238593231701</v>
      </c>
      <c r="U197" s="174"/>
      <c r="V197" s="174"/>
      <c r="W197" s="174"/>
      <c r="X197" s="175"/>
      <c r="Y197" s="173">
        <f>SUM(Z197:AD197)</f>
        <v>24575.534791518839</v>
      </c>
      <c r="Z197" s="174">
        <f>T197*AI197/100</f>
        <v>24575.534791518839</v>
      </c>
      <c r="AA197" s="174"/>
      <c r="AB197" s="174"/>
      <c r="AC197" s="174"/>
      <c r="AD197" s="175"/>
      <c r="AE197" s="173">
        <f>AO197*(1-$D$17/100)</f>
        <v>15.961888</v>
      </c>
      <c r="AF197" s="174">
        <f>AP197</f>
        <v>36</v>
      </c>
      <c r="AG197" s="174">
        <f>IF($D$57+AV197&gt;100,100,$D$57+AV197)</f>
        <v>49.001300000000001</v>
      </c>
      <c r="AH197" s="174">
        <f>AQ197</f>
        <v>287</v>
      </c>
      <c r="AI197" s="174">
        <f>$D$58+$D$19</f>
        <v>268.61079999999998</v>
      </c>
      <c r="AJ197" s="174">
        <f>10*AR197/(7-IF(AX197=1,0,3))</f>
        <v>1.4285714285714286</v>
      </c>
      <c r="AK197" s="174">
        <f>SUM(AL197:AN197)</f>
        <v>7753.4947960365853</v>
      </c>
      <c r="AL197" s="174">
        <f>(VLOOKUP(C197,$B$36:$AG$39,13,FALSE)+VLOOKUP(C197,$B$40:$AG$43,13,FALSE)*$D$54)*$D$59/100</f>
        <v>7753.4947960365853</v>
      </c>
      <c r="AM197" s="174"/>
      <c r="AN197" s="174"/>
      <c r="AO197" s="176">
        <v>16</v>
      </c>
      <c r="AP197" s="174">
        <v>36</v>
      </c>
      <c r="AQ197" s="175">
        <f>VLOOKUP(C197,$B$45:$AA$48,13,FALSE)</f>
        <v>287</v>
      </c>
      <c r="AR197" s="31">
        <f>IF(LEFT(E197,1)*1=1,$S$60,$R$60)</f>
        <v>1</v>
      </c>
      <c r="AS197" s="2">
        <f>IF(LEFT(E197,1)*1=2,$U$60,$T$60)</f>
        <v>1.18</v>
      </c>
      <c r="AT197" s="33">
        <f>IF(LEFT(E197,1)*1=3,$W$60,$V$60)</f>
        <v>0</v>
      </c>
      <c r="AU197" s="31">
        <f>IF(MID(E197,3,1)*1=1,$Y$60,$X$60)</f>
        <v>1</v>
      </c>
      <c r="AV197" s="2">
        <f>IF(MID(E197,3,1)*1=2,$AA$60,$Z$60)</f>
        <v>30</v>
      </c>
      <c r="AW197" s="33">
        <f>IF(MID(E197,3,1)*1=3,$AC$60,$AB$60)</f>
        <v>0</v>
      </c>
      <c r="AX197" s="31">
        <f>IF(MID(E197,5,1)*1=1,$AE$60,$AD$60)</f>
        <v>1</v>
      </c>
      <c r="AY197" s="33">
        <f>IF(MID(E197,5,1)*1=2,$AG$60,$AF$60)</f>
        <v>0</v>
      </c>
      <c r="AZ197" s="2"/>
      <c r="BA197" s="101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 ht="12" hidden="1" customHeight="1">
      <c r="A198" s="2"/>
      <c r="B198" s="107">
        <v>162</v>
      </c>
      <c r="C198" s="31">
        <v>10</v>
      </c>
      <c r="D198" s="106" t="s">
        <v>10</v>
      </c>
      <c r="E198" s="2" t="s">
        <v>161</v>
      </c>
      <c r="F198" s="2" t="s">
        <v>149</v>
      </c>
      <c r="G198" s="2" t="s">
        <v>185</v>
      </c>
      <c r="H198" s="33"/>
      <c r="I198" s="173">
        <f>M198/AE198</f>
        <v>1045.481317056242</v>
      </c>
      <c r="J198" s="174">
        <f>AH198/AE198</f>
        <v>25.811482952392598</v>
      </c>
      <c r="K198" s="207">
        <f>RANK(I198,$I$76:$I$977)</f>
        <v>123</v>
      </c>
      <c r="L198" s="208">
        <f>RANK(I198,$I$76:$I$450)</f>
        <v>123</v>
      </c>
      <c r="M198" s="173">
        <f>SUM(N198:R198)</f>
        <v>16687.855688944226</v>
      </c>
      <c r="N198" s="174">
        <f>T198*(1+((AG198+IF(F198="백어택",8,0))/100)*((AI198/100-1)))</f>
        <v>16687.855688944226</v>
      </c>
      <c r="O198" s="174"/>
      <c r="P198" s="174"/>
      <c r="Q198" s="174"/>
      <c r="R198" s="175"/>
      <c r="S198" s="173">
        <f>SUM(T198:X198)</f>
        <v>11467.180187335727</v>
      </c>
      <c r="T198" s="174">
        <f>AL198*AS198*AU198*AX198*IF(AY198=0,1,0.5)*IF(F198="백어택",1.2,1)</f>
        <v>11467.180187335727</v>
      </c>
      <c r="U198" s="174"/>
      <c r="V198" s="174"/>
      <c r="W198" s="174"/>
      <c r="X198" s="175"/>
      <c r="Y198" s="173">
        <f>SUM(Z198:AD198)</f>
        <v>30802.084438643997</v>
      </c>
      <c r="Z198" s="174">
        <f>T198*AI198/100</f>
        <v>30802.084438643997</v>
      </c>
      <c r="AA198" s="174"/>
      <c r="AB198" s="174"/>
      <c r="AC198" s="174"/>
      <c r="AD198" s="175"/>
      <c r="AE198" s="173">
        <f>AO198*(1-$D$17/100)</f>
        <v>15.961888</v>
      </c>
      <c r="AF198" s="174">
        <f>AP198</f>
        <v>36</v>
      </c>
      <c r="AG198" s="174">
        <f>IF($D$57+AV198&gt;100,100,$D$57+AV198)</f>
        <v>19.001300000000001</v>
      </c>
      <c r="AH198" s="174">
        <f>AQ198</f>
        <v>412</v>
      </c>
      <c r="AI198" s="174">
        <f>$D$58+$D$19</f>
        <v>268.61079999999998</v>
      </c>
      <c r="AJ198" s="174">
        <f>10*AR198/(7-IF(AX198=1,0,3))</f>
        <v>1.4285714285714286</v>
      </c>
      <c r="AK198" s="174">
        <f>SUM(AL198:AN198)</f>
        <v>8098.2910927512203</v>
      </c>
      <c r="AL198" s="174">
        <f>(VLOOKUP(C198,$B$36:$AG$39,13,FALSE)+VLOOKUP(C198,$B$40:$AG$43,13,FALSE)*$D$54)*$D$59/100</f>
        <v>8098.2910927512203</v>
      </c>
      <c r="AM198" s="174"/>
      <c r="AN198" s="174"/>
      <c r="AO198" s="176">
        <v>16</v>
      </c>
      <c r="AP198" s="174">
        <v>36</v>
      </c>
      <c r="AQ198" s="175">
        <f>VLOOKUP(C198,$B$45:$AA$48,13,FALSE)</f>
        <v>412</v>
      </c>
      <c r="AR198" s="31">
        <f>IF(LEFT(E198,1)*1=1,$S$60,$R$60)</f>
        <v>1</v>
      </c>
      <c r="AS198" s="2">
        <f>IF(LEFT(E198,1)*1=2,$U$60,$T$60)</f>
        <v>1.18</v>
      </c>
      <c r="AT198" s="33">
        <f>IF(LEFT(E198,1)*1=3,$W$60,$V$60)</f>
        <v>0</v>
      </c>
      <c r="AU198" s="31">
        <f>IF(MID(E198,3,1)*1=1,$Y$60,$X$60)</f>
        <v>1</v>
      </c>
      <c r="AV198" s="2">
        <f>IF(MID(E198,3,1)*1=2,$AA$60,$Z$60)</f>
        <v>0</v>
      </c>
      <c r="AW198" s="33">
        <f>IF(MID(E198,3,1)*1=3,$AC$60,$AB$60)</f>
        <v>0</v>
      </c>
      <c r="AX198" s="31">
        <f>IF(MID(E198,5,1)*1=1,$AE$60,$AD$60)</f>
        <v>1</v>
      </c>
      <c r="AY198" s="33">
        <f>IF(MID(E198,5,1)*1=2,$AG$60,$AF$60)</f>
        <v>0</v>
      </c>
      <c r="AZ198" s="2"/>
      <c r="BA198" s="101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 ht="12" customHeight="1">
      <c r="A199" s="2"/>
      <c r="B199" s="107">
        <v>558</v>
      </c>
      <c r="C199" s="31">
        <v>10</v>
      </c>
      <c r="D199" s="111" t="s">
        <v>14</v>
      </c>
      <c r="E199" s="2" t="s">
        <v>157</v>
      </c>
      <c r="F199" s="2" t="s">
        <v>149</v>
      </c>
      <c r="G199" s="2"/>
      <c r="H199" s="33" t="s">
        <v>81</v>
      </c>
      <c r="I199" s="173">
        <f>M199/AE199</f>
        <v>1043.2519032898344</v>
      </c>
      <c r="J199" s="174">
        <f>AH199/AE199</f>
        <v>23.695174714659018</v>
      </c>
      <c r="K199" s="207">
        <f>RANK(I199,$I$76:$I$977)</f>
        <v>124</v>
      </c>
      <c r="L199" s="208" t="e">
        <f>RANK(I199,$I$451:$I$866)</f>
        <v>#N/A</v>
      </c>
      <c r="M199" s="173">
        <f>SUM(N199:R199)</f>
        <v>28926.416821792343</v>
      </c>
      <c r="N199" s="174">
        <f>T199*(1+((AG199+IF(F199="백어택",8,0))/100)*(AI199/100-1))</f>
        <v>8019.1197193847775</v>
      </c>
      <c r="O199" s="174">
        <f>U199*(1+((AG199+IF(F199="백어택",8,0))/100)*(AI199/100-1))</f>
        <v>8019.1197193847775</v>
      </c>
      <c r="P199" s="174">
        <f>V199*(1+((AG199+IF(F199="백어택",8,0))/100)*(AI199*IF(AX199=1,AW199,1)/100-1))</f>
        <v>12888.177383022788</v>
      </c>
      <c r="Q199" s="174">
        <f>W199*(1+((AG199+IF(F199="백어택",8,0))/100)*(AI199*AW199/100-1))</f>
        <v>0</v>
      </c>
      <c r="R199" s="175"/>
      <c r="S199" s="173">
        <f>SUM(T199:X199)</f>
        <v>17450.679239139514</v>
      </c>
      <c r="T199" s="174">
        <f>AL199*AY199*IF(F199="백어택",1.2,1)</f>
        <v>5207.1326843733659</v>
      </c>
      <c r="U199" s="174">
        <f>AM199*AY199*IF(F199="백어택",1.2,1)</f>
        <v>5207.1326843733659</v>
      </c>
      <c r="V199" s="174">
        <f>AN199*AY199*IF(F199="백어택",1.2,1)</f>
        <v>7036.4138703927802</v>
      </c>
      <c r="W199" s="174">
        <f>(T199+U199+V199)*IF(AX199=1,0,0.6)*IF(F199="백어택",1.2,1)</f>
        <v>0</v>
      </c>
      <c r="X199" s="175"/>
      <c r="Y199" s="173">
        <f>SUM(Z199:AD199)</f>
        <v>59951.364697442739</v>
      </c>
      <c r="Z199" s="174">
        <f>T199*AI199/100</f>
        <v>15621.398053120098</v>
      </c>
      <c r="AA199" s="174">
        <f>U199*AI199/100</f>
        <v>15621.398053120098</v>
      </c>
      <c r="AB199" s="174">
        <f>V199*AI199*IF(AX199=1,AW199,1)/100</f>
        <v>28708.568591202544</v>
      </c>
      <c r="AC199" s="174">
        <f>W199*AI199*AW199/100</f>
        <v>0</v>
      </c>
      <c r="AD199" s="175"/>
      <c r="AE199" s="173">
        <f>AO199*(1-$D$20/100)*(1-$D$17/100)</f>
        <v>27.727164197424003</v>
      </c>
      <c r="AF199" s="174">
        <f>AP199</f>
        <v>36</v>
      </c>
      <c r="AG199" s="174">
        <f>IF($D$57+AU199&gt;100,100,$D$57+AU199)</f>
        <v>19.001300000000001</v>
      </c>
      <c r="AH199" s="174">
        <f>AQ199*AS199</f>
        <v>657</v>
      </c>
      <c r="AI199" s="174">
        <f>$D$58+IF(H199="근접",AR199,0)+IF(AY199=1,0,50)</f>
        <v>300</v>
      </c>
      <c r="AJ199" s="174">
        <f>10/3</f>
        <v>3.3333333333333335</v>
      </c>
      <c r="AK199" s="174">
        <f>SUM(AL199:AN199)</f>
        <v>12118.527249402439</v>
      </c>
      <c r="AL199" s="174">
        <f>(IF(H199="근접",$D$61*(VLOOKUP(C199,$B$36:$AG$39,19,FALSE)+VLOOKUP(C199,$B$40:$AG$43,19,FALSE)*$D$54),$D$60*(VLOOKUP(C199,$B$36:$AG$39,19,FALSE)+VLOOKUP(C199,$B$40:$AG$43,19,FALSE)*$D$54)))*$D$59/100</f>
        <v>3616.0643641481706</v>
      </c>
      <c r="AM199" s="174">
        <f>(IF(H199="근접",$D$61*(VLOOKUP(C199,$B$36:$AG$39,20,FALSE)+VLOOKUP(C199,$B$40:$AG$43,20,FALSE)*$D$54),$D$60*(VLOOKUP(C199,$B$36:$AG$39,20,FALSE)+VLOOKUP(C199,$B$40:$AG$43,20,FALSE)*$D$54)))*$D$59/100</f>
        <v>3616.0643641481706</v>
      </c>
      <c r="AN199" s="174">
        <f>(IF(H199="근접",$D$61*(VLOOKUP(C199,$B$36:$AG$39,21,FALSE)+VLOOKUP(C199,$B$40:$AG$43,21,FALSE)*$D$54),$D$60*(VLOOKUP(C199,$B$36:$AG$39,21,FALSE)+VLOOKUP(C199,$B$40:$AG$43,21,FALSE)*$D$54)))*$D$59/100</f>
        <v>4886.3985211060972</v>
      </c>
      <c r="AO199" s="176">
        <v>36</v>
      </c>
      <c r="AP199" s="174">
        <v>36</v>
      </c>
      <c r="AQ199" s="175">
        <f>VLOOKUP(C199,$B$45:$AA$48,19,FALSE)</f>
        <v>657</v>
      </c>
      <c r="AR199" s="31">
        <f>IF(LEFT(E199,1)*1=1,$S$64,$R$64)</f>
        <v>50</v>
      </c>
      <c r="AS199" s="2">
        <f>IF(LEFT(E199,1)*1=2,$U$64,$T$64)</f>
        <v>1</v>
      </c>
      <c r="AT199" s="33">
        <f>IF(LEFT(E199,1)*1=3,$W$64,$V$64)</f>
        <v>0</v>
      </c>
      <c r="AU199" s="31">
        <f>IF(MID(E199,3,1)*1=1,$Y$64,$X$64)</f>
        <v>0</v>
      </c>
      <c r="AV199" s="2">
        <f>IF(MID(E199,3,1)*1=2,$AA$64,$Z$64)</f>
        <v>0</v>
      </c>
      <c r="AW199" s="33">
        <f>IF(MID(E199,3,1)*1=3,$AC$64,$AB$64)</f>
        <v>1.36</v>
      </c>
      <c r="AX199" s="31">
        <f>IF(MID(E199,5,1)*1=1,$AE$64,$AD$64)</f>
        <v>1</v>
      </c>
      <c r="AY199" s="33">
        <f>IF(MID(E199,5,1)*1=2,$AG$64,$AF$64)</f>
        <v>1.2</v>
      </c>
      <c r="AZ199" s="2"/>
      <c r="BA199" s="101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 ht="12" customHeight="1">
      <c r="A200" s="2"/>
      <c r="B200" s="107">
        <v>743</v>
      </c>
      <c r="C200" s="31">
        <v>10</v>
      </c>
      <c r="D200" s="111" t="s">
        <v>21</v>
      </c>
      <c r="E200" s="2" t="s">
        <v>165</v>
      </c>
      <c r="F200" s="2"/>
      <c r="G200" s="2"/>
      <c r="H200" s="33"/>
      <c r="I200" s="173">
        <f>M200/AE200</f>
        <v>1032.268085786246</v>
      </c>
      <c r="J200" s="174">
        <f>AH200/AE200</f>
        <v>30.238644768832497</v>
      </c>
      <c r="K200" s="207">
        <f>RANK(I200,$I$76:$I$977)</f>
        <v>125</v>
      </c>
      <c r="L200" s="208" t="e">
        <f>RANK(I200,$I$451:$I$866)</f>
        <v>#N/A</v>
      </c>
      <c r="M200" s="173">
        <f>SUM(N200:R200)</f>
        <v>22428.258195638333</v>
      </c>
      <c r="N200" s="174">
        <f>T200*(1+((AG200+IF(F200="백어택",8,0))/100)*(AI200/100-1))</f>
        <v>18886.954270011229</v>
      </c>
      <c r="O200" s="174"/>
      <c r="P200" s="174"/>
      <c r="Q200" s="174"/>
      <c r="R200" s="175">
        <f>X200*(1+(AG200/100)*(AI200/100-1))</f>
        <v>3541.3039256271054</v>
      </c>
      <c r="S200" s="173">
        <f>SUM(T200:X200)</f>
        <v>18847.069902293784</v>
      </c>
      <c r="T200" s="174">
        <f>AL200*AW200*AX200*AY200*IF(F200="백어택",1.2,1)</f>
        <v>15871.216759826346</v>
      </c>
      <c r="U200" s="174"/>
      <c r="V200" s="174"/>
      <c r="W200" s="174"/>
      <c r="X200" s="175">
        <f>AL200*AS200+IF(AX200=1,AL200*AU200,AL200*AU200*2)</f>
        <v>2975.8531424674397</v>
      </c>
      <c r="Y200" s="173">
        <f>SUM(Z200:AD200)</f>
        <v>37694.139804587569</v>
      </c>
      <c r="Z200" s="174">
        <f>T200*$D$58/100</f>
        <v>31742.433519652692</v>
      </c>
      <c r="AA200" s="174"/>
      <c r="AB200" s="174"/>
      <c r="AC200" s="174"/>
      <c r="AD200" s="175">
        <f>X200*$D$58/100</f>
        <v>5951.7062849348795</v>
      </c>
      <c r="AE200" s="173">
        <f>AO200*(1-$D$20/100)*(1-$D$17/100)-AR200</f>
        <v>21.727164197424003</v>
      </c>
      <c r="AF200" s="174">
        <f>AP200</f>
        <v>36</v>
      </c>
      <c r="AG200" s="174">
        <f>IF($D$57&gt;100,100,$D$57)</f>
        <v>19.001300000000001</v>
      </c>
      <c r="AH200" s="174">
        <f>AQ200</f>
        <v>657</v>
      </c>
      <c r="AI200" s="174">
        <f>$D$58</f>
        <v>200</v>
      </c>
      <c r="AJ200" s="174">
        <f>10/6</f>
        <v>1.6666666666666667</v>
      </c>
      <c r="AK200" s="174">
        <f>SUM(AL200:AN200)</f>
        <v>9919.5104748914655</v>
      </c>
      <c r="AL200" s="174">
        <f>(VLOOKUP(C200,$B$36:$AG$39,31,FALSE)+VLOOKUP(C200,$B$40:$AG$43,31,FALSE)*$D$54)*$D$59/100</f>
        <v>9919.5104748914655</v>
      </c>
      <c r="AM200" s="174"/>
      <c r="AN200" s="174"/>
      <c r="AO200" s="176">
        <v>36</v>
      </c>
      <c r="AP200" s="174">
        <v>36</v>
      </c>
      <c r="AQ200" s="175">
        <f>VLOOKUP(C200,$B$45:$AG$48,31,FALSE)</f>
        <v>657</v>
      </c>
      <c r="AR200" s="31">
        <f>IF(LEFT(E200,1)*1=1,$S$71,$R$71)</f>
        <v>6</v>
      </c>
      <c r="AS200" s="2">
        <f>IF(LEFT(E200,1)*1=2,$U$71,$T$71)</f>
        <v>0</v>
      </c>
      <c r="AT200" s="33">
        <f>IF(LEFT(E200,1)*1=3,$W$71,$V$71)</f>
        <v>0</v>
      </c>
      <c r="AU200" s="31">
        <f>IF(MID(E200,3,1)*1=1,$Y$71,$X$71)</f>
        <v>0.3</v>
      </c>
      <c r="AV200" s="2">
        <f>IF(MID(E200,3,1)*1=2,$AA$71,$Z$71)</f>
        <v>0</v>
      </c>
      <c r="AW200" s="33">
        <f>IF(MID(E200,3,1)*1=3,$AC$71,$AB$71)</f>
        <v>1</v>
      </c>
      <c r="AX200" s="31">
        <f>IF(MID(E200,5,1)*1=1,$AE$71,$AD$71)</f>
        <v>1</v>
      </c>
      <c r="AY200" s="33">
        <f>IF(MID(E200,5,1)*1=2,$AG$71,$AF$71)</f>
        <v>1.6</v>
      </c>
      <c r="AZ200" s="2"/>
      <c r="BA200" s="101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 ht="12" customHeight="1">
      <c r="A201" s="2"/>
      <c r="B201" s="107">
        <v>741</v>
      </c>
      <c r="C201" s="31">
        <v>10</v>
      </c>
      <c r="D201" s="111" t="s">
        <v>21</v>
      </c>
      <c r="E201" s="2" t="s">
        <v>98</v>
      </c>
      <c r="F201" s="2"/>
      <c r="G201" s="2" t="s">
        <v>177</v>
      </c>
      <c r="H201" s="33"/>
      <c r="I201" s="173">
        <f>M201/AE201</f>
        <v>1021.7572631408475</v>
      </c>
      <c r="J201" s="174">
        <f>AH201/AE201</f>
        <v>23.695174714659018</v>
      </c>
      <c r="K201" s="207">
        <f>RANK(I201,$I$76:$I$977)</f>
        <v>126</v>
      </c>
      <c r="L201" s="208" t="e">
        <f>RANK(I201,$I$451:$I$866)</f>
        <v>#N/A</v>
      </c>
      <c r="M201" s="173">
        <f>SUM(N201:R201)</f>
        <v>28330.431405016843</v>
      </c>
      <c r="N201" s="174">
        <f>T201*(1+((AG201+IF(F201="백어택",8,0))/100)*(AI201/100-1))</f>
        <v>28330.431405016843</v>
      </c>
      <c r="O201" s="174"/>
      <c r="P201" s="174"/>
      <c r="Q201" s="174"/>
      <c r="R201" s="175">
        <f>X201*(1+(AG201/100)*(AI201/100-1))</f>
        <v>0</v>
      </c>
      <c r="S201" s="173">
        <f>SUM(T201:X201)</f>
        <v>23806.825139739518</v>
      </c>
      <c r="T201" s="174">
        <f>AL201*AW201*AX201*AY201*IF(F201="백어택",1.2,1)</f>
        <v>23806.825139739518</v>
      </c>
      <c r="U201" s="174"/>
      <c r="V201" s="174"/>
      <c r="W201" s="174"/>
      <c r="X201" s="175">
        <f>AL201*AS201+IF(AX201=1,AL201*AU201,AL201*AU201*2)</f>
        <v>0</v>
      </c>
      <c r="Y201" s="173">
        <f>SUM(Z201:AD201)</f>
        <v>47613.650279479036</v>
      </c>
      <c r="Z201" s="174">
        <f>T201*$D$58/100</f>
        <v>47613.650279479036</v>
      </c>
      <c r="AA201" s="174"/>
      <c r="AB201" s="174"/>
      <c r="AC201" s="174"/>
      <c r="AD201" s="175">
        <f>X201*$D$58/100</f>
        <v>0</v>
      </c>
      <c r="AE201" s="173">
        <f>AO201*(1-$D$20/100)*(1-$D$17/100)-AR201</f>
        <v>27.727164197424003</v>
      </c>
      <c r="AF201" s="174">
        <f>AP201</f>
        <v>36</v>
      </c>
      <c r="AG201" s="174">
        <f>IF($D$57&gt;100,100,$D$57)</f>
        <v>19.001300000000001</v>
      </c>
      <c r="AH201" s="174">
        <f>AQ201</f>
        <v>657</v>
      </c>
      <c r="AI201" s="174">
        <f>$D$58</f>
        <v>200</v>
      </c>
      <c r="AJ201" s="174">
        <f>10/6</f>
        <v>1.6666666666666667</v>
      </c>
      <c r="AK201" s="174">
        <f>SUM(AL201:AN201)</f>
        <v>9919.5104748914655</v>
      </c>
      <c r="AL201" s="174">
        <f>(VLOOKUP(C201,$B$36:$AG$39,31,FALSE)+VLOOKUP(C201,$B$40:$AG$43,31,FALSE)*$D$54)*$D$59/100</f>
        <v>9919.5104748914655</v>
      </c>
      <c r="AM201" s="174"/>
      <c r="AN201" s="174"/>
      <c r="AO201" s="176">
        <v>36</v>
      </c>
      <c r="AP201" s="174">
        <v>36</v>
      </c>
      <c r="AQ201" s="175">
        <f>VLOOKUP(C201,$B$45:$AG$48,31,FALSE)</f>
        <v>657</v>
      </c>
      <c r="AR201" s="31">
        <f>IF(LEFT(E201,1)*1=1,$S$71,$R$71)</f>
        <v>0</v>
      </c>
      <c r="AS201" s="2">
        <f>IF(LEFT(E201,1)*1=2,$U$71,$T$71)</f>
        <v>0</v>
      </c>
      <c r="AT201" s="33">
        <f>IF(LEFT(E201,1)*1=3,$W$71,$V$71)</f>
        <v>0</v>
      </c>
      <c r="AU201" s="31">
        <f>IF(MID(E201,3,1)*1=1,$Y$71,$X$71)</f>
        <v>0</v>
      </c>
      <c r="AV201" s="2">
        <f>IF(MID(E201,3,1)*1=2,$AA$71,$Z$71)</f>
        <v>0</v>
      </c>
      <c r="AW201" s="33">
        <f>IF(MID(E201,3,1)*1=3,$AC$71,$AB$71)</f>
        <v>1.5</v>
      </c>
      <c r="AX201" s="31">
        <f>IF(MID(E201,5,1)*1=1,$AE$71,$AD$71)</f>
        <v>1</v>
      </c>
      <c r="AY201" s="33">
        <f>IF(MID(E201,5,1)*1=2,$AG$71,$AF$71)</f>
        <v>1.6</v>
      </c>
      <c r="AZ201" s="2"/>
      <c r="BA201" s="101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 ht="12" customHeight="1">
      <c r="A202" s="2"/>
      <c r="B202" s="107">
        <v>429</v>
      </c>
      <c r="C202" s="31">
        <v>10</v>
      </c>
      <c r="D202" s="111" t="s">
        <v>8</v>
      </c>
      <c r="E202" s="2" t="s">
        <v>157</v>
      </c>
      <c r="F202" s="2" t="s">
        <v>149</v>
      </c>
      <c r="G202" s="2"/>
      <c r="H202" s="33" t="s">
        <v>81</v>
      </c>
      <c r="I202" s="173">
        <f>M202/AE202</f>
        <v>1020.0515419982497</v>
      </c>
      <c r="J202" s="174">
        <f>AH202/AE202</f>
        <v>28.185356224514496</v>
      </c>
      <c r="K202" s="207">
        <f>RANK(I202,$I$76:$I$977)</f>
        <v>127</v>
      </c>
      <c r="L202" s="208" t="e">
        <f>RANK(I202,$I$451:$I$866)</f>
        <v>#N/A</v>
      </c>
      <c r="M202" s="173">
        <f>SUM(N202:R202)</f>
        <v>18855.42439654734</v>
      </c>
      <c r="N202" s="174">
        <f>T202*(1+((AG202+IF(F202="백어택",8,0))/100)*(IF(AY202=1,$D$58,$D$58+50)/100-1))</f>
        <v>7780.5002703189666</v>
      </c>
      <c r="O202" s="174">
        <f>U202*(1+((AG202+IF(F202="백어택",8,0))/100)*(AI202/100-1))</f>
        <v>11074.924126228372</v>
      </c>
      <c r="P202" s="174">
        <f>V202*(1+((AG202+IF(F202="백어택",8,0))/100)*(AI202/100-1))</f>
        <v>0</v>
      </c>
      <c r="Q202" s="174"/>
      <c r="R202" s="175"/>
      <c r="S202" s="173">
        <f>SUM(T202:X202)</f>
        <v>12605.119389142947</v>
      </c>
      <c r="T202" s="174">
        <f>AL202*IF(H202="근접",AR202,1)*AY202*IF(F202="백어택",1.2,1)</f>
        <v>5537.6457553215223</v>
      </c>
      <c r="U202" s="174">
        <f>AM202*IF(H202="근접",AR202,1)*AY202*IF(F202="백어택",1.2,1)</f>
        <v>7067.4736338214234</v>
      </c>
      <c r="V202" s="174">
        <f>IF(AX202=1,0,AM202*IF(H202="근접",AR202,1)*AY202)*IF(F202="백어택",1.2,1)</f>
        <v>0</v>
      </c>
      <c r="W202" s="174"/>
      <c r="X202" s="175"/>
      <c r="Y202" s="173">
        <f>SUM(Z202:AD202)</f>
        <v>35753.282653150221</v>
      </c>
      <c r="Z202" s="174">
        <f>T202*IF(AY202=1,$D$58,$D$58+50)/100</f>
        <v>13844.114388303806</v>
      </c>
      <c r="AA202" s="174">
        <f>U202*AI202/100</f>
        <v>21909.168264846412</v>
      </c>
      <c r="AB202" s="174">
        <f>V202*AI202/100</f>
        <v>0</v>
      </c>
      <c r="AC202" s="174"/>
      <c r="AD202" s="175"/>
      <c r="AE202" s="173">
        <f>AO202*(1-$D$20/100)*(1-$D$17/100)</f>
        <v>18.484776131615998</v>
      </c>
      <c r="AF202" s="174">
        <f>AP202</f>
        <v>36</v>
      </c>
      <c r="AG202" s="174">
        <f>IF($D$57+AU202&gt;100,100,$D$57+AU202)</f>
        <v>19.001300000000001</v>
      </c>
      <c r="AH202" s="174">
        <f>IF(AX202=1,AQ202,AQ202*1.4)</f>
        <v>521</v>
      </c>
      <c r="AI202" s="174">
        <f>IF(AY202=1,$D$58,$D$58+50)*AW202</f>
        <v>310</v>
      </c>
      <c r="AJ202" s="174">
        <f>10/6/AX202</f>
        <v>1.6666666666666667</v>
      </c>
      <c r="AK202" s="174">
        <f>SUM(AL202:AN202)</f>
        <v>7294.6292761243903</v>
      </c>
      <c r="AL202" s="174">
        <f>(IF(H202="근접",$D$61*(VLOOKUP(C202,$B$36:$AG$39,9,FALSE)+VLOOKUP(C202,$B$40:$AG$43,9,FALSE)*$D$54),$D$60*(VLOOKUP(C202,$B$36:$AG$39,9,FALSE)+VLOOKUP(C202,$B$40:$AG$43,9,FALSE)*$D$54)))*$D$59/100</f>
        <v>3204.6561084036589</v>
      </c>
      <c r="AM202" s="174">
        <f>(IF(H202="근접",$D$61*(VLOOKUP(C202,$B$36:$AG$39,10,FALSE)+VLOOKUP(C202,$B$40:$AG$43,10,FALSE)*$D$54),$D$60*(VLOOKUP(C202,$B$36:$AG$39,10,FALSE)+VLOOKUP(C202,$B$40:$AG$43,10,FALSE)*$D$54)))*$D$59/100</f>
        <v>4089.9731677207315</v>
      </c>
      <c r="AN202" s="174"/>
      <c r="AO202" s="176">
        <v>24</v>
      </c>
      <c r="AP202" s="174">
        <v>36</v>
      </c>
      <c r="AQ202" s="175">
        <f>VLOOKUP(C202,$B$45:$AA$48,9,FALSE)</f>
        <v>521</v>
      </c>
      <c r="AR202" s="31">
        <f>IF(LEFT(E202,1)*1=1,$S$58,$R$58)</f>
        <v>1.2</v>
      </c>
      <c r="AS202" s="2">
        <f>IF(LEFT(E202,1)*1=2,$U$58,$T$58)</f>
        <v>0</v>
      </c>
      <c r="AT202" s="33">
        <f>IF(LEFT(E202,1)*1=3,$W$58,$V$58)</f>
        <v>0</v>
      </c>
      <c r="AU202" s="31">
        <f>IF(MID(E202,3,1)*1=1,$Y$58,$X$58)</f>
        <v>0</v>
      </c>
      <c r="AV202" s="2">
        <f>IF(MID(E202,3,1)*1=2,$AA$58,$Z$58)</f>
        <v>0</v>
      </c>
      <c r="AW202" s="33">
        <f>IF(MID(E202,3,1)*1=3,$AC$58,$AB$58)</f>
        <v>1.24</v>
      </c>
      <c r="AX202" s="31">
        <f>IF(MID(E202,5,1)*1=1,$AE$58,$AD$58)</f>
        <v>1</v>
      </c>
      <c r="AY202" s="33">
        <f>IF(MID(E202,5,1)*1=2,$AG$58,$AF$58)</f>
        <v>1.2</v>
      </c>
      <c r="AZ202" s="2"/>
      <c r="BA202" s="101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 ht="12" customHeight="1">
      <c r="A203" s="2"/>
      <c r="B203" s="107">
        <v>762</v>
      </c>
      <c r="C203" s="31">
        <v>10</v>
      </c>
      <c r="D203" s="111" t="s">
        <v>21</v>
      </c>
      <c r="E203" s="2" t="s">
        <v>138</v>
      </c>
      <c r="F203" s="2" t="s">
        <v>149</v>
      </c>
      <c r="G203" s="2"/>
      <c r="H203" s="33"/>
      <c r="I203" s="173">
        <f>M203/AE203</f>
        <v>1018.7515694524475</v>
      </c>
      <c r="J203" s="174">
        <f>AH203/AE203</f>
        <v>23.695174714659018</v>
      </c>
      <c r="K203" s="207">
        <f>RANK(I203,$I$76:$I$977)</f>
        <v>128</v>
      </c>
      <c r="L203" s="208" t="e">
        <f>RANK(I203,$I$451:$I$866)</f>
        <v>#N/A</v>
      </c>
      <c r="M203" s="173">
        <f>SUM(N203:R203)</f>
        <v>28247.092042591416</v>
      </c>
      <c r="N203" s="174">
        <f>T203*(1+((AG203+IF(F203="백어택",8,0))/100)*(AI203/100-1))</f>
        <v>21164.484191337204</v>
      </c>
      <c r="O203" s="174"/>
      <c r="P203" s="174"/>
      <c r="Q203" s="174"/>
      <c r="R203" s="175">
        <f>X203*(1+(AG203/100)*(AI203/100-1))</f>
        <v>7082.6078512542108</v>
      </c>
      <c r="S203" s="173">
        <f>SUM(T203:X203)</f>
        <v>22616.483882752542</v>
      </c>
      <c r="T203" s="174">
        <f>AL203*AW203*AX203*AY203*IF(F203="백어택",1.2,1)</f>
        <v>16664.777597817661</v>
      </c>
      <c r="U203" s="174"/>
      <c r="V203" s="174"/>
      <c r="W203" s="174"/>
      <c r="X203" s="175">
        <f>AL203*AS203+IF(AX203=1,AL203*AU203,AL203*AU203*2)</f>
        <v>5951.7062849348795</v>
      </c>
      <c r="Y203" s="173">
        <f>SUM(Z203:AD203)</f>
        <v>45232.967765505084</v>
      </c>
      <c r="Z203" s="174">
        <f>T203*$D$58/100</f>
        <v>33329.555195635323</v>
      </c>
      <c r="AA203" s="174"/>
      <c r="AB203" s="174"/>
      <c r="AC203" s="174"/>
      <c r="AD203" s="175">
        <f>X203*$D$58/100</f>
        <v>11903.412569869759</v>
      </c>
      <c r="AE203" s="173">
        <f>AO203*(1-$D$20/100)*(1-$D$17/100)-AR203</f>
        <v>27.727164197424003</v>
      </c>
      <c r="AF203" s="174">
        <f>AP203</f>
        <v>36</v>
      </c>
      <c r="AG203" s="174">
        <f>IF($D$57&gt;100,100,$D$57)</f>
        <v>19.001300000000001</v>
      </c>
      <c r="AH203" s="174">
        <f>AQ203</f>
        <v>657</v>
      </c>
      <c r="AI203" s="174">
        <f>$D$58</f>
        <v>200</v>
      </c>
      <c r="AJ203" s="174">
        <f>10/6</f>
        <v>1.6666666666666667</v>
      </c>
      <c r="AK203" s="174">
        <f>SUM(AL203:AN203)</f>
        <v>9919.5104748914655</v>
      </c>
      <c r="AL203" s="174">
        <f>(VLOOKUP(C203,$B$36:$AG$39,31,FALSE)+VLOOKUP(C203,$B$40:$AG$43,31,FALSE)*$D$54)*$D$59/100</f>
        <v>9919.5104748914655</v>
      </c>
      <c r="AM203" s="174"/>
      <c r="AN203" s="174"/>
      <c r="AO203" s="176">
        <v>36</v>
      </c>
      <c r="AP203" s="174">
        <v>36</v>
      </c>
      <c r="AQ203" s="175">
        <f>VLOOKUP(C203,$B$45:$AG$48,31,FALSE)</f>
        <v>657</v>
      </c>
      <c r="AR203" s="31">
        <f>IF(LEFT(E203,1)*1=1,$S$71,$R$71)</f>
        <v>0</v>
      </c>
      <c r="AS203" s="2">
        <f>IF(LEFT(E203,1)*1=2,$U$71,$T$71)</f>
        <v>0</v>
      </c>
      <c r="AT203" s="33">
        <f>IF(LEFT(E203,1)*1=3,$W$71,$V$71)</f>
        <v>0</v>
      </c>
      <c r="AU203" s="31">
        <f>IF(MID(E203,3,1)*1=1,$Y$71,$X$71)</f>
        <v>0.3</v>
      </c>
      <c r="AV203" s="2">
        <f>IF(MID(E203,3,1)*1=2,$AA$71,$Z$71)</f>
        <v>0</v>
      </c>
      <c r="AW203" s="33">
        <f>IF(MID(E203,3,1)*1=3,$AC$71,$AB$71)</f>
        <v>1</v>
      </c>
      <c r="AX203" s="31">
        <f>IF(MID(E203,5,1)*1=1,$AE$71,$AD$71)</f>
        <v>1.4</v>
      </c>
      <c r="AY203" s="33">
        <f>IF(MID(E203,5,1)*1=2,$AG$71,$AF$71)</f>
        <v>1</v>
      </c>
      <c r="AZ203" s="2"/>
      <c r="BA203" s="101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 ht="12" customHeight="1">
      <c r="A204" s="2"/>
      <c r="B204" s="107">
        <v>46</v>
      </c>
      <c r="C204" s="31">
        <v>10</v>
      </c>
      <c r="D204" s="106" t="s">
        <v>4</v>
      </c>
      <c r="E204" s="2" t="s">
        <v>147</v>
      </c>
      <c r="F204" s="2" t="s">
        <v>149</v>
      </c>
      <c r="G204" s="2" t="s">
        <v>172</v>
      </c>
      <c r="H204" s="33"/>
      <c r="I204" s="173">
        <f>M204/AE204</f>
        <v>1018.1888852277848</v>
      </c>
      <c r="J204" s="174">
        <f>AH204/AE204</f>
        <v>29.152775243964456</v>
      </c>
      <c r="K204" s="207">
        <f>RANK(I204,$I$76:$I$977)</f>
        <v>129</v>
      </c>
      <c r="L204" s="208">
        <f>RANK(I204,$I$76:$I$450)</f>
        <v>129</v>
      </c>
      <c r="M204" s="173">
        <f>SUM(N204:R204)</f>
        <v>12189.162711638066</v>
      </c>
      <c r="N204" s="174">
        <f>T204*(1+((AG204+IF(F204="백어택",8,0))/100)*((AI204/100-1)))</f>
        <v>1441.0964680999632</v>
      </c>
      <c r="O204" s="174">
        <f>U204*(1+((AG204+IF(F204="백어택",8,0))/100)*(AI204/100-1))</f>
        <v>10748.066243538102</v>
      </c>
      <c r="P204" s="174"/>
      <c r="Q204" s="174"/>
      <c r="R204" s="175"/>
      <c r="S204" s="173">
        <f>SUM(T204:X204)</f>
        <v>8375.870917898048</v>
      </c>
      <c r="T204" s="174">
        <f>AT204*AL204*IF(F204="백어택",1.2,1)</f>
        <v>990.25981378682934</v>
      </c>
      <c r="U204" s="174">
        <f>AM204*AW204*AX204*AY204*IF(F204="백어택",1.2,1)</f>
        <v>7385.611104111219</v>
      </c>
      <c r="V204" s="174"/>
      <c r="W204" s="174"/>
      <c r="X204" s="175"/>
      <c r="Y204" s="173">
        <f>SUM(Z204:AD204)</f>
        <v>16751.741835796096</v>
      </c>
      <c r="Z204" s="174">
        <f>T204*$D$58/100</f>
        <v>1980.5196275736587</v>
      </c>
      <c r="AA204" s="174">
        <f>U204*$D$58/100</f>
        <v>14771.222208222438</v>
      </c>
      <c r="AB204" s="174"/>
      <c r="AC204" s="174"/>
      <c r="AD204" s="175"/>
      <c r="AE204" s="173">
        <f>AO204*(1-$D$17/100)</f>
        <v>11.971416</v>
      </c>
      <c r="AF204" s="174">
        <f>AP204</f>
        <v>36</v>
      </c>
      <c r="AG204" s="174">
        <f>IF($D$57&gt;100,100,$D$57)</f>
        <v>19.001300000000001</v>
      </c>
      <c r="AH204" s="174">
        <f>AQ204</f>
        <v>349</v>
      </c>
      <c r="AI204" s="174">
        <f>$D$58+$D$19</f>
        <v>268.61079999999998</v>
      </c>
      <c r="AJ204" s="174">
        <f>10/IF(AY204=1,5,4)</f>
        <v>2</v>
      </c>
      <c r="AK204" s="174">
        <f>SUM(AL204:AN204)</f>
        <v>2748.2428838829269</v>
      </c>
      <c r="AL204" s="174">
        <f>(VLOOKUP(C204,$B$36:$AG$39,4,FALSE)+VLOOKUP(C204,$B$40:$AG$43,4,FALSE)*$D$54)*$D$59/100</f>
        <v>550.14434099268294</v>
      </c>
      <c r="AM204" s="174">
        <f>(VLOOKUP(C204,$B$36:$AG$39,5,FALSE)+VLOOKUP(C204,$B$40:$AG$43,5,FALSE)*$D$54)*$D$59/100</f>
        <v>2198.0985428902441</v>
      </c>
      <c r="AN204" s="174"/>
      <c r="AO204" s="176">
        <v>12</v>
      </c>
      <c r="AP204" s="174">
        <v>36</v>
      </c>
      <c r="AQ204" s="175">
        <f>VLOOKUP(C204,$B$45:$AA$48,4,FALSE)</f>
        <v>349</v>
      </c>
      <c r="AR204" s="31">
        <f>IF(LEFT(E204,1)*1=1,$S$54,$R$54)</f>
        <v>0</v>
      </c>
      <c r="AS204" s="2">
        <f>IF(LEFT(E204,1)*1=2,$U$54,$T$54)</f>
        <v>0</v>
      </c>
      <c r="AT204" s="33">
        <f>IF(LEFT(E204,1)*1=3,$W$54,$V$54)</f>
        <v>1.5</v>
      </c>
      <c r="AU204" s="31">
        <f>IF(MID(E204,3,1)*1=1,$Y$54,$X$54)</f>
        <v>0</v>
      </c>
      <c r="AV204" s="2">
        <f>IF(MID(E204,3,1)*1=2,$AA$54,$Z$54)</f>
        <v>0</v>
      </c>
      <c r="AW204" s="33">
        <f>IF(MID(E204,3,1)*1=3,$AC$54,$AB$54)</f>
        <v>1.4</v>
      </c>
      <c r="AX204" s="31">
        <f>IF(MID(E204,5,1)*1=1,$AE$54,$AD$54)</f>
        <v>2</v>
      </c>
      <c r="AY204" s="33">
        <f>IF(MID(E204,5,1)*1=2,$AG$54,$AF$54)</f>
        <v>1</v>
      </c>
      <c r="AZ204" s="2"/>
      <c r="BA204" s="101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 ht="12" customHeight="1">
      <c r="A205" s="2"/>
      <c r="B205" s="107">
        <v>841</v>
      </c>
      <c r="C205" s="31">
        <v>10</v>
      </c>
      <c r="D205" s="113" t="s">
        <v>15</v>
      </c>
      <c r="E205" s="2" t="s">
        <v>171</v>
      </c>
      <c r="F205" s="1"/>
      <c r="G205" s="1" t="s">
        <v>174</v>
      </c>
      <c r="H205" s="33">
        <f>IF(AX205=AT205,3,4)</f>
        <v>4</v>
      </c>
      <c r="I205" s="173">
        <f>M205/AE205</f>
        <v>1011.983233187269</v>
      </c>
      <c r="J205" s="174">
        <f>AH205/AE205</f>
        <v>19.780450366105395</v>
      </c>
      <c r="K205" s="207">
        <f>RANK(I205,$I$76:$I$977)</f>
        <v>130</v>
      </c>
      <c r="L205" s="208" t="e">
        <f>RANK(I205,$I$867:$I$977)</f>
        <v>#N/A</v>
      </c>
      <c r="M205" s="173">
        <f>SUM(N205:R205)*(1+$D$22/100)</f>
        <v>30287.18067377451</v>
      </c>
      <c r="N205" s="174">
        <f>T205*(1+((AG205+IF(F205="백어택",8,0))/100)*(AI205/100-1))</f>
        <v>4488.2857176269872</v>
      </c>
      <c r="O205" s="174">
        <f>U205*(1+(AG205/100)*(AI205/100-1))</f>
        <v>4488.2857176269872</v>
      </c>
      <c r="P205" s="174">
        <f>V205*(1+(AG205/100)*(AI205/100-1))</f>
        <v>4488.2857176269872</v>
      </c>
      <c r="Q205" s="174">
        <f>W205*(1+(AG205/100)*(AI205/100-1))</f>
        <v>4488.2857176269872</v>
      </c>
      <c r="R205" s="175">
        <f>X205*(1+(AG205/100)*(AI205/100-1))</f>
        <v>9335.6342926641355</v>
      </c>
      <c r="S205" s="173">
        <f>SUM(T205:X205)</f>
        <v>17162.61260956488</v>
      </c>
      <c r="T205" s="174">
        <f>AL205*AS205*AY205</f>
        <v>2822.798126573171</v>
      </c>
      <c r="U205" s="174">
        <f>AL205*AS205*AY205</f>
        <v>2822.798126573171</v>
      </c>
      <c r="V205" s="174">
        <f>AL205*AS205*AY205</f>
        <v>2822.798126573171</v>
      </c>
      <c r="W205" s="174">
        <f>IF(H205=4,AL205*AS205*IF(AT205=0,AY205,1),0)</f>
        <v>2822.798126573171</v>
      </c>
      <c r="X205" s="175">
        <f>AL205*IF(H205=3,11,IF(AT205=1,15,13))*IF(AW205=1,0,AW205)</f>
        <v>5871.4201032721967</v>
      </c>
      <c r="Y205" s="173">
        <f>SUM(Z205:AD205)</f>
        <v>34325.225219129759</v>
      </c>
      <c r="Z205" s="174">
        <f>T205*AI205/100</f>
        <v>5645.596253146342</v>
      </c>
      <c r="AA205" s="174">
        <f>U205*AI205/100</f>
        <v>5645.596253146342</v>
      </c>
      <c r="AB205" s="174">
        <f>V205*AI205/100</f>
        <v>5645.596253146342</v>
      </c>
      <c r="AC205" s="174">
        <f>W205*AI205/100</f>
        <v>5645.596253146342</v>
      </c>
      <c r="AD205" s="175">
        <f>X205*AI205/100</f>
        <v>11742.840206544392</v>
      </c>
      <c r="AE205" s="173">
        <f>AO205*(1-$D$17/100)</f>
        <v>29.928540000000002</v>
      </c>
      <c r="AF205" s="174">
        <f>AP205</f>
        <v>36</v>
      </c>
      <c r="AG205" s="174">
        <f>IF($D$57+AX205&gt;100,100,$D$57+AX205)</f>
        <v>59.001300000000001</v>
      </c>
      <c r="AH205" s="174">
        <f>AQ205</f>
        <v>592</v>
      </c>
      <c r="AI205" s="174">
        <f>$D$58</f>
        <v>200</v>
      </c>
      <c r="AJ205" s="174">
        <f>10*AU205/IF(AT205=1,2.5,(IF(AY205=1,3,2.5)))</f>
        <v>3.3333333333333335</v>
      </c>
      <c r="AK205" s="174">
        <f>SUM(AL205:AN205)</f>
        <v>2258.2385012585369</v>
      </c>
      <c r="AL205" s="174">
        <f>((VLOOKUP(C205,$B$36:$AG$39,22,FALSE)+VLOOKUP(C205,$B$40:$AG$43,22,FALSE)*$D$54))*$D$59/100</f>
        <v>2258.2385012585369</v>
      </c>
      <c r="AM205" s="174"/>
      <c r="AN205" s="174"/>
      <c r="AO205" s="176">
        <v>30</v>
      </c>
      <c r="AP205" s="174">
        <v>36</v>
      </c>
      <c r="AQ205" s="175">
        <f>VLOOKUP(C205,$B$45:$AA$48,22,FALSE)</f>
        <v>592</v>
      </c>
      <c r="AR205" s="31">
        <f>IF(LEFT(E205,1)*1=1,$S$65,$R$65)</f>
        <v>0</v>
      </c>
      <c r="AS205" s="2">
        <f>IF(LEFT(E205,1)*1=2,$U$65,$T$65)</f>
        <v>1.25</v>
      </c>
      <c r="AT205" s="33">
        <f>IF(LEFT(E205,1)*1=3,$W$65,$V$65)</f>
        <v>0</v>
      </c>
      <c r="AU205" s="31">
        <f>IF(MID(E205,3,1)*1=1,$Y$65,$X$65)</f>
        <v>1</v>
      </c>
      <c r="AV205" s="2">
        <f>IF(MID(E205,3,1)*1=2,$AA$65,$Z$65)</f>
        <v>0</v>
      </c>
      <c r="AW205" s="33">
        <f>IF(MID(E205,3,1)*1=3,$AC$65,$AB$65)</f>
        <v>0.2</v>
      </c>
      <c r="AX205" s="31">
        <f>IF(MID(E205,5,1)*1=1,$AE$65,$AD$65)</f>
        <v>40</v>
      </c>
      <c r="AY205" s="33">
        <f>IF(MID(E205,5,1)*1=2,$AG$65,$AF$65)</f>
        <v>1</v>
      </c>
      <c r="AZ205" s="2"/>
      <c r="BA205" s="101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 ht="12" customHeight="1">
      <c r="A206" s="2"/>
      <c r="B206" s="107">
        <v>425</v>
      </c>
      <c r="C206" s="31">
        <v>10</v>
      </c>
      <c r="D206" s="111" t="s">
        <v>8</v>
      </c>
      <c r="E206" s="2" t="s">
        <v>139</v>
      </c>
      <c r="F206" s="2" t="s">
        <v>149</v>
      </c>
      <c r="G206" s="2"/>
      <c r="H206" s="33" t="s">
        <v>81</v>
      </c>
      <c r="I206" s="173">
        <f>M206/AE206</f>
        <v>1011.5242110923789</v>
      </c>
      <c r="J206" s="174">
        <f>AH206/AE206</f>
        <v>28.185356224514496</v>
      </c>
      <c r="K206" s="207">
        <f>RANK(I206,$I$76:$I$977)</f>
        <v>131</v>
      </c>
      <c r="L206" s="208" t="e">
        <f>RANK(I206,$I$451:$I$866)</f>
        <v>#N/A</v>
      </c>
      <c r="M206" s="173">
        <f>SUM(N206:R206)</f>
        <v>18697.798593752108</v>
      </c>
      <c r="N206" s="174">
        <f>T206*(1+((AG206+IF(F206="백어택",8,0))/100)*(IF(AY206=1,$D$58,$D$58+50)/100-1))</f>
        <v>8214.2645238037821</v>
      </c>
      <c r="O206" s="174">
        <f>U206*(1+((AG206+IF(F206="백어택",8,0))/100)*(AI206/100-1))</f>
        <v>10483.534069948328</v>
      </c>
      <c r="P206" s="174">
        <f>V206*(1+((AG206+IF(F206="백어택",8,0))/100)*(AI206/100-1))</f>
        <v>0</v>
      </c>
      <c r="Q206" s="174"/>
      <c r="R206" s="175"/>
      <c r="S206" s="173">
        <f>SUM(T206:X206)</f>
        <v>10504.26615761912</v>
      </c>
      <c r="T206" s="174">
        <f>AL206*IF(H206="근접",AR206,1)*AY206*IF(F206="백어택",1.2,1)</f>
        <v>4614.7047961012686</v>
      </c>
      <c r="U206" s="174">
        <f>AM206*IF(H206="근접",AR206,1)*AY206*IF(F206="백어택",1.2,1)</f>
        <v>5889.5613615178527</v>
      </c>
      <c r="V206" s="174">
        <f>IF(AX206=1,0,AM206*IF(H206="근접",AR206,1)*AY206)*IF(F206="백어택",1.2,1)</f>
        <v>0</v>
      </c>
      <c r="W206" s="174"/>
      <c r="X206" s="175"/>
      <c r="Y206" s="173">
        <f>SUM(Z206:AD206)</f>
        <v>26260.665394047806</v>
      </c>
      <c r="Z206" s="174">
        <f>T206*IF(AY206=1,$D$58,$D$58+50)/100</f>
        <v>11536.761990253171</v>
      </c>
      <c r="AA206" s="174">
        <f>U206*AI206/100</f>
        <v>14723.903403794633</v>
      </c>
      <c r="AB206" s="174">
        <f>V206*AI206/100</f>
        <v>0</v>
      </c>
      <c r="AC206" s="174"/>
      <c r="AD206" s="175"/>
      <c r="AE206" s="173">
        <f>AO206*(1-$D$20/100)*(1-$D$17/100)</f>
        <v>18.484776131615998</v>
      </c>
      <c r="AF206" s="174">
        <f>AP206</f>
        <v>36</v>
      </c>
      <c r="AG206" s="174">
        <f>IF($D$57+AU206&gt;100,100,$D$57+AU206)</f>
        <v>44.001300000000001</v>
      </c>
      <c r="AH206" s="174">
        <f>IF(AX206=1,AQ206,AQ206*1.4)</f>
        <v>521</v>
      </c>
      <c r="AI206" s="174">
        <f>IF(AY206=1,$D$58,$D$58+50)*AW206</f>
        <v>250</v>
      </c>
      <c r="AJ206" s="174">
        <f>10/6/AX206</f>
        <v>1.6666666666666667</v>
      </c>
      <c r="AK206" s="174">
        <f>SUM(AL206:AN206)</f>
        <v>7294.6292761243903</v>
      </c>
      <c r="AL206" s="174">
        <f>(IF(H206="근접",$D$61*(VLOOKUP(C206,$B$36:$AG$39,9,FALSE)+VLOOKUP(C206,$B$40:$AG$43,9,FALSE)*$D$54),$D$60*(VLOOKUP(C206,$B$36:$AG$39,9,FALSE)+VLOOKUP(C206,$B$40:$AG$43,9,FALSE)*$D$54)))*$D$59/100</f>
        <v>3204.6561084036589</v>
      </c>
      <c r="AM206" s="174">
        <f>(IF(H206="근접",$D$61*(VLOOKUP(C206,$B$36:$AG$39,10,FALSE)+VLOOKUP(C206,$B$40:$AG$43,10,FALSE)*$D$54),$D$60*(VLOOKUP(C206,$B$36:$AG$39,10,FALSE)+VLOOKUP(C206,$B$40:$AG$43,10,FALSE)*$D$54)))*$D$59/100</f>
        <v>4089.9731677207315</v>
      </c>
      <c r="AN206" s="174"/>
      <c r="AO206" s="176">
        <v>24</v>
      </c>
      <c r="AP206" s="174">
        <v>36</v>
      </c>
      <c r="AQ206" s="175">
        <f>VLOOKUP(C206,$B$45:$AA$48,9,FALSE)</f>
        <v>521</v>
      </c>
      <c r="AR206" s="31">
        <f>IF(LEFT(E206,1)*1=1,$S$58,$R$58)</f>
        <v>1</v>
      </c>
      <c r="AS206" s="2">
        <f>IF(LEFT(E206,1)*1=2,$U$58,$T$58)</f>
        <v>0</v>
      </c>
      <c r="AT206" s="33">
        <f>IF(LEFT(E206,1)*1=3,$W$58,$V$58)</f>
        <v>0</v>
      </c>
      <c r="AU206" s="31">
        <f>IF(MID(E206,3,1)*1=1,$Y$58,$X$58)</f>
        <v>25</v>
      </c>
      <c r="AV206" s="2">
        <f>IF(MID(E206,3,1)*1=2,$AA$58,$Z$58)</f>
        <v>0</v>
      </c>
      <c r="AW206" s="33">
        <f>IF(MID(E206,3,1)*1=3,$AC$58,$AB$58)</f>
        <v>1</v>
      </c>
      <c r="AX206" s="31">
        <f>IF(MID(E206,5,1)*1=1,$AE$58,$AD$58)</f>
        <v>1</v>
      </c>
      <c r="AY206" s="33">
        <f>IF(MID(E206,5,1)*1=2,$AG$58,$AF$58)</f>
        <v>1.2</v>
      </c>
      <c r="AZ206" s="2"/>
      <c r="BA206" s="101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 ht="12" customHeight="1">
      <c r="A207" s="2"/>
      <c r="B207" s="107">
        <v>420</v>
      </c>
      <c r="C207" s="31">
        <v>10</v>
      </c>
      <c r="D207" s="111" t="s">
        <v>8</v>
      </c>
      <c r="E207" s="2" t="s">
        <v>141</v>
      </c>
      <c r="F207" s="2" t="s">
        <v>149</v>
      </c>
      <c r="G207" s="2"/>
      <c r="H207" s="33" t="s">
        <v>81</v>
      </c>
      <c r="I207" s="173">
        <f>M207/AE207</f>
        <v>1007.4516508691992</v>
      </c>
      <c r="J207" s="174">
        <f>AH207/AE207</f>
        <v>39.459498714320297</v>
      </c>
      <c r="K207" s="207">
        <f>RANK(I207,$I$76:$I$977)</f>
        <v>132</v>
      </c>
      <c r="L207" s="208" t="e">
        <f>RANK(I207,$I$451:$I$866)</f>
        <v>#N/A</v>
      </c>
      <c r="M207" s="173">
        <f>SUM(N207:R207)</f>
        <v>18622.518229744106</v>
      </c>
      <c r="N207" s="174">
        <f>T207*(1+((AG207+IF(F207="백어택",8,0))/100)*(IF(AY207=1,$D$58,$D$58+50)/100-1))</f>
        <v>4883.9459018424668</v>
      </c>
      <c r="O207" s="174">
        <f>U207*(1+((AG207+IF(F207="백어택",8,0))/100)*(AI207/100-1))</f>
        <v>6869.2861639508192</v>
      </c>
      <c r="P207" s="174">
        <f>V207*(1+((AG207+IF(F207="백어택",8,0))/100)*(AI207/100-1))</f>
        <v>6869.2861639508192</v>
      </c>
      <c r="Q207" s="174"/>
      <c r="R207" s="175"/>
      <c r="S207" s="173">
        <f>SUM(T207:X207)</f>
        <v>13661.522932614145</v>
      </c>
      <c r="T207" s="174">
        <f>AL207*IF(H207="근접",AR207,1)*AY207*IF(F207="백어택",1.2,1)</f>
        <v>3845.5873300843905</v>
      </c>
      <c r="U207" s="174">
        <f>AM207*IF(H207="근접",AR207,1)*AY207*IF(F207="백어택",1.2,1)</f>
        <v>4907.9678012648774</v>
      </c>
      <c r="V207" s="174">
        <f>IF(AX207=1,0,AM207*IF(H207="근접",AR207,1)*AY207)*IF(F207="백어택",1.2,1)</f>
        <v>4907.9678012648774</v>
      </c>
      <c r="W207" s="174"/>
      <c r="X207" s="175"/>
      <c r="Y207" s="173">
        <f>SUM(Z207:AD207)</f>
        <v>32034.694954442573</v>
      </c>
      <c r="Z207" s="174">
        <f>T207*IF(AY207=1,$D$58,$D$58+50)/100</f>
        <v>7691.174660168781</v>
      </c>
      <c r="AA207" s="174">
        <f>U207*AI207/100</f>
        <v>12171.760147136896</v>
      </c>
      <c r="AB207" s="174">
        <f>V207*AI207/100</f>
        <v>12171.760147136896</v>
      </c>
      <c r="AC207" s="174"/>
      <c r="AD207" s="175"/>
      <c r="AE207" s="173">
        <f>AO207*(1-$D$20/100)*(1-$D$17/100)</f>
        <v>18.484776131615998</v>
      </c>
      <c r="AF207" s="174">
        <f>AP207</f>
        <v>36</v>
      </c>
      <c r="AG207" s="174">
        <f>IF($D$57+AU207&gt;100,100,$D$57+AU207)</f>
        <v>19.001300000000001</v>
      </c>
      <c r="AH207" s="174">
        <f>IF(AX207=1,AQ207,AQ207*1.4)</f>
        <v>729.4</v>
      </c>
      <c r="AI207" s="174">
        <f>IF(AY207=1,$D$58,$D$58+50)*AW207</f>
        <v>248</v>
      </c>
      <c r="AJ207" s="174">
        <f>10/6/AX207</f>
        <v>1.1111111111111112</v>
      </c>
      <c r="AK207" s="174">
        <f>SUM(AL207:AN207)</f>
        <v>7294.6292761243903</v>
      </c>
      <c r="AL207" s="174">
        <f>(IF(H207="근접",$D$61*(VLOOKUP(C207,$B$36:$AG$39,9,FALSE)+VLOOKUP(C207,$B$40:$AG$43,9,FALSE)*$D$54),$D$60*(VLOOKUP(C207,$B$36:$AG$39,9,FALSE)+VLOOKUP(C207,$B$40:$AG$43,9,FALSE)*$D$54)))*$D$59/100</f>
        <v>3204.6561084036589</v>
      </c>
      <c r="AM207" s="174">
        <f>(IF(H207="근접",$D$61*(VLOOKUP(C207,$B$36:$AG$39,10,FALSE)+VLOOKUP(C207,$B$40:$AG$43,10,FALSE)*$D$54),$D$60*(VLOOKUP(C207,$B$36:$AG$39,10,FALSE)+VLOOKUP(C207,$B$40:$AG$43,10,FALSE)*$D$54)))*$D$59/100</f>
        <v>4089.9731677207315</v>
      </c>
      <c r="AN207" s="174"/>
      <c r="AO207" s="176">
        <v>24</v>
      </c>
      <c r="AP207" s="174">
        <v>36</v>
      </c>
      <c r="AQ207" s="175">
        <f>VLOOKUP(C207,$B$45:$AA$48,9,FALSE)</f>
        <v>521</v>
      </c>
      <c r="AR207" s="31">
        <f>IF(LEFT(E207,1)*1=1,$S$58,$R$58)</f>
        <v>1</v>
      </c>
      <c r="AS207" s="2">
        <f>IF(LEFT(E207,1)*1=2,$U$58,$T$58)</f>
        <v>0</v>
      </c>
      <c r="AT207" s="33">
        <f>IF(LEFT(E207,1)*1=3,$W$58,$V$58)</f>
        <v>0</v>
      </c>
      <c r="AU207" s="31">
        <f>IF(MID(E207,3,1)*1=1,$Y$58,$X$58)</f>
        <v>0</v>
      </c>
      <c r="AV207" s="2">
        <f>IF(MID(E207,3,1)*1=2,$AA$58,$Z$58)</f>
        <v>0</v>
      </c>
      <c r="AW207" s="33">
        <f>IF(MID(E207,3,1)*1=3,$AC$58,$AB$58)</f>
        <v>1.24</v>
      </c>
      <c r="AX207" s="31">
        <f>IF(MID(E207,5,1)*1=1,$AE$58,$AD$58)</f>
        <v>1.5</v>
      </c>
      <c r="AY207" s="33">
        <f>IF(MID(E207,5,1)*1=2,$AG$58,$AF$58)</f>
        <v>1</v>
      </c>
      <c r="AZ207" s="2"/>
      <c r="BA207" s="101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 ht="12" customHeight="1">
      <c r="A208" s="2"/>
      <c r="B208" s="107">
        <v>483</v>
      </c>
      <c r="C208" s="31">
        <v>10</v>
      </c>
      <c r="D208" s="111" t="s">
        <v>14</v>
      </c>
      <c r="E208" s="2" t="s">
        <v>138</v>
      </c>
      <c r="F208" s="2"/>
      <c r="G208" s="2"/>
      <c r="H208" s="33" t="s">
        <v>81</v>
      </c>
      <c r="I208" s="173">
        <f>M208/AE208</f>
        <v>1007.0030475956155</v>
      </c>
      <c r="J208" s="174">
        <f>AH208/AE208</f>
        <v>23.695174714659018</v>
      </c>
      <c r="K208" s="207">
        <f>RANK(I208,$I$76:$I$977)</f>
        <v>133</v>
      </c>
      <c r="L208" s="208" t="e">
        <f>RANK(I208,$I$451:$I$866)</f>
        <v>#N/A</v>
      </c>
      <c r="M208" s="173">
        <f>SUM(N208:R208)</f>
        <v>27921.33884799001</v>
      </c>
      <c r="N208" s="174">
        <f>T208*(1+((AG208+IF(F208="백어택",8,0))/100)*(AI208/100-1))</f>
        <v>5207.1796932100997</v>
      </c>
      <c r="O208" s="174">
        <f>U208*(1+((AG208+IF(F208="백어택",8,0))/100)*(AI208/100-1))</f>
        <v>5207.1796932100997</v>
      </c>
      <c r="P208" s="174">
        <f>V208*(1+((AG208+IF(F208="백어택",8,0))/100)*(AI208*IF(AX208=1,AW208,1)/100-1))</f>
        <v>7036.4773935735539</v>
      </c>
      <c r="Q208" s="174">
        <f>W208*(1+((AG208+IF(F208="백어택",8,0))/100)*(AI208*AW208/100-1))</f>
        <v>10470.502067996253</v>
      </c>
      <c r="R208" s="175"/>
      <c r="S208" s="173">
        <f>SUM(T208:X208)</f>
        <v>19389.643599043902</v>
      </c>
      <c r="T208" s="174">
        <f>AL208*AY208*IF(F208="백어택",1.2,1)</f>
        <v>3616.0643641481706</v>
      </c>
      <c r="U208" s="174">
        <f>AM208*AY208*IF(F208="백어택",1.2,1)</f>
        <v>3616.0643641481706</v>
      </c>
      <c r="V208" s="174">
        <f>AN208*AY208*IF(F208="백어택",1.2,1)</f>
        <v>4886.3985211060972</v>
      </c>
      <c r="W208" s="174">
        <f>(T208+U208+V208)*IF(AX208=1,0,0.6)*IF(F208="백어택",1.2,1)</f>
        <v>7271.1163496414638</v>
      </c>
      <c r="X208" s="175"/>
      <c r="Y208" s="173">
        <f>SUM(Z208:AD208)</f>
        <v>38779.287198087804</v>
      </c>
      <c r="Z208" s="174">
        <f>T208*AI208/100</f>
        <v>7232.1287282963413</v>
      </c>
      <c r="AA208" s="174">
        <f>U208*AI208/100</f>
        <v>7232.1287282963413</v>
      </c>
      <c r="AB208" s="174">
        <f>V208*AI208*IF(AX208=1,AW208,1)/100</f>
        <v>9772.7970422121944</v>
      </c>
      <c r="AC208" s="174">
        <f>W208*AI208*AW208/100</f>
        <v>14542.232699282928</v>
      </c>
      <c r="AD208" s="175"/>
      <c r="AE208" s="173">
        <f>AO208*(1-$D$20/100)*(1-$D$17/100)</f>
        <v>27.727164197424003</v>
      </c>
      <c r="AF208" s="174">
        <f>AP208</f>
        <v>36</v>
      </c>
      <c r="AG208" s="174">
        <f>IF($D$57+AU208&gt;100,100,$D$57+AU208)</f>
        <v>44.001300000000001</v>
      </c>
      <c r="AH208" s="174">
        <f>AQ208*AS208</f>
        <v>657</v>
      </c>
      <c r="AI208" s="174">
        <f>$D$58+IF(H208="근접",AR208,0)+IF(AY208=1,0,50)</f>
        <v>200</v>
      </c>
      <c r="AJ208" s="174">
        <f>10/3</f>
        <v>3.3333333333333335</v>
      </c>
      <c r="AK208" s="174">
        <f>SUM(AL208:AN208)</f>
        <v>12118.527249402439</v>
      </c>
      <c r="AL208" s="174">
        <f>(IF(H208="근접",$D$61*(VLOOKUP(C208,$B$36:$AG$39,19,FALSE)+VLOOKUP(C208,$B$40:$AG$43,19,FALSE)*$D$54),$D$60*(VLOOKUP(C208,$B$36:$AG$39,19,FALSE)+VLOOKUP(C208,$B$40:$AG$43,19,FALSE)*$D$54)))*$D$59/100</f>
        <v>3616.0643641481706</v>
      </c>
      <c r="AM208" s="174">
        <f>(IF(H208="근접",$D$61*(VLOOKUP(C208,$B$36:$AG$39,20,FALSE)+VLOOKUP(C208,$B$40:$AG$43,20,FALSE)*$D$54),$D$60*(VLOOKUP(C208,$B$36:$AG$39,20,FALSE)+VLOOKUP(C208,$B$40:$AG$43,20,FALSE)*$D$54)))*$D$59/100</f>
        <v>3616.0643641481706</v>
      </c>
      <c r="AN208" s="174">
        <f>(IF(H208="근접",$D$61*(VLOOKUP(C208,$B$36:$AG$39,21,FALSE)+VLOOKUP(C208,$B$40:$AG$43,21,FALSE)*$D$54),$D$60*(VLOOKUP(C208,$B$36:$AG$39,21,FALSE)+VLOOKUP(C208,$B$40:$AG$43,21,FALSE)*$D$54)))*$D$59/100</f>
        <v>4886.3985211060972</v>
      </c>
      <c r="AO208" s="176">
        <v>36</v>
      </c>
      <c r="AP208" s="174">
        <v>36</v>
      </c>
      <c r="AQ208" s="175">
        <f>VLOOKUP(C208,$B$45:$AA$48,19,FALSE)</f>
        <v>657</v>
      </c>
      <c r="AR208" s="31">
        <f>IF(LEFT(E208,1)*1=1,$S$64,$R$64)</f>
        <v>0</v>
      </c>
      <c r="AS208" s="2">
        <f>IF(LEFT(E208,1)*1=2,$U$64,$T$64)</f>
        <v>1</v>
      </c>
      <c r="AT208" s="33">
        <f>IF(LEFT(E208,1)*1=3,$W$64,$V$64)</f>
        <v>0</v>
      </c>
      <c r="AU208" s="31">
        <f>IF(MID(E208,3,1)*1=1,$Y$64,$X$64)</f>
        <v>25</v>
      </c>
      <c r="AV208" s="2">
        <f>IF(MID(E208,3,1)*1=2,$AA$64,$Z$64)</f>
        <v>0</v>
      </c>
      <c r="AW208" s="33">
        <f>IF(MID(E208,3,1)*1=3,$AC$64,$AB$64)</f>
        <v>1</v>
      </c>
      <c r="AX208" s="31">
        <f>IF(MID(E208,5,1)*1=1,$AE$64,$AD$64)</f>
        <v>0.6</v>
      </c>
      <c r="AY208" s="33">
        <f>IF(MID(E208,5,1)*1=2,$AG$64,$AF$64)</f>
        <v>1</v>
      </c>
      <c r="AZ208" s="2"/>
      <c r="BA208" s="101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 ht="12" customHeight="1">
      <c r="A209" s="2"/>
      <c r="B209" s="107">
        <v>489</v>
      </c>
      <c r="C209" s="31">
        <v>10</v>
      </c>
      <c r="D209" s="111" t="s">
        <v>14</v>
      </c>
      <c r="E209" s="2" t="s">
        <v>169</v>
      </c>
      <c r="F209" s="2"/>
      <c r="G209" s="2"/>
      <c r="H209" s="33" t="s">
        <v>81</v>
      </c>
      <c r="I209" s="173">
        <f>M209/AE209</f>
        <v>1007.0030475956155</v>
      </c>
      <c r="J209" s="174">
        <f>AH209/AE209</f>
        <v>11.847587357329509</v>
      </c>
      <c r="K209" s="207">
        <f>RANK(I209,$I$76:$I$977)</f>
        <v>133</v>
      </c>
      <c r="L209" s="208" t="e">
        <f>RANK(I209,$I$451:$I$866)</f>
        <v>#N/A</v>
      </c>
      <c r="M209" s="173">
        <f>SUM(N209:R209)</f>
        <v>27921.33884799001</v>
      </c>
      <c r="N209" s="174">
        <f>T209*(1+((AG209+IF(F209="백어택",8,0))/100)*(AI209/100-1))</f>
        <v>5207.1796932100997</v>
      </c>
      <c r="O209" s="174">
        <f>U209*(1+((AG209+IF(F209="백어택",8,0))/100)*(AI209/100-1))</f>
        <v>5207.1796932100997</v>
      </c>
      <c r="P209" s="174">
        <f>V209*(1+((AG209+IF(F209="백어택",8,0))/100)*(AI209*IF(AX209=1,AW209,1)/100-1))</f>
        <v>7036.4773935735539</v>
      </c>
      <c r="Q209" s="174">
        <f>W209*(1+((AG209+IF(F209="백어택",8,0))/100)*(AI209*AW209/100-1))</f>
        <v>10470.502067996253</v>
      </c>
      <c r="R209" s="175"/>
      <c r="S209" s="173">
        <f>SUM(T209:X209)</f>
        <v>19389.643599043902</v>
      </c>
      <c r="T209" s="174">
        <f>AL209*AY209*IF(F209="백어택",1.2,1)</f>
        <v>3616.0643641481706</v>
      </c>
      <c r="U209" s="174">
        <f>AM209*AY209*IF(F209="백어택",1.2,1)</f>
        <v>3616.0643641481706</v>
      </c>
      <c r="V209" s="174">
        <f>AN209*AY209*IF(F209="백어택",1.2,1)</f>
        <v>4886.3985211060972</v>
      </c>
      <c r="W209" s="174">
        <f>(T209+U209+V209)*IF(AX209=1,0,0.6)*IF(F209="백어택",1.2,1)</f>
        <v>7271.1163496414638</v>
      </c>
      <c r="X209" s="175"/>
      <c r="Y209" s="173">
        <f>SUM(Z209:AD209)</f>
        <v>38779.287198087804</v>
      </c>
      <c r="Z209" s="174">
        <f>T209*AI209/100</f>
        <v>7232.1287282963413</v>
      </c>
      <c r="AA209" s="174">
        <f>U209*AI209/100</f>
        <v>7232.1287282963413</v>
      </c>
      <c r="AB209" s="174">
        <f>V209*AI209*IF(AX209=1,AW209,1)/100</f>
        <v>9772.7970422121944</v>
      </c>
      <c r="AC209" s="174">
        <f>W209*AI209*AW209/100</f>
        <v>14542.232699282928</v>
      </c>
      <c r="AD209" s="175"/>
      <c r="AE209" s="173">
        <f>AO209*(1-$D$20/100)*(1-$D$17/100)</f>
        <v>27.727164197424003</v>
      </c>
      <c r="AF209" s="174">
        <f>AP209</f>
        <v>36</v>
      </c>
      <c r="AG209" s="174">
        <f>IF($D$57+AU209&gt;100,100,$D$57+AU209)</f>
        <v>44.001300000000001</v>
      </c>
      <c r="AH209" s="174">
        <f>AQ209*AS209</f>
        <v>328.5</v>
      </c>
      <c r="AI209" s="174">
        <f>$D$58+IF(H209="근접",AR209,0)+IF(AY209=1,0,50)</f>
        <v>200</v>
      </c>
      <c r="AJ209" s="174">
        <f>10/3</f>
        <v>3.3333333333333335</v>
      </c>
      <c r="AK209" s="174">
        <f>SUM(AL209:AN209)</f>
        <v>12118.527249402439</v>
      </c>
      <c r="AL209" s="174">
        <f>(IF(H209="근접",$D$61*(VLOOKUP(C209,$B$36:$AG$39,19,FALSE)+VLOOKUP(C209,$B$40:$AG$43,19,FALSE)*$D$54),$D$60*(VLOOKUP(C209,$B$36:$AG$39,19,FALSE)+VLOOKUP(C209,$B$40:$AG$43,19,FALSE)*$D$54)))*$D$59/100</f>
        <v>3616.0643641481706</v>
      </c>
      <c r="AM209" s="174">
        <f>(IF(H209="근접",$D$61*(VLOOKUP(C209,$B$36:$AG$39,20,FALSE)+VLOOKUP(C209,$B$40:$AG$43,20,FALSE)*$D$54),$D$60*(VLOOKUP(C209,$B$36:$AG$39,20,FALSE)+VLOOKUP(C209,$B$40:$AG$43,20,FALSE)*$D$54)))*$D$59/100</f>
        <v>3616.0643641481706</v>
      </c>
      <c r="AN209" s="174">
        <f>(IF(H209="근접",$D$61*(VLOOKUP(C209,$B$36:$AG$39,21,FALSE)+VLOOKUP(C209,$B$40:$AG$43,21,FALSE)*$D$54),$D$60*(VLOOKUP(C209,$B$36:$AG$39,21,FALSE)+VLOOKUP(C209,$B$40:$AG$43,21,FALSE)*$D$54)))*$D$59/100</f>
        <v>4886.3985211060972</v>
      </c>
      <c r="AO209" s="176">
        <v>36</v>
      </c>
      <c r="AP209" s="174">
        <v>36</v>
      </c>
      <c r="AQ209" s="175">
        <f>VLOOKUP(C209,$B$45:$AA$48,19,FALSE)</f>
        <v>657</v>
      </c>
      <c r="AR209" s="31">
        <f>IF(LEFT(E209,1)*1=1,$S$64,$R$64)</f>
        <v>0</v>
      </c>
      <c r="AS209" s="2">
        <f>IF(LEFT(E209,1)*1=2,$U$64,$T$64)</f>
        <v>0.5</v>
      </c>
      <c r="AT209" s="33">
        <f>IF(LEFT(E209,1)*1=3,$W$64,$V$64)</f>
        <v>0</v>
      </c>
      <c r="AU209" s="31">
        <f>IF(MID(E209,3,1)*1=1,$Y$64,$X$64)</f>
        <v>25</v>
      </c>
      <c r="AV209" s="2">
        <f>IF(MID(E209,3,1)*1=2,$AA$64,$Z$64)</f>
        <v>0</v>
      </c>
      <c r="AW209" s="33">
        <f>IF(MID(E209,3,1)*1=3,$AC$64,$AB$64)</f>
        <v>1</v>
      </c>
      <c r="AX209" s="31">
        <f>IF(MID(E209,5,1)*1=1,$AE$64,$AD$64)</f>
        <v>0.6</v>
      </c>
      <c r="AY209" s="33">
        <f>IF(MID(E209,5,1)*1=2,$AG$64,$AF$64)</f>
        <v>1</v>
      </c>
      <c r="AZ209" s="2"/>
      <c r="BA209" s="101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 ht="12" customHeight="1">
      <c r="A210" s="2"/>
      <c r="B210" s="107">
        <v>889</v>
      </c>
      <c r="C210" s="31">
        <v>10</v>
      </c>
      <c r="D210" s="113" t="s">
        <v>22</v>
      </c>
      <c r="E210" s="2" t="s">
        <v>139</v>
      </c>
      <c r="F210" s="2"/>
      <c r="G210" s="2"/>
      <c r="H210" s="33"/>
      <c r="I210" s="173">
        <f>M210/AE210</f>
        <v>1004.9818671583723</v>
      </c>
      <c r="J210" s="174">
        <f>AH210/AE210</f>
        <v>19.780450366105395</v>
      </c>
      <c r="K210" s="207">
        <f>RANK(I210,$I$76:$I$977)</f>
        <v>135</v>
      </c>
      <c r="L210" s="208" t="e">
        <f>RANK(I210,$I$867:$I$977)</f>
        <v>#N/A</v>
      </c>
      <c r="M210" s="173">
        <f>SUM(N210:R210)*(1+$D$22/100)</f>
        <v>30077.640010524035</v>
      </c>
      <c r="N210" s="174">
        <f>T210*(1+((AG210+IF(F210="백어택",8,0))/100)*(AI210/100-1))</f>
        <v>27099.980836182927</v>
      </c>
      <c r="O210" s="174"/>
      <c r="P210" s="174"/>
      <c r="Q210" s="174"/>
      <c r="R210" s="175">
        <f>X210*(1+($D$57/100)*(AI210/100-1))</f>
        <v>0</v>
      </c>
      <c r="S210" s="173">
        <f>SUM(T210:X210)</f>
        <v>13549.990418091464</v>
      </c>
      <c r="T210" s="174">
        <f>AL210*AU210</f>
        <v>13549.990418091464</v>
      </c>
      <c r="U210" s="174"/>
      <c r="V210" s="174"/>
      <c r="W210" s="174"/>
      <c r="X210" s="175">
        <f>AL210*AW210</f>
        <v>0</v>
      </c>
      <c r="Y210" s="173">
        <f>SUM(Z210:AD210)</f>
        <v>27099.980836182927</v>
      </c>
      <c r="Z210" s="174">
        <f>T210*$D$58/100</f>
        <v>27099.980836182927</v>
      </c>
      <c r="AA210" s="174"/>
      <c r="AB210" s="174"/>
      <c r="AC210" s="174"/>
      <c r="AD210" s="175"/>
      <c r="AE210" s="173">
        <f>AO210*(1-$D$17/100)</f>
        <v>29.928540000000002</v>
      </c>
      <c r="AF210" s="174">
        <f>AP210+AV210</f>
        <v>36</v>
      </c>
      <c r="AG210" s="174">
        <f>IF($D$57+AY210&gt;100,100,$D$57+AY210)</f>
        <v>100</v>
      </c>
      <c r="AH210" s="174">
        <f>AQ210*AR210</f>
        <v>592</v>
      </c>
      <c r="AI210" s="174">
        <f>$D$58</f>
        <v>200</v>
      </c>
      <c r="AJ210" s="174">
        <f>10/5</f>
        <v>2</v>
      </c>
      <c r="AK210" s="174">
        <f>SUM(AL210:AN210)</f>
        <v>10423.069552378049</v>
      </c>
      <c r="AL210" s="174">
        <f>(VLOOKUP(C210,$B$36:$AG$39,32,FALSE)+VLOOKUP(C210,$B$40:$AG$43,32,FALSE)*$D$54)*$D$59/100</f>
        <v>10423.069552378049</v>
      </c>
      <c r="AM210" s="174"/>
      <c r="AN210" s="174"/>
      <c r="AO210" s="176">
        <v>30</v>
      </c>
      <c r="AP210" s="174">
        <v>36</v>
      </c>
      <c r="AQ210" s="175">
        <f>VLOOKUP(C210,$B$45:$AG$48,32,FALSE)</f>
        <v>592</v>
      </c>
      <c r="AR210" s="31">
        <f>IF(LEFT(E210,1)*1=1,$S$72,$R$72)</f>
        <v>1</v>
      </c>
      <c r="AS210" s="2">
        <f>IF(LEFT(E210,1)*1=2,$U$72,$T$72)</f>
        <v>0</v>
      </c>
      <c r="AT210" s="33">
        <f>IF(LEFT(E210,1)*1=3,$W$72,$V$72)</f>
        <v>0</v>
      </c>
      <c r="AU210" s="31">
        <f>IF(MID(E210,3,1)*1=1,$Y$72,$X$72)</f>
        <v>1.3</v>
      </c>
      <c r="AV210" s="2">
        <f>IF(MID(E210,3,1)*1=2,$AA$72,$Z$72)</f>
        <v>0</v>
      </c>
      <c r="AW210" s="33">
        <f>IF(MID(E210,3,1)*1=3,$AC$72,$AB$72)</f>
        <v>0</v>
      </c>
      <c r="AX210" s="31">
        <f>IF(MID(E210,5,1)*1=1,$AE$72,$AD$72)</f>
        <v>0</v>
      </c>
      <c r="AY210" s="33">
        <f>IF(MID(E210,5,1)*1=2,$AG$72,$AF$72)</f>
        <v>100</v>
      </c>
      <c r="AZ210" s="2"/>
      <c r="BA210" s="101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 ht="12" customHeight="1">
      <c r="A211" s="2"/>
      <c r="B211" s="107">
        <v>892</v>
      </c>
      <c r="C211" s="31">
        <v>10</v>
      </c>
      <c r="D211" s="113" t="s">
        <v>22</v>
      </c>
      <c r="E211" s="2" t="s">
        <v>165</v>
      </c>
      <c r="F211" s="2"/>
      <c r="G211" s="2"/>
      <c r="H211" s="33"/>
      <c r="I211" s="173">
        <f>M211/AE211</f>
        <v>1004.9818671583723</v>
      </c>
      <c r="J211" s="174">
        <f>AH211/AE211</f>
        <v>9.8902251830526975</v>
      </c>
      <c r="K211" s="207">
        <f>RANK(I211,$I$76:$I$977)</f>
        <v>135</v>
      </c>
      <c r="L211" s="208" t="e">
        <f>RANK(I211,$I$867:$I$977)</f>
        <v>#N/A</v>
      </c>
      <c r="M211" s="173">
        <f>SUM(N211:R211)*(1+$D$22/100)</f>
        <v>30077.640010524035</v>
      </c>
      <c r="N211" s="174">
        <f>T211*(1+((AG211+IF(F211="백어택",8,0))/100)*(AI211/100-1))</f>
        <v>27099.980836182927</v>
      </c>
      <c r="O211" s="174"/>
      <c r="P211" s="174"/>
      <c r="Q211" s="174"/>
      <c r="R211" s="175">
        <f>X211*(1+($D$57/100)*(AI211/100-1))</f>
        <v>0</v>
      </c>
      <c r="S211" s="173">
        <f>SUM(T211:X211)</f>
        <v>13549.990418091464</v>
      </c>
      <c r="T211" s="174">
        <f>AL211*AU211</f>
        <v>13549.990418091464</v>
      </c>
      <c r="U211" s="174"/>
      <c r="V211" s="174"/>
      <c r="W211" s="174"/>
      <c r="X211" s="175">
        <f>AL211*AW211</f>
        <v>0</v>
      </c>
      <c r="Y211" s="173">
        <f>SUM(Z211:AD211)</f>
        <v>27099.980836182927</v>
      </c>
      <c r="Z211" s="174">
        <f>T211*$D$58/100</f>
        <v>27099.980836182927</v>
      </c>
      <c r="AA211" s="174"/>
      <c r="AB211" s="174"/>
      <c r="AC211" s="174"/>
      <c r="AD211" s="175"/>
      <c r="AE211" s="173">
        <f>AO211*(1-$D$17/100)</f>
        <v>29.928540000000002</v>
      </c>
      <c r="AF211" s="174">
        <f>AP211+AV211</f>
        <v>36</v>
      </c>
      <c r="AG211" s="174">
        <f>IF($D$57+AY211&gt;100,100,$D$57+AY211)</f>
        <v>100</v>
      </c>
      <c r="AH211" s="174">
        <f>AQ211*AR211</f>
        <v>296</v>
      </c>
      <c r="AI211" s="174">
        <f>$D$58</f>
        <v>200</v>
      </c>
      <c r="AJ211" s="174">
        <f>10/5</f>
        <v>2</v>
      </c>
      <c r="AK211" s="174">
        <f>SUM(AL211:AN211)</f>
        <v>10423.069552378049</v>
      </c>
      <c r="AL211" s="174">
        <f>(VLOOKUP(C211,$B$36:$AG$39,32,FALSE)+VLOOKUP(C211,$B$40:$AG$43,32,FALSE)*$D$54)*$D$59/100</f>
        <v>10423.069552378049</v>
      </c>
      <c r="AM211" s="174"/>
      <c r="AN211" s="174"/>
      <c r="AO211" s="176">
        <v>30</v>
      </c>
      <c r="AP211" s="174">
        <v>36</v>
      </c>
      <c r="AQ211" s="175">
        <f>VLOOKUP(C211,$B$45:$AG$48,32,FALSE)</f>
        <v>592</v>
      </c>
      <c r="AR211" s="31">
        <f>IF(LEFT(E211,1)*1=1,$S$72,$R$72)</f>
        <v>0.5</v>
      </c>
      <c r="AS211" s="2">
        <f>IF(LEFT(E211,1)*1=2,$U$72,$T$72)</f>
        <v>0</v>
      </c>
      <c r="AT211" s="33">
        <f>IF(LEFT(E211,1)*1=3,$W$72,$V$72)</f>
        <v>0</v>
      </c>
      <c r="AU211" s="31">
        <f>IF(MID(E211,3,1)*1=1,$Y$72,$X$72)</f>
        <v>1.3</v>
      </c>
      <c r="AV211" s="2">
        <f>IF(MID(E211,3,1)*1=2,$AA$72,$Z$72)</f>
        <v>0</v>
      </c>
      <c r="AW211" s="33">
        <f>IF(MID(E211,3,1)*1=3,$AC$72,$AB$72)</f>
        <v>0</v>
      </c>
      <c r="AX211" s="31">
        <f>IF(MID(E211,5,1)*1=1,$AE$72,$AD$72)</f>
        <v>0</v>
      </c>
      <c r="AY211" s="33">
        <f>IF(MID(E211,5,1)*1=2,$AG$72,$AF$72)</f>
        <v>100</v>
      </c>
      <c r="AZ211" s="2"/>
      <c r="BA211" s="101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 ht="12" customHeight="1">
      <c r="A212" s="2"/>
      <c r="B212" s="107">
        <v>637</v>
      </c>
      <c r="C212" s="31">
        <v>10</v>
      </c>
      <c r="D212" s="111" t="s">
        <v>18</v>
      </c>
      <c r="E212" s="2" t="s">
        <v>164</v>
      </c>
      <c r="F212" s="2"/>
      <c r="G212" s="2"/>
      <c r="H212" s="33" t="s">
        <v>80</v>
      </c>
      <c r="I212" s="173">
        <f>M212/AE212</f>
        <v>1002.8892553126032</v>
      </c>
      <c r="J212" s="174">
        <f>AH212/AE212</f>
        <v>35.968798914524506</v>
      </c>
      <c r="K212" s="207">
        <f>RANK(I212,$I$76:$I$977)</f>
        <v>137</v>
      </c>
      <c r="L212" s="208" t="e">
        <f>RANK(I212,$I$451:$I$866)</f>
        <v>#N/A</v>
      </c>
      <c r="M212" s="173">
        <f>SUM(N212:R212)</f>
        <v>14526.626348006137</v>
      </c>
      <c r="N212" s="174">
        <f>T212*(1+((AG212+IF(F212="백어택",8,0))/100)*(AI212/100-1))</f>
        <v>14526.626348006137</v>
      </c>
      <c r="O212" s="174">
        <f>U212*(1+(($D$57+IF(F212="백어택",8,0))/100)*(AI212/100-1))</f>
        <v>0</v>
      </c>
      <c r="P212" s="174"/>
      <c r="Q212" s="174"/>
      <c r="R212" s="175"/>
      <c r="S212" s="173">
        <f>SUM(T212:X212)</f>
        <v>9136.1682879360978</v>
      </c>
      <c r="T212" s="174">
        <f>AL212*IF(H212="근접",AT212,IF(AV212=1,AT212,1))*AX212*IF(F212="백어택",1.2,1)</f>
        <v>9136.1682879360978</v>
      </c>
      <c r="U212" s="174">
        <f>IF(AX212=1,AM212*IF(H212="근접",AT212,IF(AV212=1,AT212,1)),0)*AY212*IF(AX212=1,1,0)*IF(F212="백어택",1.2,1)</f>
        <v>0</v>
      </c>
      <c r="V212" s="174"/>
      <c r="W212" s="174"/>
      <c r="X212" s="175"/>
      <c r="Y212" s="173">
        <f>SUM(Z212:AD212)</f>
        <v>18272.336575872196</v>
      </c>
      <c r="Z212" s="174">
        <f>T212*$D$58/100</f>
        <v>18272.336575872196</v>
      </c>
      <c r="AA212" s="174">
        <f>U212*$D$58/100</f>
        <v>0</v>
      </c>
      <c r="AB212" s="174"/>
      <c r="AC212" s="174"/>
      <c r="AD212" s="175"/>
      <c r="AE212" s="173">
        <f>(AO212*(1-$D$20/100)*(1-$D$17/100)-AR212)*IF(AW212="보스대상",1,POWER(0.85,AW212))</f>
        <v>14.484776131615998</v>
      </c>
      <c r="AF212" s="174">
        <f>AP212</f>
        <v>36</v>
      </c>
      <c r="AG212" s="174">
        <f>IF($D$57+AU212&gt;100,100,$D$57+AU212)</f>
        <v>59.001300000000001</v>
      </c>
      <c r="AH212" s="174">
        <f>AQ212</f>
        <v>521</v>
      </c>
      <c r="AI212" s="174">
        <f>$D$58</f>
        <v>200</v>
      </c>
      <c r="AJ212" s="174">
        <f>10*AS212/IF(AX212=1,IF(AY212=1,4.5,4),4)</f>
        <v>2.5</v>
      </c>
      <c r="AK212" s="174">
        <f>SUM(AL212:AN212)</f>
        <v>5464.3340202024392</v>
      </c>
      <c r="AL212" s="174">
        <f>IF(AV212=1,$D$61*(VLOOKUP(C212,$B$36:$AG$39,25,FALSE)+VLOOKUP(C212,$B$40:$AG$43,25,FALSE)*$D$54),(IF(H212="근접",$D$61*(VLOOKUP(C212,$B$36:$AG$39,25,FALSE)+VLOOKUP(C212,$B$40:$AG$43,25,FALSE)*$D$54),$D$60*(VLOOKUP(C212,$B$36:$AG$39,25,FALSE)+VLOOKUP(C212,$B$40:$AG$43,25,FALSE)*$D$54))))*$D$59/100</f>
        <v>3262.9172456914639</v>
      </c>
      <c r="AM212" s="174">
        <f>(IF(AV212=1,$D$61*(VLOOKUP(C212,$B$36:$AG$39,26,FALSE)+VLOOKUP(C212,$B$40:$AG$43,26,FALSE)*$D$54),IF(H212="근접",$D$61*(VLOOKUP(C212,$B$36:$AG$39,26,FALSE)+VLOOKUP(C212,$B$40:$AG$43,26,FALSE)*$D$54),$D$60*(VLOOKUP(C212,$B$36:$AG$39,26,FALSE)+VLOOKUP(C212,$B$40:$AG$43,26,FALSE)*$D$54))))*$D$59/100</f>
        <v>2201.4167745109758</v>
      </c>
      <c r="AN212" s="174"/>
      <c r="AO212" s="176">
        <v>24</v>
      </c>
      <c r="AP212" s="174">
        <v>36</v>
      </c>
      <c r="AQ212" s="175">
        <f>VLOOKUP(C212,$B$45:$AA$48,25,FALSE)</f>
        <v>521</v>
      </c>
      <c r="AR212" s="31">
        <f>IF(LEFT(E212,1)*1=1,$S$68,$R$68)</f>
        <v>4</v>
      </c>
      <c r="AS212" s="2">
        <f>IF(LEFT(E212,1)*1=2,$U$68,$T$68)</f>
        <v>1</v>
      </c>
      <c r="AT212" s="33">
        <f>IF(LEFT(E212,1)*1=3,$W$68,$V$68)</f>
        <v>1</v>
      </c>
      <c r="AU212" s="31">
        <f>IF(MID(E212,3,1)*1=1,$Y$68,$X$68)</f>
        <v>40</v>
      </c>
      <c r="AV212" s="2">
        <f>IF(MID(E212,3,1)*1=2,$AA$68,$Z$68)</f>
        <v>0</v>
      </c>
      <c r="AW212" s="33" t="str">
        <f>IF(MID(E212,3,1)*1=3,$AC$68,$AB$68)</f>
        <v>보스대상</v>
      </c>
      <c r="AX212" s="31">
        <f>IF(MID(E212,5,1)*1=1,$AE$68,$AD$68)</f>
        <v>2.8</v>
      </c>
      <c r="AY212" s="33">
        <f>IF(MID(E212,5,1)*1=2,$AG$68,$AF$68)</f>
        <v>1</v>
      </c>
      <c r="AZ212" s="2"/>
      <c r="BA212" s="101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 ht="12" hidden="1" customHeight="1">
      <c r="A213" s="2"/>
      <c r="B213" s="107">
        <v>180</v>
      </c>
      <c r="C213" s="31">
        <v>7</v>
      </c>
      <c r="D213" s="106" t="s">
        <v>10</v>
      </c>
      <c r="E213" s="2" t="s">
        <v>79</v>
      </c>
      <c r="F213" s="2" t="s">
        <v>149</v>
      </c>
      <c r="G213" s="2" t="s">
        <v>184</v>
      </c>
      <c r="H213" s="33"/>
      <c r="I213" s="173">
        <f>M213/AE213</f>
        <v>1000.9684584448747</v>
      </c>
      <c r="J213" s="174">
        <f>AH213/AE213</f>
        <v>17.980329144021059</v>
      </c>
      <c r="K213" s="207">
        <f>RANK(I213,$I$76:$I$977)</f>
        <v>138</v>
      </c>
      <c r="L213" s="208">
        <f>RANK(I213,$I$76:$I$450)</f>
        <v>138</v>
      </c>
      <c r="M213" s="173">
        <f>SUM(N213:R213)</f>
        <v>15977.346425229745</v>
      </c>
      <c r="N213" s="174">
        <f>T213*(1+((AG213+IF(F213="백어택",8,0))/100)*((AI213/100-1)))</f>
        <v>15977.346425229745</v>
      </c>
      <c r="O213" s="174"/>
      <c r="P213" s="174"/>
      <c r="Q213" s="174"/>
      <c r="R213" s="175"/>
      <c r="S213" s="173">
        <f>SUM(T213:X213)</f>
        <v>10978.948631187804</v>
      </c>
      <c r="T213" s="174">
        <f>AL213*AS213*AU213*AX213*IF(AY213=0,1,0.5)*IF(F213="백어택",1.2,1)</f>
        <v>10978.948631187804</v>
      </c>
      <c r="U213" s="174"/>
      <c r="V213" s="174"/>
      <c r="W213" s="174"/>
      <c r="X213" s="175"/>
      <c r="Y213" s="173">
        <f>SUM(Z213:AD213)</f>
        <v>29490.641749822607</v>
      </c>
      <c r="Z213" s="174">
        <f>T213*AI213/100</f>
        <v>29490.641749822607</v>
      </c>
      <c r="AA213" s="174"/>
      <c r="AB213" s="174"/>
      <c r="AC213" s="174"/>
      <c r="AD213" s="175"/>
      <c r="AE213" s="173">
        <f>AO213*(1-$D$17/100)</f>
        <v>15.961888</v>
      </c>
      <c r="AF213" s="174">
        <f>AP213</f>
        <v>36</v>
      </c>
      <c r="AG213" s="174">
        <f>IF($D$57+AV213&gt;100,100,$D$57+AV213)</f>
        <v>19.001300000000001</v>
      </c>
      <c r="AH213" s="174">
        <f>AQ213</f>
        <v>287</v>
      </c>
      <c r="AI213" s="174">
        <f>$D$58+$D$19</f>
        <v>268.61079999999998</v>
      </c>
      <c r="AJ213" s="174">
        <f>10*AR213/(7-IF(AX213=1,0,3))</f>
        <v>1.4285714285714286</v>
      </c>
      <c r="AK213" s="174">
        <f>SUM(AL213:AN213)</f>
        <v>7753.4947960365853</v>
      </c>
      <c r="AL213" s="174">
        <f>(VLOOKUP(C213,$B$36:$AG$39,13,FALSE)+VLOOKUP(C213,$B$40:$AG$43,13,FALSE)*$D$54)*$D$59/100</f>
        <v>7753.4947960365853</v>
      </c>
      <c r="AM213" s="174"/>
      <c r="AN213" s="174"/>
      <c r="AO213" s="176">
        <v>16</v>
      </c>
      <c r="AP213" s="174">
        <v>36</v>
      </c>
      <c r="AQ213" s="175">
        <f>VLOOKUP(C213,$B$45:$AA$48,13,FALSE)</f>
        <v>287</v>
      </c>
      <c r="AR213" s="31">
        <f>IF(LEFT(E213,1)*1=1,$S$60,$R$60)</f>
        <v>1</v>
      </c>
      <c r="AS213" s="2">
        <f>IF(LEFT(E213,1)*1=2,$U$60,$T$60)</f>
        <v>1.18</v>
      </c>
      <c r="AT213" s="33">
        <f>IF(LEFT(E213,1)*1=3,$W$60,$V$60)</f>
        <v>0</v>
      </c>
      <c r="AU213" s="31">
        <f>IF(MID(E213,3,1)*1=1,$Y$60,$X$60)</f>
        <v>1</v>
      </c>
      <c r="AV213" s="2">
        <f>IF(MID(E213,3,1)*1=2,$AA$60,$Z$60)</f>
        <v>0</v>
      </c>
      <c r="AW213" s="33">
        <f>IF(MID(E213,3,1)*1=3,$AC$60,$AB$60)</f>
        <v>0</v>
      </c>
      <c r="AX213" s="31">
        <f>IF(MID(E213,5,1)*1=1,$AE$60,$AD$60)</f>
        <v>1</v>
      </c>
      <c r="AY213" s="33">
        <f>IF(MID(E213,5,1)*1=2,$AG$60,$AF$60)</f>
        <v>0</v>
      </c>
      <c r="AZ213" s="2"/>
      <c r="BA213" s="101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 ht="12" customHeight="1">
      <c r="A214" s="2"/>
      <c r="B214" s="107">
        <v>771</v>
      </c>
      <c r="C214" s="31">
        <v>10</v>
      </c>
      <c r="D214" s="111" t="s">
        <v>21</v>
      </c>
      <c r="E214" s="2" t="s">
        <v>139</v>
      </c>
      <c r="F214" s="2" t="s">
        <v>149</v>
      </c>
      <c r="G214" s="2"/>
      <c r="H214" s="33"/>
      <c r="I214" s="173">
        <f>M214/AE214</f>
        <v>1000.0765192265895</v>
      </c>
      <c r="J214" s="174">
        <f>AH214/AE214</f>
        <v>23.695174714659018</v>
      </c>
      <c r="K214" s="207">
        <f>RANK(I214,$I$76:$I$977)</f>
        <v>139</v>
      </c>
      <c r="L214" s="208" t="e">
        <f>RANK(I214,$I$451:$I$866)</f>
        <v>#N/A</v>
      </c>
      <c r="M214" s="173">
        <f>SUM(N214:R214)</f>
        <v>27729.285858583909</v>
      </c>
      <c r="N214" s="174">
        <f>T214*(1+((AG214+IF(F214="백어택",8,0))/100)*(AI214/100-1))</f>
        <v>24187.981932956805</v>
      </c>
      <c r="O214" s="174"/>
      <c r="P214" s="174"/>
      <c r="Q214" s="174"/>
      <c r="R214" s="175">
        <f>X214*(1+(AG214/100)*(AI214/100-1))</f>
        <v>3541.3039256271054</v>
      </c>
      <c r="S214" s="173">
        <f>SUM(T214:X214)</f>
        <v>22021.313254259054</v>
      </c>
      <c r="T214" s="174">
        <f>AL214*AW214*AX214*AY214*IF(F214="백어택",1.2,1)</f>
        <v>19045.460111791614</v>
      </c>
      <c r="U214" s="174"/>
      <c r="V214" s="174"/>
      <c r="W214" s="174"/>
      <c r="X214" s="175">
        <f>AL214*AS214+IF(AX214=1,AL214*AU214,AL214*AU214*2)</f>
        <v>2975.8531424674397</v>
      </c>
      <c r="Y214" s="173">
        <f>SUM(Z214:AD214)</f>
        <v>44042.626508518108</v>
      </c>
      <c r="Z214" s="174">
        <f>T214*$D$58/100</f>
        <v>38090.920223583227</v>
      </c>
      <c r="AA214" s="174"/>
      <c r="AB214" s="174"/>
      <c r="AC214" s="174"/>
      <c r="AD214" s="175">
        <f>X214*$D$58/100</f>
        <v>5951.7062849348795</v>
      </c>
      <c r="AE214" s="173">
        <f>AO214*(1-$D$20/100)*(1-$D$17/100)-AR214</f>
        <v>27.727164197424003</v>
      </c>
      <c r="AF214" s="174">
        <f>AP214</f>
        <v>36</v>
      </c>
      <c r="AG214" s="174">
        <f>IF($D$57&gt;100,100,$D$57)</f>
        <v>19.001300000000001</v>
      </c>
      <c r="AH214" s="174">
        <f>AQ214</f>
        <v>657</v>
      </c>
      <c r="AI214" s="174">
        <f>$D$58</f>
        <v>200</v>
      </c>
      <c r="AJ214" s="174">
        <f>10/6</f>
        <v>1.6666666666666667</v>
      </c>
      <c r="AK214" s="174">
        <f>SUM(AL214:AN214)</f>
        <v>9919.5104748914655</v>
      </c>
      <c r="AL214" s="174">
        <f>(VLOOKUP(C214,$B$36:$AG$39,31,FALSE)+VLOOKUP(C214,$B$40:$AG$43,31,FALSE)*$D$54)*$D$59/100</f>
        <v>9919.5104748914655</v>
      </c>
      <c r="AM214" s="174"/>
      <c r="AN214" s="174"/>
      <c r="AO214" s="176">
        <v>36</v>
      </c>
      <c r="AP214" s="174">
        <v>36</v>
      </c>
      <c r="AQ214" s="175">
        <f>VLOOKUP(C214,$B$45:$AG$48,31,FALSE)</f>
        <v>657</v>
      </c>
      <c r="AR214" s="31">
        <f>IF(LEFT(E214,1)*1=1,$S$71,$R$71)</f>
        <v>0</v>
      </c>
      <c r="AS214" s="2">
        <f>IF(LEFT(E214,1)*1=2,$U$71,$T$71)</f>
        <v>0</v>
      </c>
      <c r="AT214" s="33">
        <f>IF(LEFT(E214,1)*1=3,$W$71,$V$71)</f>
        <v>0</v>
      </c>
      <c r="AU214" s="31">
        <f>IF(MID(E214,3,1)*1=1,$Y$71,$X$71)</f>
        <v>0.3</v>
      </c>
      <c r="AV214" s="2">
        <f>IF(MID(E214,3,1)*1=2,$AA$71,$Z$71)</f>
        <v>0</v>
      </c>
      <c r="AW214" s="33">
        <f>IF(MID(E214,3,1)*1=3,$AC$71,$AB$71)</f>
        <v>1</v>
      </c>
      <c r="AX214" s="31">
        <f>IF(MID(E214,5,1)*1=1,$AE$71,$AD$71)</f>
        <v>1</v>
      </c>
      <c r="AY214" s="33">
        <f>IF(MID(E214,5,1)*1=2,$AG$71,$AF$71)</f>
        <v>1.6</v>
      </c>
      <c r="AZ214" s="2"/>
      <c r="BA214" s="101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 ht="12" customHeight="1">
      <c r="A215" s="2"/>
      <c r="B215" s="107">
        <v>784</v>
      </c>
      <c r="C215" s="31">
        <v>7</v>
      </c>
      <c r="D215" s="111" t="s">
        <v>21</v>
      </c>
      <c r="E215" s="2" t="s">
        <v>155</v>
      </c>
      <c r="F215" s="2" t="s">
        <v>149</v>
      </c>
      <c r="G215" s="2" t="s">
        <v>177</v>
      </c>
      <c r="H215" s="33"/>
      <c r="I215" s="173">
        <f>M215/AE215</f>
        <v>999.27858914348383</v>
      </c>
      <c r="J215" s="174">
        <f>AH215/AE215</f>
        <v>21.079603202626</v>
      </c>
      <c r="K215" s="207">
        <f>RANK(I215,$I$76:$I$977)</f>
        <v>140</v>
      </c>
      <c r="L215" s="208" t="e">
        <f>RANK(I215,$I$451:$I$866)</f>
        <v>#N/A</v>
      </c>
      <c r="M215" s="173">
        <f>SUM(N215:R215)</f>
        <v>21711.489985290671</v>
      </c>
      <c r="N215" s="174">
        <f>T215*(1+((AG215+IF(F215="백어택",8,0))/100)*(AI215/100-1))</f>
        <v>21711.489985290671</v>
      </c>
      <c r="O215" s="174"/>
      <c r="P215" s="174"/>
      <c r="Q215" s="174"/>
      <c r="R215" s="175">
        <f>X215*(1+(AG215/100)*(AI215/100-1))</f>
        <v>0</v>
      </c>
      <c r="S215" s="173">
        <f>SUM(T215:X215)</f>
        <v>17095.486412572682</v>
      </c>
      <c r="T215" s="174">
        <f>AL215*AW215*AX215*AY215*IF(F215="백어택",1.2,1)</f>
        <v>17095.486412572682</v>
      </c>
      <c r="U215" s="174"/>
      <c r="V215" s="174"/>
      <c r="W215" s="174"/>
      <c r="X215" s="175">
        <f>AL215*AS215+IF(AX215=1,AL215*AU215,AL215*AU215*2)</f>
        <v>0</v>
      </c>
      <c r="Y215" s="173">
        <f>SUM(Z215:AD215)</f>
        <v>34190.972825145363</v>
      </c>
      <c r="Z215" s="174">
        <f>T215*$D$58/100</f>
        <v>34190.972825145363</v>
      </c>
      <c r="AA215" s="174"/>
      <c r="AB215" s="174"/>
      <c r="AC215" s="174"/>
      <c r="AD215" s="175">
        <f>X215*$D$58/100</f>
        <v>0</v>
      </c>
      <c r="AE215" s="173">
        <f>AO215*(1-$D$20/100)*(1-$D$17/100)-AR215</f>
        <v>21.727164197424003</v>
      </c>
      <c r="AF215" s="174">
        <f>AP215</f>
        <v>36</v>
      </c>
      <c r="AG215" s="174">
        <f>IF($D$57&gt;100,100,$D$57)</f>
        <v>19.001300000000001</v>
      </c>
      <c r="AH215" s="174">
        <f>AQ215</f>
        <v>458</v>
      </c>
      <c r="AI215" s="174">
        <f>$D$58</f>
        <v>200</v>
      </c>
      <c r="AJ215" s="174">
        <f>10/6</f>
        <v>1.6666666666666667</v>
      </c>
      <c r="AK215" s="174">
        <f>SUM(AL215:AN215)</f>
        <v>9497.4924514292688</v>
      </c>
      <c r="AL215" s="174">
        <f>(VLOOKUP(C215,$B$36:$AG$39,31,FALSE)+VLOOKUP(C215,$B$40:$AG$43,31,FALSE)*$D$54)*$D$59/100</f>
        <v>9497.4924514292688</v>
      </c>
      <c r="AM215" s="174"/>
      <c r="AN215" s="174"/>
      <c r="AO215" s="176">
        <v>36</v>
      </c>
      <c r="AP215" s="174">
        <v>36</v>
      </c>
      <c r="AQ215" s="175">
        <f>VLOOKUP(C215,$B$45:$AG$48,31,FALSE)</f>
        <v>458</v>
      </c>
      <c r="AR215" s="31">
        <f>IF(LEFT(E215,1)*1=1,$S$71,$R$71)</f>
        <v>6</v>
      </c>
      <c r="AS215" s="2">
        <f>IF(LEFT(E215,1)*1=2,$U$71,$T$71)</f>
        <v>0</v>
      </c>
      <c r="AT215" s="33">
        <f>IF(LEFT(E215,1)*1=3,$W$71,$V$71)</f>
        <v>0</v>
      </c>
      <c r="AU215" s="31">
        <f>IF(MID(E215,3,1)*1=1,$Y$71,$X$71)</f>
        <v>0</v>
      </c>
      <c r="AV215" s="2">
        <f>IF(MID(E215,3,1)*1=2,$AA$71,$Z$71)</f>
        <v>0</v>
      </c>
      <c r="AW215" s="33">
        <f>IF(MID(E215,3,1)*1=3,$AC$71,$AB$71)</f>
        <v>1.5</v>
      </c>
      <c r="AX215" s="31">
        <f>IF(MID(E215,5,1)*1=1,$AE$71,$AD$71)</f>
        <v>1</v>
      </c>
      <c r="AY215" s="33">
        <f>IF(MID(E215,5,1)*1=2,$AG$71,$AF$71)</f>
        <v>1</v>
      </c>
      <c r="AZ215" s="2"/>
      <c r="BA215" s="101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 ht="12" customHeight="1">
      <c r="A216" s="2"/>
      <c r="B216" s="107">
        <v>702</v>
      </c>
      <c r="C216" s="31">
        <v>10</v>
      </c>
      <c r="D216" s="111" t="s">
        <v>18</v>
      </c>
      <c r="E216" s="2" t="s">
        <v>169</v>
      </c>
      <c r="F216" s="2" t="s">
        <v>149</v>
      </c>
      <c r="G216" s="2"/>
      <c r="H216" s="33" t="s">
        <v>80</v>
      </c>
      <c r="I216" s="173">
        <f>M216/AE216</f>
        <v>990.49204831503675</v>
      </c>
      <c r="J216" s="174">
        <f>AH216/AE216</f>
        <v>28.185356224514496</v>
      </c>
      <c r="K216" s="207">
        <f>RANK(I216,$I$76:$I$977)</f>
        <v>141</v>
      </c>
      <c r="L216" s="208" t="e">
        <f>RANK(I216,$I$451:$I$866)</f>
        <v>#N/A</v>
      </c>
      <c r="M216" s="173">
        <f>SUM(N216:R216)</f>
        <v>18309.023773249231</v>
      </c>
      <c r="N216" s="174">
        <f>T216*(1+((AG216+IF(F216="백어택",8,0))/100)*(AI216/100-1))</f>
        <v>18309.023773249231</v>
      </c>
      <c r="O216" s="174">
        <f>U216*(1+(($D$57+IF(F216="백어택",8,0))/100)*(AI216/100-1))</f>
        <v>0</v>
      </c>
      <c r="P216" s="174"/>
      <c r="Q216" s="174"/>
      <c r="R216" s="175"/>
      <c r="S216" s="173">
        <f>SUM(T216:X216)</f>
        <v>10963.401945523317</v>
      </c>
      <c r="T216" s="174">
        <f>AL216*IF(H216="근접",AT216,IF(AV216=1,AT216,1))*AX216*IF(F216="백어택",1.2,1)</f>
        <v>10963.401945523317</v>
      </c>
      <c r="U216" s="174">
        <f>IF(AX216=1,AM216*IF(H216="근접",AT216,IF(AV216=1,AT216,1)),0)*AY216*IF(AX216=1,1,0)*IF(F216="백어택",1.2,1)</f>
        <v>0</v>
      </c>
      <c r="V216" s="174"/>
      <c r="W216" s="174"/>
      <c r="X216" s="175"/>
      <c r="Y216" s="173">
        <f>SUM(Z216:AD216)</f>
        <v>21926.803891046635</v>
      </c>
      <c r="Z216" s="174">
        <f>T216*$D$58/100</f>
        <v>21926.803891046635</v>
      </c>
      <c r="AA216" s="174">
        <f>U216*$D$58/100</f>
        <v>0</v>
      </c>
      <c r="AB216" s="174"/>
      <c r="AC216" s="174"/>
      <c r="AD216" s="175"/>
      <c r="AE216" s="173">
        <f>(AO216*(1-$D$20/100)*(1-$D$17/100)-AR216)*IF(AW216="보스대상",1,POWER(0.85,AW216))</f>
        <v>18.484776131615998</v>
      </c>
      <c r="AF216" s="174">
        <f>AP216</f>
        <v>36</v>
      </c>
      <c r="AG216" s="174">
        <f>IF($D$57+AU216&gt;100,100,$D$57+AU216)</f>
        <v>59.001300000000001</v>
      </c>
      <c r="AH216" s="174">
        <f>AQ216</f>
        <v>521</v>
      </c>
      <c r="AI216" s="174">
        <f>$D$58</f>
        <v>200</v>
      </c>
      <c r="AJ216" s="174">
        <f>10*AS216/IF(AX216=1,IF(AY216=1,4.5,4),4)</f>
        <v>2</v>
      </c>
      <c r="AK216" s="174">
        <f>SUM(AL216:AN216)</f>
        <v>5464.3340202024392</v>
      </c>
      <c r="AL216" s="174">
        <f>IF(AV216=1,$D$61*(VLOOKUP(C216,$B$36:$AG$39,25,FALSE)+VLOOKUP(C216,$B$40:$AG$43,25,FALSE)*$D$54),(IF(H216="근접",$D$61*(VLOOKUP(C216,$B$36:$AG$39,25,FALSE)+VLOOKUP(C216,$B$40:$AG$43,25,FALSE)*$D$54),$D$60*(VLOOKUP(C216,$B$36:$AG$39,25,FALSE)+VLOOKUP(C216,$B$40:$AG$43,25,FALSE)*$D$54))))*$D$59/100</f>
        <v>3262.9172456914639</v>
      </c>
      <c r="AM216" s="174">
        <f>(IF(AV216=1,$D$61*(VLOOKUP(C216,$B$36:$AG$39,26,FALSE)+VLOOKUP(C216,$B$40:$AG$43,26,FALSE)*$D$54),IF(H216="근접",$D$61*(VLOOKUP(C216,$B$36:$AG$39,26,FALSE)+VLOOKUP(C216,$B$40:$AG$43,26,FALSE)*$D$54),$D$60*(VLOOKUP(C216,$B$36:$AG$39,26,FALSE)+VLOOKUP(C216,$B$40:$AG$43,26,FALSE)*$D$54))))*$D$59/100</f>
        <v>2201.4167745109758</v>
      </c>
      <c r="AN216" s="174"/>
      <c r="AO216" s="176">
        <v>24</v>
      </c>
      <c r="AP216" s="174">
        <v>36</v>
      </c>
      <c r="AQ216" s="175">
        <f>VLOOKUP(C216,$B$45:$AA$48,25,FALSE)</f>
        <v>521</v>
      </c>
      <c r="AR216" s="31">
        <f>IF(LEFT(E216,1)*1=1,$S$68,$R$68)</f>
        <v>0</v>
      </c>
      <c r="AS216" s="2">
        <f>IF(LEFT(E216,1)*1=2,$U$68,$T$68)</f>
        <v>0.8</v>
      </c>
      <c r="AT216" s="33">
        <f>IF(LEFT(E216,1)*1=3,$W$68,$V$68)</f>
        <v>1</v>
      </c>
      <c r="AU216" s="31">
        <f>IF(MID(E216,3,1)*1=1,$Y$68,$X$68)</f>
        <v>40</v>
      </c>
      <c r="AV216" s="2">
        <f>IF(MID(E216,3,1)*1=2,$AA$68,$Z$68)</f>
        <v>0</v>
      </c>
      <c r="AW216" s="33" t="str">
        <f>IF(MID(E216,3,1)*1=3,$AC$68,$AB$68)</f>
        <v>보스대상</v>
      </c>
      <c r="AX216" s="31">
        <f>IF(MID(E216,5,1)*1=1,$AE$68,$AD$68)</f>
        <v>2.8</v>
      </c>
      <c r="AY216" s="33">
        <f>IF(MID(E216,5,1)*1=2,$AG$68,$AF$68)</f>
        <v>1</v>
      </c>
      <c r="AZ216" s="2"/>
      <c r="BA216" s="101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 ht="12" customHeight="1">
      <c r="A217" s="2"/>
      <c r="B217" s="107">
        <v>705</v>
      </c>
      <c r="C217" s="31">
        <v>10</v>
      </c>
      <c r="D217" s="111" t="s">
        <v>18</v>
      </c>
      <c r="E217" s="2" t="s">
        <v>182</v>
      </c>
      <c r="F217" s="2" t="s">
        <v>149</v>
      </c>
      <c r="G217" s="2"/>
      <c r="H217" s="33" t="s">
        <v>80</v>
      </c>
      <c r="I217" s="173">
        <f>M217/AE217</f>
        <v>990.49204831503675</v>
      </c>
      <c r="J217" s="174">
        <f>AH217/AE217</f>
        <v>28.185356224514496</v>
      </c>
      <c r="K217" s="207">
        <f>RANK(I217,$I$76:$I$977)</f>
        <v>141</v>
      </c>
      <c r="L217" s="208" t="e">
        <f>RANK(I217,$I$451:$I$866)</f>
        <v>#N/A</v>
      </c>
      <c r="M217" s="173">
        <f>SUM(N217:R217)</f>
        <v>18309.023773249231</v>
      </c>
      <c r="N217" s="174">
        <f>T217*(1+((AG217+IF(F217="백어택",8,0))/100)*(AI217/100-1))</f>
        <v>18309.023773249231</v>
      </c>
      <c r="O217" s="174">
        <f>U217*(1+(($D$57+IF(F217="백어택",8,0))/100)*(AI217/100-1))</f>
        <v>0</v>
      </c>
      <c r="P217" s="174"/>
      <c r="Q217" s="174"/>
      <c r="R217" s="175"/>
      <c r="S217" s="173">
        <f>SUM(T217:X217)</f>
        <v>10963.401945523317</v>
      </c>
      <c r="T217" s="174">
        <f>AL217*IF(H217="근접",AT217,IF(AV217=1,AT217,1))*AX217*IF(F217="백어택",1.2,1)</f>
        <v>10963.401945523317</v>
      </c>
      <c r="U217" s="174">
        <f>IF(AX217=1,AM217*IF(H217="근접",AT217,IF(AV217=1,AT217,1)),0)*AY217*IF(AX217=1,1,0)*IF(F217="백어택",1.2,1)</f>
        <v>0</v>
      </c>
      <c r="V217" s="174"/>
      <c r="W217" s="174"/>
      <c r="X217" s="175"/>
      <c r="Y217" s="173">
        <f>SUM(Z217:AD217)</f>
        <v>21926.803891046635</v>
      </c>
      <c r="Z217" s="174">
        <f>T217*$D$58/100</f>
        <v>21926.803891046635</v>
      </c>
      <c r="AA217" s="174">
        <f>U217*$D$58/100</f>
        <v>0</v>
      </c>
      <c r="AB217" s="174"/>
      <c r="AC217" s="174"/>
      <c r="AD217" s="175"/>
      <c r="AE217" s="173">
        <f>(AO217*(1-$D$20/100)*(1-$D$17/100)-AR217)*IF(AW217="보스대상",1,POWER(0.85,AW217))</f>
        <v>18.484776131615998</v>
      </c>
      <c r="AF217" s="174">
        <f>AP217</f>
        <v>36</v>
      </c>
      <c r="AG217" s="174">
        <f>IF($D$57+AU217&gt;100,100,$D$57+AU217)</f>
        <v>59.001300000000001</v>
      </c>
      <c r="AH217" s="174">
        <f>AQ217</f>
        <v>521</v>
      </c>
      <c r="AI217" s="174">
        <f>$D$58</f>
        <v>200</v>
      </c>
      <c r="AJ217" s="174">
        <f>10*AS217/IF(AX217=1,IF(AY217=1,4.5,4),4)</f>
        <v>2.5</v>
      </c>
      <c r="AK217" s="174">
        <f>SUM(AL217:AN217)</f>
        <v>5464.3340202024392</v>
      </c>
      <c r="AL217" s="174">
        <f>IF(AV217=1,$D$61*(VLOOKUP(C217,$B$36:$AG$39,25,FALSE)+VLOOKUP(C217,$B$40:$AG$43,25,FALSE)*$D$54),(IF(H217="근접",$D$61*(VLOOKUP(C217,$B$36:$AG$39,25,FALSE)+VLOOKUP(C217,$B$40:$AG$43,25,FALSE)*$D$54),$D$60*(VLOOKUP(C217,$B$36:$AG$39,25,FALSE)+VLOOKUP(C217,$B$40:$AG$43,25,FALSE)*$D$54))))*$D$59/100</f>
        <v>3262.9172456914639</v>
      </c>
      <c r="AM217" s="174">
        <f>(IF(AV217=1,$D$61*(VLOOKUP(C217,$B$36:$AG$39,26,FALSE)+VLOOKUP(C217,$B$40:$AG$43,26,FALSE)*$D$54),IF(H217="근접",$D$61*(VLOOKUP(C217,$B$36:$AG$39,26,FALSE)+VLOOKUP(C217,$B$40:$AG$43,26,FALSE)*$D$54),$D$60*(VLOOKUP(C217,$B$36:$AG$39,26,FALSE)+VLOOKUP(C217,$B$40:$AG$43,26,FALSE)*$D$54))))*$D$59/100</f>
        <v>2201.4167745109758</v>
      </c>
      <c r="AN217" s="174"/>
      <c r="AO217" s="176">
        <v>24</v>
      </c>
      <c r="AP217" s="174">
        <v>36</v>
      </c>
      <c r="AQ217" s="175">
        <f>VLOOKUP(C217,$B$45:$AA$48,25,FALSE)</f>
        <v>521</v>
      </c>
      <c r="AR217" s="31">
        <f>IF(LEFT(E217,1)*1=1,$S$68,$R$68)</f>
        <v>0</v>
      </c>
      <c r="AS217" s="2">
        <f>IF(LEFT(E217,1)*1=2,$U$68,$T$68)</f>
        <v>1</v>
      </c>
      <c r="AT217" s="33">
        <f>IF(LEFT(E217,1)*1=3,$W$68,$V$68)</f>
        <v>1.2</v>
      </c>
      <c r="AU217" s="31">
        <f>IF(MID(E217,3,1)*1=1,$Y$68,$X$68)</f>
        <v>40</v>
      </c>
      <c r="AV217" s="2">
        <f>IF(MID(E217,3,1)*1=2,$AA$68,$Z$68)</f>
        <v>0</v>
      </c>
      <c r="AW217" s="33" t="str">
        <f>IF(MID(E217,3,1)*1=3,$AC$68,$AB$68)</f>
        <v>보스대상</v>
      </c>
      <c r="AX217" s="31">
        <f>IF(MID(E217,5,1)*1=1,$AE$68,$AD$68)</f>
        <v>2.8</v>
      </c>
      <c r="AY217" s="33">
        <f>IF(MID(E217,5,1)*1=2,$AG$68,$AF$68)</f>
        <v>1</v>
      </c>
      <c r="AZ217" s="2"/>
      <c r="BA217" s="101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 ht="12" hidden="1" customHeight="1">
      <c r="A218" s="2"/>
      <c r="B218" s="107">
        <v>194</v>
      </c>
      <c r="C218" s="31">
        <v>10</v>
      </c>
      <c r="D218" s="106" t="s">
        <v>10</v>
      </c>
      <c r="E218" s="2" t="s">
        <v>169</v>
      </c>
      <c r="F218" s="2"/>
      <c r="G218" s="2" t="s">
        <v>185</v>
      </c>
      <c r="H218" s="33"/>
      <c r="I218" s="173">
        <f>M218/AE218</f>
        <v>988.09996589216451</v>
      </c>
      <c r="J218" s="174">
        <f>AH218/AE218</f>
        <v>25.811482952392598</v>
      </c>
      <c r="K218" s="207">
        <f>RANK(I218,$I$76:$I$977)</f>
        <v>143</v>
      </c>
      <c r="L218" s="208">
        <f>RANK(I218,$I$76:$I$450)</f>
        <v>143</v>
      </c>
      <c r="M218" s="173">
        <f>SUM(N218:R218)</f>
        <v>15771.94098837455</v>
      </c>
      <c r="N218" s="174">
        <f>T218*(1+((AG218+IF(F218="백어택",8,0))/100)*((AI218/100-1)))</f>
        <v>15771.94098837455</v>
      </c>
      <c r="O218" s="174"/>
      <c r="P218" s="174"/>
      <c r="Q218" s="174"/>
      <c r="R218" s="175"/>
      <c r="S218" s="173">
        <f>SUM(T218:X218)</f>
        <v>11944.979361808051</v>
      </c>
      <c r="T218" s="174">
        <f>AL218*AS218*AU218*AX218*IF(AY218=0,1,0.5)*IF(F218="백어택",1.2,1)</f>
        <v>11944.979361808051</v>
      </c>
      <c r="U218" s="174"/>
      <c r="V218" s="174"/>
      <c r="W218" s="174"/>
      <c r="X218" s="175"/>
      <c r="Y218" s="173">
        <f>SUM(Z218:AD218)</f>
        <v>32085.504623587498</v>
      </c>
      <c r="Z218" s="174">
        <f>T218*AI218/100</f>
        <v>32085.504623587498</v>
      </c>
      <c r="AA218" s="174"/>
      <c r="AB218" s="174"/>
      <c r="AC218" s="174"/>
      <c r="AD218" s="175"/>
      <c r="AE218" s="173">
        <f>AO218*(1-$D$17/100)</f>
        <v>15.961888</v>
      </c>
      <c r="AF218" s="174">
        <f>AP218</f>
        <v>36</v>
      </c>
      <c r="AG218" s="174">
        <f>IF($D$57+AV218&gt;100,100,$D$57+AV218)</f>
        <v>19.001300000000001</v>
      </c>
      <c r="AH218" s="174">
        <f>AQ218</f>
        <v>412</v>
      </c>
      <c r="AI218" s="174">
        <f>$D$58+$D$19</f>
        <v>268.61079999999998</v>
      </c>
      <c r="AJ218" s="174">
        <f>10*AR218/(7-IF(AX218=1,0,3))</f>
        <v>1.4285714285714286</v>
      </c>
      <c r="AK218" s="174">
        <f>SUM(AL218:AN218)</f>
        <v>8098.2910927512203</v>
      </c>
      <c r="AL218" s="174">
        <f>(VLOOKUP(C218,$B$36:$AG$39,13,FALSE)+VLOOKUP(C218,$B$40:$AG$43,13,FALSE)*$D$54)*$D$59/100</f>
        <v>8098.2910927512203</v>
      </c>
      <c r="AM218" s="174"/>
      <c r="AN218" s="174"/>
      <c r="AO218" s="176">
        <v>16</v>
      </c>
      <c r="AP218" s="174">
        <v>36</v>
      </c>
      <c r="AQ218" s="175">
        <f>VLOOKUP(C218,$B$45:$AA$48,13,FALSE)</f>
        <v>412</v>
      </c>
      <c r="AR218" s="31">
        <f>IF(LEFT(E218,1)*1=1,$S$60,$R$60)</f>
        <v>1</v>
      </c>
      <c r="AS218" s="2">
        <f>IF(LEFT(E218,1)*1=2,$U$60,$T$60)</f>
        <v>1.18</v>
      </c>
      <c r="AT218" s="33">
        <f>IF(LEFT(E218,1)*1=3,$W$60,$V$60)</f>
        <v>0</v>
      </c>
      <c r="AU218" s="31">
        <f>IF(MID(E218,3,1)*1=1,$Y$60,$X$60)</f>
        <v>1.25</v>
      </c>
      <c r="AV218" s="2">
        <f>IF(MID(E218,3,1)*1=2,$AA$60,$Z$60)</f>
        <v>0</v>
      </c>
      <c r="AW218" s="33">
        <f>IF(MID(E218,3,1)*1=3,$AC$60,$AB$60)</f>
        <v>0</v>
      </c>
      <c r="AX218" s="31">
        <f>IF(MID(E218,5,1)*1=1,$AE$60,$AD$60)</f>
        <v>1</v>
      </c>
      <c r="AY218" s="33">
        <f>IF(MID(E218,5,1)*1=2,$AG$60,$AF$60)</f>
        <v>0</v>
      </c>
      <c r="AZ218" s="2"/>
      <c r="BA218" s="101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 ht="12" customHeight="1">
      <c r="A219" s="2"/>
      <c r="B219" s="107">
        <v>495</v>
      </c>
      <c r="C219" s="31">
        <v>10</v>
      </c>
      <c r="D219" s="111" t="s">
        <v>14</v>
      </c>
      <c r="E219" s="2" t="s">
        <v>165</v>
      </c>
      <c r="F219" s="2"/>
      <c r="G219" s="2"/>
      <c r="H219" s="33" t="s">
        <v>81</v>
      </c>
      <c r="I219" s="173">
        <f>M219/AE219</f>
        <v>986.02855229032377</v>
      </c>
      <c r="J219" s="174">
        <f>AH219/AE219</f>
        <v>23.695174714659018</v>
      </c>
      <c r="K219" s="207">
        <f>RANK(I219,$I$76:$I$977)</f>
        <v>144</v>
      </c>
      <c r="L219" s="208" t="e">
        <f>RANK(I219,$I$451:$I$866)</f>
        <v>#N/A</v>
      </c>
      <c r="M219" s="173">
        <f>SUM(N219:R219)</f>
        <v>27339.775572702085</v>
      </c>
      <c r="N219" s="174">
        <f>T219*(1+((AG219+IF(F219="백어택",8,0))/100)*(AI219/100-1))</f>
        <v>8157.9540267264347</v>
      </c>
      <c r="O219" s="174">
        <f>U219*(1+((AG219+IF(F219="백어택",8,0))/100)*(AI219/100-1))</f>
        <v>8157.9540267264347</v>
      </c>
      <c r="P219" s="174">
        <f>V219*(1+((AG219+IF(F219="백어택",8,0))/100)*(AI219*IF(AX219=1,AW219,1)/100-1))</f>
        <v>11023.867519249214</v>
      </c>
      <c r="Q219" s="174">
        <f>W219*(1+((AG219+IF(F219="백어택",8,0))/100)*(AI219*AW219/100-1))</f>
        <v>0</v>
      </c>
      <c r="R219" s="175"/>
      <c r="S219" s="173">
        <f>SUM(T219:X219)</f>
        <v>14542.232699282926</v>
      </c>
      <c r="T219" s="174">
        <f>AL219*AY219*IF(F219="백어택",1.2,1)</f>
        <v>4339.2772369778049</v>
      </c>
      <c r="U219" s="174">
        <f>AM219*AY219*IF(F219="백어택",1.2,1)</f>
        <v>4339.2772369778049</v>
      </c>
      <c r="V219" s="174">
        <f>AN219*AY219*IF(F219="백어택",1.2,1)</f>
        <v>5863.6782253273168</v>
      </c>
      <c r="W219" s="174">
        <f>(T219+U219+V219)*IF(AX219=1,0,0.6)*IF(F219="백어택",1.2,1)</f>
        <v>0</v>
      </c>
      <c r="X219" s="175"/>
      <c r="Y219" s="173">
        <f>SUM(Z219:AD219)</f>
        <v>43626.698097848785</v>
      </c>
      <c r="Z219" s="174">
        <f>T219*AI219/100</f>
        <v>13017.831710933415</v>
      </c>
      <c r="AA219" s="174">
        <f>U219*AI219/100</f>
        <v>13017.831710933415</v>
      </c>
      <c r="AB219" s="174">
        <f>V219*AI219*IF(AX219=1,AW219,1)/100</f>
        <v>17591.034675981951</v>
      </c>
      <c r="AC219" s="174">
        <f>W219*AI219*AW219/100</f>
        <v>0</v>
      </c>
      <c r="AD219" s="175"/>
      <c r="AE219" s="173">
        <f>AO219*(1-$D$20/100)*(1-$D$17/100)</f>
        <v>27.727164197424003</v>
      </c>
      <c r="AF219" s="174">
        <f>AP219</f>
        <v>36</v>
      </c>
      <c r="AG219" s="174">
        <f>IF($D$57+AU219&gt;100,100,$D$57+AU219)</f>
        <v>44.001300000000001</v>
      </c>
      <c r="AH219" s="174">
        <f>AQ219*AS219</f>
        <v>657</v>
      </c>
      <c r="AI219" s="174">
        <f>$D$58+IF(H219="근접",AR219,0)+IF(AY219=1,0,50)</f>
        <v>300</v>
      </c>
      <c r="AJ219" s="174">
        <f>10/3</f>
        <v>3.3333333333333335</v>
      </c>
      <c r="AK219" s="174">
        <f>SUM(AL219:AN219)</f>
        <v>12118.527249402439</v>
      </c>
      <c r="AL219" s="174">
        <f>(IF(H219="근접",$D$61*(VLOOKUP(C219,$B$36:$AG$39,19,FALSE)+VLOOKUP(C219,$B$40:$AG$43,19,FALSE)*$D$54),$D$60*(VLOOKUP(C219,$B$36:$AG$39,19,FALSE)+VLOOKUP(C219,$B$40:$AG$43,19,FALSE)*$D$54)))*$D$59/100</f>
        <v>3616.0643641481706</v>
      </c>
      <c r="AM219" s="174">
        <f>(IF(H219="근접",$D$61*(VLOOKUP(C219,$B$36:$AG$39,20,FALSE)+VLOOKUP(C219,$B$40:$AG$43,20,FALSE)*$D$54),$D$60*(VLOOKUP(C219,$B$36:$AG$39,20,FALSE)+VLOOKUP(C219,$B$40:$AG$43,20,FALSE)*$D$54)))*$D$59/100</f>
        <v>3616.0643641481706</v>
      </c>
      <c r="AN219" s="174">
        <f>(IF(H219="근접",$D$61*(VLOOKUP(C219,$B$36:$AG$39,21,FALSE)+VLOOKUP(C219,$B$40:$AG$43,21,FALSE)*$D$54),$D$60*(VLOOKUP(C219,$B$36:$AG$39,21,FALSE)+VLOOKUP(C219,$B$40:$AG$43,21,FALSE)*$D$54)))*$D$59/100</f>
        <v>4886.3985211060972</v>
      </c>
      <c r="AO219" s="176">
        <v>36</v>
      </c>
      <c r="AP219" s="174">
        <v>36</v>
      </c>
      <c r="AQ219" s="175">
        <f>VLOOKUP(C219,$B$45:$AA$48,19,FALSE)</f>
        <v>657</v>
      </c>
      <c r="AR219" s="31">
        <f>IF(LEFT(E219,1)*1=1,$S$64,$R$64)</f>
        <v>50</v>
      </c>
      <c r="AS219" s="2">
        <f>IF(LEFT(E219,1)*1=2,$U$64,$T$64)</f>
        <v>1</v>
      </c>
      <c r="AT219" s="33">
        <f>IF(LEFT(E219,1)*1=3,$W$64,$V$64)</f>
        <v>0</v>
      </c>
      <c r="AU219" s="31">
        <f>IF(MID(E219,3,1)*1=1,$Y$64,$X$64)</f>
        <v>25</v>
      </c>
      <c r="AV219" s="2">
        <f>IF(MID(E219,3,1)*1=2,$AA$64,$Z$64)</f>
        <v>0</v>
      </c>
      <c r="AW219" s="33">
        <f>IF(MID(E219,3,1)*1=3,$AC$64,$AB$64)</f>
        <v>1</v>
      </c>
      <c r="AX219" s="31">
        <f>IF(MID(E219,5,1)*1=1,$AE$64,$AD$64)</f>
        <v>1</v>
      </c>
      <c r="AY219" s="33">
        <f>IF(MID(E219,5,1)*1=2,$AG$64,$AF$64)</f>
        <v>1.2</v>
      </c>
      <c r="AZ219" s="2"/>
      <c r="BA219" s="101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 ht="12" customHeight="1">
      <c r="A220" s="2"/>
      <c r="B220" s="107">
        <v>686</v>
      </c>
      <c r="C220" s="31">
        <v>7</v>
      </c>
      <c r="D220" s="111" t="s">
        <v>18</v>
      </c>
      <c r="E220" s="2" t="s">
        <v>163</v>
      </c>
      <c r="F220" s="2" t="s">
        <v>149</v>
      </c>
      <c r="G220" s="2"/>
      <c r="H220" s="33" t="s">
        <v>81</v>
      </c>
      <c r="I220" s="173">
        <f>M220/AE220</f>
        <v>980.46724099560379</v>
      </c>
      <c r="J220" s="174">
        <f>AH220/AE220</f>
        <v>25.060794637183101</v>
      </c>
      <c r="K220" s="207">
        <f>RANK(I220,$I$76:$I$977)</f>
        <v>145</v>
      </c>
      <c r="L220" s="208" t="e">
        <f>RANK(I220,$I$451:$I$866)</f>
        <v>#N/A</v>
      </c>
      <c r="M220" s="173">
        <f>SUM(N220:R220)</f>
        <v>14201.848490204513</v>
      </c>
      <c r="N220" s="174">
        <f>T220*(1+((AG220+IF(F220="백어택",8,0))/100)*(AI220/100-1))</f>
        <v>9383.0959331736594</v>
      </c>
      <c r="O220" s="174">
        <f>U220*(1+(($D$57+IF(F220="백어택",8,0))/100)*(AI220/100-1))</f>
        <v>4818.7525570308544</v>
      </c>
      <c r="P220" s="174"/>
      <c r="Q220" s="174"/>
      <c r="R220" s="175"/>
      <c r="S220" s="173">
        <f>SUM(T220:X220)</f>
        <v>9412.8310950102441</v>
      </c>
      <c r="T220" s="174">
        <f>AL220*IF(H220="근접",AT220,IF(AV220=1,AT220,1))*AX220*IF(F220="백어택",1.2,1)</f>
        <v>5618.576581843171</v>
      </c>
      <c r="U220" s="174">
        <f>IF(AX220=1,AM220*IF(H220="근접",AT220,IF(AV220=1,AT220,1)),0)*AY220*IF(AX220=1,1,0)*IF(F220="백어택",1.2,1)</f>
        <v>3794.2545131670736</v>
      </c>
      <c r="V220" s="174"/>
      <c r="W220" s="174"/>
      <c r="X220" s="175"/>
      <c r="Y220" s="173">
        <f>SUM(Z220:AD220)</f>
        <v>18825.662190020488</v>
      </c>
      <c r="Z220" s="174">
        <f>T220*$D$58/100</f>
        <v>11237.153163686342</v>
      </c>
      <c r="AA220" s="174">
        <f>U220*$D$58/100</f>
        <v>7588.5090263341472</v>
      </c>
      <c r="AB220" s="174"/>
      <c r="AC220" s="174"/>
      <c r="AD220" s="175"/>
      <c r="AE220" s="173">
        <f>(AO220*(1-$D$20/100)*(1-$D$17/100)-AR220)*IF(AW220="보스대상",1,POWER(0.85,AW220))</f>
        <v>14.484776131615998</v>
      </c>
      <c r="AF220" s="174">
        <f>AP220</f>
        <v>36</v>
      </c>
      <c r="AG220" s="174">
        <f>IF($D$57+AU220&gt;100,100,$D$57+AU220)</f>
        <v>59.001300000000001</v>
      </c>
      <c r="AH220" s="174">
        <f>AQ220</f>
        <v>363</v>
      </c>
      <c r="AI220" s="174">
        <f>$D$58</f>
        <v>200</v>
      </c>
      <c r="AJ220" s="174">
        <f>10*AS220/IF(AX220=1,IF(AY220=1,4.5,4),4)</f>
        <v>2.2222222222222223</v>
      </c>
      <c r="AK220" s="174">
        <f>SUM(AL220:AN220)</f>
        <v>7844.0259125085377</v>
      </c>
      <c r="AL220" s="174">
        <f>IF(AV220=1,$D$61*(VLOOKUP(C220,$B$36:$AG$39,25,FALSE)+VLOOKUP(C220,$B$40:$AG$43,25,FALSE)*$D$54),(IF(H220="근접",$D$61*(VLOOKUP(C220,$B$36:$AG$39,25,FALSE)+VLOOKUP(C220,$B$40:$AG$43,25,FALSE)*$D$54),$D$60*(VLOOKUP(C220,$B$36:$AG$39,25,FALSE)+VLOOKUP(C220,$B$40:$AG$43,25,FALSE)*$D$54))))*$D$59/100</f>
        <v>4682.1471515359763</v>
      </c>
      <c r="AM220" s="174">
        <f>(IF(AV220=1,$D$61*(VLOOKUP(C220,$B$36:$AG$39,26,FALSE)+VLOOKUP(C220,$B$40:$AG$43,26,FALSE)*$D$54),IF(H220="근접",$D$61*(VLOOKUP(C220,$B$36:$AG$39,26,FALSE)+VLOOKUP(C220,$B$40:$AG$43,26,FALSE)*$D$54),$D$60*(VLOOKUP(C220,$B$36:$AG$39,26,FALSE)+VLOOKUP(C220,$B$40:$AG$43,26,FALSE)*$D$54))))*$D$59/100</f>
        <v>3161.8787609725614</v>
      </c>
      <c r="AN220" s="174"/>
      <c r="AO220" s="176">
        <v>24</v>
      </c>
      <c r="AP220" s="174">
        <v>36</v>
      </c>
      <c r="AQ220" s="175">
        <f>VLOOKUP(C220,$B$45:$AA$48,25,FALSE)</f>
        <v>363</v>
      </c>
      <c r="AR220" s="31">
        <f>IF(LEFT(E220,1)*1=1,$S$68,$R$68)</f>
        <v>4</v>
      </c>
      <c r="AS220" s="2">
        <f>IF(LEFT(E220,1)*1=2,$U$68,$T$68)</f>
        <v>1</v>
      </c>
      <c r="AT220" s="33">
        <f>IF(LEFT(E220,1)*1=3,$W$68,$V$68)</f>
        <v>1</v>
      </c>
      <c r="AU220" s="31">
        <f>IF(MID(E220,3,1)*1=1,$Y$68,$X$68)</f>
        <v>40</v>
      </c>
      <c r="AV220" s="2">
        <f>IF(MID(E220,3,1)*1=2,$AA$68,$Z$68)</f>
        <v>0</v>
      </c>
      <c r="AW220" s="33" t="str">
        <f>IF(MID(E220,3,1)*1=3,$AC$68,$AB$68)</f>
        <v>보스대상</v>
      </c>
      <c r="AX220" s="31">
        <f>IF(MID(E220,5,1)*1=1,$AE$68,$AD$68)</f>
        <v>1</v>
      </c>
      <c r="AY220" s="33">
        <f>IF(MID(E220,5,1)*1=2,$AG$68,$AF$68)</f>
        <v>1</v>
      </c>
      <c r="AZ220" s="2"/>
      <c r="BA220" s="101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 ht="12" customHeight="1">
      <c r="A221" s="2"/>
      <c r="B221" s="107">
        <v>318</v>
      </c>
      <c r="C221" s="31">
        <v>10</v>
      </c>
      <c r="D221" s="106" t="s">
        <v>20</v>
      </c>
      <c r="E221" s="2" t="s">
        <v>164</v>
      </c>
      <c r="F221" s="2" t="s">
        <v>149</v>
      </c>
      <c r="G221" s="2"/>
      <c r="H221" s="33"/>
      <c r="I221" s="173">
        <f>M221/AE221</f>
        <v>979.30816005282486</v>
      </c>
      <c r="J221" s="174">
        <f>AH221/AE221</f>
        <v>29.484277859834549</v>
      </c>
      <c r="K221" s="207">
        <f>RANK(I221,$I$76:$I$977)</f>
        <v>146</v>
      </c>
      <c r="L221" s="208">
        <f>RANK(I221,$I$76:$I$450)</f>
        <v>146</v>
      </c>
      <c r="M221" s="173">
        <f>SUM(N221:R221)</f>
        <v>14647.633584121948</v>
      </c>
      <c r="N221" s="174">
        <f>T221*(1+((AG221+IF(F221="백어택",8,0))/100)*((AI221/100-1)))</f>
        <v>7217.5658145662783</v>
      </c>
      <c r="O221" s="174">
        <f>U221*(1+(($D$57+IF(F221="백어택",8,0))/100)*($D$58/100-1))</f>
        <v>7430.0677695556687</v>
      </c>
      <c r="P221" s="174"/>
      <c r="Q221" s="174"/>
      <c r="R221" s="175"/>
      <c r="S221" s="173">
        <f>SUM(T221:X221)</f>
        <v>8776.1080578321944</v>
      </c>
      <c r="T221" s="174">
        <f>AL221*AV221*IF(F221="백어택",1.2,1)</f>
        <v>2925.720881042927</v>
      </c>
      <c r="U221" s="174">
        <f>AM221*AX221*AY221*IF(F221="백어택",1.2,1)</f>
        <v>5850.3871767892679</v>
      </c>
      <c r="V221" s="174"/>
      <c r="W221" s="174"/>
      <c r="X221" s="175"/>
      <c r="Y221" s="173">
        <f>SUM(Z221:AD221)</f>
        <v>17552.216115664389</v>
      </c>
      <c r="Z221" s="174">
        <f>T221*$D$58/100</f>
        <v>5851.441762085854</v>
      </c>
      <c r="AA221" s="174">
        <f>U221*$D$58/100</f>
        <v>11700.774353578536</v>
      </c>
      <c r="AB221" s="174"/>
      <c r="AC221" s="174"/>
      <c r="AD221" s="175"/>
      <c r="AE221" s="173">
        <f>AO221*(1-$D$17/100)-AR221</f>
        <v>14.957124</v>
      </c>
      <c r="AF221" s="174">
        <f>AP221</f>
        <v>36</v>
      </c>
      <c r="AG221" s="174">
        <f>IF($D$57+AU221&gt;100,100,$D$57+AU221)</f>
        <v>79.001300000000001</v>
      </c>
      <c r="AH221" s="174">
        <f>AQ221*AS221</f>
        <v>441</v>
      </c>
      <c r="AI221" s="174">
        <f>$D$58+$D$19</f>
        <v>268.61079999999998</v>
      </c>
      <c r="AJ221" s="174">
        <f>10*IF(AV221=1,1,5/4.5)/IF(AX221=1,5,3.5)</f>
        <v>2.8571428571428572</v>
      </c>
      <c r="AK221" s="174">
        <f>SUM(AL221:AN221)</f>
        <v>4875.7620578646347</v>
      </c>
      <c r="AL221" s="174">
        <f>(VLOOKUP(C221,$B$36:$AG$39,29,FALSE)+VLOOKUP(C221,$B$40:$AG$43,29,FALSE)*$D$54)*$D$59/100</f>
        <v>2438.1007342024391</v>
      </c>
      <c r="AM221" s="174">
        <f>(VLOOKUP(C221,$B$36:$AG$39,30,FALSE)+VLOOKUP(C221,$B$40:$AG$43,30,FALSE)*$D$54)*$D$59/100</f>
        <v>2437.6613236621952</v>
      </c>
      <c r="AN221" s="174"/>
      <c r="AO221" s="176">
        <v>18</v>
      </c>
      <c r="AP221" s="174">
        <v>36</v>
      </c>
      <c r="AQ221" s="175">
        <f>VLOOKUP(C221,$B$45:$AG$48,29,FALSE)</f>
        <v>441</v>
      </c>
      <c r="AR221" s="31">
        <f>IF(LEFT(E221,1)*1=1,$S$70,$R$70)</f>
        <v>3</v>
      </c>
      <c r="AS221" s="2">
        <f>IF(LEFT(E221,1)*1=2,$U$70,$T$70)</f>
        <v>1</v>
      </c>
      <c r="AT221" s="33">
        <f>IF(LEFT(E221,1)*1=3,$W$70,$V$70)</f>
        <v>0</v>
      </c>
      <c r="AU221" s="31">
        <f>IF(MID(E221,3,1)*1=1,$Y$70,$X$70)</f>
        <v>60</v>
      </c>
      <c r="AV221" s="2">
        <f>IF(MID(E221,3,1)*1=2,$AA$70,$Z$70)</f>
        <v>1</v>
      </c>
      <c r="AW221" s="33">
        <f>IF(MID(E221,3,1)*1=3,$AC$70,$AB$70)</f>
        <v>0</v>
      </c>
      <c r="AX221" s="31">
        <f>IF(MID(E221,5,1)*1=1,$AE$70,$AD$70)</f>
        <v>2</v>
      </c>
      <c r="AY221" s="33">
        <f>IF(MID(E221,5,1)*1=2,$AG$70,$AF$70)</f>
        <v>1</v>
      </c>
      <c r="AZ221" s="2"/>
      <c r="BA221" s="101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12" customHeight="1">
      <c r="A222" s="2"/>
      <c r="B222" s="107">
        <v>327</v>
      </c>
      <c r="C222" s="31">
        <v>10</v>
      </c>
      <c r="D222" s="106" t="s">
        <v>20</v>
      </c>
      <c r="E222" s="2" t="s">
        <v>165</v>
      </c>
      <c r="F222" s="2" t="s">
        <v>149</v>
      </c>
      <c r="G222" s="2"/>
      <c r="H222" s="33"/>
      <c r="I222" s="173">
        <f>M222/AE222</f>
        <v>979.30816005282486</v>
      </c>
      <c r="J222" s="174">
        <f>AH222/AE222</f>
        <v>29.484277859834549</v>
      </c>
      <c r="K222" s="207">
        <f>RANK(I222,$I$76:$I$977)</f>
        <v>146</v>
      </c>
      <c r="L222" s="208">
        <f>RANK(I222,$I$76:$I$450)</f>
        <v>146</v>
      </c>
      <c r="M222" s="173">
        <f>SUM(N222:R222)</f>
        <v>14647.633584121948</v>
      </c>
      <c r="N222" s="174">
        <f>T222*(1+((AG222+IF(F222="백어택",8,0))/100)*((AI222/100-1)))</f>
        <v>7217.5658145662783</v>
      </c>
      <c r="O222" s="174">
        <f>U222*(1+(($D$57+IF(F222="백어택",8,0))/100)*($D$58/100-1))</f>
        <v>7430.0677695556687</v>
      </c>
      <c r="P222" s="174"/>
      <c r="Q222" s="174"/>
      <c r="R222" s="175"/>
      <c r="S222" s="173">
        <f>SUM(T222:X222)</f>
        <v>8776.1080578321944</v>
      </c>
      <c r="T222" s="174">
        <f>AL222*AV222*IF(F222="백어택",1.2,1)</f>
        <v>2925.720881042927</v>
      </c>
      <c r="U222" s="174">
        <f>AM222*AX222*AY222*IF(F222="백어택",1.2,1)</f>
        <v>5850.3871767892679</v>
      </c>
      <c r="V222" s="174"/>
      <c r="W222" s="174"/>
      <c r="X222" s="175"/>
      <c r="Y222" s="173">
        <f>SUM(Z222:AD222)</f>
        <v>17552.216115664389</v>
      </c>
      <c r="Z222" s="174">
        <f>T222*$D$58/100</f>
        <v>5851.441762085854</v>
      </c>
      <c r="AA222" s="174">
        <f>U222*$D$58/100</f>
        <v>11700.774353578536</v>
      </c>
      <c r="AB222" s="174"/>
      <c r="AC222" s="174"/>
      <c r="AD222" s="175"/>
      <c r="AE222" s="173">
        <f>AO222*(1-$D$17/100)-AR222</f>
        <v>14.957124</v>
      </c>
      <c r="AF222" s="174">
        <f>AP222</f>
        <v>36</v>
      </c>
      <c r="AG222" s="174">
        <f>IF($D$57+AU222&gt;100,100,$D$57+AU222)</f>
        <v>79.001300000000001</v>
      </c>
      <c r="AH222" s="174">
        <f>AQ222*AS222</f>
        <v>441</v>
      </c>
      <c r="AI222" s="174">
        <f>$D$58+$D$19</f>
        <v>268.61079999999998</v>
      </c>
      <c r="AJ222" s="174">
        <f>10*IF(AV222=1,1,5/4.5)/IF(AX222=1,5,3.5)</f>
        <v>2</v>
      </c>
      <c r="AK222" s="174">
        <f>SUM(AL222:AN222)</f>
        <v>4875.7620578646347</v>
      </c>
      <c r="AL222" s="174">
        <f>(VLOOKUP(C222,$B$36:$AG$39,29,FALSE)+VLOOKUP(C222,$B$40:$AG$43,29,FALSE)*$D$54)*$D$59/100</f>
        <v>2438.1007342024391</v>
      </c>
      <c r="AM222" s="174">
        <f>(VLOOKUP(C222,$B$36:$AG$39,30,FALSE)+VLOOKUP(C222,$B$40:$AG$43,30,FALSE)*$D$54)*$D$59/100</f>
        <v>2437.6613236621952</v>
      </c>
      <c r="AN222" s="174"/>
      <c r="AO222" s="176">
        <v>18</v>
      </c>
      <c r="AP222" s="174">
        <v>36</v>
      </c>
      <c r="AQ222" s="175">
        <f>VLOOKUP(C222,$B$45:$AG$48,29,FALSE)</f>
        <v>441</v>
      </c>
      <c r="AR222" s="31">
        <f>IF(LEFT(E222,1)*1=1,$S$70,$R$70)</f>
        <v>3</v>
      </c>
      <c r="AS222" s="2">
        <f>IF(LEFT(E222,1)*1=2,$U$70,$T$70)</f>
        <v>1</v>
      </c>
      <c r="AT222" s="33">
        <f>IF(LEFT(E222,1)*1=3,$W$70,$V$70)</f>
        <v>0</v>
      </c>
      <c r="AU222" s="31">
        <f>IF(MID(E222,3,1)*1=1,$Y$70,$X$70)</f>
        <v>60</v>
      </c>
      <c r="AV222" s="2">
        <f>IF(MID(E222,3,1)*1=2,$AA$70,$Z$70)</f>
        <v>1</v>
      </c>
      <c r="AW222" s="33">
        <f>IF(MID(E222,3,1)*1=3,$AC$70,$AB$70)</f>
        <v>0</v>
      </c>
      <c r="AX222" s="31">
        <f>IF(MID(E222,5,1)*1=1,$AE$70,$AD$70)</f>
        <v>1</v>
      </c>
      <c r="AY222" s="33">
        <f>IF(MID(E222,5,1)*1=2,$AG$70,$AF$70)</f>
        <v>2</v>
      </c>
      <c r="AZ222" s="2"/>
      <c r="BA222" s="101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 ht="12" customHeight="1">
      <c r="A223" s="2"/>
      <c r="B223" s="107">
        <v>738</v>
      </c>
      <c r="C223" s="31">
        <v>10</v>
      </c>
      <c r="D223" s="111" t="s">
        <v>21</v>
      </c>
      <c r="E223" s="2" t="s">
        <v>171</v>
      </c>
      <c r="F223" s="2"/>
      <c r="G223" s="2" t="s">
        <v>177</v>
      </c>
      <c r="H223" s="33"/>
      <c r="I223" s="173">
        <f>M223/AE223</f>
        <v>979.184043843312</v>
      </c>
      <c r="J223" s="174">
        <f>AH223/AE223</f>
        <v>23.695174714659018</v>
      </c>
      <c r="K223" s="207">
        <f>RANK(I223,$I$76:$I$977)</f>
        <v>148</v>
      </c>
      <c r="L223" s="208" t="e">
        <f>RANK(I223,$I$451:$I$866)</f>
        <v>#N/A</v>
      </c>
      <c r="M223" s="173">
        <f>SUM(N223:R223)</f>
        <v>27149.996763141135</v>
      </c>
      <c r="N223" s="174">
        <f>T223*(1+((AG223+IF(F223="백어택",8,0))/100)*(AI223/100-1))</f>
        <v>24789.127479389732</v>
      </c>
      <c r="O223" s="174"/>
      <c r="P223" s="174"/>
      <c r="Q223" s="174"/>
      <c r="R223" s="175">
        <f>X223*(1+(AG223/100)*(AI223/100-1))</f>
        <v>2360.8692837514036</v>
      </c>
      <c r="S223" s="173">
        <f>SUM(T223:X223)</f>
        <v>22814.874092250368</v>
      </c>
      <c r="T223" s="174">
        <f>AL223*AW223*AX223*AY223*IF(F223="백어택",1.2,1)</f>
        <v>20830.971997272074</v>
      </c>
      <c r="U223" s="174"/>
      <c r="V223" s="174"/>
      <c r="W223" s="174"/>
      <c r="X223" s="175">
        <f>AL223*AS223+IF(AX223=1,AL223*AU223,AL223*AU223*2)</f>
        <v>1983.9020949782932</v>
      </c>
      <c r="Y223" s="173">
        <f>SUM(Z223:AD223)</f>
        <v>45629.748184500735</v>
      </c>
      <c r="Z223" s="174">
        <f>T223*$D$58/100</f>
        <v>41661.943994544148</v>
      </c>
      <c r="AA223" s="174"/>
      <c r="AB223" s="174"/>
      <c r="AC223" s="174"/>
      <c r="AD223" s="175">
        <f>X223*$D$58/100</f>
        <v>3967.8041899565865</v>
      </c>
      <c r="AE223" s="173">
        <f>AO223*(1-$D$20/100)*(1-$D$17/100)-AR223</f>
        <v>27.727164197424003</v>
      </c>
      <c r="AF223" s="174">
        <f>AP223</f>
        <v>36</v>
      </c>
      <c r="AG223" s="174">
        <f>IF($D$57&gt;100,100,$D$57)</f>
        <v>19.001300000000001</v>
      </c>
      <c r="AH223" s="174">
        <f>AQ223</f>
        <v>657</v>
      </c>
      <c r="AI223" s="174">
        <f>$D$58</f>
        <v>200</v>
      </c>
      <c r="AJ223" s="174">
        <f>10/6</f>
        <v>1.6666666666666667</v>
      </c>
      <c r="AK223" s="174">
        <f>SUM(AL223:AN223)</f>
        <v>9919.5104748914655</v>
      </c>
      <c r="AL223" s="174">
        <f>(VLOOKUP(C223,$B$36:$AG$39,31,FALSE)+VLOOKUP(C223,$B$40:$AG$43,31,FALSE)*$D$54)*$D$59/100</f>
        <v>9919.5104748914655</v>
      </c>
      <c r="AM223" s="174"/>
      <c r="AN223" s="174"/>
      <c r="AO223" s="176">
        <v>36</v>
      </c>
      <c r="AP223" s="174">
        <v>36</v>
      </c>
      <c r="AQ223" s="175">
        <f>VLOOKUP(C223,$B$45:$AG$48,31,FALSE)</f>
        <v>657</v>
      </c>
      <c r="AR223" s="31">
        <f>IF(LEFT(E223,1)*1=1,$S$71,$R$71)</f>
        <v>0</v>
      </c>
      <c r="AS223" s="2">
        <f>IF(LEFT(E223,1)*1=2,$U$71,$T$71)</f>
        <v>0.2</v>
      </c>
      <c r="AT223" s="33">
        <f>IF(LEFT(E223,1)*1=3,$W$71,$V$71)</f>
        <v>0</v>
      </c>
      <c r="AU223" s="31">
        <f>IF(MID(E223,3,1)*1=1,$Y$71,$X$71)</f>
        <v>0</v>
      </c>
      <c r="AV223" s="2">
        <f>IF(MID(E223,3,1)*1=2,$AA$71,$Z$71)</f>
        <v>0</v>
      </c>
      <c r="AW223" s="33">
        <f>IF(MID(E223,3,1)*1=3,$AC$71,$AB$71)</f>
        <v>1.5</v>
      </c>
      <c r="AX223" s="31">
        <f>IF(MID(E223,5,1)*1=1,$AE$71,$AD$71)</f>
        <v>1.4</v>
      </c>
      <c r="AY223" s="33">
        <f>IF(MID(E223,5,1)*1=2,$AG$71,$AF$71)</f>
        <v>1</v>
      </c>
      <c r="AZ223" s="2"/>
      <c r="BA223" s="101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 ht="12" customHeight="1">
      <c r="A224" s="2"/>
      <c r="B224" s="107">
        <v>44</v>
      </c>
      <c r="C224" s="31">
        <v>10</v>
      </c>
      <c r="D224" s="106" t="s">
        <v>4</v>
      </c>
      <c r="E224" s="2" t="s">
        <v>141</v>
      </c>
      <c r="F224" s="2" t="s">
        <v>149</v>
      </c>
      <c r="G224" s="2" t="s">
        <v>172</v>
      </c>
      <c r="H224" s="33"/>
      <c r="I224" s="173">
        <f>M224/AE224</f>
        <v>978.0628475588361</v>
      </c>
      <c r="J224" s="174">
        <f>AH224/AE224</f>
        <v>29.152775243964456</v>
      </c>
      <c r="K224" s="207">
        <f>RANK(I224,$I$76:$I$977)</f>
        <v>149</v>
      </c>
      <c r="L224" s="208">
        <f>RANK(I224,$I$76:$I$450)</f>
        <v>149</v>
      </c>
      <c r="M224" s="173">
        <f>SUM(N224:R224)</f>
        <v>11708.797222271411</v>
      </c>
      <c r="N224" s="174">
        <f>T224*(1+((AG224+IF(F224="백어택",8,0))/100)*((AI224/100-1)))</f>
        <v>960.73097873330869</v>
      </c>
      <c r="O224" s="174">
        <f>U224*(1+((AG224+IF(F224="백어택",8,0))/100)*(AI224/100-1))</f>
        <v>10748.066243538102</v>
      </c>
      <c r="P224" s="174"/>
      <c r="Q224" s="174"/>
      <c r="R224" s="175"/>
      <c r="S224" s="173">
        <f>SUM(T224:X224)</f>
        <v>8045.784313302438</v>
      </c>
      <c r="T224" s="174">
        <f>AT224*AL224*IF(F224="백어택",1.2,1)</f>
        <v>660.17320919121948</v>
      </c>
      <c r="U224" s="174">
        <f>AM224*AW224*AX224*AY224*IF(F224="백어택",1.2,1)</f>
        <v>7385.611104111219</v>
      </c>
      <c r="V224" s="174"/>
      <c r="W224" s="174"/>
      <c r="X224" s="175"/>
      <c r="Y224" s="173">
        <f>SUM(Z224:AD224)</f>
        <v>16091.568626604876</v>
      </c>
      <c r="Z224" s="174">
        <f>T224*$D$58/100</f>
        <v>1320.346418382439</v>
      </c>
      <c r="AA224" s="174">
        <f>U224*$D$58/100</f>
        <v>14771.222208222438</v>
      </c>
      <c r="AB224" s="174"/>
      <c r="AC224" s="174"/>
      <c r="AD224" s="175"/>
      <c r="AE224" s="173">
        <f>AO224*(1-$D$17/100)</f>
        <v>11.971416</v>
      </c>
      <c r="AF224" s="174">
        <f>AP224</f>
        <v>36</v>
      </c>
      <c r="AG224" s="174">
        <f>IF($D$57&gt;100,100,$D$57)</f>
        <v>19.001300000000001</v>
      </c>
      <c r="AH224" s="174">
        <f>AQ224</f>
        <v>349</v>
      </c>
      <c r="AI224" s="174">
        <f>$D$58+$D$19</f>
        <v>268.61079999999998</v>
      </c>
      <c r="AJ224" s="174">
        <f>10/IF(AY224=1,5,4)</f>
        <v>2</v>
      </c>
      <c r="AK224" s="174">
        <f>SUM(AL224:AN224)</f>
        <v>2748.2428838829269</v>
      </c>
      <c r="AL224" s="174">
        <f>(VLOOKUP(C224,$B$36:$AG$39,4,FALSE)+VLOOKUP(C224,$B$40:$AG$43,4,FALSE)*$D$54)*$D$59/100</f>
        <v>550.14434099268294</v>
      </c>
      <c r="AM224" s="174">
        <f>(VLOOKUP(C224,$B$36:$AG$39,5,FALSE)+VLOOKUP(C224,$B$40:$AG$43,5,FALSE)*$D$54)*$D$59/100</f>
        <v>2198.0985428902441</v>
      </c>
      <c r="AN224" s="174"/>
      <c r="AO224" s="176">
        <v>12</v>
      </c>
      <c r="AP224" s="174">
        <v>36</v>
      </c>
      <c r="AQ224" s="175">
        <f>VLOOKUP(C224,$B$45:$AA$48,4,FALSE)</f>
        <v>349</v>
      </c>
      <c r="AR224" s="31">
        <f>IF(LEFT(E224,1)*1=1,$S$54,$R$54)</f>
        <v>0</v>
      </c>
      <c r="AS224" s="2">
        <f>IF(LEFT(E224,1)*1=2,$U$54,$T$54)</f>
        <v>0</v>
      </c>
      <c r="AT224" s="33">
        <f>IF(LEFT(E224,1)*1=3,$W$54,$V$54)</f>
        <v>1</v>
      </c>
      <c r="AU224" s="31">
        <f>IF(MID(E224,3,1)*1=1,$Y$54,$X$54)</f>
        <v>0</v>
      </c>
      <c r="AV224" s="2">
        <f>IF(MID(E224,3,1)*1=2,$AA$54,$Z$54)</f>
        <v>0</v>
      </c>
      <c r="AW224" s="33">
        <f>IF(MID(E224,3,1)*1=3,$AC$54,$AB$54)</f>
        <v>1.4</v>
      </c>
      <c r="AX224" s="31">
        <f>IF(MID(E224,5,1)*1=1,$AE$54,$AD$54)</f>
        <v>2</v>
      </c>
      <c r="AY224" s="33">
        <f>IF(MID(E224,5,1)*1=2,$AG$54,$AF$54)</f>
        <v>1</v>
      </c>
      <c r="AZ224" s="2"/>
      <c r="BA224" s="101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 ht="12" customHeight="1">
      <c r="A225" s="2"/>
      <c r="B225" s="107">
        <v>764</v>
      </c>
      <c r="C225" s="31">
        <v>10</v>
      </c>
      <c r="D225" s="111" t="s">
        <v>21</v>
      </c>
      <c r="E225" s="2" t="s">
        <v>150</v>
      </c>
      <c r="F225" s="2" t="s">
        <v>149</v>
      </c>
      <c r="G225" s="2"/>
      <c r="H225" s="33"/>
      <c r="I225" s="173">
        <f>M225/AE225</f>
        <v>974.10246450139539</v>
      </c>
      <c r="J225" s="174">
        <f>AH225/AE225</f>
        <v>30.238644768832497</v>
      </c>
      <c r="K225" s="207">
        <f>RANK(I225,$I$76:$I$977)</f>
        <v>150</v>
      </c>
      <c r="L225" s="208" t="e">
        <f>RANK(I225,$I$451:$I$866)</f>
        <v>#N/A</v>
      </c>
      <c r="M225" s="173">
        <f>SUM(N225:R225)</f>
        <v>21164.484191337204</v>
      </c>
      <c r="N225" s="174">
        <f>T225*(1+((AG225+IF(F225="백어택",8,0))/100)*(AI225/100-1))</f>
        <v>21164.484191337204</v>
      </c>
      <c r="O225" s="174"/>
      <c r="P225" s="174"/>
      <c r="Q225" s="174"/>
      <c r="R225" s="175">
        <f>X225*(1+(AG225/100)*(AI225/100-1))</f>
        <v>0</v>
      </c>
      <c r="S225" s="173">
        <f>SUM(T225:X225)</f>
        <v>16664.777597817661</v>
      </c>
      <c r="T225" s="174">
        <f>AL225*AW225*AX225*AY225*IF(F225="백어택",1.2,1)</f>
        <v>16664.777597817661</v>
      </c>
      <c r="U225" s="174"/>
      <c r="V225" s="174"/>
      <c r="W225" s="174"/>
      <c r="X225" s="175">
        <f>AL225*AS225+IF(AX225=1,AL225*AU225,AL225*AU225*2)</f>
        <v>0</v>
      </c>
      <c r="Y225" s="173">
        <f>SUM(Z225:AD225)</f>
        <v>33329.555195635323</v>
      </c>
      <c r="Z225" s="174">
        <f>T225*$D$58/100</f>
        <v>33329.555195635323</v>
      </c>
      <c r="AA225" s="174"/>
      <c r="AB225" s="174"/>
      <c r="AC225" s="174"/>
      <c r="AD225" s="175">
        <f>X225*$D$58/100</f>
        <v>0</v>
      </c>
      <c r="AE225" s="173">
        <f>AO225*(1-$D$20/100)*(1-$D$17/100)-AR225</f>
        <v>21.727164197424003</v>
      </c>
      <c r="AF225" s="174">
        <f>AP225</f>
        <v>36</v>
      </c>
      <c r="AG225" s="174">
        <f>IF($D$57&gt;100,100,$D$57)</f>
        <v>19.001300000000001</v>
      </c>
      <c r="AH225" s="174">
        <f>AQ225</f>
        <v>657</v>
      </c>
      <c r="AI225" s="174">
        <f>$D$58</f>
        <v>200</v>
      </c>
      <c r="AJ225" s="174">
        <f>10/6</f>
        <v>1.6666666666666667</v>
      </c>
      <c r="AK225" s="174">
        <f>SUM(AL225:AN225)</f>
        <v>9919.5104748914655</v>
      </c>
      <c r="AL225" s="174">
        <f>(VLOOKUP(C225,$B$36:$AG$39,31,FALSE)+VLOOKUP(C225,$B$40:$AG$43,31,FALSE)*$D$54)*$D$59/100</f>
        <v>9919.5104748914655</v>
      </c>
      <c r="AM225" s="174"/>
      <c r="AN225" s="174"/>
      <c r="AO225" s="176">
        <v>36</v>
      </c>
      <c r="AP225" s="174">
        <v>36</v>
      </c>
      <c r="AQ225" s="175">
        <f>VLOOKUP(C225,$B$45:$AG$48,31,FALSE)</f>
        <v>657</v>
      </c>
      <c r="AR225" s="31">
        <f>IF(LEFT(E225,1)*1=1,$S$71,$R$71)</f>
        <v>6</v>
      </c>
      <c r="AS225" s="2">
        <f>IF(LEFT(E225,1)*1=2,$U$71,$T$71)</f>
        <v>0</v>
      </c>
      <c r="AT225" s="33">
        <f>IF(LEFT(E225,1)*1=3,$W$71,$V$71)</f>
        <v>0</v>
      </c>
      <c r="AU225" s="31">
        <f>IF(MID(E225,3,1)*1=1,$Y$71,$X$71)</f>
        <v>0</v>
      </c>
      <c r="AV225" s="2">
        <f>IF(MID(E225,3,1)*1=2,$AA$71,$Z$71)</f>
        <v>0</v>
      </c>
      <c r="AW225" s="33">
        <f>IF(MID(E225,3,1)*1=3,$AC$71,$AB$71)</f>
        <v>1</v>
      </c>
      <c r="AX225" s="31">
        <f>IF(MID(E225,5,1)*1=1,$AE$71,$AD$71)</f>
        <v>1.4</v>
      </c>
      <c r="AY225" s="33">
        <f>IF(MID(E225,5,1)*1=2,$AG$71,$AF$71)</f>
        <v>1</v>
      </c>
      <c r="AZ225" s="2"/>
      <c r="BA225" s="101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 ht="12" hidden="1" customHeight="1">
      <c r="A226" s="2"/>
      <c r="B226" s="107">
        <v>722</v>
      </c>
      <c r="C226" s="31">
        <v>7</v>
      </c>
      <c r="D226" s="111" t="s">
        <v>18</v>
      </c>
      <c r="E226" s="2" t="s">
        <v>103</v>
      </c>
      <c r="F226" s="2" t="s">
        <v>149</v>
      </c>
      <c r="G226" s="2" t="s">
        <v>186</v>
      </c>
      <c r="H226" s="33" t="s">
        <v>80</v>
      </c>
      <c r="I226" s="173">
        <f>M226/AE226</f>
        <v>971.6913783949833</v>
      </c>
      <c r="J226" s="174">
        <f>AH226/AE226</f>
        <v>44.258613162461806</v>
      </c>
      <c r="K226" s="207">
        <f>RANK(I226,$I$76:$I$977)</f>
        <v>151</v>
      </c>
      <c r="L226" s="208" t="e">
        <f>RANK(I226,$I$451:$I$866)</f>
        <v>#N/A</v>
      </c>
      <c r="M226" s="173">
        <f>SUM(N226:R226)</f>
        <v>7969.6119049781646</v>
      </c>
      <c r="N226" s="174">
        <f>T226*(1+((AG226+IF(F226="백어택",8,0))/100)*(AI226/100-1))</f>
        <v>4757.1102002909283</v>
      </c>
      <c r="O226" s="174">
        <f>U226*(1+(($D$57+IF(F226="백어택",8,0))/100)*(AI226/100-1))</f>
        <v>3212.5017046872367</v>
      </c>
      <c r="P226" s="174"/>
      <c r="Q226" s="174"/>
      <c r="R226" s="175"/>
      <c r="S226" s="173">
        <f>SUM(T226:X226)</f>
        <v>6275.2207300068303</v>
      </c>
      <c r="T226" s="174">
        <f>AL226*IF(H226="근접",AT226,IF(AV226=1,AT226,1))*AX226*IF(F226="백어택",1.2,1)</f>
        <v>3745.7177212287811</v>
      </c>
      <c r="U226" s="174">
        <f>IF(AX226=1,AM226*IF(H226="근접",AT226,IF(AV226=1,AT226,1)),0)*AY226*IF(AX226=1,1,0)*IF(F226="백어택",1.2,1)</f>
        <v>2529.5030087780492</v>
      </c>
      <c r="V226" s="174"/>
      <c r="W226" s="174"/>
      <c r="X226" s="175"/>
      <c r="Y226" s="173">
        <f>SUM(Z226:AD226)</f>
        <v>12550.441460013661</v>
      </c>
      <c r="Z226" s="174">
        <f>T226*$D$58/100</f>
        <v>7491.4354424575622</v>
      </c>
      <c r="AA226" s="174">
        <f>U226*$D$58/100</f>
        <v>5059.0060175560984</v>
      </c>
      <c r="AB226" s="174"/>
      <c r="AC226" s="174"/>
      <c r="AD226" s="175"/>
      <c r="AE226" s="173">
        <f>(AO226*(1-$D$20/100)*(1-$D$17/100)-AR226)*IF(AW226="보스대상",1,POWER(0.85,AW226))</f>
        <v>8.2017933699712149</v>
      </c>
      <c r="AF226" s="174">
        <f>AP226</f>
        <v>36</v>
      </c>
      <c r="AG226" s="174">
        <f>IF($D$57+AU226&gt;100,100,$D$57+AU226)</f>
        <v>19.001300000000001</v>
      </c>
      <c r="AH226" s="174">
        <f>AQ226</f>
        <v>363</v>
      </c>
      <c r="AI226" s="174">
        <f>$D$58</f>
        <v>200</v>
      </c>
      <c r="AJ226" s="174">
        <f>10*AS226/IF(AX226=1,IF(AY226=1,4.5,4),4)</f>
        <v>1.7777777777777777</v>
      </c>
      <c r="AK226" s="174">
        <f>SUM(AL226:AN226)</f>
        <v>5229.3506083390257</v>
      </c>
      <c r="AL226" s="174">
        <f>IF(AV226=1,$D$61*(VLOOKUP(C226,$B$36:$AG$39,25,FALSE)+VLOOKUP(C226,$B$40:$AG$43,25,FALSE)*$D$54),(IF(H226="근접",$D$61*(VLOOKUP(C226,$B$36:$AG$39,25,FALSE)+VLOOKUP(C226,$B$40:$AG$43,25,FALSE)*$D$54),$D$60*(VLOOKUP(C226,$B$36:$AG$39,25,FALSE)+VLOOKUP(C226,$B$40:$AG$43,25,FALSE)*$D$54))))*$D$59/100</f>
        <v>3121.4314343573178</v>
      </c>
      <c r="AM226" s="174">
        <f>(IF(AV226=1,$D$61*(VLOOKUP(C226,$B$36:$AG$39,26,FALSE)+VLOOKUP(C226,$B$40:$AG$43,26,FALSE)*$D$54),IF(H226="근접",$D$61*(VLOOKUP(C226,$B$36:$AG$39,26,FALSE)+VLOOKUP(C226,$B$40:$AG$43,26,FALSE)*$D$54),$D$60*(VLOOKUP(C226,$B$36:$AG$39,26,FALSE)+VLOOKUP(C226,$B$40:$AG$43,26,FALSE)*$D$54))))*$D$59/100</f>
        <v>2107.9191739817079</v>
      </c>
      <c r="AN226" s="174"/>
      <c r="AO226" s="176">
        <v>24</v>
      </c>
      <c r="AP226" s="174">
        <v>36</v>
      </c>
      <c r="AQ226" s="175">
        <f>VLOOKUP(C226,$B$45:$AA$48,25,FALSE)</f>
        <v>363</v>
      </c>
      <c r="AR226" s="31">
        <f>IF(LEFT(E226,1)*1=1,$S$68,$R$68)</f>
        <v>0</v>
      </c>
      <c r="AS226" s="2">
        <f>IF(LEFT(E226,1)*1=2,$U$68,$T$68)</f>
        <v>0.8</v>
      </c>
      <c r="AT226" s="33">
        <f>IF(LEFT(E226,1)*1=3,$W$68,$V$68)</f>
        <v>1</v>
      </c>
      <c r="AU226" s="31">
        <f>IF(MID(E226,3,1)*1=1,$Y$68,$X$68)</f>
        <v>0</v>
      </c>
      <c r="AV226" s="2">
        <f>IF(MID(E226,3,1)*1=2,$AA$68,$Z$68)</f>
        <v>0</v>
      </c>
      <c r="AW226" s="33">
        <f>IF(MID(E226,3,1)*1=3,$AC$68,$AB$68)</f>
        <v>5</v>
      </c>
      <c r="AX226" s="31">
        <f>IF(MID(E226,5,1)*1=1,$AE$68,$AD$68)</f>
        <v>1</v>
      </c>
      <c r="AY226" s="33">
        <f>IF(MID(E226,5,1)*1=2,$AG$68,$AF$68)</f>
        <v>1</v>
      </c>
      <c r="AZ226" s="2"/>
      <c r="BA226" s="101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 ht="12" hidden="1" customHeight="1">
      <c r="A227" s="2"/>
      <c r="B227" s="107">
        <v>725</v>
      </c>
      <c r="C227" s="31">
        <v>7</v>
      </c>
      <c r="D227" s="111" t="s">
        <v>18</v>
      </c>
      <c r="E227" s="2" t="s">
        <v>134</v>
      </c>
      <c r="F227" s="2" t="s">
        <v>149</v>
      </c>
      <c r="G227" s="2" t="s">
        <v>186</v>
      </c>
      <c r="H227" s="33" t="s">
        <v>80</v>
      </c>
      <c r="I227" s="173">
        <f>M227/AE227</f>
        <v>971.6913783949833</v>
      </c>
      <c r="J227" s="174">
        <f>AH227/AE227</f>
        <v>44.258613162461806</v>
      </c>
      <c r="K227" s="207">
        <f>RANK(I227,$I$76:$I$977)</f>
        <v>151</v>
      </c>
      <c r="L227" s="208" t="e">
        <f>RANK(I227,$I$451:$I$866)</f>
        <v>#N/A</v>
      </c>
      <c r="M227" s="173">
        <f>SUM(N227:R227)</f>
        <v>7969.6119049781646</v>
      </c>
      <c r="N227" s="174">
        <f>T227*(1+((AG227+IF(F227="백어택",8,0))/100)*(AI227/100-1))</f>
        <v>4757.1102002909283</v>
      </c>
      <c r="O227" s="174">
        <f>U227*(1+(($D$57+IF(F227="백어택",8,0))/100)*(AI227/100-1))</f>
        <v>3212.5017046872367</v>
      </c>
      <c r="P227" s="174"/>
      <c r="Q227" s="174"/>
      <c r="R227" s="175"/>
      <c r="S227" s="173">
        <f>SUM(T227:X227)</f>
        <v>6275.2207300068303</v>
      </c>
      <c r="T227" s="174">
        <f>AL227*IF(H227="근접",AT227,IF(AV227=1,AT227,1))*AX227*IF(F227="백어택",1.2,1)</f>
        <v>3745.7177212287811</v>
      </c>
      <c r="U227" s="174">
        <f>IF(AX227=1,AM227*IF(H227="근접",AT227,IF(AV227=1,AT227,1)),0)*AY227*IF(AX227=1,1,0)*IF(F227="백어택",1.2,1)</f>
        <v>2529.5030087780492</v>
      </c>
      <c r="V227" s="174"/>
      <c r="W227" s="174"/>
      <c r="X227" s="175"/>
      <c r="Y227" s="173">
        <f>SUM(Z227:AD227)</f>
        <v>12550.441460013661</v>
      </c>
      <c r="Z227" s="174">
        <f>T227*$D$58/100</f>
        <v>7491.4354424575622</v>
      </c>
      <c r="AA227" s="174">
        <f>U227*$D$58/100</f>
        <v>5059.0060175560984</v>
      </c>
      <c r="AB227" s="174"/>
      <c r="AC227" s="174"/>
      <c r="AD227" s="175"/>
      <c r="AE227" s="173">
        <f>(AO227*(1-$D$20/100)*(1-$D$17/100)-AR227)*IF(AW227="보스대상",1,POWER(0.85,AW227))</f>
        <v>8.2017933699712149</v>
      </c>
      <c r="AF227" s="174">
        <f>AP227</f>
        <v>36</v>
      </c>
      <c r="AG227" s="174">
        <f>IF($D$57+AU227&gt;100,100,$D$57+AU227)</f>
        <v>19.001300000000001</v>
      </c>
      <c r="AH227" s="174">
        <f>AQ227</f>
        <v>363</v>
      </c>
      <c r="AI227" s="174">
        <f>$D$58</f>
        <v>200</v>
      </c>
      <c r="AJ227" s="174">
        <f>10*AS227/IF(AX227=1,IF(AY227=1,4.5,4),4)</f>
        <v>2.2222222222222223</v>
      </c>
      <c r="AK227" s="174">
        <f>SUM(AL227:AN227)</f>
        <v>5229.3506083390257</v>
      </c>
      <c r="AL227" s="174">
        <f>IF(AV227=1,$D$61*(VLOOKUP(C227,$B$36:$AG$39,25,FALSE)+VLOOKUP(C227,$B$40:$AG$43,25,FALSE)*$D$54),(IF(H227="근접",$D$61*(VLOOKUP(C227,$B$36:$AG$39,25,FALSE)+VLOOKUP(C227,$B$40:$AG$43,25,FALSE)*$D$54),$D$60*(VLOOKUP(C227,$B$36:$AG$39,25,FALSE)+VLOOKUP(C227,$B$40:$AG$43,25,FALSE)*$D$54))))*$D$59/100</f>
        <v>3121.4314343573178</v>
      </c>
      <c r="AM227" s="174">
        <f>(IF(AV227=1,$D$61*(VLOOKUP(C227,$B$36:$AG$39,26,FALSE)+VLOOKUP(C227,$B$40:$AG$43,26,FALSE)*$D$54),IF(H227="근접",$D$61*(VLOOKUP(C227,$B$36:$AG$39,26,FALSE)+VLOOKUP(C227,$B$40:$AG$43,26,FALSE)*$D$54),$D$60*(VLOOKUP(C227,$B$36:$AG$39,26,FALSE)+VLOOKUP(C227,$B$40:$AG$43,26,FALSE)*$D$54))))*$D$59/100</f>
        <v>2107.9191739817079</v>
      </c>
      <c r="AN227" s="174"/>
      <c r="AO227" s="176">
        <v>24</v>
      </c>
      <c r="AP227" s="174">
        <v>36</v>
      </c>
      <c r="AQ227" s="175">
        <f>VLOOKUP(C227,$B$45:$AA$48,25,FALSE)</f>
        <v>363</v>
      </c>
      <c r="AR227" s="31">
        <f>IF(LEFT(E227,1)*1=1,$S$68,$R$68)</f>
        <v>0</v>
      </c>
      <c r="AS227" s="2">
        <f>IF(LEFT(E227,1)*1=2,$U$68,$T$68)</f>
        <v>1</v>
      </c>
      <c r="AT227" s="33">
        <f>IF(LEFT(E227,1)*1=3,$W$68,$V$68)</f>
        <v>1.2</v>
      </c>
      <c r="AU227" s="31">
        <f>IF(MID(E227,3,1)*1=1,$Y$68,$X$68)</f>
        <v>0</v>
      </c>
      <c r="AV227" s="2">
        <f>IF(MID(E227,3,1)*1=2,$AA$68,$Z$68)</f>
        <v>0</v>
      </c>
      <c r="AW227" s="33">
        <f>IF(MID(E227,3,1)*1=3,$AC$68,$AB$68)</f>
        <v>5</v>
      </c>
      <c r="AX227" s="31">
        <f>IF(MID(E227,5,1)*1=1,$AE$68,$AD$68)</f>
        <v>1</v>
      </c>
      <c r="AY227" s="33">
        <f>IF(MID(E227,5,1)*1=2,$AG$68,$AF$68)</f>
        <v>1</v>
      </c>
      <c r="AZ227" s="2"/>
      <c r="BA227" s="101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 ht="12" customHeight="1">
      <c r="A228" s="2"/>
      <c r="B228" s="107">
        <v>556</v>
      </c>
      <c r="C228" s="31">
        <v>10</v>
      </c>
      <c r="D228" s="111" t="s">
        <v>14</v>
      </c>
      <c r="E228" s="2" t="s">
        <v>151</v>
      </c>
      <c r="F228" s="2" t="s">
        <v>149</v>
      </c>
      <c r="G228" s="2"/>
      <c r="H228" s="33" t="s">
        <v>81</v>
      </c>
      <c r="I228" s="173">
        <f>M228/AE228</f>
        <v>969.24804695432385</v>
      </c>
      <c r="J228" s="174">
        <f>AH228/AE228</f>
        <v>23.695174714659018</v>
      </c>
      <c r="K228" s="207">
        <f>RANK(I228,$I$76:$I$977)</f>
        <v>153</v>
      </c>
      <c r="L228" s="208" t="e">
        <f>RANK(I228,$I$451:$I$866)</f>
        <v>#N/A</v>
      </c>
      <c r="M228" s="173">
        <f>SUM(N228:R228)</f>
        <v>26874.499745935067</v>
      </c>
      <c r="N228" s="174">
        <f>T228*(1+((AG228+IF(F228="백어택",8,0))/100)*(AI228/100-1))</f>
        <v>8019.1197193847775</v>
      </c>
      <c r="O228" s="174">
        <f>U228*(1+((AG228+IF(F228="백어택",8,0))/100)*(AI228/100-1))</f>
        <v>8019.1197193847775</v>
      </c>
      <c r="P228" s="174">
        <f>V228*(1+((AG228+IF(F228="백어택",8,0))/100)*(AI228*IF(AX228=1,AW228,1)/100-1))</f>
        <v>10836.260307165512</v>
      </c>
      <c r="Q228" s="174">
        <f>W228*(1+((AG228+IF(F228="백어택",8,0))/100)*(AI228*AW228/100-1))</f>
        <v>0</v>
      </c>
      <c r="R228" s="175"/>
      <c r="S228" s="173">
        <f>SUM(T228:X228)</f>
        <v>17450.679239139514</v>
      </c>
      <c r="T228" s="174">
        <f>AL228*AY228*IF(F228="백어택",1.2,1)</f>
        <v>5207.1326843733659</v>
      </c>
      <c r="U228" s="174">
        <f>AM228*AY228*IF(F228="백어택",1.2,1)</f>
        <v>5207.1326843733659</v>
      </c>
      <c r="V228" s="174">
        <f>AN228*AY228*IF(F228="백어택",1.2,1)</f>
        <v>7036.4138703927802</v>
      </c>
      <c r="W228" s="174">
        <f>(T228+U228+V228)*IF(AX228=1,0,0.6)*IF(F228="백어택",1.2,1)</f>
        <v>0</v>
      </c>
      <c r="X228" s="175"/>
      <c r="Y228" s="173">
        <f>SUM(Z228:AD228)</f>
        <v>52352.037717418534</v>
      </c>
      <c r="Z228" s="174">
        <f>T228*AI228/100</f>
        <v>15621.398053120098</v>
      </c>
      <c r="AA228" s="174">
        <f>U228*AI228/100</f>
        <v>15621.398053120098</v>
      </c>
      <c r="AB228" s="174">
        <f>V228*AI228*IF(AX228=1,AW228,1)/100</f>
        <v>21109.241611178339</v>
      </c>
      <c r="AC228" s="174">
        <f>W228*AI228*AW228/100</f>
        <v>0</v>
      </c>
      <c r="AD228" s="175"/>
      <c r="AE228" s="173">
        <f>AO228*(1-$D$20/100)*(1-$D$17/100)</f>
        <v>27.727164197424003</v>
      </c>
      <c r="AF228" s="174">
        <f>AP228</f>
        <v>36</v>
      </c>
      <c r="AG228" s="174">
        <f>IF($D$57+AU228&gt;100,100,$D$57+AU228)</f>
        <v>19.001300000000001</v>
      </c>
      <c r="AH228" s="174">
        <f>AQ228*AS228</f>
        <v>657</v>
      </c>
      <c r="AI228" s="174">
        <f>$D$58+IF(H228="근접",AR228,0)+IF(AY228=1,0,50)</f>
        <v>300</v>
      </c>
      <c r="AJ228" s="174">
        <f>10/3</f>
        <v>3.3333333333333335</v>
      </c>
      <c r="AK228" s="174">
        <f>SUM(AL228:AN228)</f>
        <v>12118.527249402439</v>
      </c>
      <c r="AL228" s="174">
        <f>(IF(H228="근접",$D$61*(VLOOKUP(C228,$B$36:$AG$39,19,FALSE)+VLOOKUP(C228,$B$40:$AG$43,19,FALSE)*$D$54),$D$60*(VLOOKUP(C228,$B$36:$AG$39,19,FALSE)+VLOOKUP(C228,$B$40:$AG$43,19,FALSE)*$D$54)))*$D$59/100</f>
        <v>3616.0643641481706</v>
      </c>
      <c r="AM228" s="174">
        <f>(IF(H228="근접",$D$61*(VLOOKUP(C228,$B$36:$AG$39,20,FALSE)+VLOOKUP(C228,$B$40:$AG$43,20,FALSE)*$D$54),$D$60*(VLOOKUP(C228,$B$36:$AG$39,20,FALSE)+VLOOKUP(C228,$B$40:$AG$43,20,FALSE)*$D$54)))*$D$59/100</f>
        <v>3616.0643641481706</v>
      </c>
      <c r="AN228" s="174">
        <f>(IF(H228="근접",$D$61*(VLOOKUP(C228,$B$36:$AG$39,21,FALSE)+VLOOKUP(C228,$B$40:$AG$43,21,FALSE)*$D$54),$D$60*(VLOOKUP(C228,$B$36:$AG$39,21,FALSE)+VLOOKUP(C228,$B$40:$AG$43,21,FALSE)*$D$54)))*$D$59/100</f>
        <v>4886.3985211060972</v>
      </c>
      <c r="AO228" s="176">
        <v>36</v>
      </c>
      <c r="AP228" s="174">
        <v>36</v>
      </c>
      <c r="AQ228" s="175">
        <f>VLOOKUP(C228,$B$45:$AA$48,19,FALSE)</f>
        <v>657</v>
      </c>
      <c r="AR228" s="31">
        <f>IF(LEFT(E228,1)*1=1,$S$64,$R$64)</f>
        <v>50</v>
      </c>
      <c r="AS228" s="2">
        <f>IF(LEFT(E228,1)*1=2,$U$64,$T$64)</f>
        <v>1</v>
      </c>
      <c r="AT228" s="33">
        <f>IF(LEFT(E228,1)*1=3,$W$64,$V$64)</f>
        <v>0</v>
      </c>
      <c r="AU228" s="31">
        <f>IF(MID(E228,3,1)*1=1,$Y$64,$X$64)</f>
        <v>0</v>
      </c>
      <c r="AV228" s="2">
        <f>IF(MID(E228,3,1)*1=2,$AA$64,$Z$64)</f>
        <v>0</v>
      </c>
      <c r="AW228" s="33">
        <f>IF(MID(E228,3,1)*1=3,$AC$64,$AB$64)</f>
        <v>1</v>
      </c>
      <c r="AX228" s="31">
        <f>IF(MID(E228,5,1)*1=1,$AE$64,$AD$64)</f>
        <v>1</v>
      </c>
      <c r="AY228" s="33">
        <f>IF(MID(E228,5,1)*1=2,$AG$64,$AF$64)</f>
        <v>1.2</v>
      </c>
      <c r="AZ228" s="2"/>
      <c r="BA228" s="101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 ht="12" hidden="1" customHeight="1">
      <c r="A229" s="2"/>
      <c r="B229" s="107">
        <v>657</v>
      </c>
      <c r="C229" s="31">
        <v>7</v>
      </c>
      <c r="D229" s="111" t="s">
        <v>18</v>
      </c>
      <c r="E229" s="2" t="s">
        <v>155</v>
      </c>
      <c r="F229" s="2"/>
      <c r="G229" s="2" t="s">
        <v>186</v>
      </c>
      <c r="H229" s="33" t="s">
        <v>80</v>
      </c>
      <c r="I229" s="173">
        <f>M229/AE229</f>
        <v>968.26236201398365</v>
      </c>
      <c r="J229" s="174">
        <f>AH229/AE229</f>
        <v>56.480718015255015</v>
      </c>
      <c r="K229" s="207">
        <f>RANK(I229,$I$76:$I$977)</f>
        <v>154</v>
      </c>
      <c r="L229" s="208" t="e">
        <f>RANK(I229,$I$451:$I$866)</f>
        <v>#N/A</v>
      </c>
      <c r="M229" s="173">
        <f>SUM(N229:R229)</f>
        <v>6222.9952054813493</v>
      </c>
      <c r="N229" s="174">
        <f>T229*(1+((AG229+IF(F229="백어택",8,0))/100)*(AI229/100-1))</f>
        <v>3714.543985493855</v>
      </c>
      <c r="O229" s="174">
        <f>U229*(1+(($D$57+IF(F229="백어택",8,0))/100)*(AI229/100-1))</f>
        <v>2508.4512199874939</v>
      </c>
      <c r="P229" s="174"/>
      <c r="Q229" s="174"/>
      <c r="R229" s="175"/>
      <c r="S229" s="173">
        <f>SUM(T229:X229)</f>
        <v>5229.3506083390257</v>
      </c>
      <c r="T229" s="174">
        <f>AL229*IF(H229="근접",AT229,IF(AV229=1,AT229,1))*AX229*IF(F229="백어택",1.2,1)</f>
        <v>3121.4314343573178</v>
      </c>
      <c r="U229" s="174">
        <f>IF(AX229=1,AM229*IF(H229="근접",AT229,IF(AV229=1,AT229,1)),0)*AY229*IF(AX229=1,1,0)*IF(F229="백어택",1.2,1)</f>
        <v>2107.9191739817079</v>
      </c>
      <c r="V229" s="174"/>
      <c r="W229" s="174"/>
      <c r="X229" s="175"/>
      <c r="Y229" s="173">
        <f>SUM(Z229:AD229)</f>
        <v>10458.701216678051</v>
      </c>
      <c r="Z229" s="174">
        <f>T229*$D$58/100</f>
        <v>6242.8628687146356</v>
      </c>
      <c r="AA229" s="174">
        <f>U229*$D$58/100</f>
        <v>4215.8383479634158</v>
      </c>
      <c r="AB229" s="174"/>
      <c r="AC229" s="174"/>
      <c r="AD229" s="175"/>
      <c r="AE229" s="173">
        <f>(AO229*(1-$D$20/100)*(1-$D$17/100)-AR229)*IF(AW229="보스대상",1,POWER(0.85,AW229))</f>
        <v>6.4269721199712162</v>
      </c>
      <c r="AF229" s="174">
        <f>AP229</f>
        <v>36</v>
      </c>
      <c r="AG229" s="174">
        <f>IF($D$57+AU229&gt;100,100,$D$57+AU229)</f>
        <v>19.001300000000001</v>
      </c>
      <c r="AH229" s="174">
        <f>AQ229</f>
        <v>363</v>
      </c>
      <c r="AI229" s="174">
        <f>$D$58</f>
        <v>200</v>
      </c>
      <c r="AJ229" s="174">
        <f>10*AS229/IF(AX229=1,IF(AY229=1,4.5,4),4)</f>
        <v>2.2222222222222223</v>
      </c>
      <c r="AK229" s="174">
        <f>SUM(AL229:AN229)</f>
        <v>5229.3506083390257</v>
      </c>
      <c r="AL229" s="174">
        <f>IF(AV229=1,$D$61*(VLOOKUP(C229,$B$36:$AG$39,25,FALSE)+VLOOKUP(C229,$B$40:$AG$43,25,FALSE)*$D$54),(IF(H229="근접",$D$61*(VLOOKUP(C229,$B$36:$AG$39,25,FALSE)+VLOOKUP(C229,$B$40:$AG$43,25,FALSE)*$D$54),$D$60*(VLOOKUP(C229,$B$36:$AG$39,25,FALSE)+VLOOKUP(C229,$B$40:$AG$43,25,FALSE)*$D$54))))*$D$59/100</f>
        <v>3121.4314343573178</v>
      </c>
      <c r="AM229" s="174">
        <f>(IF(AV229=1,$D$61*(VLOOKUP(C229,$B$36:$AG$39,26,FALSE)+VLOOKUP(C229,$B$40:$AG$43,26,FALSE)*$D$54),IF(H229="근접",$D$61*(VLOOKUP(C229,$B$36:$AG$39,26,FALSE)+VLOOKUP(C229,$B$40:$AG$43,26,FALSE)*$D$54),$D$60*(VLOOKUP(C229,$B$36:$AG$39,26,FALSE)+VLOOKUP(C229,$B$40:$AG$43,26,FALSE)*$D$54))))*$D$59/100</f>
        <v>2107.9191739817079</v>
      </c>
      <c r="AN229" s="174"/>
      <c r="AO229" s="176">
        <v>24</v>
      </c>
      <c r="AP229" s="174">
        <v>36</v>
      </c>
      <c r="AQ229" s="175">
        <f>VLOOKUP(C229,$B$45:$AA$48,25,FALSE)</f>
        <v>363</v>
      </c>
      <c r="AR229" s="31">
        <f>IF(LEFT(E229,1)*1=1,$S$68,$R$68)</f>
        <v>4</v>
      </c>
      <c r="AS229" s="2">
        <f>IF(LEFT(E229,1)*1=2,$U$68,$T$68)</f>
        <v>1</v>
      </c>
      <c r="AT229" s="33">
        <f>IF(LEFT(E229,1)*1=3,$W$68,$V$68)</f>
        <v>1</v>
      </c>
      <c r="AU229" s="31">
        <f>IF(MID(E229,3,1)*1=1,$Y$68,$X$68)</f>
        <v>0</v>
      </c>
      <c r="AV229" s="2">
        <f>IF(MID(E229,3,1)*1=2,$AA$68,$Z$68)</f>
        <v>0</v>
      </c>
      <c r="AW229" s="33">
        <f>IF(MID(E229,3,1)*1=3,$AC$68,$AB$68)</f>
        <v>5</v>
      </c>
      <c r="AX229" s="31">
        <f>IF(MID(E229,5,1)*1=1,$AE$68,$AD$68)</f>
        <v>1</v>
      </c>
      <c r="AY229" s="33">
        <f>IF(MID(E229,5,1)*1=2,$AG$68,$AF$68)</f>
        <v>1</v>
      </c>
      <c r="AZ229" s="2"/>
      <c r="BA229" s="101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 ht="12" customHeight="1">
      <c r="A230" s="2"/>
      <c r="B230" s="107">
        <v>427</v>
      </c>
      <c r="C230" s="31">
        <v>10</v>
      </c>
      <c r="D230" s="111" t="s">
        <v>8</v>
      </c>
      <c r="E230" s="2" t="s">
        <v>151</v>
      </c>
      <c r="F230" s="2" t="s">
        <v>149</v>
      </c>
      <c r="G230" s="2"/>
      <c r="H230" s="33" t="s">
        <v>81</v>
      </c>
      <c r="I230" s="173">
        <f>M230/AE230</f>
        <v>958.10944181695208</v>
      </c>
      <c r="J230" s="174">
        <f>AH230/AE230</f>
        <v>28.185356224514496</v>
      </c>
      <c r="K230" s="207">
        <f>RANK(I230,$I$76:$I$977)</f>
        <v>155</v>
      </c>
      <c r="L230" s="208" t="e">
        <f>RANK(I230,$I$451:$I$866)</f>
        <v>#N/A</v>
      </c>
      <c r="M230" s="173">
        <f>SUM(N230:R230)</f>
        <v>17710.438541573923</v>
      </c>
      <c r="N230" s="174">
        <f>T230*(1+((AG230+IF(F230="백어택",8,0))/100)*(IF(AY230=1,$D$58,$D$58+50)/100-1))</f>
        <v>7780.5002703189666</v>
      </c>
      <c r="O230" s="174">
        <f>U230*(1+((AG230+IF(F230="백어택",8,0))/100)*(AI230/100-1))</f>
        <v>9929.9382712549577</v>
      </c>
      <c r="P230" s="174">
        <f>V230*(1+((AG230+IF(F230="백어택",8,0))/100)*(AI230/100-1))</f>
        <v>0</v>
      </c>
      <c r="Q230" s="174"/>
      <c r="R230" s="175"/>
      <c r="S230" s="173">
        <f>SUM(T230:X230)</f>
        <v>12605.119389142947</v>
      </c>
      <c r="T230" s="174">
        <f>AL230*IF(H230="근접",AR230,1)*AY230*IF(F230="백어택",1.2,1)</f>
        <v>5537.6457553215223</v>
      </c>
      <c r="U230" s="174">
        <f>AM230*IF(H230="근접",AR230,1)*AY230*IF(F230="백어택",1.2,1)</f>
        <v>7067.4736338214234</v>
      </c>
      <c r="V230" s="174">
        <f>IF(AX230=1,0,AM230*IF(H230="근접",AR230,1)*AY230)*IF(F230="백어택",1.2,1)</f>
        <v>0</v>
      </c>
      <c r="W230" s="174"/>
      <c r="X230" s="175"/>
      <c r="Y230" s="173">
        <f>SUM(Z230:AD230)</f>
        <v>31512.798472857365</v>
      </c>
      <c r="Z230" s="174">
        <f>T230*IF(AY230=1,$D$58,$D$58+50)/100</f>
        <v>13844.114388303806</v>
      </c>
      <c r="AA230" s="174">
        <f>U230*AI230/100</f>
        <v>17668.684084553559</v>
      </c>
      <c r="AB230" s="174">
        <f>V230*AI230/100</f>
        <v>0</v>
      </c>
      <c r="AC230" s="174"/>
      <c r="AD230" s="175"/>
      <c r="AE230" s="173">
        <f>AO230*(1-$D$20/100)*(1-$D$17/100)</f>
        <v>18.484776131615998</v>
      </c>
      <c r="AF230" s="174">
        <f>AP230</f>
        <v>36</v>
      </c>
      <c r="AG230" s="174">
        <f>IF($D$57+AU230&gt;100,100,$D$57+AU230)</f>
        <v>19.001300000000001</v>
      </c>
      <c r="AH230" s="174">
        <f>IF(AX230=1,AQ230,AQ230*1.4)</f>
        <v>521</v>
      </c>
      <c r="AI230" s="174">
        <f>IF(AY230=1,$D$58,$D$58+50)*AW230</f>
        <v>250</v>
      </c>
      <c r="AJ230" s="174">
        <f>10/6/AX230</f>
        <v>1.6666666666666667</v>
      </c>
      <c r="AK230" s="174">
        <f>SUM(AL230:AN230)</f>
        <v>7294.6292761243903</v>
      </c>
      <c r="AL230" s="174">
        <f>(IF(H230="근접",$D$61*(VLOOKUP(C230,$B$36:$AG$39,9,FALSE)+VLOOKUP(C230,$B$40:$AG$43,9,FALSE)*$D$54),$D$60*(VLOOKUP(C230,$B$36:$AG$39,9,FALSE)+VLOOKUP(C230,$B$40:$AG$43,9,FALSE)*$D$54)))*$D$59/100</f>
        <v>3204.6561084036589</v>
      </c>
      <c r="AM230" s="174">
        <f>(IF(H230="근접",$D$61*(VLOOKUP(C230,$B$36:$AG$39,10,FALSE)+VLOOKUP(C230,$B$40:$AG$43,10,FALSE)*$D$54),$D$60*(VLOOKUP(C230,$B$36:$AG$39,10,FALSE)+VLOOKUP(C230,$B$40:$AG$43,10,FALSE)*$D$54)))*$D$59/100</f>
        <v>4089.9731677207315</v>
      </c>
      <c r="AN230" s="174"/>
      <c r="AO230" s="176">
        <v>24</v>
      </c>
      <c r="AP230" s="174">
        <v>36</v>
      </c>
      <c r="AQ230" s="175">
        <f>VLOOKUP(C230,$B$45:$AA$48,9,FALSE)</f>
        <v>521</v>
      </c>
      <c r="AR230" s="31">
        <f>IF(LEFT(E230,1)*1=1,$S$58,$R$58)</f>
        <v>1.2</v>
      </c>
      <c r="AS230" s="2">
        <f>IF(LEFT(E230,1)*1=2,$U$58,$T$58)</f>
        <v>0</v>
      </c>
      <c r="AT230" s="33">
        <f>IF(LEFT(E230,1)*1=3,$W$58,$V$58)</f>
        <v>0</v>
      </c>
      <c r="AU230" s="31">
        <f>IF(MID(E230,3,1)*1=1,$Y$58,$X$58)</f>
        <v>0</v>
      </c>
      <c r="AV230" s="2">
        <f>IF(MID(E230,3,1)*1=2,$AA$58,$Z$58)</f>
        <v>0</v>
      </c>
      <c r="AW230" s="33">
        <f>IF(MID(E230,3,1)*1=3,$AC$58,$AB$58)</f>
        <v>1</v>
      </c>
      <c r="AX230" s="31">
        <f>IF(MID(E230,5,1)*1=1,$AE$58,$AD$58)</f>
        <v>1</v>
      </c>
      <c r="AY230" s="33">
        <f>IF(MID(E230,5,1)*1=2,$AG$58,$AF$58)</f>
        <v>1.2</v>
      </c>
      <c r="AZ230" s="2"/>
      <c r="BA230" s="101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 ht="12" customHeight="1">
      <c r="A231" s="2"/>
      <c r="B231" s="107">
        <v>776</v>
      </c>
      <c r="C231" s="31">
        <v>10</v>
      </c>
      <c r="D231" s="111" t="s">
        <v>21</v>
      </c>
      <c r="E231" s="2" t="s">
        <v>99</v>
      </c>
      <c r="F231" s="2" t="s">
        <v>149</v>
      </c>
      <c r="G231" s="2"/>
      <c r="H231" s="33"/>
      <c r="I231" s="173">
        <f>M231/AE231</f>
        <v>957.50329992905415</v>
      </c>
      <c r="J231" s="174">
        <f>AH231/AE231</f>
        <v>23.695174714659018</v>
      </c>
      <c r="K231" s="207">
        <f>RANK(I231,$I$76:$I$977)</f>
        <v>156</v>
      </c>
      <c r="L231" s="208" t="e">
        <f>RANK(I231,$I$451:$I$866)</f>
        <v>#N/A</v>
      </c>
      <c r="M231" s="173">
        <f>SUM(N231:R231)</f>
        <v>26548.851216708208</v>
      </c>
      <c r="N231" s="174">
        <f>T231*(1+((AG231+IF(F231="백어택",8,0))/100)*(AI231/100-1))</f>
        <v>24187.981932956805</v>
      </c>
      <c r="O231" s="174"/>
      <c r="P231" s="174"/>
      <c r="Q231" s="174"/>
      <c r="R231" s="175">
        <f>X231*(1+(AG231/100)*(AI231/100-1))</f>
        <v>2360.8692837514036</v>
      </c>
      <c r="S231" s="173">
        <f>SUM(T231:X231)</f>
        <v>21029.362206769907</v>
      </c>
      <c r="T231" s="174">
        <f>AL231*AW231*AX231*AY231*IF(F231="백어택",1.2,1)</f>
        <v>19045.460111791614</v>
      </c>
      <c r="U231" s="174"/>
      <c r="V231" s="174"/>
      <c r="W231" s="174"/>
      <c r="X231" s="175">
        <f>AL231*AS231+IF(AX231=1,AL231*AU231,AL231*AU231*2)</f>
        <v>1983.9020949782932</v>
      </c>
      <c r="Y231" s="173">
        <f>SUM(Z231:AD231)</f>
        <v>42058.724413539814</v>
      </c>
      <c r="Z231" s="174">
        <f>T231*$D$58/100</f>
        <v>38090.920223583227</v>
      </c>
      <c r="AA231" s="174"/>
      <c r="AB231" s="174"/>
      <c r="AC231" s="174"/>
      <c r="AD231" s="175">
        <f>X231*$D$58/100</f>
        <v>3967.8041899565865</v>
      </c>
      <c r="AE231" s="173">
        <f>AO231*(1-$D$20/100)*(1-$D$17/100)-AR231</f>
        <v>27.727164197424003</v>
      </c>
      <c r="AF231" s="174">
        <f>AP231</f>
        <v>36</v>
      </c>
      <c r="AG231" s="174">
        <f>IF($D$57&gt;100,100,$D$57)</f>
        <v>19.001300000000001</v>
      </c>
      <c r="AH231" s="174">
        <f>AQ231</f>
        <v>657</v>
      </c>
      <c r="AI231" s="174">
        <f>$D$58</f>
        <v>200</v>
      </c>
      <c r="AJ231" s="174">
        <f>10/6</f>
        <v>1.6666666666666667</v>
      </c>
      <c r="AK231" s="174">
        <f>SUM(AL231:AN231)</f>
        <v>9919.5104748914655</v>
      </c>
      <c r="AL231" s="174">
        <f>(VLOOKUP(C231,$B$36:$AG$39,31,FALSE)+VLOOKUP(C231,$B$40:$AG$43,31,FALSE)*$D$54)*$D$59/100</f>
        <v>9919.5104748914655</v>
      </c>
      <c r="AM231" s="174"/>
      <c r="AN231" s="174"/>
      <c r="AO231" s="176">
        <v>36</v>
      </c>
      <c r="AP231" s="174">
        <v>36</v>
      </c>
      <c r="AQ231" s="175">
        <f>VLOOKUP(C231,$B$45:$AG$48,31,FALSE)</f>
        <v>657</v>
      </c>
      <c r="AR231" s="31">
        <f>IF(LEFT(E231,1)*1=1,$S$71,$R$71)</f>
        <v>0</v>
      </c>
      <c r="AS231" s="2">
        <f>IF(LEFT(E231,1)*1=2,$U$71,$T$71)</f>
        <v>0.2</v>
      </c>
      <c r="AT231" s="33">
        <f>IF(LEFT(E231,1)*1=3,$W$71,$V$71)</f>
        <v>0</v>
      </c>
      <c r="AU231" s="31">
        <f>IF(MID(E231,3,1)*1=1,$Y$71,$X$71)</f>
        <v>0</v>
      </c>
      <c r="AV231" s="2">
        <f>IF(MID(E231,3,1)*1=2,$AA$71,$Z$71)</f>
        <v>0</v>
      </c>
      <c r="AW231" s="33">
        <f>IF(MID(E231,3,1)*1=3,$AC$71,$AB$71)</f>
        <v>1</v>
      </c>
      <c r="AX231" s="31">
        <f>IF(MID(E231,5,1)*1=1,$AE$71,$AD$71)</f>
        <v>1</v>
      </c>
      <c r="AY231" s="33">
        <f>IF(MID(E231,5,1)*1=2,$AG$71,$AF$71)</f>
        <v>1.6</v>
      </c>
      <c r="AZ231" s="2"/>
      <c r="BA231" s="101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 ht="12" customHeight="1">
      <c r="A232" s="2"/>
      <c r="B232" s="107">
        <v>890</v>
      </c>
      <c r="C232" s="31">
        <v>10</v>
      </c>
      <c r="D232" s="113" t="s">
        <v>22</v>
      </c>
      <c r="E232" s="2" t="s">
        <v>98</v>
      </c>
      <c r="F232" s="2"/>
      <c r="G232" s="2"/>
      <c r="H232" s="33"/>
      <c r="I232" s="173">
        <f>M232/AE232</f>
        <v>957.05397268839965</v>
      </c>
      <c r="J232" s="174">
        <f>AH232/AE232</f>
        <v>19.780450366105395</v>
      </c>
      <c r="K232" s="207">
        <f>RANK(I232,$I$76:$I$977)</f>
        <v>157</v>
      </c>
      <c r="L232" s="208" t="e">
        <f>RANK(I232,$I$867:$I$977)</f>
        <v>#N/A</v>
      </c>
      <c r="M232" s="173">
        <f>SUM(N232:R232)*(1+$D$22/100)</f>
        <v>28643.228103763679</v>
      </c>
      <c r="N232" s="174">
        <f>T232*(1+((AG232+IF(F232="백어택",8,0))/100)*(AI232/100-1))</f>
        <v>20846.139104756097</v>
      </c>
      <c r="O232" s="174"/>
      <c r="P232" s="174"/>
      <c r="Q232" s="174"/>
      <c r="R232" s="175">
        <f>X232*(1+($D$57/100)*(AI232/100-1))</f>
        <v>4961.4353068936234</v>
      </c>
      <c r="S232" s="173">
        <f>SUM(T232:X232)</f>
        <v>14592.297373329267</v>
      </c>
      <c r="T232" s="174">
        <f>AL232*AU232</f>
        <v>10423.069552378049</v>
      </c>
      <c r="U232" s="174"/>
      <c r="V232" s="174"/>
      <c r="W232" s="174"/>
      <c r="X232" s="175">
        <f>AL232*AW232</f>
        <v>4169.2278209512197</v>
      </c>
      <c r="Y232" s="173">
        <f>SUM(Z232:AD232)</f>
        <v>20846.139104756097</v>
      </c>
      <c r="Z232" s="174">
        <f>T232*$D$58/100</f>
        <v>20846.139104756097</v>
      </c>
      <c r="AA232" s="174"/>
      <c r="AB232" s="174"/>
      <c r="AC232" s="174"/>
      <c r="AD232" s="175"/>
      <c r="AE232" s="173">
        <f>AO232*(1-$D$17/100)</f>
        <v>29.928540000000002</v>
      </c>
      <c r="AF232" s="174">
        <f>AP232+AV232</f>
        <v>36</v>
      </c>
      <c r="AG232" s="174">
        <f>IF($D$57+AY232&gt;100,100,$D$57+AY232)</f>
        <v>100</v>
      </c>
      <c r="AH232" s="174">
        <f>AQ232*AR232</f>
        <v>592</v>
      </c>
      <c r="AI232" s="174">
        <f>$D$58</f>
        <v>200</v>
      </c>
      <c r="AJ232" s="174">
        <f>10/5</f>
        <v>2</v>
      </c>
      <c r="AK232" s="174">
        <f>SUM(AL232:AN232)</f>
        <v>10423.069552378049</v>
      </c>
      <c r="AL232" s="174">
        <f>(VLOOKUP(C232,$B$36:$AG$39,32,FALSE)+VLOOKUP(C232,$B$40:$AG$43,32,FALSE)*$D$54)*$D$59/100</f>
        <v>10423.069552378049</v>
      </c>
      <c r="AM232" s="174"/>
      <c r="AN232" s="174"/>
      <c r="AO232" s="176">
        <v>30</v>
      </c>
      <c r="AP232" s="174">
        <v>36</v>
      </c>
      <c r="AQ232" s="175">
        <f>VLOOKUP(C232,$B$45:$AG$48,32,FALSE)</f>
        <v>592</v>
      </c>
      <c r="AR232" s="31">
        <f>IF(LEFT(E232,1)*1=1,$S$72,$R$72)</f>
        <v>1</v>
      </c>
      <c r="AS232" s="2">
        <f>IF(LEFT(E232,1)*1=2,$U$72,$T$72)</f>
        <v>0</v>
      </c>
      <c r="AT232" s="33">
        <f>IF(LEFT(E232,1)*1=3,$W$72,$V$72)</f>
        <v>0</v>
      </c>
      <c r="AU232" s="31">
        <f>IF(MID(E232,3,1)*1=1,$Y$72,$X$72)</f>
        <v>1</v>
      </c>
      <c r="AV232" s="2">
        <f>IF(MID(E232,3,1)*1=2,$AA$72,$Z$72)</f>
        <v>0</v>
      </c>
      <c r="AW232" s="33">
        <f>IF(MID(E232,3,1)*1=3,$AC$72,$AB$72)</f>
        <v>0.4</v>
      </c>
      <c r="AX232" s="31">
        <f>IF(MID(E232,5,1)*1=1,$AE$72,$AD$72)</f>
        <v>0</v>
      </c>
      <c r="AY232" s="33">
        <f>IF(MID(E232,5,1)*1=2,$AG$72,$AF$72)</f>
        <v>100</v>
      </c>
      <c r="AZ232" s="2"/>
      <c r="BA232" s="101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 ht="12" customHeight="1">
      <c r="A233" s="2"/>
      <c r="B233" s="107">
        <v>893</v>
      </c>
      <c r="C233" s="31">
        <v>10</v>
      </c>
      <c r="D233" s="113" t="s">
        <v>22</v>
      </c>
      <c r="E233" s="2" t="s">
        <v>157</v>
      </c>
      <c r="F233" s="2"/>
      <c r="G233" s="2"/>
      <c r="H233" s="33"/>
      <c r="I233" s="173">
        <f>M233/AE233</f>
        <v>957.05397268839965</v>
      </c>
      <c r="J233" s="174">
        <f>AH233/AE233</f>
        <v>9.8902251830526975</v>
      </c>
      <c r="K233" s="207">
        <f>RANK(I233,$I$76:$I$977)</f>
        <v>157</v>
      </c>
      <c r="L233" s="208" t="e">
        <f>RANK(I233,$I$867:$I$977)</f>
        <v>#N/A</v>
      </c>
      <c r="M233" s="173">
        <f>SUM(N233:R233)*(1+$D$22/100)</f>
        <v>28643.228103763679</v>
      </c>
      <c r="N233" s="174">
        <f>T233*(1+((AG233+IF(F233="백어택",8,0))/100)*(AI233/100-1))</f>
        <v>20846.139104756097</v>
      </c>
      <c r="O233" s="174"/>
      <c r="P233" s="174"/>
      <c r="Q233" s="174"/>
      <c r="R233" s="175">
        <f>X233*(1+($D$57/100)*(AI233/100-1))</f>
        <v>4961.4353068936234</v>
      </c>
      <c r="S233" s="173">
        <f>SUM(T233:X233)</f>
        <v>14592.297373329267</v>
      </c>
      <c r="T233" s="174">
        <f>AL233*AU233</f>
        <v>10423.069552378049</v>
      </c>
      <c r="U233" s="174"/>
      <c r="V233" s="174"/>
      <c r="W233" s="174"/>
      <c r="X233" s="175">
        <f>AL233*AW233</f>
        <v>4169.2278209512197</v>
      </c>
      <c r="Y233" s="173">
        <f>SUM(Z233:AD233)</f>
        <v>20846.139104756097</v>
      </c>
      <c r="Z233" s="174">
        <f>T233*$D$58/100</f>
        <v>20846.139104756097</v>
      </c>
      <c r="AA233" s="174"/>
      <c r="AB233" s="174"/>
      <c r="AC233" s="174"/>
      <c r="AD233" s="175"/>
      <c r="AE233" s="173">
        <f>AO233*(1-$D$17/100)</f>
        <v>29.928540000000002</v>
      </c>
      <c r="AF233" s="174">
        <f>AP233+AV233</f>
        <v>36</v>
      </c>
      <c r="AG233" s="174">
        <f>IF($D$57+AY233&gt;100,100,$D$57+AY233)</f>
        <v>100</v>
      </c>
      <c r="AH233" s="174">
        <f>AQ233*AR233</f>
        <v>296</v>
      </c>
      <c r="AI233" s="174">
        <f>$D$58</f>
        <v>200</v>
      </c>
      <c r="AJ233" s="174">
        <f>10/5</f>
        <v>2</v>
      </c>
      <c r="AK233" s="174">
        <f>SUM(AL233:AN233)</f>
        <v>10423.069552378049</v>
      </c>
      <c r="AL233" s="174">
        <f>(VLOOKUP(C233,$B$36:$AG$39,32,FALSE)+VLOOKUP(C233,$B$40:$AG$43,32,FALSE)*$D$54)*$D$59/100</f>
        <v>10423.069552378049</v>
      </c>
      <c r="AM233" s="174"/>
      <c r="AN233" s="174"/>
      <c r="AO233" s="176">
        <v>30</v>
      </c>
      <c r="AP233" s="174">
        <v>36</v>
      </c>
      <c r="AQ233" s="175">
        <f>VLOOKUP(C233,$B$45:$AG$48,32,FALSE)</f>
        <v>592</v>
      </c>
      <c r="AR233" s="31">
        <f>IF(LEFT(E233,1)*1=1,$S$72,$R$72)</f>
        <v>0.5</v>
      </c>
      <c r="AS233" s="2">
        <f>IF(LEFT(E233,1)*1=2,$U$72,$T$72)</f>
        <v>0</v>
      </c>
      <c r="AT233" s="33">
        <f>IF(LEFT(E233,1)*1=3,$W$72,$V$72)</f>
        <v>0</v>
      </c>
      <c r="AU233" s="31">
        <f>IF(MID(E233,3,1)*1=1,$Y$72,$X$72)</f>
        <v>1</v>
      </c>
      <c r="AV233" s="2">
        <f>IF(MID(E233,3,1)*1=2,$AA$72,$Z$72)</f>
        <v>0</v>
      </c>
      <c r="AW233" s="33">
        <f>IF(MID(E233,3,1)*1=3,$AC$72,$AB$72)</f>
        <v>0.4</v>
      </c>
      <c r="AX233" s="31">
        <f>IF(MID(E233,5,1)*1=1,$AE$72,$AD$72)</f>
        <v>0</v>
      </c>
      <c r="AY233" s="33">
        <f>IF(MID(E233,5,1)*1=2,$AG$72,$AF$72)</f>
        <v>100</v>
      </c>
      <c r="AZ233" s="2"/>
      <c r="BA233" s="101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 ht="12" customHeight="1">
      <c r="A234" s="2"/>
      <c r="B234" s="107">
        <v>619</v>
      </c>
      <c r="C234" s="31">
        <v>10</v>
      </c>
      <c r="D234" s="111" t="s">
        <v>18</v>
      </c>
      <c r="E234" s="2" t="s">
        <v>102</v>
      </c>
      <c r="F234" s="2"/>
      <c r="G234" s="2"/>
      <c r="H234" s="33" t="s">
        <v>81</v>
      </c>
      <c r="I234" s="173">
        <f>M234/AE234</f>
        <v>952.84283647385166</v>
      </c>
      <c r="J234" s="174">
        <f>AH234/AE234</f>
        <v>28.185356224514496</v>
      </c>
      <c r="K234" s="207">
        <f>RANK(I234,$I$76:$I$977)</f>
        <v>159</v>
      </c>
      <c r="L234" s="208" t="e">
        <f>RANK(I234,$I$451:$I$866)</f>
        <v>#N/A</v>
      </c>
      <c r="M234" s="173">
        <f>SUM(N234:R234)</f>
        <v>17613.086520833138</v>
      </c>
      <c r="N234" s="174">
        <f>T234*(1+((AG234+IF(F234="백어택",8,0))/100)*(AI234/100-1))</f>
        <v>5824.3709104455538</v>
      </c>
      <c r="O234" s="174">
        <f>U234*(1+(($D$57+IF(F234="백어택",8,0))/100)*(AI234/100-1))</f>
        <v>11788.715610387582</v>
      </c>
      <c r="P234" s="174"/>
      <c r="Q234" s="174"/>
      <c r="R234" s="175"/>
      <c r="S234" s="173">
        <f>SUM(T234:X234)</f>
        <v>14800.751353836586</v>
      </c>
      <c r="T234" s="174">
        <f>AL234*IF(H234="근접",AT234,IF(AV234=1,AT234,1))*AX234*IF(F234="백어택",1.2,1)</f>
        <v>4894.3758685371959</v>
      </c>
      <c r="U234" s="174">
        <f>IF(AX234=1,AM234*IF(H234="근접",AT234,IF(AV234=1,AT234,1)),0)*AY234*IF(AX234=1,1,0)*IF(F234="백어택",1.2,1)</f>
        <v>9906.3754852993898</v>
      </c>
      <c r="V234" s="174"/>
      <c r="W234" s="174"/>
      <c r="X234" s="175"/>
      <c r="Y234" s="173">
        <f>SUM(Z234:AD234)</f>
        <v>29601.502707673171</v>
      </c>
      <c r="Z234" s="174">
        <f>T234*$D$58/100</f>
        <v>9788.7517370743917</v>
      </c>
      <c r="AA234" s="174">
        <f>U234*$D$58/100</f>
        <v>19812.75097059878</v>
      </c>
      <c r="AB234" s="174"/>
      <c r="AC234" s="174"/>
      <c r="AD234" s="175"/>
      <c r="AE234" s="173">
        <f>(AO234*(1-$D$20/100)*(1-$D$17/100)-AR234)*IF(AW234="보스대상",1,POWER(0.85,AW234))</f>
        <v>18.484776131615998</v>
      </c>
      <c r="AF234" s="174">
        <f>AP234</f>
        <v>36</v>
      </c>
      <c r="AG234" s="174">
        <f>IF($D$57+AU234&gt;100,100,$D$57+AU234)</f>
        <v>19.001300000000001</v>
      </c>
      <c r="AH234" s="174">
        <f>AQ234</f>
        <v>521</v>
      </c>
      <c r="AI234" s="174">
        <f>$D$58</f>
        <v>200</v>
      </c>
      <c r="AJ234" s="174">
        <f>10*AS234/IF(AX234=1,IF(AY234=1,4.5,4),4)</f>
        <v>2</v>
      </c>
      <c r="AK234" s="174">
        <f>SUM(AL234:AN234)</f>
        <v>8196.5010303036597</v>
      </c>
      <c r="AL234" s="174">
        <f>IF(AV234=1,$D$61*(VLOOKUP(C234,$B$36:$AG$39,25,FALSE)+VLOOKUP(C234,$B$40:$AG$43,25,FALSE)*$D$54),(IF(H234="근접",$D$61*(VLOOKUP(C234,$B$36:$AG$39,25,FALSE)+VLOOKUP(C234,$B$40:$AG$43,25,FALSE)*$D$54),$D$60*(VLOOKUP(C234,$B$36:$AG$39,25,FALSE)+VLOOKUP(C234,$B$40:$AG$43,25,FALSE)*$D$54))))*$D$59/100</f>
        <v>4894.3758685371959</v>
      </c>
      <c r="AM234" s="174">
        <f>(IF(AV234=1,$D$61*(VLOOKUP(C234,$B$36:$AG$39,26,FALSE)+VLOOKUP(C234,$B$40:$AG$43,26,FALSE)*$D$54),IF(H234="근접",$D$61*(VLOOKUP(C234,$B$36:$AG$39,26,FALSE)+VLOOKUP(C234,$B$40:$AG$43,26,FALSE)*$D$54),$D$60*(VLOOKUP(C234,$B$36:$AG$39,26,FALSE)+VLOOKUP(C234,$B$40:$AG$43,26,FALSE)*$D$54))))*$D$59/100</f>
        <v>3302.1251617664634</v>
      </c>
      <c r="AN234" s="174"/>
      <c r="AO234" s="176">
        <v>24</v>
      </c>
      <c r="AP234" s="174">
        <v>36</v>
      </c>
      <c r="AQ234" s="175">
        <f>VLOOKUP(C234,$B$45:$AA$48,25,FALSE)</f>
        <v>521</v>
      </c>
      <c r="AR234" s="31">
        <f>IF(LEFT(E234,1)*1=1,$S$68,$R$68)</f>
        <v>0</v>
      </c>
      <c r="AS234" s="2">
        <f>IF(LEFT(E234,1)*1=2,$U$68,$T$68)</f>
        <v>0.8</v>
      </c>
      <c r="AT234" s="33">
        <f>IF(LEFT(E234,1)*1=3,$W$68,$V$68)</f>
        <v>1</v>
      </c>
      <c r="AU234" s="31">
        <f>IF(MID(E234,3,1)*1=1,$Y$68,$X$68)</f>
        <v>0</v>
      </c>
      <c r="AV234" s="2">
        <f>IF(MID(E234,3,1)*1=2,$AA$68,$Z$68)</f>
        <v>1</v>
      </c>
      <c r="AW234" s="33" t="str">
        <f>IF(MID(E234,3,1)*1=3,$AC$68,$AB$68)</f>
        <v>보스대상</v>
      </c>
      <c r="AX234" s="31">
        <f>IF(MID(E234,5,1)*1=1,$AE$68,$AD$68)</f>
        <v>1</v>
      </c>
      <c r="AY234" s="33">
        <f>IF(MID(E234,5,1)*1=2,$AG$68,$AF$68)</f>
        <v>3</v>
      </c>
      <c r="AZ234" s="2"/>
      <c r="BA234" s="101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 ht="12" customHeight="1">
      <c r="A235" s="2"/>
      <c r="B235" s="107">
        <v>650</v>
      </c>
      <c r="C235" s="31">
        <v>10</v>
      </c>
      <c r="D235" s="111" t="s">
        <v>18</v>
      </c>
      <c r="E235" s="2" t="s">
        <v>102</v>
      </c>
      <c r="F235" s="2"/>
      <c r="G235" s="2"/>
      <c r="H235" s="33" t="s">
        <v>80</v>
      </c>
      <c r="I235" s="173">
        <f>M235/AE235</f>
        <v>952.84283647385166</v>
      </c>
      <c r="J235" s="174">
        <f>AH235/AE235</f>
        <v>28.185356224514496</v>
      </c>
      <c r="K235" s="207">
        <f>RANK(I235,$I$76:$I$977)</f>
        <v>159</v>
      </c>
      <c r="L235" s="208" t="e">
        <f>RANK(I235,$I$451:$I$866)</f>
        <v>#N/A</v>
      </c>
      <c r="M235" s="173">
        <f>SUM(N235:R235)</f>
        <v>17613.086520833138</v>
      </c>
      <c r="N235" s="174">
        <f>T235*(1+((AG235+IF(F235="백어택",8,0))/100)*(AI235/100-1))</f>
        <v>5824.3709104455538</v>
      </c>
      <c r="O235" s="174">
        <f>U235*(1+(($D$57+IF(F235="백어택",8,0))/100)*(AI235/100-1))</f>
        <v>11788.715610387582</v>
      </c>
      <c r="P235" s="174"/>
      <c r="Q235" s="174"/>
      <c r="R235" s="175"/>
      <c r="S235" s="173">
        <f>SUM(T235:X235)</f>
        <v>14800.751353836586</v>
      </c>
      <c r="T235" s="174">
        <f>AL235*IF(H235="근접",AT235,IF(AV235=1,AT235,1))*AX235*IF(F235="백어택",1.2,1)</f>
        <v>4894.3758685371959</v>
      </c>
      <c r="U235" s="174">
        <f>IF(AX235=1,AM235*IF(H235="근접",AT235,IF(AV235=1,AT235,1)),0)*AY235*IF(AX235=1,1,0)*IF(F235="백어택",1.2,1)</f>
        <v>9906.3754852993898</v>
      </c>
      <c r="V235" s="174"/>
      <c r="W235" s="174"/>
      <c r="X235" s="175"/>
      <c r="Y235" s="173">
        <f>SUM(Z235:AD235)</f>
        <v>29601.502707673171</v>
      </c>
      <c r="Z235" s="174">
        <f>T235*$D$58/100</f>
        <v>9788.7517370743917</v>
      </c>
      <c r="AA235" s="174">
        <f>U235*$D$58/100</f>
        <v>19812.75097059878</v>
      </c>
      <c r="AB235" s="174"/>
      <c r="AC235" s="174"/>
      <c r="AD235" s="175"/>
      <c r="AE235" s="173">
        <f>(AO235*(1-$D$20/100)*(1-$D$17/100)-AR235)*IF(AW235="보스대상",1,POWER(0.85,AW235))</f>
        <v>18.484776131615998</v>
      </c>
      <c r="AF235" s="174">
        <f>AP235</f>
        <v>36</v>
      </c>
      <c r="AG235" s="174">
        <f>IF($D$57+AU235&gt;100,100,$D$57+AU235)</f>
        <v>19.001300000000001</v>
      </c>
      <c r="AH235" s="174">
        <f>AQ235</f>
        <v>521</v>
      </c>
      <c r="AI235" s="174">
        <f>$D$58</f>
        <v>200</v>
      </c>
      <c r="AJ235" s="174">
        <f>10*AS235/IF(AX235=1,IF(AY235=1,4.5,4),4)</f>
        <v>2</v>
      </c>
      <c r="AK235" s="174">
        <f>SUM(AL235:AN235)</f>
        <v>8196.5010303036597</v>
      </c>
      <c r="AL235" s="174">
        <f>IF(AV235=1,$D$61*(VLOOKUP(C235,$B$36:$AG$39,25,FALSE)+VLOOKUP(C235,$B$40:$AG$43,25,FALSE)*$D$54),(IF(H235="근접",$D$61*(VLOOKUP(C235,$B$36:$AG$39,25,FALSE)+VLOOKUP(C235,$B$40:$AG$43,25,FALSE)*$D$54),$D$60*(VLOOKUP(C235,$B$36:$AG$39,25,FALSE)+VLOOKUP(C235,$B$40:$AG$43,25,FALSE)*$D$54))))*$D$59/100</f>
        <v>4894.3758685371959</v>
      </c>
      <c r="AM235" s="174">
        <f>(IF(AV235=1,$D$61*(VLOOKUP(C235,$B$36:$AG$39,26,FALSE)+VLOOKUP(C235,$B$40:$AG$43,26,FALSE)*$D$54),IF(H235="근접",$D$61*(VLOOKUP(C235,$B$36:$AG$39,26,FALSE)+VLOOKUP(C235,$B$40:$AG$43,26,FALSE)*$D$54),$D$60*(VLOOKUP(C235,$B$36:$AG$39,26,FALSE)+VLOOKUP(C235,$B$40:$AG$43,26,FALSE)*$D$54))))*$D$59/100</f>
        <v>3302.1251617664634</v>
      </c>
      <c r="AN235" s="174"/>
      <c r="AO235" s="176">
        <v>24</v>
      </c>
      <c r="AP235" s="174">
        <v>36</v>
      </c>
      <c r="AQ235" s="175">
        <f>VLOOKUP(C235,$B$45:$AA$48,25,FALSE)</f>
        <v>521</v>
      </c>
      <c r="AR235" s="31">
        <f>IF(LEFT(E235,1)*1=1,$S$68,$R$68)</f>
        <v>0</v>
      </c>
      <c r="AS235" s="2">
        <f>IF(LEFT(E235,1)*1=2,$U$68,$T$68)</f>
        <v>0.8</v>
      </c>
      <c r="AT235" s="33">
        <f>IF(LEFT(E235,1)*1=3,$W$68,$V$68)</f>
        <v>1</v>
      </c>
      <c r="AU235" s="31">
        <f>IF(MID(E235,3,1)*1=1,$Y$68,$X$68)</f>
        <v>0</v>
      </c>
      <c r="AV235" s="2">
        <f>IF(MID(E235,3,1)*1=2,$AA$68,$Z$68)</f>
        <v>1</v>
      </c>
      <c r="AW235" s="33" t="str">
        <f>IF(MID(E235,3,1)*1=3,$AC$68,$AB$68)</f>
        <v>보스대상</v>
      </c>
      <c r="AX235" s="31">
        <f>IF(MID(E235,5,1)*1=1,$AE$68,$AD$68)</f>
        <v>1</v>
      </c>
      <c r="AY235" s="33">
        <f>IF(MID(E235,5,1)*1=2,$AG$68,$AF$68)</f>
        <v>3</v>
      </c>
      <c r="AZ235" s="2"/>
      <c r="BA235" s="101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 ht="12" hidden="1" customHeight="1">
      <c r="A236" s="2"/>
      <c r="B236" s="107">
        <v>212</v>
      </c>
      <c r="C236" s="31">
        <v>7</v>
      </c>
      <c r="D236" s="106" t="s">
        <v>10</v>
      </c>
      <c r="E236" s="2" t="s">
        <v>168</v>
      </c>
      <c r="F236" s="2"/>
      <c r="G236" s="2" t="s">
        <v>184</v>
      </c>
      <c r="H236" s="33"/>
      <c r="I236" s="173">
        <f>M236/AE236</f>
        <v>946.03020016980963</v>
      </c>
      <c r="J236" s="174">
        <f>AH236/AE236</f>
        <v>17.980329144021059</v>
      </c>
      <c r="K236" s="207">
        <f>RANK(I236,$I$76:$I$977)</f>
        <v>161</v>
      </c>
      <c r="L236" s="208">
        <f>RANK(I236,$I$76:$I$450)</f>
        <v>161</v>
      </c>
      <c r="M236" s="173">
        <f>SUM(N236:R236)</f>
        <v>15100.428099728082</v>
      </c>
      <c r="N236" s="174">
        <f>T236*(1+((AG236+IF(F236="백어택",8,0))/100)*((AI236/100-1)))</f>
        <v>15100.428099728082</v>
      </c>
      <c r="O236" s="174"/>
      <c r="P236" s="174"/>
      <c r="Q236" s="174"/>
      <c r="R236" s="175"/>
      <c r="S236" s="173">
        <f>SUM(T236:X236)</f>
        <v>11436.404824153962</v>
      </c>
      <c r="T236" s="174">
        <f>AL236*AS236*AU236*AX236*IF(AY236=0,1,0.5)*IF(F236="백어택",1.2,1)</f>
        <v>11436.404824153962</v>
      </c>
      <c r="U236" s="174"/>
      <c r="V236" s="174"/>
      <c r="W236" s="174"/>
      <c r="X236" s="175"/>
      <c r="Y236" s="173">
        <f>SUM(Z236:AD236)</f>
        <v>30719.418489398551</v>
      </c>
      <c r="Z236" s="174">
        <f>T236*AI236/100</f>
        <v>30719.418489398551</v>
      </c>
      <c r="AA236" s="174"/>
      <c r="AB236" s="174"/>
      <c r="AC236" s="174"/>
      <c r="AD236" s="175"/>
      <c r="AE236" s="173">
        <f>AO236*(1-$D$17/100)</f>
        <v>15.961888</v>
      </c>
      <c r="AF236" s="174">
        <f>AP236</f>
        <v>36</v>
      </c>
      <c r="AG236" s="174">
        <f>IF($D$57+AV236&gt;100,100,$D$57+AV236)</f>
        <v>19.001300000000001</v>
      </c>
      <c r="AH236" s="174">
        <f>AQ236</f>
        <v>287</v>
      </c>
      <c r="AI236" s="174">
        <f>$D$58+$D$19</f>
        <v>268.61079999999998</v>
      </c>
      <c r="AJ236" s="174">
        <f>10*AR236/(7-IF(AX236=1,0,3))</f>
        <v>1.4285714285714286</v>
      </c>
      <c r="AK236" s="174">
        <f>SUM(AL236:AN236)</f>
        <v>7753.4947960365853</v>
      </c>
      <c r="AL236" s="174">
        <f>(VLOOKUP(C236,$B$36:$AG$39,13,FALSE)+VLOOKUP(C236,$B$40:$AG$43,13,FALSE)*$D$54)*$D$59/100</f>
        <v>7753.4947960365853</v>
      </c>
      <c r="AM236" s="174"/>
      <c r="AN236" s="174"/>
      <c r="AO236" s="176">
        <v>16</v>
      </c>
      <c r="AP236" s="174">
        <v>36</v>
      </c>
      <c r="AQ236" s="175">
        <f>VLOOKUP(C236,$B$45:$AA$48,13,FALSE)</f>
        <v>287</v>
      </c>
      <c r="AR236" s="31">
        <f>IF(LEFT(E236,1)*1=1,$S$60,$R$60)</f>
        <v>1</v>
      </c>
      <c r="AS236" s="2">
        <f>IF(LEFT(E236,1)*1=2,$U$60,$T$60)</f>
        <v>1.18</v>
      </c>
      <c r="AT236" s="33">
        <f>IF(LEFT(E236,1)*1=3,$W$60,$V$60)</f>
        <v>0</v>
      </c>
      <c r="AU236" s="31">
        <f>IF(MID(E236,3,1)*1=1,$Y$60,$X$60)</f>
        <v>1.25</v>
      </c>
      <c r="AV236" s="2">
        <f>IF(MID(E236,3,1)*1=2,$AA$60,$Z$60)</f>
        <v>0</v>
      </c>
      <c r="AW236" s="33">
        <f>IF(MID(E236,3,1)*1=3,$AC$60,$AB$60)</f>
        <v>0</v>
      </c>
      <c r="AX236" s="31">
        <f>IF(MID(E236,5,1)*1=1,$AE$60,$AD$60)</f>
        <v>1</v>
      </c>
      <c r="AY236" s="33">
        <f>IF(MID(E236,5,1)*1=2,$AG$60,$AF$60)</f>
        <v>0</v>
      </c>
      <c r="AZ236" s="2"/>
      <c r="BA236" s="101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 ht="12" customHeight="1">
      <c r="A237" s="2"/>
      <c r="B237" s="107">
        <v>555</v>
      </c>
      <c r="C237" s="31">
        <v>10</v>
      </c>
      <c r="D237" s="111" t="s">
        <v>14</v>
      </c>
      <c r="E237" s="2" t="s">
        <v>98</v>
      </c>
      <c r="F237" s="2" t="s">
        <v>149</v>
      </c>
      <c r="G237" s="2"/>
      <c r="H237" s="33" t="s">
        <v>81</v>
      </c>
      <c r="I237" s="173">
        <f>M237/AE237</f>
        <v>945.94872122626475</v>
      </c>
      <c r="J237" s="174">
        <f>AH237/AE237</f>
        <v>23.695174714659018</v>
      </c>
      <c r="K237" s="207">
        <f>RANK(I237,$I$76:$I$977)</f>
        <v>162</v>
      </c>
      <c r="L237" s="208" t="e">
        <f>RANK(I237,$I$451:$I$866)</f>
        <v>#N/A</v>
      </c>
      <c r="M237" s="173">
        <f>SUM(N237:R237)</f>
        <v>26228.475515783906</v>
      </c>
      <c r="N237" s="174">
        <f>T237*(1+((AG237+IF(F237="백어택",8,0))/100)*(AI237/100-1))</f>
        <v>7316.1229606319239</v>
      </c>
      <c r="O237" s="174">
        <f>U237*(1+((AG237+IF(F237="백어택",8,0))/100)*(AI237/100-1))</f>
        <v>7316.1229606319239</v>
      </c>
      <c r="P237" s="174">
        <f>V237*(1+((AG237+IF(F237="백어택",8,0))/100)*(AI237*IF(AX237=1,AW237,1)/100-1))</f>
        <v>11596.229594520059</v>
      </c>
      <c r="Q237" s="174">
        <f>W237*(1+((AG237+IF(F237="백어택",8,0))/100)*(AI237*AW237/100-1))</f>
        <v>0</v>
      </c>
      <c r="R237" s="175"/>
      <c r="S237" s="173">
        <f>SUM(T237:X237)</f>
        <v>17450.679239139514</v>
      </c>
      <c r="T237" s="174">
        <f>AL237*AY237*IF(F237="백어택",1.2,1)</f>
        <v>5207.1326843733659</v>
      </c>
      <c r="U237" s="174">
        <f>AM237*AY237*IF(F237="백어택",1.2,1)</f>
        <v>5207.1326843733659</v>
      </c>
      <c r="V237" s="174">
        <f>AN237*AY237*IF(F237="백어택",1.2,1)</f>
        <v>7036.4138703927802</v>
      </c>
      <c r="W237" s="174">
        <f>(T237+U237+V237)*IF(AX237=1,0,0.6)*IF(F237="백어택",1.2,1)</f>
        <v>0</v>
      </c>
      <c r="X237" s="175"/>
      <c r="Y237" s="173">
        <f>SUM(Z237:AD237)</f>
        <v>49959.470581202288</v>
      </c>
      <c r="Z237" s="174">
        <f>T237*AI237/100</f>
        <v>13017.831710933415</v>
      </c>
      <c r="AA237" s="174">
        <f>U237*AI237/100</f>
        <v>13017.831710933415</v>
      </c>
      <c r="AB237" s="174">
        <f>V237*AI237*IF(AX237=1,AW237,1)/100</f>
        <v>23923.807159335454</v>
      </c>
      <c r="AC237" s="174">
        <f>W237*AI237*AW237/100</f>
        <v>0</v>
      </c>
      <c r="AD237" s="175"/>
      <c r="AE237" s="173">
        <f>AO237*(1-$D$20/100)*(1-$D$17/100)</f>
        <v>27.727164197424003</v>
      </c>
      <c r="AF237" s="174">
        <f>AP237</f>
        <v>36</v>
      </c>
      <c r="AG237" s="174">
        <f>IF($D$57+AU237&gt;100,100,$D$57+AU237)</f>
        <v>19.001300000000001</v>
      </c>
      <c r="AH237" s="174">
        <f>AQ237*AS237</f>
        <v>657</v>
      </c>
      <c r="AI237" s="174">
        <f>$D$58+IF(H237="근접",AR237,0)+IF(AY237=1,0,50)</f>
        <v>250</v>
      </c>
      <c r="AJ237" s="174">
        <f>10/3</f>
        <v>3.3333333333333335</v>
      </c>
      <c r="AK237" s="174">
        <f>SUM(AL237:AN237)</f>
        <v>12118.527249402439</v>
      </c>
      <c r="AL237" s="174">
        <f>(IF(H237="근접",$D$61*(VLOOKUP(C237,$B$36:$AG$39,19,FALSE)+VLOOKUP(C237,$B$40:$AG$43,19,FALSE)*$D$54),$D$60*(VLOOKUP(C237,$B$36:$AG$39,19,FALSE)+VLOOKUP(C237,$B$40:$AG$43,19,FALSE)*$D$54)))*$D$59/100</f>
        <v>3616.0643641481706</v>
      </c>
      <c r="AM237" s="174">
        <f>(IF(H237="근접",$D$61*(VLOOKUP(C237,$B$36:$AG$39,20,FALSE)+VLOOKUP(C237,$B$40:$AG$43,20,FALSE)*$D$54),$D$60*(VLOOKUP(C237,$B$36:$AG$39,20,FALSE)+VLOOKUP(C237,$B$40:$AG$43,20,FALSE)*$D$54)))*$D$59/100</f>
        <v>3616.0643641481706</v>
      </c>
      <c r="AN237" s="174">
        <f>(IF(H237="근접",$D$61*(VLOOKUP(C237,$B$36:$AG$39,21,FALSE)+VLOOKUP(C237,$B$40:$AG$43,21,FALSE)*$D$54),$D$60*(VLOOKUP(C237,$B$36:$AG$39,21,FALSE)+VLOOKUP(C237,$B$40:$AG$43,21,FALSE)*$D$54)))*$D$59/100</f>
        <v>4886.3985211060972</v>
      </c>
      <c r="AO237" s="176">
        <v>36</v>
      </c>
      <c r="AP237" s="174">
        <v>36</v>
      </c>
      <c r="AQ237" s="175">
        <f>VLOOKUP(C237,$B$45:$AA$48,19,FALSE)</f>
        <v>657</v>
      </c>
      <c r="AR237" s="31">
        <f>IF(LEFT(E237,1)*1=1,$S$64,$R$64)</f>
        <v>0</v>
      </c>
      <c r="AS237" s="2">
        <f>IF(LEFT(E237,1)*1=2,$U$64,$T$64)</f>
        <v>1</v>
      </c>
      <c r="AT237" s="33">
        <f>IF(LEFT(E237,1)*1=3,$W$64,$V$64)</f>
        <v>0</v>
      </c>
      <c r="AU237" s="31">
        <f>IF(MID(E237,3,1)*1=1,$Y$64,$X$64)</f>
        <v>0</v>
      </c>
      <c r="AV237" s="2">
        <f>IF(MID(E237,3,1)*1=2,$AA$64,$Z$64)</f>
        <v>0</v>
      </c>
      <c r="AW237" s="33">
        <f>IF(MID(E237,3,1)*1=3,$AC$64,$AB$64)</f>
        <v>1.36</v>
      </c>
      <c r="AX237" s="31">
        <f>IF(MID(E237,5,1)*1=1,$AE$64,$AD$64)</f>
        <v>1</v>
      </c>
      <c r="AY237" s="33">
        <f>IF(MID(E237,5,1)*1=2,$AG$64,$AF$64)</f>
        <v>1.2</v>
      </c>
      <c r="AZ237" s="2"/>
      <c r="BA237" s="101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 ht="12" customHeight="1">
      <c r="A238" s="2"/>
      <c r="B238" s="107">
        <v>561</v>
      </c>
      <c r="C238" s="31">
        <v>10</v>
      </c>
      <c r="D238" s="111" t="s">
        <v>14</v>
      </c>
      <c r="E238" s="2" t="s">
        <v>108</v>
      </c>
      <c r="F238" s="2" t="s">
        <v>149</v>
      </c>
      <c r="G238" s="2"/>
      <c r="H238" s="33" t="s">
        <v>81</v>
      </c>
      <c r="I238" s="173">
        <f>M238/AE238</f>
        <v>945.94872122626475</v>
      </c>
      <c r="J238" s="174">
        <f>AH238/AE238</f>
        <v>11.847587357329509</v>
      </c>
      <c r="K238" s="207">
        <f>RANK(I238,$I$76:$I$977)</f>
        <v>162</v>
      </c>
      <c r="L238" s="208" t="e">
        <f>RANK(I238,$I$451:$I$866)</f>
        <v>#N/A</v>
      </c>
      <c r="M238" s="173">
        <f>SUM(N238:R238)</f>
        <v>26228.475515783906</v>
      </c>
      <c r="N238" s="174">
        <f>T238*(1+((AG238+IF(F238="백어택",8,0))/100)*(AI238/100-1))</f>
        <v>7316.1229606319239</v>
      </c>
      <c r="O238" s="174">
        <f>U238*(1+((AG238+IF(F238="백어택",8,0))/100)*(AI238/100-1))</f>
        <v>7316.1229606319239</v>
      </c>
      <c r="P238" s="174">
        <f>V238*(1+((AG238+IF(F238="백어택",8,0))/100)*(AI238*IF(AX238=1,AW238,1)/100-1))</f>
        <v>11596.229594520059</v>
      </c>
      <c r="Q238" s="174">
        <f>W238*(1+((AG238+IF(F238="백어택",8,0))/100)*(AI238*AW238/100-1))</f>
        <v>0</v>
      </c>
      <c r="R238" s="175"/>
      <c r="S238" s="173">
        <f>SUM(T238:X238)</f>
        <v>17450.679239139514</v>
      </c>
      <c r="T238" s="174">
        <f>AL238*AY238*IF(F238="백어택",1.2,1)</f>
        <v>5207.1326843733659</v>
      </c>
      <c r="U238" s="174">
        <f>AM238*AY238*IF(F238="백어택",1.2,1)</f>
        <v>5207.1326843733659</v>
      </c>
      <c r="V238" s="174">
        <f>AN238*AY238*IF(F238="백어택",1.2,1)</f>
        <v>7036.4138703927802</v>
      </c>
      <c r="W238" s="174">
        <f>(T238+U238+V238)*IF(AX238=1,0,0.6)*IF(F238="백어택",1.2,1)</f>
        <v>0</v>
      </c>
      <c r="X238" s="175"/>
      <c r="Y238" s="173">
        <f>SUM(Z238:AD238)</f>
        <v>49959.470581202288</v>
      </c>
      <c r="Z238" s="174">
        <f>T238*AI238/100</f>
        <v>13017.831710933415</v>
      </c>
      <c r="AA238" s="174">
        <f>U238*AI238/100</f>
        <v>13017.831710933415</v>
      </c>
      <c r="AB238" s="174">
        <f>V238*AI238*IF(AX238=1,AW238,1)/100</f>
        <v>23923.807159335454</v>
      </c>
      <c r="AC238" s="174">
        <f>W238*AI238*AW238/100</f>
        <v>0</v>
      </c>
      <c r="AD238" s="175"/>
      <c r="AE238" s="173">
        <f>AO238*(1-$D$20/100)*(1-$D$17/100)</f>
        <v>27.727164197424003</v>
      </c>
      <c r="AF238" s="174">
        <f>AP238</f>
        <v>36</v>
      </c>
      <c r="AG238" s="174">
        <f>IF($D$57+AU238&gt;100,100,$D$57+AU238)</f>
        <v>19.001300000000001</v>
      </c>
      <c r="AH238" s="174">
        <f>AQ238*AS238</f>
        <v>328.5</v>
      </c>
      <c r="AI238" s="174">
        <f>$D$58+IF(H238="근접",AR238,0)+IF(AY238=1,0,50)</f>
        <v>250</v>
      </c>
      <c r="AJ238" s="174">
        <f>10/3</f>
        <v>3.3333333333333335</v>
      </c>
      <c r="AK238" s="174">
        <f>SUM(AL238:AN238)</f>
        <v>12118.527249402439</v>
      </c>
      <c r="AL238" s="174">
        <f>(IF(H238="근접",$D$61*(VLOOKUP(C238,$B$36:$AG$39,19,FALSE)+VLOOKUP(C238,$B$40:$AG$43,19,FALSE)*$D$54),$D$60*(VLOOKUP(C238,$B$36:$AG$39,19,FALSE)+VLOOKUP(C238,$B$40:$AG$43,19,FALSE)*$D$54)))*$D$59/100</f>
        <v>3616.0643641481706</v>
      </c>
      <c r="AM238" s="174">
        <f>(IF(H238="근접",$D$61*(VLOOKUP(C238,$B$36:$AG$39,20,FALSE)+VLOOKUP(C238,$B$40:$AG$43,20,FALSE)*$D$54),$D$60*(VLOOKUP(C238,$B$36:$AG$39,20,FALSE)+VLOOKUP(C238,$B$40:$AG$43,20,FALSE)*$D$54)))*$D$59/100</f>
        <v>3616.0643641481706</v>
      </c>
      <c r="AN238" s="174">
        <f>(IF(H238="근접",$D$61*(VLOOKUP(C238,$B$36:$AG$39,21,FALSE)+VLOOKUP(C238,$B$40:$AG$43,21,FALSE)*$D$54),$D$60*(VLOOKUP(C238,$B$36:$AG$39,21,FALSE)+VLOOKUP(C238,$B$40:$AG$43,21,FALSE)*$D$54)))*$D$59/100</f>
        <v>4886.3985211060972</v>
      </c>
      <c r="AO238" s="176">
        <v>36</v>
      </c>
      <c r="AP238" s="174">
        <v>36</v>
      </c>
      <c r="AQ238" s="175">
        <f>VLOOKUP(C238,$B$45:$AA$48,19,FALSE)</f>
        <v>657</v>
      </c>
      <c r="AR238" s="31">
        <f>IF(LEFT(E238,1)*1=1,$S$64,$R$64)</f>
        <v>0</v>
      </c>
      <c r="AS238" s="2">
        <f>IF(LEFT(E238,1)*1=2,$U$64,$T$64)</f>
        <v>0.5</v>
      </c>
      <c r="AT238" s="33">
        <f>IF(LEFT(E238,1)*1=3,$W$64,$V$64)</f>
        <v>0</v>
      </c>
      <c r="AU238" s="31">
        <f>IF(MID(E238,3,1)*1=1,$Y$64,$X$64)</f>
        <v>0</v>
      </c>
      <c r="AV238" s="2">
        <f>IF(MID(E238,3,1)*1=2,$AA$64,$Z$64)</f>
        <v>0</v>
      </c>
      <c r="AW238" s="33">
        <f>IF(MID(E238,3,1)*1=3,$AC$64,$AB$64)</f>
        <v>1.36</v>
      </c>
      <c r="AX238" s="31">
        <f>IF(MID(E238,5,1)*1=1,$AE$64,$AD$64)</f>
        <v>1</v>
      </c>
      <c r="AY238" s="33">
        <f>IF(MID(E238,5,1)*1=2,$AG$64,$AF$64)</f>
        <v>1.2</v>
      </c>
      <c r="AZ238" s="2"/>
      <c r="BA238" s="101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 ht="12" customHeight="1">
      <c r="A239" s="2"/>
      <c r="B239" s="107">
        <v>487</v>
      </c>
      <c r="C239" s="31">
        <v>10</v>
      </c>
      <c r="D239" s="111" t="s">
        <v>14</v>
      </c>
      <c r="E239" s="2" t="s">
        <v>156</v>
      </c>
      <c r="F239" s="2"/>
      <c r="G239" s="2"/>
      <c r="H239" s="33" t="s">
        <v>81</v>
      </c>
      <c r="I239" s="173">
        <f>M239/AE239</f>
        <v>943.46165025783375</v>
      </c>
      <c r="J239" s="174">
        <f>AH239/AE239</f>
        <v>23.695174714659018</v>
      </c>
      <c r="K239" s="207">
        <f>RANK(I239,$I$76:$I$977)</f>
        <v>164</v>
      </c>
      <c r="L239" s="208" t="e">
        <f>RANK(I239,$I$451:$I$866)</f>
        <v>#N/A</v>
      </c>
      <c r="M239" s="173">
        <f>SUM(N239:R239)</f>
        <v>26159.516090671576</v>
      </c>
      <c r="N239" s="174">
        <f>T239*(1+((AG239+IF(F239="백어택",8,0))/100)*(AI239/100-1))</f>
        <v>4646.7132211855005</v>
      </c>
      <c r="O239" s="174">
        <f>U239*(1+((AG239+IF(F239="백어택",8,0))/100)*(AI239/100-1))</f>
        <v>4646.7132211855005</v>
      </c>
      <c r="P239" s="174">
        <f>V239*(1+((AG239+IF(F239="백어택",8,0))/100)*(AI239*IF(AX239=1,AW239,1)/100-1))</f>
        <v>6279.1173843924962</v>
      </c>
      <c r="Q239" s="174">
        <f>W239*(1+((AG239+IF(F239="백어택",8,0))/100)*(AI239*AW239/100-1))</f>
        <v>10586.972263908079</v>
      </c>
      <c r="R239" s="175"/>
      <c r="S239" s="173">
        <f>SUM(T239:X239)</f>
        <v>19389.643599043902</v>
      </c>
      <c r="T239" s="174">
        <f>AL239*AY239*IF(F239="백어택",1.2,1)</f>
        <v>3616.0643641481706</v>
      </c>
      <c r="U239" s="174">
        <f>AM239*AY239*IF(F239="백어택",1.2,1)</f>
        <v>3616.0643641481706</v>
      </c>
      <c r="V239" s="174">
        <f>AN239*AY239*IF(F239="백어택",1.2,1)</f>
        <v>4886.3985211060972</v>
      </c>
      <c r="W239" s="174">
        <f>(T239+U239+V239)*IF(AX239=1,0,0.6)*IF(F239="백어택",1.2,1)</f>
        <v>7271.1163496414638</v>
      </c>
      <c r="X239" s="175"/>
      <c r="Y239" s="173">
        <f>SUM(Z239:AD239)</f>
        <v>55018.113712287071</v>
      </c>
      <c r="Z239" s="174">
        <f>T239*AI239/100</f>
        <v>9040.1609103704268</v>
      </c>
      <c r="AA239" s="174">
        <f>U239*AI239/100</f>
        <v>9040.1609103704268</v>
      </c>
      <c r="AB239" s="174">
        <f>V239*AI239*IF(AX239=1,AW239,1)/100</f>
        <v>12215.996302765243</v>
      </c>
      <c r="AC239" s="174">
        <f>W239*AI239*AW239/100</f>
        <v>24721.795588780977</v>
      </c>
      <c r="AD239" s="175"/>
      <c r="AE239" s="173">
        <f>AO239*(1-$D$20/100)*(1-$D$17/100)</f>
        <v>27.727164197424003</v>
      </c>
      <c r="AF239" s="174">
        <f>AP239</f>
        <v>36</v>
      </c>
      <c r="AG239" s="174">
        <f>IF($D$57+AU239&gt;100,100,$D$57+AU239)</f>
        <v>19.001300000000001</v>
      </c>
      <c r="AH239" s="174">
        <f>AQ239*AS239</f>
        <v>657</v>
      </c>
      <c r="AI239" s="174">
        <f>$D$58+IF(H239="근접",AR239,0)+IF(AY239=1,0,50)</f>
        <v>250</v>
      </c>
      <c r="AJ239" s="174">
        <f>10/3</f>
        <v>3.3333333333333335</v>
      </c>
      <c r="AK239" s="174">
        <f>SUM(AL239:AN239)</f>
        <v>12118.527249402439</v>
      </c>
      <c r="AL239" s="174">
        <f>(IF(H239="근접",$D$61*(VLOOKUP(C239,$B$36:$AG$39,19,FALSE)+VLOOKUP(C239,$B$40:$AG$43,19,FALSE)*$D$54),$D$60*(VLOOKUP(C239,$B$36:$AG$39,19,FALSE)+VLOOKUP(C239,$B$40:$AG$43,19,FALSE)*$D$54)))*$D$59/100</f>
        <v>3616.0643641481706</v>
      </c>
      <c r="AM239" s="174">
        <f>(IF(H239="근접",$D$61*(VLOOKUP(C239,$B$36:$AG$39,20,FALSE)+VLOOKUP(C239,$B$40:$AG$43,20,FALSE)*$D$54),$D$60*(VLOOKUP(C239,$B$36:$AG$39,20,FALSE)+VLOOKUP(C239,$B$40:$AG$43,20,FALSE)*$D$54)))*$D$59/100</f>
        <v>3616.0643641481706</v>
      </c>
      <c r="AN239" s="174">
        <f>(IF(H239="근접",$D$61*(VLOOKUP(C239,$B$36:$AG$39,21,FALSE)+VLOOKUP(C239,$B$40:$AG$43,21,FALSE)*$D$54),$D$60*(VLOOKUP(C239,$B$36:$AG$39,21,FALSE)+VLOOKUP(C239,$B$40:$AG$43,21,FALSE)*$D$54)))*$D$59/100</f>
        <v>4886.3985211060972</v>
      </c>
      <c r="AO239" s="176">
        <v>36</v>
      </c>
      <c r="AP239" s="174">
        <v>36</v>
      </c>
      <c r="AQ239" s="175">
        <f>VLOOKUP(C239,$B$45:$AA$48,19,FALSE)</f>
        <v>657</v>
      </c>
      <c r="AR239" s="31">
        <f>IF(LEFT(E239,1)*1=1,$S$64,$R$64)</f>
        <v>50</v>
      </c>
      <c r="AS239" s="2">
        <f>IF(LEFT(E239,1)*1=2,$U$64,$T$64)</f>
        <v>1</v>
      </c>
      <c r="AT239" s="33">
        <f>IF(LEFT(E239,1)*1=3,$W$64,$V$64)</f>
        <v>0</v>
      </c>
      <c r="AU239" s="31">
        <f>IF(MID(E239,3,1)*1=1,$Y$64,$X$64)</f>
        <v>0</v>
      </c>
      <c r="AV239" s="2">
        <f>IF(MID(E239,3,1)*1=2,$AA$64,$Z$64)</f>
        <v>0</v>
      </c>
      <c r="AW239" s="33">
        <f>IF(MID(E239,3,1)*1=3,$AC$64,$AB$64)</f>
        <v>1.36</v>
      </c>
      <c r="AX239" s="31">
        <f>IF(MID(E239,5,1)*1=1,$AE$64,$AD$64)</f>
        <v>0.6</v>
      </c>
      <c r="AY239" s="33">
        <f>IF(MID(E239,5,1)*1=2,$AG$64,$AF$64)</f>
        <v>1</v>
      </c>
      <c r="AZ239" s="2"/>
      <c r="BA239" s="101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 ht="12" customHeight="1">
      <c r="A240" s="2"/>
      <c r="B240" s="107">
        <v>386</v>
      </c>
      <c r="C240" s="31">
        <v>10</v>
      </c>
      <c r="D240" s="111" t="s">
        <v>8</v>
      </c>
      <c r="E240" s="2" t="s">
        <v>165</v>
      </c>
      <c r="F240" s="2"/>
      <c r="G240" s="2"/>
      <c r="H240" s="33" t="s">
        <v>81</v>
      </c>
      <c r="I240" s="173">
        <f>M240/AE240</f>
        <v>943.33231469400505</v>
      </c>
      <c r="J240" s="174">
        <f>AH240/AE240</f>
        <v>28.185356224514496</v>
      </c>
      <c r="K240" s="207">
        <f>RANK(I240,$I$76:$I$977)</f>
        <v>165</v>
      </c>
      <c r="L240" s="208" t="e">
        <f>RANK(I240,$I$451:$I$866)</f>
        <v>#N/A</v>
      </c>
      <c r="M240" s="173">
        <f>SUM(N240:R240)</f>
        <v>17437.286654837815</v>
      </c>
      <c r="N240" s="174">
        <f>T240*(1+((AG240+IF(F240="백어택",8,0))/100)*(IF(AY240=1,$D$58,$D$58+50)/100-1))</f>
        <v>7660.4999482716294</v>
      </c>
      <c r="O240" s="174">
        <f>U240*(1+((AG240+IF(F240="백어택",8,0))/100)*(AI240/100-1))</f>
        <v>9776.7867065661849</v>
      </c>
      <c r="P240" s="174">
        <f>V240*(1+((AG240+IF(F240="백어택",8,0))/100)*(AI240/100-1))</f>
        <v>0</v>
      </c>
      <c r="Q240" s="174"/>
      <c r="R240" s="175"/>
      <c r="S240" s="173">
        <f>SUM(T240:X240)</f>
        <v>10504.26615761912</v>
      </c>
      <c r="T240" s="174">
        <f>AL240*IF(H240="근접",AR240,1)*AY240*IF(F240="백어택",1.2,1)</f>
        <v>4614.7047961012686</v>
      </c>
      <c r="U240" s="174">
        <f>AM240*IF(H240="근접",AR240,1)*AY240*IF(F240="백어택",1.2,1)</f>
        <v>5889.5613615178527</v>
      </c>
      <c r="V240" s="174">
        <f>IF(AX240=1,0,AM240*IF(H240="근접",AR240,1)*AY240)*IF(F240="백어택",1.2,1)</f>
        <v>0</v>
      </c>
      <c r="W240" s="174"/>
      <c r="X240" s="175"/>
      <c r="Y240" s="173">
        <f>SUM(Z240:AD240)</f>
        <v>26260.665394047806</v>
      </c>
      <c r="Z240" s="174">
        <f>T240*IF(AY240=1,$D$58,$D$58+50)/100</f>
        <v>11536.761990253171</v>
      </c>
      <c r="AA240" s="174">
        <f>U240*AI240/100</f>
        <v>14723.903403794633</v>
      </c>
      <c r="AB240" s="174">
        <f>V240*AI240/100</f>
        <v>0</v>
      </c>
      <c r="AC240" s="174"/>
      <c r="AD240" s="175"/>
      <c r="AE240" s="173">
        <f>AO240*(1-$D$20/100)*(1-$D$17/100)</f>
        <v>18.484776131615998</v>
      </c>
      <c r="AF240" s="174">
        <f>AP240</f>
        <v>36</v>
      </c>
      <c r="AG240" s="174">
        <f>IF($D$57+AU240&gt;100,100,$D$57+AU240)</f>
        <v>44.001300000000001</v>
      </c>
      <c r="AH240" s="174">
        <f>IF(AX240=1,AQ240,AQ240*1.4)</f>
        <v>521</v>
      </c>
      <c r="AI240" s="174">
        <f>IF(AY240=1,$D$58,$D$58+50)*AW240</f>
        <v>250</v>
      </c>
      <c r="AJ240" s="174">
        <f>10/6/AX240</f>
        <v>1.6666666666666667</v>
      </c>
      <c r="AK240" s="174">
        <f>SUM(AL240:AN240)</f>
        <v>7294.6292761243903</v>
      </c>
      <c r="AL240" s="174">
        <f>(IF(H240="근접",$D$61*(VLOOKUP(C240,$B$36:$AG$39,9,FALSE)+VLOOKUP(C240,$B$40:$AG$43,9,FALSE)*$D$54),$D$60*(VLOOKUP(C240,$B$36:$AG$39,9,FALSE)+VLOOKUP(C240,$B$40:$AG$43,9,FALSE)*$D$54)))*$D$59/100</f>
        <v>3204.6561084036589</v>
      </c>
      <c r="AM240" s="174">
        <f>(IF(H240="근접",$D$61*(VLOOKUP(C240,$B$36:$AG$39,10,FALSE)+VLOOKUP(C240,$B$40:$AG$43,10,FALSE)*$D$54),$D$60*(VLOOKUP(C240,$B$36:$AG$39,10,FALSE)+VLOOKUP(C240,$B$40:$AG$43,10,FALSE)*$D$54)))*$D$59/100</f>
        <v>4089.9731677207315</v>
      </c>
      <c r="AN240" s="174"/>
      <c r="AO240" s="176">
        <v>24</v>
      </c>
      <c r="AP240" s="174">
        <v>36</v>
      </c>
      <c r="AQ240" s="175">
        <f>VLOOKUP(C240,$B$45:$AA$48,9,FALSE)</f>
        <v>521</v>
      </c>
      <c r="AR240" s="31">
        <f>IF(LEFT(E240,1)*1=1,$S$58,$R$58)</f>
        <v>1.2</v>
      </c>
      <c r="AS240" s="2">
        <f>IF(LEFT(E240,1)*1=2,$U$58,$T$58)</f>
        <v>0</v>
      </c>
      <c r="AT240" s="33">
        <f>IF(LEFT(E240,1)*1=3,$W$58,$V$58)</f>
        <v>0</v>
      </c>
      <c r="AU240" s="31">
        <f>IF(MID(E240,3,1)*1=1,$Y$58,$X$58)</f>
        <v>25</v>
      </c>
      <c r="AV240" s="2">
        <f>IF(MID(E240,3,1)*1=2,$AA$58,$Z$58)</f>
        <v>0</v>
      </c>
      <c r="AW240" s="33">
        <f>IF(MID(E240,3,1)*1=3,$AC$58,$AB$58)</f>
        <v>1</v>
      </c>
      <c r="AX240" s="31">
        <f>IF(MID(E240,5,1)*1=1,$AE$58,$AD$58)</f>
        <v>1</v>
      </c>
      <c r="AY240" s="33">
        <f>IF(MID(E240,5,1)*1=2,$AG$58,$AF$58)</f>
        <v>1.2</v>
      </c>
      <c r="AZ240" s="2"/>
      <c r="BA240" s="101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 ht="12" customHeight="1">
      <c r="A241" s="2"/>
      <c r="B241" s="107">
        <v>418</v>
      </c>
      <c r="C241" s="31">
        <v>10</v>
      </c>
      <c r="D241" s="111" t="s">
        <v>8</v>
      </c>
      <c r="E241" s="2" t="s">
        <v>144</v>
      </c>
      <c r="F241" s="2" t="s">
        <v>149</v>
      </c>
      <c r="G241" s="2"/>
      <c r="H241" s="33" t="s">
        <v>81</v>
      </c>
      <c r="I241" s="173">
        <f>M241/AE241</f>
        <v>938.62709511220191</v>
      </c>
      <c r="J241" s="174">
        <f>AH241/AE241</f>
        <v>39.459498714320297</v>
      </c>
      <c r="K241" s="207">
        <f>RANK(I241,$I$76:$I$977)</f>
        <v>166</v>
      </c>
      <c r="L241" s="208" t="e">
        <f>RANK(I241,$I$451:$I$866)</f>
        <v>#N/A</v>
      </c>
      <c r="M241" s="173">
        <f>SUM(N241:R241)</f>
        <v>17350.311724218089</v>
      </c>
      <c r="N241" s="174">
        <f>T241*(1+((AG241+IF(F241="백어택",8,0))/100)*(IF(AY241=1,$D$58,$D$58+50)/100-1))</f>
        <v>4883.9459018424668</v>
      </c>
      <c r="O241" s="174">
        <f>U241*(1+((AG241+IF(F241="백어택",8,0))/100)*(AI241/100-1))</f>
        <v>6233.1829111878114</v>
      </c>
      <c r="P241" s="174">
        <f>V241*(1+((AG241+IF(F241="백어택",8,0))/100)*(AI241/100-1))</f>
        <v>6233.1829111878114</v>
      </c>
      <c r="Q241" s="174"/>
      <c r="R241" s="175"/>
      <c r="S241" s="173">
        <f>SUM(T241:X241)</f>
        <v>13661.522932614145</v>
      </c>
      <c r="T241" s="174">
        <f>AL241*IF(H241="근접",AR241,1)*AY241*IF(F241="백어택",1.2,1)</f>
        <v>3845.5873300843905</v>
      </c>
      <c r="U241" s="174">
        <f>AM241*IF(H241="근접",AR241,1)*AY241*IF(F241="백어택",1.2,1)</f>
        <v>4907.9678012648774</v>
      </c>
      <c r="V241" s="174">
        <f>IF(AX241=1,0,AM241*IF(H241="근접",AR241,1)*AY241)*IF(F241="백어택",1.2,1)</f>
        <v>4907.9678012648774</v>
      </c>
      <c r="W241" s="174"/>
      <c r="X241" s="175"/>
      <c r="Y241" s="173">
        <f>SUM(Z241:AD241)</f>
        <v>27323.04586522829</v>
      </c>
      <c r="Z241" s="174">
        <f>T241*IF(AY241=1,$D$58,$D$58+50)/100</f>
        <v>7691.174660168781</v>
      </c>
      <c r="AA241" s="174">
        <f>U241*AI241/100</f>
        <v>9815.9356025297548</v>
      </c>
      <c r="AB241" s="174">
        <f>V241*AI241/100</f>
        <v>9815.9356025297548</v>
      </c>
      <c r="AC241" s="174"/>
      <c r="AD241" s="175"/>
      <c r="AE241" s="173">
        <f>AO241*(1-$D$20/100)*(1-$D$17/100)</f>
        <v>18.484776131615998</v>
      </c>
      <c r="AF241" s="174">
        <f>AP241</f>
        <v>36</v>
      </c>
      <c r="AG241" s="174">
        <f>IF($D$57+AU241&gt;100,100,$D$57+AU241)</f>
        <v>19.001300000000001</v>
      </c>
      <c r="AH241" s="174">
        <f>IF(AX241=1,AQ241,AQ241*1.4)</f>
        <v>729.4</v>
      </c>
      <c r="AI241" s="174">
        <f>IF(AY241=1,$D$58,$D$58+50)*AW241</f>
        <v>200</v>
      </c>
      <c r="AJ241" s="174">
        <f>10/6/AX241</f>
        <v>1.1111111111111112</v>
      </c>
      <c r="AK241" s="174">
        <f>SUM(AL241:AN241)</f>
        <v>7294.6292761243903</v>
      </c>
      <c r="AL241" s="174">
        <f>(IF(H241="근접",$D$61*(VLOOKUP(C241,$B$36:$AG$39,9,FALSE)+VLOOKUP(C241,$B$40:$AG$43,9,FALSE)*$D$54),$D$60*(VLOOKUP(C241,$B$36:$AG$39,9,FALSE)+VLOOKUP(C241,$B$40:$AG$43,9,FALSE)*$D$54)))*$D$59/100</f>
        <v>3204.6561084036589</v>
      </c>
      <c r="AM241" s="174">
        <f>(IF(H241="근접",$D$61*(VLOOKUP(C241,$B$36:$AG$39,10,FALSE)+VLOOKUP(C241,$B$40:$AG$43,10,FALSE)*$D$54),$D$60*(VLOOKUP(C241,$B$36:$AG$39,10,FALSE)+VLOOKUP(C241,$B$40:$AG$43,10,FALSE)*$D$54)))*$D$59/100</f>
        <v>4089.9731677207315</v>
      </c>
      <c r="AN241" s="174"/>
      <c r="AO241" s="176">
        <v>24</v>
      </c>
      <c r="AP241" s="174">
        <v>36</v>
      </c>
      <c r="AQ241" s="175">
        <f>VLOOKUP(C241,$B$45:$AA$48,9,FALSE)</f>
        <v>521</v>
      </c>
      <c r="AR241" s="31">
        <f>IF(LEFT(E241,1)*1=1,$S$58,$R$58)</f>
        <v>1</v>
      </c>
      <c r="AS241" s="2">
        <f>IF(LEFT(E241,1)*1=2,$U$58,$T$58)</f>
        <v>0</v>
      </c>
      <c r="AT241" s="33">
        <f>IF(LEFT(E241,1)*1=3,$W$58,$V$58)</f>
        <v>0</v>
      </c>
      <c r="AU241" s="31">
        <f>IF(MID(E241,3,1)*1=1,$Y$58,$X$58)</f>
        <v>0</v>
      </c>
      <c r="AV241" s="2">
        <f>IF(MID(E241,3,1)*1=2,$AA$58,$Z$58)</f>
        <v>0</v>
      </c>
      <c r="AW241" s="33">
        <f>IF(MID(E241,3,1)*1=3,$AC$58,$AB$58)</f>
        <v>1</v>
      </c>
      <c r="AX241" s="31">
        <f>IF(MID(E241,5,1)*1=1,$AE$58,$AD$58)</f>
        <v>1.5</v>
      </c>
      <c r="AY241" s="33">
        <f>IF(MID(E241,5,1)*1=2,$AG$58,$AF$58)</f>
        <v>1</v>
      </c>
      <c r="AZ241" s="2"/>
      <c r="BA241" s="101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 ht="12" customHeight="1">
      <c r="A242" s="2"/>
      <c r="B242" s="107">
        <v>737</v>
      </c>
      <c r="C242" s="31">
        <v>10</v>
      </c>
      <c r="D242" s="111" t="s">
        <v>21</v>
      </c>
      <c r="E242" s="2" t="s">
        <v>169</v>
      </c>
      <c r="F242" s="2"/>
      <c r="G242" s="2"/>
      <c r="H242" s="33"/>
      <c r="I242" s="173">
        <f>M242/AE242</f>
        <v>936.61082454577684</v>
      </c>
      <c r="J242" s="174">
        <f>AH242/AE242</f>
        <v>23.695174714659018</v>
      </c>
      <c r="K242" s="207">
        <f>RANK(I242,$I$76:$I$977)</f>
        <v>167</v>
      </c>
      <c r="L242" s="208" t="e">
        <f>RANK(I242,$I$451:$I$866)</f>
        <v>#N/A</v>
      </c>
      <c r="M242" s="173">
        <f>SUM(N242:R242)</f>
        <v>25969.562121265437</v>
      </c>
      <c r="N242" s="174">
        <f>T242*(1+((AG242+IF(F242="백어택",8,0))/100)*(AI242/100-1))</f>
        <v>16526.084986259822</v>
      </c>
      <c r="O242" s="174"/>
      <c r="P242" s="174"/>
      <c r="Q242" s="174"/>
      <c r="R242" s="175">
        <f>X242*(1+(AG242/100)*(AI242/100-1))</f>
        <v>9443.4771350056144</v>
      </c>
      <c r="S242" s="173">
        <f>SUM(T242:X242)</f>
        <v>21822.923044761224</v>
      </c>
      <c r="T242" s="174">
        <f>AL242*AW242*AX242*AY242*IF(F242="백어택",1.2,1)</f>
        <v>13887.314664848051</v>
      </c>
      <c r="U242" s="174"/>
      <c r="V242" s="174"/>
      <c r="W242" s="174"/>
      <c r="X242" s="175">
        <f>AL242*AS242+IF(AX242=1,AL242*AU242,AL242*AU242*2)</f>
        <v>7935.6083799131729</v>
      </c>
      <c r="Y242" s="173">
        <f>SUM(Z242:AD242)</f>
        <v>43645.846089522449</v>
      </c>
      <c r="Z242" s="174">
        <f>T242*$D$58/100</f>
        <v>27774.629329696101</v>
      </c>
      <c r="AA242" s="174"/>
      <c r="AB242" s="174"/>
      <c r="AC242" s="174"/>
      <c r="AD242" s="175">
        <f>X242*$D$58/100</f>
        <v>15871.216759826346</v>
      </c>
      <c r="AE242" s="173">
        <f>AO242*(1-$D$20/100)*(1-$D$17/100)-AR242</f>
        <v>27.727164197424003</v>
      </c>
      <c r="AF242" s="174">
        <f>AP242</f>
        <v>36</v>
      </c>
      <c r="AG242" s="174">
        <f>IF($D$57&gt;100,100,$D$57)</f>
        <v>19.001300000000001</v>
      </c>
      <c r="AH242" s="174">
        <f>AQ242</f>
        <v>657</v>
      </c>
      <c r="AI242" s="174">
        <f>$D$58</f>
        <v>200</v>
      </c>
      <c r="AJ242" s="174">
        <f>10/6</f>
        <v>1.6666666666666667</v>
      </c>
      <c r="AK242" s="174">
        <f>SUM(AL242:AN242)</f>
        <v>9919.5104748914655</v>
      </c>
      <c r="AL242" s="174">
        <f>(VLOOKUP(C242,$B$36:$AG$39,31,FALSE)+VLOOKUP(C242,$B$40:$AG$43,31,FALSE)*$D$54)*$D$59/100</f>
        <v>9919.5104748914655</v>
      </c>
      <c r="AM242" s="174"/>
      <c r="AN242" s="174"/>
      <c r="AO242" s="176">
        <v>36</v>
      </c>
      <c r="AP242" s="174">
        <v>36</v>
      </c>
      <c r="AQ242" s="175">
        <f>VLOOKUP(C242,$B$45:$AG$48,31,FALSE)</f>
        <v>657</v>
      </c>
      <c r="AR242" s="31">
        <f>IF(LEFT(E242,1)*1=1,$S$71,$R$71)</f>
        <v>0</v>
      </c>
      <c r="AS242" s="2">
        <f>IF(LEFT(E242,1)*1=2,$U$71,$T$71)</f>
        <v>0.2</v>
      </c>
      <c r="AT242" s="33">
        <f>IF(LEFT(E242,1)*1=3,$W$71,$V$71)</f>
        <v>0</v>
      </c>
      <c r="AU242" s="31">
        <f>IF(MID(E242,3,1)*1=1,$Y$71,$X$71)</f>
        <v>0.3</v>
      </c>
      <c r="AV242" s="2">
        <f>IF(MID(E242,3,1)*1=2,$AA$71,$Z$71)</f>
        <v>0</v>
      </c>
      <c r="AW242" s="33">
        <f>IF(MID(E242,3,1)*1=3,$AC$71,$AB$71)</f>
        <v>1</v>
      </c>
      <c r="AX242" s="31">
        <f>IF(MID(E242,5,1)*1=1,$AE$71,$AD$71)</f>
        <v>1.4</v>
      </c>
      <c r="AY242" s="33">
        <f>IF(MID(E242,5,1)*1=2,$AG$71,$AF$71)</f>
        <v>1</v>
      </c>
      <c r="AZ242" s="2"/>
      <c r="BA242" s="101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 ht="12" customHeight="1">
      <c r="A243" s="2"/>
      <c r="B243" s="107">
        <v>844</v>
      </c>
      <c r="C243" s="31">
        <v>10</v>
      </c>
      <c r="D243" s="113" t="s">
        <v>15</v>
      </c>
      <c r="E243" s="2" t="s">
        <v>147</v>
      </c>
      <c r="F243" s="2"/>
      <c r="G243" s="1" t="s">
        <v>174</v>
      </c>
      <c r="H243" s="33">
        <f>IF(AX243=AT243,3,4)</f>
        <v>4</v>
      </c>
      <c r="I243" s="173">
        <f>M243/AE243</f>
        <v>932.08982004090581</v>
      </c>
      <c r="J243" s="174">
        <f>AH243/AE243</f>
        <v>19.780450366105395</v>
      </c>
      <c r="K243" s="207">
        <f>RANK(I243,$I$76:$I$977)</f>
        <v>168</v>
      </c>
      <c r="L243" s="208" t="e">
        <f>RANK(I243,$I$867:$I$977)</f>
        <v>#N/A</v>
      </c>
      <c r="M243" s="173">
        <f>SUM(N243:R243)*(1+$D$22/100)</f>
        <v>27896.087462687054</v>
      </c>
      <c r="N243" s="174">
        <f>T243*(1+((AG243+IF(F243="백어택",8,0))/100)*(AI243/100-1))</f>
        <v>3590.6285741015899</v>
      </c>
      <c r="O243" s="174">
        <f>U243*(1+(AG243/100)*(AI243/100-1))</f>
        <v>3590.6285741015899</v>
      </c>
      <c r="P243" s="174">
        <f>V243*(1+(AG243/100)*(AI243/100-1))</f>
        <v>3590.6285741015899</v>
      </c>
      <c r="Q243" s="174">
        <f>W243*(1+(AG243/100)*(AI243/100-1))</f>
        <v>3590.6285741015899</v>
      </c>
      <c r="R243" s="175">
        <f>X243*(1+(AG243/100)*(AI243/100-1))</f>
        <v>10771.885722304771</v>
      </c>
      <c r="S243" s="173">
        <f>SUM(T243:X243)</f>
        <v>15807.669508809759</v>
      </c>
      <c r="T243" s="174">
        <f>AL243*AS243*AY243</f>
        <v>2258.2385012585369</v>
      </c>
      <c r="U243" s="174">
        <f>AL243*AS243*AY243</f>
        <v>2258.2385012585369</v>
      </c>
      <c r="V243" s="174">
        <f>AL243*AS243*AY243</f>
        <v>2258.2385012585369</v>
      </c>
      <c r="W243" s="174">
        <f>IF(H243=4,AL243*AS243*IF(AT243=0,AY243,1),0)</f>
        <v>2258.2385012585369</v>
      </c>
      <c r="X243" s="175">
        <f>AL243*IF(H243=3,11,IF(AT243=1,15,13))*IF(AW243=1,0,AW243)</f>
        <v>6774.7155037756111</v>
      </c>
      <c r="Y243" s="173">
        <f>SUM(Z243:AD243)</f>
        <v>31615.339017619517</v>
      </c>
      <c r="Z243" s="174">
        <f>T243*AI243/100</f>
        <v>4516.4770025170737</v>
      </c>
      <c r="AA243" s="174">
        <f>U243*AI243/100</f>
        <v>4516.4770025170737</v>
      </c>
      <c r="AB243" s="174">
        <f>V243*AI243/100</f>
        <v>4516.4770025170737</v>
      </c>
      <c r="AC243" s="174">
        <f>W243*AI243/100</f>
        <v>4516.4770025170737</v>
      </c>
      <c r="AD243" s="175">
        <f>X243*AI243/100</f>
        <v>13549.431007551222</v>
      </c>
      <c r="AE243" s="173">
        <f>AO243*(1-$D$17/100)</f>
        <v>29.928540000000002</v>
      </c>
      <c r="AF243" s="174">
        <f>AP243</f>
        <v>36</v>
      </c>
      <c r="AG243" s="174">
        <f>IF($D$57+AX243&gt;100,100,$D$57+AX243)</f>
        <v>59.001300000000001</v>
      </c>
      <c r="AH243" s="174">
        <f>AQ243</f>
        <v>592</v>
      </c>
      <c r="AI243" s="174">
        <f>$D$58</f>
        <v>200</v>
      </c>
      <c r="AJ243" s="174">
        <f>10*AU243/IF(AT243=1,2.5,(IF(AY243=1,3,2.5)))</f>
        <v>4</v>
      </c>
      <c r="AK243" s="174">
        <f>SUM(AL243:AN243)</f>
        <v>2258.2385012585369</v>
      </c>
      <c r="AL243" s="174">
        <f>((VLOOKUP(C243,$B$36:$AG$39,22,FALSE)+VLOOKUP(C243,$B$40:$AG$43,22,FALSE)*$D$54))*$D$59/100</f>
        <v>2258.2385012585369</v>
      </c>
      <c r="AM243" s="174"/>
      <c r="AN243" s="174"/>
      <c r="AO243" s="176">
        <v>30</v>
      </c>
      <c r="AP243" s="174">
        <v>36</v>
      </c>
      <c r="AQ243" s="175">
        <f>VLOOKUP(C243,$B$45:$AA$48,22,FALSE)</f>
        <v>592</v>
      </c>
      <c r="AR243" s="31">
        <f>IF(LEFT(E243,1)*1=1,$S$65,$R$65)</f>
        <v>0</v>
      </c>
      <c r="AS243" s="2">
        <f>IF(LEFT(E243,1)*1=2,$U$65,$T$65)</f>
        <v>1</v>
      </c>
      <c r="AT243" s="74">
        <f>IF(LEFT(E243,1)*1=3,$W$65,$V$65)</f>
        <v>1</v>
      </c>
      <c r="AU243" s="31">
        <f>IF(MID(E243,3,1)*1=1,$Y$65,$X$65)</f>
        <v>1</v>
      </c>
      <c r="AV243" s="2">
        <f>IF(MID(E243,3,1)*1=2,$AA$65,$Z$65)</f>
        <v>0</v>
      </c>
      <c r="AW243" s="33">
        <f>IF(MID(E243,3,1)*1=3,$AC$65,$AB$65)</f>
        <v>0.2</v>
      </c>
      <c r="AX243" s="31">
        <f>IF(MID(E243,5,1)*1=1,$AE$65,$AD$65)</f>
        <v>40</v>
      </c>
      <c r="AY243" s="33">
        <f>IF(MID(E243,5,1)*1=2,$AG$65,$AF$65)</f>
        <v>1</v>
      </c>
      <c r="AZ243" s="2"/>
      <c r="BA243" s="101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 ht="12" customHeight="1">
      <c r="A244" s="2"/>
      <c r="B244" s="107">
        <v>104</v>
      </c>
      <c r="C244" s="31">
        <v>10</v>
      </c>
      <c r="D244" s="106" t="s">
        <v>6</v>
      </c>
      <c r="E244" s="2" t="s">
        <v>95</v>
      </c>
      <c r="F244" s="2"/>
      <c r="G244" s="2" t="s">
        <v>183</v>
      </c>
      <c r="H244" s="33"/>
      <c r="I244" s="173">
        <f>M244/AE244</f>
        <v>928.66129771037993</v>
      </c>
      <c r="J244" s="174">
        <f>AH244/AE244</f>
        <v>23.505991271208018</v>
      </c>
      <c r="K244" s="207">
        <f>RANK(I244,$I$76:$I$977)</f>
        <v>169</v>
      </c>
      <c r="L244" s="208">
        <f>RANK(I244,$I$76:$I$450)</f>
        <v>169</v>
      </c>
      <c r="M244" s="173">
        <f>SUM(N244:R244)</f>
        <v>18528.984529984675</v>
      </c>
      <c r="N244" s="174">
        <f>T244*(1+((AG244+IF(F244="백어택",8,0))/100)*((AI244/100-1)))</f>
        <v>18528.984529984675</v>
      </c>
      <c r="O244" s="174"/>
      <c r="P244" s="174"/>
      <c r="Q244" s="174"/>
      <c r="R244" s="175"/>
      <c r="S244" s="173">
        <f>SUM(T244:X244)</f>
        <v>7945.3727252626832</v>
      </c>
      <c r="T244" s="174">
        <f>AL244*AW244*AT244*AX244*AY244</f>
        <v>7945.3727252626832</v>
      </c>
      <c r="U244" s="174"/>
      <c r="V244" s="174"/>
      <c r="W244" s="174"/>
      <c r="X244" s="175"/>
      <c r="Y244" s="173">
        <f>SUM(Z244:AD244)</f>
        <v>15890.745450525365</v>
      </c>
      <c r="Z244" s="174">
        <f>T244*$D$58/100</f>
        <v>15890.745450525365</v>
      </c>
      <c r="AA244" s="174"/>
      <c r="AB244" s="174"/>
      <c r="AC244" s="174"/>
      <c r="AD244" s="175"/>
      <c r="AE244" s="173">
        <f>AO244*(1-$D$17/100)</f>
        <v>19.952359999999999</v>
      </c>
      <c r="AF244" s="174">
        <f>AP244</f>
        <v>36</v>
      </c>
      <c r="AG244" s="174">
        <f>IF($D$57+AV244&gt;100,100,$D$57+AV244)</f>
        <v>79.001300000000001</v>
      </c>
      <c r="AH244" s="174">
        <f>AQ244*AR244</f>
        <v>469</v>
      </c>
      <c r="AI244" s="174">
        <f>$D$58+$D$19</f>
        <v>268.61079999999998</v>
      </c>
      <c r="AJ244" s="174">
        <f>10/IF(AX244=1,IF(AY244=1,5,6),4)</f>
        <v>1.6666666666666667</v>
      </c>
      <c r="AK244" s="174">
        <f>SUM(AL244:AN244)</f>
        <v>5675.2662323304885</v>
      </c>
      <c r="AL244" s="174">
        <f>(VLOOKUP(C244,$B$36:$AG$39,7,FALSE)+VLOOKUP(C244,$B$40:$AG$43,7,FALSE)*$D$54)*$D$59/100</f>
        <v>5675.2662323304885</v>
      </c>
      <c r="AM244" s="174"/>
      <c r="AN244" s="174"/>
      <c r="AO244" s="176">
        <v>20</v>
      </c>
      <c r="AP244" s="174">
        <v>36</v>
      </c>
      <c r="AQ244" s="175">
        <f>VLOOKUP(C244,$B$45:$AA$48,7,FALSE)</f>
        <v>469</v>
      </c>
      <c r="AR244" s="31">
        <f>IF(LEFT(E244,1)*1=1,$S$56,$R$56)</f>
        <v>1</v>
      </c>
      <c r="AS244" s="2">
        <f>IF(LEFT(E244,1)*1=2,$U$56,$T$56)</f>
        <v>0</v>
      </c>
      <c r="AT244" s="33">
        <f>IF(LEFT(E244,1)*1=3,$W$56,$V$56)</f>
        <v>1</v>
      </c>
      <c r="AU244" s="31">
        <f>IF(MID(E244,3,1)*1=1,$Y$56,$X$56)</f>
        <v>0</v>
      </c>
      <c r="AV244" s="2">
        <f>IF(MID(E244,3,1)*1=2,$AA$56,$Z$56)</f>
        <v>60</v>
      </c>
      <c r="AW244" s="33">
        <f>IF(MID(E244,3,1)*1=3,$AC$56,$AB$56)</f>
        <v>1</v>
      </c>
      <c r="AX244" s="31">
        <f>IF(MID(E244,5,1)*1=1,$AE$56,$AD$56)</f>
        <v>1</v>
      </c>
      <c r="AY244" s="33">
        <f>IF(MID(E244,5,1)*1=2,$AG$56,$AF$56)</f>
        <v>1.4</v>
      </c>
      <c r="AZ244" s="2"/>
      <c r="BA244" s="101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 ht="12" customHeight="1">
      <c r="A245" s="2"/>
      <c r="B245" s="107">
        <v>107</v>
      </c>
      <c r="C245" s="31">
        <v>10</v>
      </c>
      <c r="D245" s="106" t="s">
        <v>6</v>
      </c>
      <c r="E245" s="2" t="s">
        <v>154</v>
      </c>
      <c r="F245" s="2"/>
      <c r="G245" s="2" t="s">
        <v>183</v>
      </c>
      <c r="H245" s="33"/>
      <c r="I245" s="173">
        <f>M245/AE245</f>
        <v>928.66129771037993</v>
      </c>
      <c r="J245" s="174">
        <f>AH245/AE245</f>
        <v>11.752995635604009</v>
      </c>
      <c r="K245" s="207">
        <f>RANK(I245,$I$76:$I$977)</f>
        <v>169</v>
      </c>
      <c r="L245" s="208">
        <f>RANK(I245,$I$76:$I$450)</f>
        <v>169</v>
      </c>
      <c r="M245" s="173">
        <f>SUM(N245:R245)</f>
        <v>18528.984529984675</v>
      </c>
      <c r="N245" s="174">
        <f>T245*(1+((AG245+IF(F245="백어택",8,0))/100)*((AI245/100-1)))</f>
        <v>18528.984529984675</v>
      </c>
      <c r="O245" s="174"/>
      <c r="P245" s="174"/>
      <c r="Q245" s="174"/>
      <c r="R245" s="175"/>
      <c r="S245" s="173">
        <f>SUM(T245:X245)</f>
        <v>7945.3727252626832</v>
      </c>
      <c r="T245" s="174">
        <f>AL245*AW245*AT245*AX245*AY245</f>
        <v>7945.3727252626832</v>
      </c>
      <c r="U245" s="174"/>
      <c r="V245" s="174"/>
      <c r="W245" s="174"/>
      <c r="X245" s="175"/>
      <c r="Y245" s="173">
        <f>SUM(Z245:AD245)</f>
        <v>15890.745450525365</v>
      </c>
      <c r="Z245" s="174">
        <f>T245*$D$58/100</f>
        <v>15890.745450525365</v>
      </c>
      <c r="AA245" s="174"/>
      <c r="AB245" s="174"/>
      <c r="AC245" s="174"/>
      <c r="AD245" s="175"/>
      <c r="AE245" s="173">
        <f>AO245*(1-$D$17/100)</f>
        <v>19.952359999999999</v>
      </c>
      <c r="AF245" s="174">
        <f>AP245</f>
        <v>36</v>
      </c>
      <c r="AG245" s="174">
        <f>IF($D$57+AV245&gt;100,100,$D$57+AV245)</f>
        <v>79.001300000000001</v>
      </c>
      <c r="AH245" s="174">
        <f>AQ245*AR245</f>
        <v>234.5</v>
      </c>
      <c r="AI245" s="174">
        <f>$D$58+$D$19</f>
        <v>268.61079999999998</v>
      </c>
      <c r="AJ245" s="174">
        <f>10/IF(AX245=1,IF(AY245=1,5,6),4)</f>
        <v>1.6666666666666667</v>
      </c>
      <c r="AK245" s="174">
        <f>SUM(AL245:AN245)</f>
        <v>5675.2662323304885</v>
      </c>
      <c r="AL245" s="174">
        <f>(VLOOKUP(C245,$B$36:$AG$39,7,FALSE)+VLOOKUP(C245,$B$40:$AG$43,7,FALSE)*$D$54)*$D$59/100</f>
        <v>5675.2662323304885</v>
      </c>
      <c r="AM245" s="174"/>
      <c r="AN245" s="174"/>
      <c r="AO245" s="176">
        <v>20</v>
      </c>
      <c r="AP245" s="174">
        <v>36</v>
      </c>
      <c r="AQ245" s="175">
        <f>VLOOKUP(C245,$B$45:$AA$48,7,FALSE)</f>
        <v>469</v>
      </c>
      <c r="AR245" s="31">
        <f>IF(LEFT(E245,1)*1=1,$S$56,$R$56)</f>
        <v>0.5</v>
      </c>
      <c r="AS245" s="2">
        <f>IF(LEFT(E245,1)*1=2,$U$56,$T$56)</f>
        <v>0</v>
      </c>
      <c r="AT245" s="33">
        <f>IF(LEFT(E245,1)*1=3,$W$56,$V$56)</f>
        <v>1</v>
      </c>
      <c r="AU245" s="31">
        <f>IF(MID(E245,3,1)*1=1,$Y$56,$X$56)</f>
        <v>0</v>
      </c>
      <c r="AV245" s="2">
        <f>IF(MID(E245,3,1)*1=2,$AA$56,$Z$56)</f>
        <v>60</v>
      </c>
      <c r="AW245" s="33">
        <f>IF(MID(E245,3,1)*1=3,$AC$56,$AB$56)</f>
        <v>1</v>
      </c>
      <c r="AX245" s="31">
        <f>IF(MID(E245,5,1)*1=1,$AE$56,$AD$56)</f>
        <v>1</v>
      </c>
      <c r="AY245" s="33">
        <f>IF(MID(E245,5,1)*1=2,$AG$56,$AF$56)</f>
        <v>1.4</v>
      </c>
      <c r="AZ245" s="2"/>
      <c r="BA245" s="101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 ht="12" customHeight="1">
      <c r="A246" s="2"/>
      <c r="B246" s="107">
        <v>381</v>
      </c>
      <c r="C246" s="31">
        <v>10</v>
      </c>
      <c r="D246" s="111" t="s">
        <v>8</v>
      </c>
      <c r="E246" s="2" t="s">
        <v>156</v>
      </c>
      <c r="F246" s="2"/>
      <c r="G246" s="2"/>
      <c r="H246" s="33" t="s">
        <v>81</v>
      </c>
      <c r="I246" s="173">
        <f>M246/AE246</f>
        <v>927.934660710348</v>
      </c>
      <c r="J246" s="174">
        <f>AH246/AE246</f>
        <v>39.459498714320297</v>
      </c>
      <c r="K246" s="207">
        <f>RANK(I246,$I$76:$I$977)</f>
        <v>171</v>
      </c>
      <c r="L246" s="208" t="e">
        <f>RANK(I246,$I$451:$I$866)</f>
        <v>#N/A</v>
      </c>
      <c r="M246" s="173">
        <f>SUM(N246:R246)</f>
        <v>17152.664467997831</v>
      </c>
      <c r="N246" s="174">
        <f>T246*(1+((AG246+IF(F246="백어택",8,0))/100)*(IF(AY246=1,$D$58,$D$58+50)/100-1))</f>
        <v>4576.2989154357156</v>
      </c>
      <c r="O246" s="174">
        <f>U246*(1+((AG246+IF(F246="백어택",8,0))/100)*(AI246/100-1))</f>
        <v>6288.1827762810572</v>
      </c>
      <c r="P246" s="174">
        <f>V246*(1+((AG246+IF(F246="백어택",8,0))/100)*(AI246/100-1))</f>
        <v>6288.1827762810572</v>
      </c>
      <c r="Q246" s="174"/>
      <c r="R246" s="175"/>
      <c r="S246" s="173">
        <f>SUM(T246:X246)</f>
        <v>13661.522932614145</v>
      </c>
      <c r="T246" s="174">
        <f>AL246*IF(H246="근접",AR246,1)*AY246*IF(F246="백어택",1.2,1)</f>
        <v>3845.5873300843905</v>
      </c>
      <c r="U246" s="174">
        <f>AM246*IF(H246="근접",AR246,1)*AY246*IF(F246="백어택",1.2,1)</f>
        <v>4907.9678012648774</v>
      </c>
      <c r="V246" s="174">
        <f>IF(AX246=1,0,AM246*IF(H246="근접",AR246,1)*AY246)*IF(F246="백어택",1.2,1)</f>
        <v>4907.9678012648774</v>
      </c>
      <c r="W246" s="174"/>
      <c r="X246" s="175"/>
      <c r="Y246" s="173">
        <f>SUM(Z246:AD246)</f>
        <v>32034.694954442573</v>
      </c>
      <c r="Z246" s="174">
        <f>T246*IF(AY246=1,$D$58,$D$58+50)/100</f>
        <v>7691.174660168781</v>
      </c>
      <c r="AA246" s="174">
        <f>U246*AI246/100</f>
        <v>12171.760147136896</v>
      </c>
      <c r="AB246" s="174">
        <f>V246*AI246/100</f>
        <v>12171.760147136896</v>
      </c>
      <c r="AC246" s="174"/>
      <c r="AD246" s="175"/>
      <c r="AE246" s="173">
        <f>AO246*(1-$D$20/100)*(1-$D$17/100)</f>
        <v>18.484776131615998</v>
      </c>
      <c r="AF246" s="174">
        <f>AP246</f>
        <v>36</v>
      </c>
      <c r="AG246" s="174">
        <f>IF($D$57+AU246&gt;100,100,$D$57+AU246)</f>
        <v>19.001300000000001</v>
      </c>
      <c r="AH246" s="174">
        <f>IF(AX246=1,AQ246,AQ246*1.4)</f>
        <v>729.4</v>
      </c>
      <c r="AI246" s="174">
        <f>IF(AY246=1,$D$58,$D$58+50)*AW246</f>
        <v>248</v>
      </c>
      <c r="AJ246" s="174">
        <f>10/6/AX246</f>
        <v>1.1111111111111112</v>
      </c>
      <c r="AK246" s="174">
        <f>SUM(AL246:AN246)</f>
        <v>7294.6292761243903</v>
      </c>
      <c r="AL246" s="174">
        <f>(IF(H246="근접",$D$61*(VLOOKUP(C246,$B$36:$AG$39,9,FALSE)+VLOOKUP(C246,$B$40:$AG$43,9,FALSE)*$D$54),$D$60*(VLOOKUP(C246,$B$36:$AG$39,9,FALSE)+VLOOKUP(C246,$B$40:$AG$43,9,FALSE)*$D$54)))*$D$59/100</f>
        <v>3204.6561084036589</v>
      </c>
      <c r="AM246" s="174">
        <f>(IF(H246="근접",$D$61*(VLOOKUP(C246,$B$36:$AG$39,10,FALSE)+VLOOKUP(C246,$B$40:$AG$43,10,FALSE)*$D$54),$D$60*(VLOOKUP(C246,$B$36:$AG$39,10,FALSE)+VLOOKUP(C246,$B$40:$AG$43,10,FALSE)*$D$54)))*$D$59/100</f>
        <v>4089.9731677207315</v>
      </c>
      <c r="AN246" s="174"/>
      <c r="AO246" s="176">
        <v>24</v>
      </c>
      <c r="AP246" s="174">
        <v>36</v>
      </c>
      <c r="AQ246" s="175">
        <f>VLOOKUP(C246,$B$45:$AA$48,9,FALSE)</f>
        <v>521</v>
      </c>
      <c r="AR246" s="31">
        <f>IF(LEFT(E246,1)*1=1,$S$58,$R$58)</f>
        <v>1.2</v>
      </c>
      <c r="AS246" s="2">
        <f>IF(LEFT(E246,1)*1=2,$U$58,$T$58)</f>
        <v>0</v>
      </c>
      <c r="AT246" s="33">
        <f>IF(LEFT(E246,1)*1=3,$W$58,$V$58)</f>
        <v>0</v>
      </c>
      <c r="AU246" s="31">
        <f>IF(MID(E246,3,1)*1=1,$Y$58,$X$58)</f>
        <v>0</v>
      </c>
      <c r="AV246" s="2">
        <f>IF(MID(E246,3,1)*1=2,$AA$58,$Z$58)</f>
        <v>0</v>
      </c>
      <c r="AW246" s="33">
        <f>IF(MID(E246,3,1)*1=3,$AC$58,$AB$58)</f>
        <v>1.24</v>
      </c>
      <c r="AX246" s="31">
        <f>IF(MID(E246,5,1)*1=1,$AE$58,$AD$58)</f>
        <v>1.5</v>
      </c>
      <c r="AY246" s="33">
        <f>IF(MID(E246,5,1)*1=2,$AG$58,$AF$58)</f>
        <v>1</v>
      </c>
      <c r="AZ246" s="2"/>
      <c r="BA246" s="101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 ht="12" hidden="1" customHeight="1">
      <c r="A247" s="2"/>
      <c r="B247" s="107">
        <v>185</v>
      </c>
      <c r="C247" s="31">
        <v>4</v>
      </c>
      <c r="D247" s="106" t="s">
        <v>10</v>
      </c>
      <c r="E247" s="2" t="s">
        <v>79</v>
      </c>
      <c r="F247" s="2" t="s">
        <v>149</v>
      </c>
      <c r="G247" s="2" t="s">
        <v>184</v>
      </c>
      <c r="H247" s="33"/>
      <c r="I247" s="173">
        <f>M247/AE247</f>
        <v>927.61193591087056</v>
      </c>
      <c r="J247" s="174">
        <f>AH247/AE247</f>
        <v>9.8985784137816282</v>
      </c>
      <c r="K247" s="207">
        <f>RANK(I247,$I$76:$I$977)</f>
        <v>172</v>
      </c>
      <c r="L247" s="208">
        <f>RANK(I247,$I$76:$I$450)</f>
        <v>172</v>
      </c>
      <c r="M247" s="173">
        <f>SUM(N247:R247)</f>
        <v>14806.437828472493</v>
      </c>
      <c r="N247" s="174">
        <f>T247*(1+((AG247+IF(F247="백어택",8,0))/100)*((AI247/100-1)))</f>
        <v>14806.437828472493</v>
      </c>
      <c r="O247" s="174"/>
      <c r="P247" s="174"/>
      <c r="Q247" s="174"/>
      <c r="R247" s="175"/>
      <c r="S247" s="173">
        <f>SUM(T247:X247)</f>
        <v>10174.350358516302</v>
      </c>
      <c r="T247" s="174">
        <f>AL247*AS247*AU247*AX247*IF(AY247=0,1,0.5)*IF(F247="백어택",1.2,1)</f>
        <v>10174.350358516302</v>
      </c>
      <c r="U247" s="174"/>
      <c r="V247" s="174"/>
      <c r="W247" s="174"/>
      <c r="X247" s="175"/>
      <c r="Y247" s="173">
        <f>SUM(Z247:AD247)</f>
        <v>27329.403892813505</v>
      </c>
      <c r="Z247" s="174">
        <f>T247*AI247/100</f>
        <v>27329.403892813505</v>
      </c>
      <c r="AA247" s="174"/>
      <c r="AB247" s="174"/>
      <c r="AC247" s="174"/>
      <c r="AD247" s="175"/>
      <c r="AE247" s="173">
        <f>AO247*(1-$D$17/100)</f>
        <v>15.961888</v>
      </c>
      <c r="AF247" s="174">
        <f>AP247</f>
        <v>36</v>
      </c>
      <c r="AG247" s="174">
        <f>IF($D$57+AV247&gt;100,100,$D$57+AV247)</f>
        <v>19.001300000000001</v>
      </c>
      <c r="AH247" s="174">
        <f>AQ247</f>
        <v>158</v>
      </c>
      <c r="AI247" s="174">
        <f>$D$58+$D$19</f>
        <v>268.61079999999998</v>
      </c>
      <c r="AJ247" s="174">
        <f>10*AR247/(7-IF(AX247=1,0,3))</f>
        <v>1.4285714285714286</v>
      </c>
      <c r="AK247" s="174">
        <f>SUM(AL247:AN247)</f>
        <v>7185.2756769182924</v>
      </c>
      <c r="AL247" s="174">
        <f>(VLOOKUP(C247,$B$36:$AG$39,13,FALSE)+VLOOKUP(C247,$B$40:$AG$43,13,FALSE)*$D$54)*$D$59/100</f>
        <v>7185.2756769182924</v>
      </c>
      <c r="AM247" s="174"/>
      <c r="AN247" s="174"/>
      <c r="AO247" s="176">
        <v>16</v>
      </c>
      <c r="AP247" s="174">
        <v>36</v>
      </c>
      <c r="AQ247" s="175">
        <f>VLOOKUP(C247,$B$45:$AA$48,13,FALSE)</f>
        <v>158</v>
      </c>
      <c r="AR247" s="31">
        <f>IF(LEFT(E247,1)*1=1,$S$60,$R$60)</f>
        <v>1</v>
      </c>
      <c r="AS247" s="2">
        <f>IF(LEFT(E247,1)*1=2,$U$60,$T$60)</f>
        <v>1.18</v>
      </c>
      <c r="AT247" s="33">
        <f>IF(LEFT(E247,1)*1=3,$W$60,$V$60)</f>
        <v>0</v>
      </c>
      <c r="AU247" s="31">
        <f>IF(MID(E247,3,1)*1=1,$Y$60,$X$60)</f>
        <v>1</v>
      </c>
      <c r="AV247" s="2">
        <f>IF(MID(E247,3,1)*1=2,$AA$60,$Z$60)</f>
        <v>0</v>
      </c>
      <c r="AW247" s="33">
        <f>IF(MID(E247,3,1)*1=3,$AC$60,$AB$60)</f>
        <v>0</v>
      </c>
      <c r="AX247" s="31">
        <f>IF(MID(E247,5,1)*1=1,$AE$60,$AD$60)</f>
        <v>1</v>
      </c>
      <c r="AY247" s="33">
        <f>IF(MID(E247,5,1)*1=2,$AG$60,$AF$60)</f>
        <v>0</v>
      </c>
      <c r="AZ247" s="2"/>
      <c r="BA247" s="101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 ht="12" customHeight="1">
      <c r="A248" s="2"/>
      <c r="B248" s="107">
        <v>189</v>
      </c>
      <c r="C248" s="31">
        <v>10</v>
      </c>
      <c r="D248" s="106" t="s">
        <v>10</v>
      </c>
      <c r="E248" s="2" t="s">
        <v>140</v>
      </c>
      <c r="F248" s="2"/>
      <c r="G248" s="2" t="s">
        <v>137</v>
      </c>
      <c r="H248" s="33"/>
      <c r="I248" s="173">
        <f>M248/AE248</f>
        <v>926.53321257457208</v>
      </c>
      <c r="J248" s="174">
        <f>AH248/AE248</f>
        <v>25.811482952392598</v>
      </c>
      <c r="K248" s="207">
        <f>RANK(I248,$I$76:$I$977)</f>
        <v>173</v>
      </c>
      <c r="L248" s="208">
        <f>RANK(I248,$I$76:$I$450)</f>
        <v>173</v>
      </c>
      <c r="M248" s="173">
        <f>SUM(N248:R248)</f>
        <v>14789.219367395512</v>
      </c>
      <c r="N248" s="174">
        <f>T248*(1+((AG248+IF(F248="백어택",8,0))/100)*((AI248/100-1)))</f>
        <v>14789.219367395512</v>
      </c>
      <c r="O248" s="174"/>
      <c r="P248" s="174"/>
      <c r="Q248" s="174"/>
      <c r="R248" s="175"/>
      <c r="S248" s="173">
        <f>SUM(T248:X248)</f>
        <v>8098.2910927512203</v>
      </c>
      <c r="T248" s="174">
        <f>AL248*AS248*AU248*AX248*IF(AY248=0,1,0.5)*IF(F248="백어택",1.2,1)</f>
        <v>8098.2910927512203</v>
      </c>
      <c r="U248" s="174"/>
      <c r="V248" s="174"/>
      <c r="W248" s="174"/>
      <c r="X248" s="175"/>
      <c r="Y248" s="173">
        <f>SUM(Z248:AD248)</f>
        <v>21752.884490567794</v>
      </c>
      <c r="Z248" s="174">
        <f>T248*AI248/100</f>
        <v>21752.884490567794</v>
      </c>
      <c r="AA248" s="174"/>
      <c r="AB248" s="174"/>
      <c r="AC248" s="174"/>
      <c r="AD248" s="175"/>
      <c r="AE248" s="173">
        <f>AO248*(1-$D$17/100)</f>
        <v>15.961888</v>
      </c>
      <c r="AF248" s="174">
        <f>AP248</f>
        <v>36</v>
      </c>
      <c r="AG248" s="174">
        <f>IF($D$57+AV248&gt;100,100,$D$57+AV248)</f>
        <v>49.001300000000001</v>
      </c>
      <c r="AH248" s="174">
        <f>AQ248</f>
        <v>412</v>
      </c>
      <c r="AI248" s="174">
        <f>$D$58+$D$19</f>
        <v>268.61079999999998</v>
      </c>
      <c r="AJ248" s="174">
        <f>10*AR248/(7-IF(AX248=1,0,3))</f>
        <v>1.4285714285714286</v>
      </c>
      <c r="AK248" s="174">
        <f>SUM(AL248:AN248)</f>
        <v>8098.2910927512203</v>
      </c>
      <c r="AL248" s="174">
        <f>(VLOOKUP(C248,$B$36:$AG$39,13,FALSE)+VLOOKUP(C248,$B$40:$AG$43,13,FALSE)*$D$54)*$D$59/100</f>
        <v>8098.2910927512203</v>
      </c>
      <c r="AM248" s="174"/>
      <c r="AN248" s="174"/>
      <c r="AO248" s="176">
        <v>16</v>
      </c>
      <c r="AP248" s="174">
        <v>36</v>
      </c>
      <c r="AQ248" s="175">
        <f>VLOOKUP(C248,$B$45:$AA$48,13,FALSE)</f>
        <v>412</v>
      </c>
      <c r="AR248" s="31">
        <f>IF(LEFT(E248,1)*1=1,$S$60,$R$60)</f>
        <v>1</v>
      </c>
      <c r="AS248" s="2">
        <f>IF(LEFT(E248,1)*1=2,$U$60,$T$60)</f>
        <v>1</v>
      </c>
      <c r="AT248" s="33">
        <f>IF(LEFT(E248,1)*1=3,$W$60,$V$60)</f>
        <v>0</v>
      </c>
      <c r="AU248" s="31">
        <f>IF(MID(E248,3,1)*1=1,$Y$60,$X$60)</f>
        <v>1</v>
      </c>
      <c r="AV248" s="2">
        <f>IF(MID(E248,3,1)*1=2,$AA$60,$Z$60)</f>
        <v>30</v>
      </c>
      <c r="AW248" s="33">
        <f>IF(MID(E248,3,1)*1=3,$AC$60,$AB$60)</f>
        <v>0</v>
      </c>
      <c r="AX248" s="31">
        <f>IF(MID(E248,5,1)*1=1,$AE$60,$AD$60)</f>
        <v>1</v>
      </c>
      <c r="AY248" s="33">
        <f>IF(MID(E248,5,1)*1=2,$AG$60,$AF$60)</f>
        <v>0</v>
      </c>
      <c r="AZ248" s="2"/>
      <c r="BA248" s="101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 ht="12" customHeight="1">
      <c r="A249" s="2"/>
      <c r="B249" s="107">
        <v>192</v>
      </c>
      <c r="C249" s="31">
        <v>10</v>
      </c>
      <c r="D249" s="106" t="s">
        <v>10</v>
      </c>
      <c r="E249" s="2" t="s">
        <v>153</v>
      </c>
      <c r="F249" s="2"/>
      <c r="G249" s="2" t="s">
        <v>137</v>
      </c>
      <c r="H249" s="33"/>
      <c r="I249" s="173">
        <f>M249/AE249</f>
        <v>926.53321257457208</v>
      </c>
      <c r="J249" s="174">
        <f>AH249/AE249</f>
        <v>25.811482952392598</v>
      </c>
      <c r="K249" s="207">
        <f>RANK(I249,$I$76:$I$977)</f>
        <v>173</v>
      </c>
      <c r="L249" s="208">
        <f>RANK(I249,$I$76:$I$450)</f>
        <v>173</v>
      </c>
      <c r="M249" s="173">
        <f>SUM(N249:R249)</f>
        <v>14789.219367395512</v>
      </c>
      <c r="N249" s="174">
        <f>T249*(1+((AG249+IF(F249="백어택",8,0))/100)*((AI249/100-1)))</f>
        <v>14789.219367395512</v>
      </c>
      <c r="O249" s="174"/>
      <c r="P249" s="174"/>
      <c r="Q249" s="174"/>
      <c r="R249" s="175"/>
      <c r="S249" s="173">
        <f>SUM(T249:X249)</f>
        <v>8098.2910927512203</v>
      </c>
      <c r="T249" s="174">
        <f>AL249*AS249*AU249*AX249*IF(AY249=0,1,0.5)*IF(F249="백어택",1.2,1)</f>
        <v>8098.2910927512203</v>
      </c>
      <c r="U249" s="174"/>
      <c r="V249" s="174"/>
      <c r="W249" s="174"/>
      <c r="X249" s="175"/>
      <c r="Y249" s="173">
        <f>SUM(Z249:AD249)</f>
        <v>21752.884490567794</v>
      </c>
      <c r="Z249" s="174">
        <f>T249*AI249/100</f>
        <v>21752.884490567794</v>
      </c>
      <c r="AA249" s="174"/>
      <c r="AB249" s="174"/>
      <c r="AC249" s="174"/>
      <c r="AD249" s="175"/>
      <c r="AE249" s="173">
        <f>AO249*(1-$D$17/100)</f>
        <v>15.961888</v>
      </c>
      <c r="AF249" s="174">
        <f>AP249</f>
        <v>36</v>
      </c>
      <c r="AG249" s="174">
        <f>IF($D$57+AV249&gt;100,100,$D$57+AV249)</f>
        <v>49.001300000000001</v>
      </c>
      <c r="AH249" s="174">
        <f>AQ249</f>
        <v>412</v>
      </c>
      <c r="AI249" s="174">
        <f>$D$58+$D$19</f>
        <v>268.61079999999998</v>
      </c>
      <c r="AJ249" s="174">
        <f>10*AR249/(7-IF(AX249=1,0,3))</f>
        <v>1.2142857142857142</v>
      </c>
      <c r="AK249" s="174">
        <f>SUM(AL249:AN249)</f>
        <v>8098.2910927512203</v>
      </c>
      <c r="AL249" s="174">
        <f>(VLOOKUP(C249,$B$36:$AG$39,13,FALSE)+VLOOKUP(C249,$B$40:$AG$43,13,FALSE)*$D$54)*$D$59/100</f>
        <v>8098.2910927512203</v>
      </c>
      <c r="AM249" s="174"/>
      <c r="AN249" s="174"/>
      <c r="AO249" s="176">
        <v>16</v>
      </c>
      <c r="AP249" s="174">
        <v>36</v>
      </c>
      <c r="AQ249" s="175">
        <f>VLOOKUP(C249,$B$45:$AA$48,13,FALSE)</f>
        <v>412</v>
      </c>
      <c r="AR249" s="31">
        <f>IF(LEFT(E249,1)*1=1,$S$60,$R$60)</f>
        <v>0.85</v>
      </c>
      <c r="AS249" s="2">
        <f>IF(LEFT(E249,1)*1=2,$U$60,$T$60)</f>
        <v>1</v>
      </c>
      <c r="AT249" s="33">
        <f>IF(LEFT(E249,1)*1=3,$W$60,$V$60)</f>
        <v>0</v>
      </c>
      <c r="AU249" s="31">
        <f>IF(MID(E249,3,1)*1=1,$Y$60,$X$60)</f>
        <v>1</v>
      </c>
      <c r="AV249" s="2">
        <f>IF(MID(E249,3,1)*1=2,$AA$60,$Z$60)</f>
        <v>30</v>
      </c>
      <c r="AW249" s="33">
        <f>IF(MID(E249,3,1)*1=3,$AC$60,$AB$60)</f>
        <v>0</v>
      </c>
      <c r="AX249" s="31">
        <f>IF(MID(E249,5,1)*1=1,$AE$60,$AD$60)</f>
        <v>1</v>
      </c>
      <c r="AY249" s="33">
        <f>IF(MID(E249,5,1)*1=2,$AG$60,$AF$60)</f>
        <v>0</v>
      </c>
      <c r="AZ249" s="2"/>
      <c r="BA249" s="101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 ht="12" customHeight="1">
      <c r="A250" s="2"/>
      <c r="B250" s="107">
        <v>319</v>
      </c>
      <c r="C250" s="31">
        <v>10</v>
      </c>
      <c r="D250" s="106" t="s">
        <v>20</v>
      </c>
      <c r="E250" s="2" t="s">
        <v>153</v>
      </c>
      <c r="F250" s="2" t="s">
        <v>149</v>
      </c>
      <c r="G250" s="2"/>
      <c r="H250" s="33"/>
      <c r="I250" s="173">
        <f>M250/AE250</f>
        <v>923.74999675344748</v>
      </c>
      <c r="J250" s="174">
        <f>AH250/AE250</f>
        <v>29.484277859834549</v>
      </c>
      <c r="K250" s="207">
        <f>RANK(I250,$I$76:$I$977)</f>
        <v>175</v>
      </c>
      <c r="L250" s="208">
        <f>RANK(I250,$I$76:$I$450)</f>
        <v>175</v>
      </c>
      <c r="M250" s="173">
        <f>SUM(N250:R250)</f>
        <v>13816.643246440912</v>
      </c>
      <c r="N250" s="174">
        <f>T250*(1+((AG250+IF(F250="백어택",8,0))/100)*((AI250/100-1)))</f>
        <v>6386.575476885243</v>
      </c>
      <c r="O250" s="174">
        <f>U250*(1+(($D$57+IF(F250="백어택",8,0))/100)*($D$58/100-1))</f>
        <v>7430.0677695556687</v>
      </c>
      <c r="P250" s="174"/>
      <c r="Q250" s="174"/>
      <c r="R250" s="175"/>
      <c r="S250" s="173">
        <f>SUM(T250:X250)</f>
        <v>10238.968498353657</v>
      </c>
      <c r="T250" s="174">
        <f>AL250*AV250*IF(F250="백어택",1.2,1)</f>
        <v>4388.5813215643902</v>
      </c>
      <c r="U250" s="174">
        <f>AM250*AX250*AY250*IF(F250="백어택",1.2,1)</f>
        <v>5850.3871767892679</v>
      </c>
      <c r="V250" s="174"/>
      <c r="W250" s="174"/>
      <c r="X250" s="175"/>
      <c r="Y250" s="173">
        <f>SUM(Z250:AD250)</f>
        <v>20477.936996707314</v>
      </c>
      <c r="Z250" s="174">
        <f>T250*$D$58/100</f>
        <v>8777.1626431287805</v>
      </c>
      <c r="AA250" s="174">
        <f>U250*$D$58/100</f>
        <v>11700.774353578536</v>
      </c>
      <c r="AB250" s="174"/>
      <c r="AC250" s="174"/>
      <c r="AD250" s="175"/>
      <c r="AE250" s="173">
        <f>AO250*(1-$D$17/100)-AR250</f>
        <v>14.957124</v>
      </c>
      <c r="AF250" s="174">
        <f>AP250</f>
        <v>36</v>
      </c>
      <c r="AG250" s="174">
        <f>IF($D$57+AU250&gt;100,100,$D$57+AU250)</f>
        <v>19.001300000000001</v>
      </c>
      <c r="AH250" s="174">
        <f>AQ250*AS250</f>
        <v>441</v>
      </c>
      <c r="AI250" s="174">
        <f>$D$58+$D$19</f>
        <v>268.61079999999998</v>
      </c>
      <c r="AJ250" s="174">
        <f>10*IF(AV250=1,1,5/4.5)/IF(AX250=1,5,3.5)</f>
        <v>3.1746031746031744</v>
      </c>
      <c r="AK250" s="174">
        <f>SUM(AL250:AN250)</f>
        <v>4875.7620578646347</v>
      </c>
      <c r="AL250" s="174">
        <f>(VLOOKUP(C250,$B$36:$AG$39,29,FALSE)+VLOOKUP(C250,$B$40:$AG$43,29,FALSE)*$D$54)*$D$59/100</f>
        <v>2438.1007342024391</v>
      </c>
      <c r="AM250" s="174">
        <f>(VLOOKUP(C250,$B$36:$AG$39,30,FALSE)+VLOOKUP(C250,$B$40:$AG$43,30,FALSE)*$D$54)*$D$59/100</f>
        <v>2437.6613236621952</v>
      </c>
      <c r="AN250" s="174"/>
      <c r="AO250" s="176">
        <v>18</v>
      </c>
      <c r="AP250" s="174">
        <v>36</v>
      </c>
      <c r="AQ250" s="175">
        <f>VLOOKUP(C250,$B$45:$AG$48,29,FALSE)</f>
        <v>441</v>
      </c>
      <c r="AR250" s="31">
        <f>IF(LEFT(E250,1)*1=1,$S$70,$R$70)</f>
        <v>3</v>
      </c>
      <c r="AS250" s="2">
        <f>IF(LEFT(E250,1)*1=2,$U$70,$T$70)</f>
        <v>1</v>
      </c>
      <c r="AT250" s="33">
        <f>IF(LEFT(E250,1)*1=3,$W$70,$V$70)</f>
        <v>0</v>
      </c>
      <c r="AU250" s="31">
        <f>IF(MID(E250,3,1)*1=1,$Y$70,$X$70)</f>
        <v>0</v>
      </c>
      <c r="AV250" s="2">
        <f>IF(MID(E250,3,1)*1=2,$AA$70,$Z$70)</f>
        <v>1.5</v>
      </c>
      <c r="AW250" s="33">
        <f>IF(MID(E250,3,1)*1=3,$AC$70,$AB$70)</f>
        <v>0</v>
      </c>
      <c r="AX250" s="31">
        <f>IF(MID(E250,5,1)*1=1,$AE$70,$AD$70)</f>
        <v>2</v>
      </c>
      <c r="AY250" s="33">
        <f>IF(MID(E250,5,1)*1=2,$AG$70,$AF$70)</f>
        <v>1</v>
      </c>
      <c r="AZ250" s="2"/>
      <c r="BA250" s="101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 ht="12" customHeight="1">
      <c r="A251" s="2"/>
      <c r="B251" s="107">
        <v>328</v>
      </c>
      <c r="C251" s="31">
        <v>10</v>
      </c>
      <c r="D251" s="106" t="s">
        <v>20</v>
      </c>
      <c r="E251" s="2" t="s">
        <v>154</v>
      </c>
      <c r="F251" s="2" t="s">
        <v>149</v>
      </c>
      <c r="G251" s="2"/>
      <c r="H251" s="33"/>
      <c r="I251" s="173">
        <f>M251/AE251</f>
        <v>923.74999675344748</v>
      </c>
      <c r="J251" s="174">
        <f>AH251/AE251</f>
        <v>29.484277859834549</v>
      </c>
      <c r="K251" s="207">
        <f>RANK(I251,$I$76:$I$977)</f>
        <v>175</v>
      </c>
      <c r="L251" s="208">
        <f>RANK(I251,$I$76:$I$450)</f>
        <v>175</v>
      </c>
      <c r="M251" s="173">
        <f>SUM(N251:R251)</f>
        <v>13816.643246440912</v>
      </c>
      <c r="N251" s="174">
        <f>T251*(1+((AG251+IF(F251="백어택",8,0))/100)*((AI251/100-1)))</f>
        <v>6386.575476885243</v>
      </c>
      <c r="O251" s="174">
        <f>U251*(1+(($D$57+IF(F251="백어택",8,0))/100)*($D$58/100-1))</f>
        <v>7430.0677695556687</v>
      </c>
      <c r="P251" s="174"/>
      <c r="Q251" s="174"/>
      <c r="R251" s="175"/>
      <c r="S251" s="173">
        <f>SUM(T251:X251)</f>
        <v>10238.968498353657</v>
      </c>
      <c r="T251" s="174">
        <f>AL251*AV251*IF(F251="백어택",1.2,1)</f>
        <v>4388.5813215643902</v>
      </c>
      <c r="U251" s="174">
        <f>AM251*AX251*AY251*IF(F251="백어택",1.2,1)</f>
        <v>5850.3871767892679</v>
      </c>
      <c r="V251" s="174"/>
      <c r="W251" s="174"/>
      <c r="X251" s="175"/>
      <c r="Y251" s="173">
        <f>SUM(Z251:AD251)</f>
        <v>20477.936996707314</v>
      </c>
      <c r="Z251" s="174">
        <f>T251*$D$58/100</f>
        <v>8777.1626431287805</v>
      </c>
      <c r="AA251" s="174">
        <f>U251*$D$58/100</f>
        <v>11700.774353578536</v>
      </c>
      <c r="AB251" s="174"/>
      <c r="AC251" s="174"/>
      <c r="AD251" s="175"/>
      <c r="AE251" s="173">
        <f>AO251*(1-$D$17/100)-AR251</f>
        <v>14.957124</v>
      </c>
      <c r="AF251" s="174">
        <f>AP251</f>
        <v>36</v>
      </c>
      <c r="AG251" s="174">
        <f>IF($D$57+AU251&gt;100,100,$D$57+AU251)</f>
        <v>19.001300000000001</v>
      </c>
      <c r="AH251" s="174">
        <f>AQ251*AS251</f>
        <v>441</v>
      </c>
      <c r="AI251" s="174">
        <f>$D$58+$D$19</f>
        <v>268.61079999999998</v>
      </c>
      <c r="AJ251" s="174">
        <f>10*IF(AV251=1,1,5/4.5)/IF(AX251=1,5,3.5)</f>
        <v>2.2222222222222223</v>
      </c>
      <c r="AK251" s="174">
        <f>SUM(AL251:AN251)</f>
        <v>4875.7620578646347</v>
      </c>
      <c r="AL251" s="174">
        <f>(VLOOKUP(C251,$B$36:$AG$39,29,FALSE)+VLOOKUP(C251,$B$40:$AG$43,29,FALSE)*$D$54)*$D$59/100</f>
        <v>2438.1007342024391</v>
      </c>
      <c r="AM251" s="174">
        <f>(VLOOKUP(C251,$B$36:$AG$39,30,FALSE)+VLOOKUP(C251,$B$40:$AG$43,30,FALSE)*$D$54)*$D$59/100</f>
        <v>2437.6613236621952</v>
      </c>
      <c r="AN251" s="174"/>
      <c r="AO251" s="176">
        <v>18</v>
      </c>
      <c r="AP251" s="174">
        <v>36</v>
      </c>
      <c r="AQ251" s="175">
        <f>VLOOKUP(C251,$B$45:$AG$48,29,FALSE)</f>
        <v>441</v>
      </c>
      <c r="AR251" s="31">
        <f>IF(LEFT(E251,1)*1=1,$S$70,$R$70)</f>
        <v>3</v>
      </c>
      <c r="AS251" s="2">
        <f>IF(LEFT(E251,1)*1=2,$U$70,$T$70)</f>
        <v>1</v>
      </c>
      <c r="AT251" s="33">
        <f>IF(LEFT(E251,1)*1=3,$W$70,$V$70)</f>
        <v>0</v>
      </c>
      <c r="AU251" s="31">
        <f>IF(MID(E251,3,1)*1=1,$Y$70,$X$70)</f>
        <v>0</v>
      </c>
      <c r="AV251" s="2">
        <f>IF(MID(E251,3,1)*1=2,$AA$70,$Z$70)</f>
        <v>1.5</v>
      </c>
      <c r="AW251" s="33">
        <f>IF(MID(E251,3,1)*1=3,$AC$70,$AB$70)</f>
        <v>0</v>
      </c>
      <c r="AX251" s="31">
        <f>IF(MID(E251,5,1)*1=1,$AE$70,$AD$70)</f>
        <v>1</v>
      </c>
      <c r="AY251" s="33">
        <f>IF(MID(E251,5,1)*1=2,$AG$70,$AF$70)</f>
        <v>2</v>
      </c>
      <c r="AZ251" s="2"/>
      <c r="BA251" s="101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 ht="12" customHeight="1">
      <c r="A252" s="2"/>
      <c r="B252" s="107">
        <v>692</v>
      </c>
      <c r="C252" s="31">
        <v>7</v>
      </c>
      <c r="D252" s="111" t="s">
        <v>18</v>
      </c>
      <c r="E252" s="2" t="s">
        <v>179</v>
      </c>
      <c r="F252" s="2" t="s">
        <v>149</v>
      </c>
      <c r="G252" s="2"/>
      <c r="H252" s="33" t="s">
        <v>81</v>
      </c>
      <c r="I252" s="173">
        <f>M252/AE252</f>
        <v>921.95967464797923</v>
      </c>
      <c r="J252" s="174">
        <f>AH252/AE252</f>
        <v>19.637781784066725</v>
      </c>
      <c r="K252" s="207">
        <f>RANK(I252,$I$76:$I$977)</f>
        <v>177</v>
      </c>
      <c r="L252" s="208" t="e">
        <f>RANK(I252,$I$451:$I$866)</f>
        <v>#N/A</v>
      </c>
      <c r="M252" s="173">
        <f>SUM(N252:R252)</f>
        <v>17042.218188245417</v>
      </c>
      <c r="N252" s="174">
        <f>T252*(1+((AG252+IF(F252="백어택",8,0))/100)*(AI252/100-1))</f>
        <v>11259.715119808392</v>
      </c>
      <c r="O252" s="174">
        <f>U252*(1+(($D$57+IF(F252="백어택",8,0))/100)*(AI252/100-1))</f>
        <v>5782.5030684370258</v>
      </c>
      <c r="P252" s="174"/>
      <c r="Q252" s="174"/>
      <c r="R252" s="175"/>
      <c r="S252" s="173">
        <f>SUM(T252:X252)</f>
        <v>11295.397314012294</v>
      </c>
      <c r="T252" s="174">
        <f>AL252*IF(H252="근접",AT252,IF(AV252=1,AT252,1))*AX252*IF(F252="백어택",1.2,1)</f>
        <v>6742.2918982118053</v>
      </c>
      <c r="U252" s="174">
        <f>IF(AX252=1,AM252*IF(H252="근접",AT252,IF(AV252=1,AT252,1)),0)*AY252*IF(AX252=1,1,0)*IF(F252="백어택",1.2,1)</f>
        <v>4553.1054158004881</v>
      </c>
      <c r="V252" s="174"/>
      <c r="W252" s="174"/>
      <c r="X252" s="175"/>
      <c r="Y252" s="173">
        <f>SUM(Z252:AD252)</f>
        <v>22590.794628024589</v>
      </c>
      <c r="Z252" s="174">
        <f>T252*$D$58/100</f>
        <v>13484.583796423611</v>
      </c>
      <c r="AA252" s="174">
        <f>U252*$D$58/100</f>
        <v>9106.2108316009762</v>
      </c>
      <c r="AB252" s="174"/>
      <c r="AC252" s="174"/>
      <c r="AD252" s="175"/>
      <c r="AE252" s="173">
        <f>(AO252*(1-$D$20/100)*(1-$D$17/100)-AR252)*IF(AW252="보스대상",1,POWER(0.85,AW252))</f>
        <v>18.484776131615998</v>
      </c>
      <c r="AF252" s="174">
        <f>AP252</f>
        <v>36</v>
      </c>
      <c r="AG252" s="174">
        <f>IF($D$57+AU252&gt;100,100,$D$57+AU252)</f>
        <v>59.001300000000001</v>
      </c>
      <c r="AH252" s="174">
        <f>AQ252</f>
        <v>363</v>
      </c>
      <c r="AI252" s="174">
        <f>$D$58</f>
        <v>200</v>
      </c>
      <c r="AJ252" s="174">
        <f>10*AS252/IF(AX252=1,IF(AY252=1,4.5,4),4)</f>
        <v>2.2222222222222223</v>
      </c>
      <c r="AK252" s="174">
        <f>SUM(AL252:AN252)</f>
        <v>7844.0259125085377</v>
      </c>
      <c r="AL252" s="174">
        <f>IF(AV252=1,$D$61*(VLOOKUP(C252,$B$36:$AG$39,25,FALSE)+VLOOKUP(C252,$B$40:$AG$43,25,FALSE)*$D$54),(IF(H252="근접",$D$61*(VLOOKUP(C252,$B$36:$AG$39,25,FALSE)+VLOOKUP(C252,$B$40:$AG$43,25,FALSE)*$D$54),$D$60*(VLOOKUP(C252,$B$36:$AG$39,25,FALSE)+VLOOKUP(C252,$B$40:$AG$43,25,FALSE)*$D$54))))*$D$59/100</f>
        <v>4682.1471515359763</v>
      </c>
      <c r="AM252" s="174">
        <f>(IF(AV252=1,$D$61*(VLOOKUP(C252,$B$36:$AG$39,26,FALSE)+VLOOKUP(C252,$B$40:$AG$43,26,FALSE)*$D$54),IF(H252="근접",$D$61*(VLOOKUP(C252,$B$36:$AG$39,26,FALSE)+VLOOKUP(C252,$B$40:$AG$43,26,FALSE)*$D$54),$D$60*(VLOOKUP(C252,$B$36:$AG$39,26,FALSE)+VLOOKUP(C252,$B$40:$AG$43,26,FALSE)*$D$54))))*$D$59/100</f>
        <v>3161.8787609725614</v>
      </c>
      <c r="AN252" s="174"/>
      <c r="AO252" s="176">
        <v>24</v>
      </c>
      <c r="AP252" s="174">
        <v>36</v>
      </c>
      <c r="AQ252" s="175">
        <f>VLOOKUP(C252,$B$45:$AA$48,25,FALSE)</f>
        <v>363</v>
      </c>
      <c r="AR252" s="31">
        <f>IF(LEFT(E252,1)*1=1,$S$68,$R$68)</f>
        <v>0</v>
      </c>
      <c r="AS252" s="2">
        <f>IF(LEFT(E252,1)*1=2,$U$68,$T$68)</f>
        <v>1</v>
      </c>
      <c r="AT252" s="33">
        <f>IF(LEFT(E252,1)*1=3,$W$68,$V$68)</f>
        <v>1.2</v>
      </c>
      <c r="AU252" s="31">
        <f>IF(MID(E252,3,1)*1=1,$Y$68,$X$68)</f>
        <v>40</v>
      </c>
      <c r="AV252" s="2">
        <f>IF(MID(E252,3,1)*1=2,$AA$68,$Z$68)</f>
        <v>0</v>
      </c>
      <c r="AW252" s="33" t="str">
        <f>IF(MID(E252,3,1)*1=3,$AC$68,$AB$68)</f>
        <v>보스대상</v>
      </c>
      <c r="AX252" s="31">
        <f>IF(MID(E252,5,1)*1=1,$AE$68,$AD$68)</f>
        <v>1</v>
      </c>
      <c r="AY252" s="33">
        <f>IF(MID(E252,5,1)*1=2,$AG$68,$AF$68)</f>
        <v>1</v>
      </c>
      <c r="AZ252" s="2"/>
      <c r="BA252" s="101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 ht="12" customHeight="1">
      <c r="A253" s="2"/>
      <c r="B253" s="107">
        <v>228</v>
      </c>
      <c r="C253" s="31">
        <v>10</v>
      </c>
      <c r="D253" s="106" t="s">
        <v>13</v>
      </c>
      <c r="E253" s="2" t="s">
        <v>145</v>
      </c>
      <c r="F253" s="2"/>
      <c r="G253" s="2"/>
      <c r="H253" s="33"/>
      <c r="I253" s="173">
        <f>M253/AE253</f>
        <v>916.00779341112809</v>
      </c>
      <c r="J253" s="174">
        <f>AH253/AE253</f>
        <v>21.760166048861723</v>
      </c>
      <c r="K253" s="207">
        <f>RANK(I253,$I$76:$I$977)</f>
        <v>178</v>
      </c>
      <c r="L253" s="208">
        <f>RANK(I253,$I$76:$I$450)</f>
        <v>178</v>
      </c>
      <c r="M253" s="173">
        <f>SUM(N253:R253)</f>
        <v>21931.820708333347</v>
      </c>
      <c r="N253" s="174">
        <f>T253*(1+((AG253+IF(F253="백어택",8,0))/100)*((AI253/100-1)))</f>
        <v>14320.044080364311</v>
      </c>
      <c r="O253" s="174">
        <f>U253*(1+($D$57/100)*($D$58/100-1))</f>
        <v>4684.1702325963288</v>
      </c>
      <c r="P253" s="174"/>
      <c r="Q253" s="174"/>
      <c r="R253" s="175">
        <f>X253*(1+($D$57/100)*($D$58/100-1))</f>
        <v>2927.6063953727057</v>
      </c>
      <c r="S253" s="173">
        <f>SUM(T253:X253)</f>
        <v>13574.975429513959</v>
      </c>
      <c r="T253" s="174">
        <f>AL253*AY253</f>
        <v>7178.5943580726944</v>
      </c>
      <c r="U253" s="174">
        <f>AM253*AU253*AW253</f>
        <v>3936.234505502317</v>
      </c>
      <c r="V253" s="174"/>
      <c r="W253" s="174"/>
      <c r="X253" s="175">
        <f>IF(AU253=1,0,U253*0.625)</f>
        <v>2460.1465659389482</v>
      </c>
      <c r="Y253" s="173">
        <f>SUM(Z253:AD253)</f>
        <v>27149.950859027918</v>
      </c>
      <c r="Z253" s="174">
        <f>T253*$D$58/100</f>
        <v>14357.188716145389</v>
      </c>
      <c r="AA253" s="174">
        <f>U253*$D$58/100</f>
        <v>7872.4690110046331</v>
      </c>
      <c r="AB253" s="174"/>
      <c r="AC253" s="174"/>
      <c r="AD253" s="175">
        <f>X253*$D$58/100</f>
        <v>4920.2931318778965</v>
      </c>
      <c r="AE253" s="173">
        <f>AO253*(1-$D$17/100)</f>
        <v>23.942831999999999</v>
      </c>
      <c r="AF253" s="174">
        <f>AP253</f>
        <v>36</v>
      </c>
      <c r="AG253" s="174">
        <f>IF($D$57+AT253&gt;100,100,$D$57+AT253)</f>
        <v>59.001300000000001</v>
      </c>
      <c r="AH253" s="174">
        <f>AQ253</f>
        <v>521</v>
      </c>
      <c r="AI253" s="174">
        <f>$D$58+$D$19</f>
        <v>268.61079999999998</v>
      </c>
      <c r="AJ253" s="174">
        <f>10/IF(AY253=1,2.5,2)</f>
        <v>5</v>
      </c>
      <c r="AK253" s="174">
        <f>SUM(AL253:AN253)</f>
        <v>8425.3120635121941</v>
      </c>
      <c r="AL253" s="174">
        <f>(VLOOKUP(C253,$B$36:$AG$39,17,FALSE)+VLOOKUP(C253,$B$40:$AG$43,17,FALSE)*$D$54)*$D$59/100</f>
        <v>5397.4393669719502</v>
      </c>
      <c r="AM253" s="174">
        <f>(VLOOKUP(C253,$B$36:$AG$39,18,FALSE)+VLOOKUP(C253,$B$40:$AG$43,18,FALSE)*$D$54)*$D$59/100</f>
        <v>3027.8726965402439</v>
      </c>
      <c r="AN253" s="174"/>
      <c r="AO253" s="176">
        <v>24</v>
      </c>
      <c r="AP253" s="174">
        <v>36</v>
      </c>
      <c r="AQ253" s="175">
        <f>VLOOKUP(C253,$B$45:$AA$48,17,FALSE)</f>
        <v>521</v>
      </c>
      <c r="AR253" s="31">
        <f>IF(LEFT(E253,1)*1=1,$S$63,$R$63)</f>
        <v>0</v>
      </c>
      <c r="AS253" s="2">
        <f>IF(LEFT(E253,1)*1=2,$U$63,$T$63)</f>
        <v>0</v>
      </c>
      <c r="AT253" s="33">
        <f>IF(LEFT(E253,1)*1=3,$W$63,$V$63)</f>
        <v>40</v>
      </c>
      <c r="AU253" s="31">
        <f>IF(MID(E253,3,1)*1=1,$Y$63,$X$63)</f>
        <v>1.3</v>
      </c>
      <c r="AV253" s="2">
        <f>IF(MID(E253,3,1)*1=2,$AA$63,$Z$63)</f>
        <v>0</v>
      </c>
      <c r="AW253" s="33">
        <f>IF(MID(E253,3,1)*1=3,$AC$63,$AB$63)</f>
        <v>1</v>
      </c>
      <c r="AX253" s="31">
        <f>IF(MID(E253,5,1)*1=1,$AE$63,$AD$63)</f>
        <v>0</v>
      </c>
      <c r="AY253" s="33">
        <f>IF(MID(E253,5,1)*1=2,$AG$63,$AF$63)</f>
        <v>1.33</v>
      </c>
      <c r="AZ253" s="2"/>
      <c r="BA253" s="101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 ht="12" customHeight="1">
      <c r="A254" s="2"/>
      <c r="B254" s="107">
        <v>576</v>
      </c>
      <c r="C254" s="31">
        <v>10</v>
      </c>
      <c r="D254" s="111" t="s">
        <v>14</v>
      </c>
      <c r="E254" s="2" t="s">
        <v>138</v>
      </c>
      <c r="F254" s="2" t="s">
        <v>149</v>
      </c>
      <c r="G254" s="2"/>
      <c r="H254" s="33" t="s">
        <v>80</v>
      </c>
      <c r="I254" s="173">
        <f>M254/AE254</f>
        <v>914.13455441795361</v>
      </c>
      <c r="J254" s="174">
        <f>AH254/AE254</f>
        <v>23.695174714659018</v>
      </c>
      <c r="K254" s="207">
        <f>RANK(I254,$I$76:$I$977)</f>
        <v>179</v>
      </c>
      <c r="L254" s="208" t="e">
        <f>RANK(I254,$I$451:$I$866)</f>
        <v>#N/A</v>
      </c>
      <c r="M254" s="173">
        <f>SUM(N254:R254)</f>
        <v>25346.358888885628</v>
      </c>
      <c r="N254" s="174">
        <f>T254*(1+((AG254+IF(F254="백어택",8,0))/100)*(AI254/100-1))</f>
        <v>4397.1718738735635</v>
      </c>
      <c r="O254" s="174">
        <f>U254*(1+((AG254+IF(F254="백어택",8,0))/100)*(AI254/100-1))</f>
        <v>4397.1718738735635</v>
      </c>
      <c r="P254" s="174">
        <f>V254*(1+((AG254+IF(F254="백어택",8,0))/100)*(AI254*IF(AX254=1,AW254,1)/100-1))</f>
        <v>5941.9114202096343</v>
      </c>
      <c r="Q254" s="174">
        <f>W254*(1+((AG254+IF(F254="백어택",8,0))/100)*(AI254*AW254/100-1))</f>
        <v>10610.103720928866</v>
      </c>
      <c r="R254" s="175"/>
      <c r="S254" s="173">
        <f>SUM(T254:X254)</f>
        <v>16675.093495177756</v>
      </c>
      <c r="T254" s="174">
        <f>AL254*AY254*IF(F254="백어택",1.2,1)</f>
        <v>2892.8514913185368</v>
      </c>
      <c r="U254" s="174">
        <f>AM254*AY254*IF(F254="백어택",1.2,1)</f>
        <v>2892.8514913185368</v>
      </c>
      <c r="V254" s="174">
        <f>AN254*AY254*IF(F254="백어택",1.2,1)</f>
        <v>3909.118816884878</v>
      </c>
      <c r="W254" s="174">
        <f>(T254+U254+V254)*IF(AX254=1,0,0.6)*IF(F254="백어택",1.2,1)</f>
        <v>6980.2716956558043</v>
      </c>
      <c r="X254" s="175"/>
      <c r="Y254" s="173">
        <f>SUM(Z254:AD254)</f>
        <v>33350.186990355513</v>
      </c>
      <c r="Z254" s="174">
        <f>T254*AI254/100</f>
        <v>5785.7029826370735</v>
      </c>
      <c r="AA254" s="174">
        <f>U254*AI254/100</f>
        <v>5785.7029826370735</v>
      </c>
      <c r="AB254" s="174">
        <f>V254*AI254*IF(AX254=1,AW254,1)/100</f>
        <v>7818.2376337697551</v>
      </c>
      <c r="AC254" s="174">
        <f>W254*AI254*AW254/100</f>
        <v>13960.543391311609</v>
      </c>
      <c r="AD254" s="175"/>
      <c r="AE254" s="173">
        <f>AO254*(1-$D$20/100)*(1-$D$17/100)</f>
        <v>27.727164197424003</v>
      </c>
      <c r="AF254" s="174">
        <f>AP254</f>
        <v>36</v>
      </c>
      <c r="AG254" s="174">
        <f>IF($D$57+AU254&gt;100,100,$D$57+AU254)</f>
        <v>44.001300000000001</v>
      </c>
      <c r="AH254" s="174">
        <f>AQ254*AS254</f>
        <v>657</v>
      </c>
      <c r="AI254" s="174">
        <f>$D$58+IF(H254="근접",AR254,0)+IF(AY254=1,0,50)</f>
        <v>200</v>
      </c>
      <c r="AJ254" s="174">
        <f>10/3</f>
        <v>3.3333333333333335</v>
      </c>
      <c r="AK254" s="174">
        <f>SUM(AL254:AN254)</f>
        <v>8079.0181662682935</v>
      </c>
      <c r="AL254" s="174">
        <f>(IF(H254="근접",$D$61*(VLOOKUP(C254,$B$36:$AG$39,19,FALSE)+VLOOKUP(C254,$B$40:$AG$43,19,FALSE)*$D$54),$D$60*(VLOOKUP(C254,$B$36:$AG$39,19,FALSE)+VLOOKUP(C254,$B$40:$AG$43,19,FALSE)*$D$54)))*$D$59/100</f>
        <v>2410.7095760987809</v>
      </c>
      <c r="AM254" s="174">
        <f>(IF(H254="근접",$D$61*(VLOOKUP(C254,$B$36:$AG$39,20,FALSE)+VLOOKUP(C254,$B$40:$AG$43,20,FALSE)*$D$54),$D$60*(VLOOKUP(C254,$B$36:$AG$39,20,FALSE)+VLOOKUP(C254,$B$40:$AG$43,20,FALSE)*$D$54)))*$D$59/100</f>
        <v>2410.7095760987809</v>
      </c>
      <c r="AN254" s="174">
        <f>(IF(H254="근접",$D$61*(VLOOKUP(C254,$B$36:$AG$39,21,FALSE)+VLOOKUP(C254,$B$40:$AG$43,21,FALSE)*$D$54),$D$60*(VLOOKUP(C254,$B$36:$AG$39,21,FALSE)+VLOOKUP(C254,$B$40:$AG$43,21,FALSE)*$D$54)))*$D$59/100</f>
        <v>3257.5990140707318</v>
      </c>
      <c r="AO254" s="176">
        <v>36</v>
      </c>
      <c r="AP254" s="174">
        <v>36</v>
      </c>
      <c r="AQ254" s="175">
        <f>VLOOKUP(C254,$B$45:$AA$48,19,FALSE)</f>
        <v>657</v>
      </c>
      <c r="AR254" s="31">
        <f>IF(LEFT(E254,1)*1=1,$S$64,$R$64)</f>
        <v>0</v>
      </c>
      <c r="AS254" s="2">
        <f>IF(LEFT(E254,1)*1=2,$U$64,$T$64)</f>
        <v>1</v>
      </c>
      <c r="AT254" s="33">
        <f>IF(LEFT(E254,1)*1=3,$W$64,$V$64)</f>
        <v>0</v>
      </c>
      <c r="AU254" s="31">
        <f>IF(MID(E254,3,1)*1=1,$Y$64,$X$64)</f>
        <v>25</v>
      </c>
      <c r="AV254" s="2">
        <f>IF(MID(E254,3,1)*1=2,$AA$64,$Z$64)</f>
        <v>0</v>
      </c>
      <c r="AW254" s="33">
        <f>IF(MID(E254,3,1)*1=3,$AC$64,$AB$64)</f>
        <v>1</v>
      </c>
      <c r="AX254" s="31">
        <f>IF(MID(E254,5,1)*1=1,$AE$64,$AD$64)</f>
        <v>0.6</v>
      </c>
      <c r="AY254" s="33">
        <f>IF(MID(E254,5,1)*1=2,$AG$64,$AF$64)</f>
        <v>1</v>
      </c>
      <c r="AZ254" s="2"/>
      <c r="BA254" s="101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2" customHeight="1">
      <c r="A255" s="2"/>
      <c r="B255" s="107">
        <v>579</v>
      </c>
      <c r="C255" s="31">
        <v>10</v>
      </c>
      <c r="D255" s="111" t="s">
        <v>14</v>
      </c>
      <c r="E255" s="2" t="s">
        <v>164</v>
      </c>
      <c r="F255" s="2" t="s">
        <v>149</v>
      </c>
      <c r="G255" s="2"/>
      <c r="H255" s="33" t="s">
        <v>80</v>
      </c>
      <c r="I255" s="173">
        <f>M255/AE255</f>
        <v>914.13455441795361</v>
      </c>
      <c r="J255" s="174">
        <f>AH255/AE255</f>
        <v>23.695174714659018</v>
      </c>
      <c r="K255" s="207">
        <f>RANK(I255,$I$76:$I$977)</f>
        <v>179</v>
      </c>
      <c r="L255" s="208" t="e">
        <f>RANK(I255,$I$451:$I$866)</f>
        <v>#N/A</v>
      </c>
      <c r="M255" s="173">
        <f>SUM(N255:R255)</f>
        <v>25346.358888885628</v>
      </c>
      <c r="N255" s="174">
        <f>T255*(1+((AG255+IF(F255="백어택",8,0))/100)*(AI255/100-1))</f>
        <v>4397.1718738735635</v>
      </c>
      <c r="O255" s="174">
        <f>U255*(1+((AG255+IF(F255="백어택",8,0))/100)*(AI255/100-1))</f>
        <v>4397.1718738735635</v>
      </c>
      <c r="P255" s="174">
        <f>V255*(1+((AG255+IF(F255="백어택",8,0))/100)*(AI255*IF(AX255=1,AW255,1)/100-1))</f>
        <v>5941.9114202096343</v>
      </c>
      <c r="Q255" s="174">
        <f>W255*(1+((AG255+IF(F255="백어택",8,0))/100)*(AI255*AW255/100-1))</f>
        <v>10610.103720928866</v>
      </c>
      <c r="R255" s="175"/>
      <c r="S255" s="173">
        <f>SUM(T255:X255)</f>
        <v>16675.093495177756</v>
      </c>
      <c r="T255" s="174">
        <f>AL255*AY255*IF(F255="백어택",1.2,1)</f>
        <v>2892.8514913185368</v>
      </c>
      <c r="U255" s="174">
        <f>AM255*AY255*IF(F255="백어택",1.2,1)</f>
        <v>2892.8514913185368</v>
      </c>
      <c r="V255" s="174">
        <f>AN255*AY255*IF(F255="백어택",1.2,1)</f>
        <v>3909.118816884878</v>
      </c>
      <c r="W255" s="174">
        <f>(T255+U255+V255)*IF(AX255=1,0,0.6)*IF(F255="백어택",1.2,1)</f>
        <v>6980.2716956558043</v>
      </c>
      <c r="X255" s="175"/>
      <c r="Y255" s="173">
        <f>SUM(Z255:AD255)</f>
        <v>33350.186990355513</v>
      </c>
      <c r="Z255" s="174">
        <f>T255*AI255/100</f>
        <v>5785.7029826370735</v>
      </c>
      <c r="AA255" s="174">
        <f>U255*AI255/100</f>
        <v>5785.7029826370735</v>
      </c>
      <c r="AB255" s="174">
        <f>V255*AI255*IF(AX255=1,AW255,1)/100</f>
        <v>7818.2376337697551</v>
      </c>
      <c r="AC255" s="174">
        <f>W255*AI255*AW255/100</f>
        <v>13960.543391311609</v>
      </c>
      <c r="AD255" s="175"/>
      <c r="AE255" s="173">
        <f>AO255*(1-$D$20/100)*(1-$D$17/100)</f>
        <v>27.727164197424003</v>
      </c>
      <c r="AF255" s="174">
        <f>AP255</f>
        <v>36</v>
      </c>
      <c r="AG255" s="174">
        <f>IF($D$57+AU255&gt;100,100,$D$57+AU255)</f>
        <v>44.001300000000001</v>
      </c>
      <c r="AH255" s="174">
        <f>AQ255*AS255</f>
        <v>657</v>
      </c>
      <c r="AI255" s="174">
        <f>$D$58+IF(H255="근접",AR255,0)+IF(AY255=1,0,50)</f>
        <v>200</v>
      </c>
      <c r="AJ255" s="174">
        <f>10/3</f>
        <v>3.3333333333333335</v>
      </c>
      <c r="AK255" s="174">
        <f>SUM(AL255:AN255)</f>
        <v>8079.0181662682935</v>
      </c>
      <c r="AL255" s="174">
        <f>(IF(H255="근접",$D$61*(VLOOKUP(C255,$B$36:$AG$39,19,FALSE)+VLOOKUP(C255,$B$40:$AG$43,19,FALSE)*$D$54),$D$60*(VLOOKUP(C255,$B$36:$AG$39,19,FALSE)+VLOOKUP(C255,$B$40:$AG$43,19,FALSE)*$D$54)))*$D$59/100</f>
        <v>2410.7095760987809</v>
      </c>
      <c r="AM255" s="174">
        <f>(IF(H255="근접",$D$61*(VLOOKUP(C255,$B$36:$AG$39,20,FALSE)+VLOOKUP(C255,$B$40:$AG$43,20,FALSE)*$D$54),$D$60*(VLOOKUP(C255,$B$36:$AG$39,20,FALSE)+VLOOKUP(C255,$B$40:$AG$43,20,FALSE)*$D$54)))*$D$59/100</f>
        <v>2410.7095760987809</v>
      </c>
      <c r="AN255" s="174">
        <f>(IF(H255="근접",$D$61*(VLOOKUP(C255,$B$36:$AG$39,21,FALSE)+VLOOKUP(C255,$B$40:$AG$43,21,FALSE)*$D$54),$D$60*(VLOOKUP(C255,$B$36:$AG$39,21,FALSE)+VLOOKUP(C255,$B$40:$AG$43,21,FALSE)*$D$54)))*$D$59/100</f>
        <v>3257.5990140707318</v>
      </c>
      <c r="AO255" s="176">
        <v>36</v>
      </c>
      <c r="AP255" s="174">
        <v>36</v>
      </c>
      <c r="AQ255" s="175">
        <f>VLOOKUP(C255,$B$45:$AA$48,19,FALSE)</f>
        <v>657</v>
      </c>
      <c r="AR255" s="31">
        <f>IF(LEFT(E255,1)*1=1,$S$64,$R$64)</f>
        <v>50</v>
      </c>
      <c r="AS255" s="2">
        <f>IF(LEFT(E255,1)*1=2,$U$64,$T$64)</f>
        <v>1</v>
      </c>
      <c r="AT255" s="33">
        <f>IF(LEFT(E255,1)*1=3,$W$64,$V$64)</f>
        <v>0</v>
      </c>
      <c r="AU255" s="31">
        <f>IF(MID(E255,3,1)*1=1,$Y$64,$X$64)</f>
        <v>25</v>
      </c>
      <c r="AV255" s="2">
        <f>IF(MID(E255,3,1)*1=2,$AA$64,$Z$64)</f>
        <v>0</v>
      </c>
      <c r="AW255" s="33">
        <f>IF(MID(E255,3,1)*1=3,$AC$64,$AB$64)</f>
        <v>1</v>
      </c>
      <c r="AX255" s="31">
        <f>IF(MID(E255,5,1)*1=1,$AE$64,$AD$64)</f>
        <v>0.6</v>
      </c>
      <c r="AY255" s="33">
        <f>IF(MID(E255,5,1)*1=2,$AG$64,$AF$64)</f>
        <v>1</v>
      </c>
      <c r="AZ255" s="2"/>
      <c r="BA255" s="101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 ht="12" customHeight="1">
      <c r="A256" s="2"/>
      <c r="B256" s="107">
        <v>582</v>
      </c>
      <c r="C256" s="31">
        <v>10</v>
      </c>
      <c r="D256" s="111" t="s">
        <v>14</v>
      </c>
      <c r="E256" s="2" t="s">
        <v>169</v>
      </c>
      <c r="F256" s="2" t="s">
        <v>149</v>
      </c>
      <c r="G256" s="2"/>
      <c r="H256" s="33" t="s">
        <v>80</v>
      </c>
      <c r="I256" s="173">
        <f>M256/AE256</f>
        <v>914.13455441795361</v>
      </c>
      <c r="J256" s="174">
        <f>AH256/AE256</f>
        <v>11.847587357329509</v>
      </c>
      <c r="K256" s="207">
        <f>RANK(I256,$I$76:$I$977)</f>
        <v>179</v>
      </c>
      <c r="L256" s="208" t="e">
        <f>RANK(I256,$I$451:$I$866)</f>
        <v>#N/A</v>
      </c>
      <c r="M256" s="173">
        <f>SUM(N256:R256)</f>
        <v>25346.358888885628</v>
      </c>
      <c r="N256" s="174">
        <f>T256*(1+((AG256+IF(F256="백어택",8,0))/100)*(AI256/100-1))</f>
        <v>4397.1718738735635</v>
      </c>
      <c r="O256" s="174">
        <f>U256*(1+((AG256+IF(F256="백어택",8,0))/100)*(AI256/100-1))</f>
        <v>4397.1718738735635</v>
      </c>
      <c r="P256" s="174">
        <f>V256*(1+((AG256+IF(F256="백어택",8,0))/100)*(AI256*IF(AX256=1,AW256,1)/100-1))</f>
        <v>5941.9114202096343</v>
      </c>
      <c r="Q256" s="174">
        <f>W256*(1+((AG256+IF(F256="백어택",8,0))/100)*(AI256*AW256/100-1))</f>
        <v>10610.103720928866</v>
      </c>
      <c r="R256" s="175"/>
      <c r="S256" s="173">
        <f>SUM(T256:X256)</f>
        <v>16675.093495177756</v>
      </c>
      <c r="T256" s="174">
        <f>AL256*AY256*IF(F256="백어택",1.2,1)</f>
        <v>2892.8514913185368</v>
      </c>
      <c r="U256" s="174">
        <f>AM256*AY256*IF(F256="백어택",1.2,1)</f>
        <v>2892.8514913185368</v>
      </c>
      <c r="V256" s="174">
        <f>AN256*AY256*IF(F256="백어택",1.2,1)</f>
        <v>3909.118816884878</v>
      </c>
      <c r="W256" s="174">
        <f>(T256+U256+V256)*IF(AX256=1,0,0.6)*IF(F256="백어택",1.2,1)</f>
        <v>6980.2716956558043</v>
      </c>
      <c r="X256" s="175"/>
      <c r="Y256" s="173">
        <f>SUM(Z256:AD256)</f>
        <v>33350.186990355513</v>
      </c>
      <c r="Z256" s="174">
        <f>T256*AI256/100</f>
        <v>5785.7029826370735</v>
      </c>
      <c r="AA256" s="174">
        <f>U256*AI256/100</f>
        <v>5785.7029826370735</v>
      </c>
      <c r="AB256" s="174">
        <f>V256*AI256*IF(AX256=1,AW256,1)/100</f>
        <v>7818.2376337697551</v>
      </c>
      <c r="AC256" s="174">
        <f>W256*AI256*AW256/100</f>
        <v>13960.543391311609</v>
      </c>
      <c r="AD256" s="175"/>
      <c r="AE256" s="173">
        <f>AO256*(1-$D$20/100)*(1-$D$17/100)</f>
        <v>27.727164197424003</v>
      </c>
      <c r="AF256" s="174">
        <f>AP256</f>
        <v>36</v>
      </c>
      <c r="AG256" s="174">
        <f>IF($D$57+AU256&gt;100,100,$D$57+AU256)</f>
        <v>44.001300000000001</v>
      </c>
      <c r="AH256" s="174">
        <f>AQ256*AS256</f>
        <v>328.5</v>
      </c>
      <c r="AI256" s="174">
        <f>$D$58+IF(H256="근접",AR256,0)+IF(AY256=1,0,50)</f>
        <v>200</v>
      </c>
      <c r="AJ256" s="174">
        <f>10/3</f>
        <v>3.3333333333333335</v>
      </c>
      <c r="AK256" s="174">
        <f>SUM(AL256:AN256)</f>
        <v>8079.0181662682935</v>
      </c>
      <c r="AL256" s="174">
        <f>(IF(H256="근접",$D$61*(VLOOKUP(C256,$B$36:$AG$39,19,FALSE)+VLOOKUP(C256,$B$40:$AG$43,19,FALSE)*$D$54),$D$60*(VLOOKUP(C256,$B$36:$AG$39,19,FALSE)+VLOOKUP(C256,$B$40:$AG$43,19,FALSE)*$D$54)))*$D$59/100</f>
        <v>2410.7095760987809</v>
      </c>
      <c r="AM256" s="174">
        <f>(IF(H256="근접",$D$61*(VLOOKUP(C256,$B$36:$AG$39,20,FALSE)+VLOOKUP(C256,$B$40:$AG$43,20,FALSE)*$D$54),$D$60*(VLOOKUP(C256,$B$36:$AG$39,20,FALSE)+VLOOKUP(C256,$B$40:$AG$43,20,FALSE)*$D$54)))*$D$59/100</f>
        <v>2410.7095760987809</v>
      </c>
      <c r="AN256" s="174">
        <f>(IF(H256="근접",$D$61*(VLOOKUP(C256,$B$36:$AG$39,21,FALSE)+VLOOKUP(C256,$B$40:$AG$43,21,FALSE)*$D$54),$D$60*(VLOOKUP(C256,$B$36:$AG$39,21,FALSE)+VLOOKUP(C256,$B$40:$AG$43,21,FALSE)*$D$54)))*$D$59/100</f>
        <v>3257.5990140707318</v>
      </c>
      <c r="AO256" s="176">
        <v>36</v>
      </c>
      <c r="AP256" s="174">
        <v>36</v>
      </c>
      <c r="AQ256" s="175">
        <f>VLOOKUP(C256,$B$45:$AA$48,19,FALSE)</f>
        <v>657</v>
      </c>
      <c r="AR256" s="31">
        <f>IF(LEFT(E256,1)*1=1,$S$64,$R$64)</f>
        <v>0</v>
      </c>
      <c r="AS256" s="2">
        <f>IF(LEFT(E256,1)*1=2,$U$64,$T$64)</f>
        <v>0.5</v>
      </c>
      <c r="AT256" s="33">
        <f>IF(LEFT(E256,1)*1=3,$W$64,$V$64)</f>
        <v>0</v>
      </c>
      <c r="AU256" s="31">
        <f>IF(MID(E256,3,1)*1=1,$Y$64,$X$64)</f>
        <v>25</v>
      </c>
      <c r="AV256" s="2">
        <f>IF(MID(E256,3,1)*1=2,$AA$64,$Z$64)</f>
        <v>0</v>
      </c>
      <c r="AW256" s="33">
        <f>IF(MID(E256,3,1)*1=3,$AC$64,$AB$64)</f>
        <v>1</v>
      </c>
      <c r="AX256" s="31">
        <f>IF(MID(E256,5,1)*1=1,$AE$64,$AD$64)</f>
        <v>0.6</v>
      </c>
      <c r="AY256" s="33">
        <f>IF(MID(E256,5,1)*1=2,$AG$64,$AF$64)</f>
        <v>1</v>
      </c>
      <c r="AZ256" s="2"/>
      <c r="BA256" s="101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 ht="12" customHeight="1">
      <c r="A257" s="2"/>
      <c r="B257" s="107">
        <v>874</v>
      </c>
      <c r="C257" s="31">
        <v>10</v>
      </c>
      <c r="D257" s="113" t="s">
        <v>19</v>
      </c>
      <c r="E257" s="2" t="s">
        <v>145</v>
      </c>
      <c r="F257" s="2"/>
      <c r="G257" s="2"/>
      <c r="H257" s="33">
        <f>IF(AY257=1,4,6)</f>
        <v>6</v>
      </c>
      <c r="I257" s="173">
        <f>M257/AE257</f>
        <v>910.39032227244979</v>
      </c>
      <c r="J257" s="174">
        <f>AH257/AE257</f>
        <v>21.760166048861723</v>
      </c>
      <c r="K257" s="207">
        <f>RANK(I257,$I$76:$I$977)</f>
        <v>182</v>
      </c>
      <c r="L257" s="208" t="e">
        <f>RANK(I257,$I$867:$I$977)</f>
        <v>#N/A</v>
      </c>
      <c r="M257" s="173">
        <f>SUM(N257:R257)*(1+$D$22/100)</f>
        <v>21797.322540595123</v>
      </c>
      <c r="N257" s="174">
        <f>T257*(1+($D$57/100)*($D$58/100-1))</f>
        <v>12533.676731390593</v>
      </c>
      <c r="O257" s="174">
        <f>U257*(1+(AG257/100)*(AI257/100-1))</f>
        <v>7105.7305799390251</v>
      </c>
      <c r="P257" s="174"/>
      <c r="Q257" s="174"/>
      <c r="R257" s="175"/>
      <c r="S257" s="173">
        <f>SUM(T257:X257)</f>
        <v>14085.251685236282</v>
      </c>
      <c r="T257" s="174">
        <f>AL257*AU257</f>
        <v>10532.386395266769</v>
      </c>
      <c r="U257" s="174">
        <f>AM257*AU257</f>
        <v>3552.8652899695126</v>
      </c>
      <c r="V257" s="174"/>
      <c r="W257" s="174"/>
      <c r="X257" s="175"/>
      <c r="Y257" s="173">
        <f>SUM(Z257:AD257)</f>
        <v>28170.503370472565</v>
      </c>
      <c r="Z257" s="174">
        <f>T257*$D$58/100</f>
        <v>21064.772790533538</v>
      </c>
      <c r="AA257" s="174">
        <f>U257*$D$58/100</f>
        <v>7105.7305799390251</v>
      </c>
      <c r="AB257" s="174"/>
      <c r="AC257" s="174"/>
      <c r="AD257" s="175"/>
      <c r="AE257" s="173">
        <f>AO257*(1-$D$17/100)</f>
        <v>23.942831999999999</v>
      </c>
      <c r="AF257" s="174">
        <f>AP257</f>
        <v>36</v>
      </c>
      <c r="AG257" s="174">
        <f>IF($D$57+AT257&gt;100,100,$D$57+AT257)</f>
        <v>100</v>
      </c>
      <c r="AH257" s="174">
        <f>AQ257</f>
        <v>521</v>
      </c>
      <c r="AI257" s="174">
        <f>$D$58</f>
        <v>200</v>
      </c>
      <c r="AJ257" s="174">
        <f>10/IF(AY257=1,(2.5+AX257),2)</f>
        <v>5</v>
      </c>
      <c r="AK257" s="174">
        <f>SUM(AL257:AN257)</f>
        <v>11268.201348189024</v>
      </c>
      <c r="AL257" s="174">
        <f>(H257-1)*(VLOOKUP(C257,$B$36:$AG$39,27,FALSE)+VLOOKUP(C257,$B$40:$AG$43,27,FALSE)*$D$54)*$D$59/100</f>
        <v>8425.9091162134155</v>
      </c>
      <c r="AM257" s="174">
        <f>(VLOOKUP(C257,$B$36:$AG$39,28,FALSE)+VLOOKUP(C257,$B$40:$AG$43,28,FALSE)*$D$54)*$D$59/100</f>
        <v>2842.2922319756099</v>
      </c>
      <c r="AN257" s="174"/>
      <c r="AO257" s="176">
        <v>24</v>
      </c>
      <c r="AP257" s="174">
        <v>36</v>
      </c>
      <c r="AQ257" s="175">
        <f>VLOOKUP(C257,$B$45:$AG$48,27,FALSE)</f>
        <v>521</v>
      </c>
      <c r="AR257" s="31">
        <f>IF(LEFT(E257,1)*1=1,$S$69,$R$69)</f>
        <v>0</v>
      </c>
      <c r="AS257" s="2">
        <f>IF(LEFT(E257,1)*1=2,$U$69,$T$69)</f>
        <v>0</v>
      </c>
      <c r="AT257" s="33">
        <f>IF(LEFT(E257,1)*1=3,$W$69,$V$69)</f>
        <v>100</v>
      </c>
      <c r="AU257" s="31">
        <f>IF(MID(E257,3,1)*1=1,$Y$69,$X$69)</f>
        <v>1.25</v>
      </c>
      <c r="AV257" s="2">
        <f>IF(MID(E257,3,1)*1=2,$AA$69,$Z$69)</f>
        <v>0</v>
      </c>
      <c r="AW257" s="33">
        <f>IF(MID(E257,3,1)*1=3,$AC$69,$AB$69)</f>
        <v>0</v>
      </c>
      <c r="AX257" s="31">
        <f>IF(MID(E257,5,1)*1=1,$AE$69,$AD$69)</f>
        <v>0</v>
      </c>
      <c r="AY257" s="33">
        <f>IF(MID(E257,5,1)*1=2,$AG$69,$AF$69)</f>
        <v>2</v>
      </c>
      <c r="AZ257" s="2"/>
      <c r="BA257" s="101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 ht="12" customHeight="1">
      <c r="A258" s="2"/>
      <c r="B258" s="107">
        <v>646</v>
      </c>
      <c r="C258" s="31">
        <v>10</v>
      </c>
      <c r="D258" s="111" t="s">
        <v>18</v>
      </c>
      <c r="E258" s="2" t="s">
        <v>165</v>
      </c>
      <c r="F258" s="2"/>
      <c r="G258" s="2"/>
      <c r="H258" s="33" t="s">
        <v>80</v>
      </c>
      <c r="I258" s="173">
        <f>M258/AE258</f>
        <v>900.75431337552834</v>
      </c>
      <c r="J258" s="174">
        <f>AH258/AE258</f>
        <v>35.968798914524506</v>
      </c>
      <c r="K258" s="207">
        <f>RANK(I258,$I$76:$I$977)</f>
        <v>183</v>
      </c>
      <c r="L258" s="208" t="e">
        <f>RANK(I258,$I$451:$I$866)</f>
        <v>#N/A</v>
      </c>
      <c r="M258" s="173">
        <f>SUM(N258:R258)</f>
        <v>13047.224578832011</v>
      </c>
      <c r="N258" s="174">
        <f>T258*(1+((AG258+IF(F258="백어택",8,0))/100)*(AI258/100-1))</f>
        <v>5188.0808385736209</v>
      </c>
      <c r="O258" s="174">
        <f>U258*(1+(($D$57+IF(F258="백어택",8,0))/100)*(AI258/100-1))</f>
        <v>7859.1437402583897</v>
      </c>
      <c r="P258" s="174"/>
      <c r="Q258" s="174"/>
      <c r="R258" s="175"/>
      <c r="S258" s="173">
        <f>SUM(T258:X258)</f>
        <v>9867.1675692243916</v>
      </c>
      <c r="T258" s="174">
        <f>AL258*IF(H258="근접",AT258,IF(AV258=1,AT258,1))*AX258*IF(F258="백어택",1.2,1)</f>
        <v>3262.9172456914639</v>
      </c>
      <c r="U258" s="174">
        <f>IF(AX258=1,AM258*IF(H258="근접",AT258,IF(AV258=1,AT258,1)),0)*AY258*IF(AX258=1,1,0)*IF(F258="백어택",1.2,1)</f>
        <v>6604.2503235329277</v>
      </c>
      <c r="V258" s="174"/>
      <c r="W258" s="174"/>
      <c r="X258" s="175"/>
      <c r="Y258" s="173">
        <f>SUM(Z258:AD258)</f>
        <v>19734.335138448783</v>
      </c>
      <c r="Z258" s="174">
        <f>T258*$D$58/100</f>
        <v>6525.8344913829278</v>
      </c>
      <c r="AA258" s="174">
        <f>U258*$D$58/100</f>
        <v>13208.500647065855</v>
      </c>
      <c r="AB258" s="174"/>
      <c r="AC258" s="174"/>
      <c r="AD258" s="175"/>
      <c r="AE258" s="173">
        <f>(AO258*(1-$D$20/100)*(1-$D$17/100)-AR258)*IF(AW258="보스대상",1,POWER(0.85,AW258))</f>
        <v>14.484776131615998</v>
      </c>
      <c r="AF258" s="174">
        <f>AP258</f>
        <v>36</v>
      </c>
      <c r="AG258" s="174">
        <f>IF($D$57+AU258&gt;100,100,$D$57+AU258)</f>
        <v>59.001300000000001</v>
      </c>
      <c r="AH258" s="174">
        <f>AQ258</f>
        <v>521</v>
      </c>
      <c r="AI258" s="174">
        <f>$D$58</f>
        <v>200</v>
      </c>
      <c r="AJ258" s="174">
        <f>10*AS258/IF(AX258=1,IF(AY258=1,4.5,4),4)</f>
        <v>2.5</v>
      </c>
      <c r="AK258" s="174">
        <f>SUM(AL258:AN258)</f>
        <v>5464.3340202024392</v>
      </c>
      <c r="AL258" s="174">
        <f>IF(AV258=1,$D$61*(VLOOKUP(C258,$B$36:$AG$39,25,FALSE)+VLOOKUP(C258,$B$40:$AG$43,25,FALSE)*$D$54),(IF(H258="근접",$D$61*(VLOOKUP(C258,$B$36:$AG$39,25,FALSE)+VLOOKUP(C258,$B$40:$AG$43,25,FALSE)*$D$54),$D$60*(VLOOKUP(C258,$B$36:$AG$39,25,FALSE)+VLOOKUP(C258,$B$40:$AG$43,25,FALSE)*$D$54))))*$D$59/100</f>
        <v>3262.9172456914639</v>
      </c>
      <c r="AM258" s="174">
        <f>(IF(AV258=1,$D$61*(VLOOKUP(C258,$B$36:$AG$39,26,FALSE)+VLOOKUP(C258,$B$40:$AG$43,26,FALSE)*$D$54),IF(H258="근접",$D$61*(VLOOKUP(C258,$B$36:$AG$39,26,FALSE)+VLOOKUP(C258,$B$40:$AG$43,26,FALSE)*$D$54),$D$60*(VLOOKUP(C258,$B$36:$AG$39,26,FALSE)+VLOOKUP(C258,$B$40:$AG$43,26,FALSE)*$D$54))))*$D$59/100</f>
        <v>2201.4167745109758</v>
      </c>
      <c r="AN258" s="174"/>
      <c r="AO258" s="176">
        <v>24</v>
      </c>
      <c r="AP258" s="174">
        <v>36</v>
      </c>
      <c r="AQ258" s="175">
        <f>VLOOKUP(C258,$B$45:$AA$48,25,FALSE)</f>
        <v>521</v>
      </c>
      <c r="AR258" s="31">
        <f>IF(LEFT(E258,1)*1=1,$S$68,$R$68)</f>
        <v>4</v>
      </c>
      <c r="AS258" s="2">
        <f>IF(LEFT(E258,1)*1=2,$U$68,$T$68)</f>
        <v>1</v>
      </c>
      <c r="AT258" s="33">
        <f>IF(LEFT(E258,1)*1=3,$W$68,$V$68)</f>
        <v>1</v>
      </c>
      <c r="AU258" s="31">
        <f>IF(MID(E258,3,1)*1=1,$Y$68,$X$68)</f>
        <v>40</v>
      </c>
      <c r="AV258" s="2">
        <f>IF(MID(E258,3,1)*1=2,$AA$68,$Z$68)</f>
        <v>0</v>
      </c>
      <c r="AW258" s="33" t="str">
        <f>IF(MID(E258,3,1)*1=3,$AC$68,$AB$68)</f>
        <v>보스대상</v>
      </c>
      <c r="AX258" s="31">
        <f>IF(MID(E258,5,1)*1=1,$AE$68,$AD$68)</f>
        <v>1</v>
      </c>
      <c r="AY258" s="33">
        <f>IF(MID(E258,5,1)*1=2,$AG$68,$AF$68)</f>
        <v>3</v>
      </c>
      <c r="AZ258" s="2"/>
      <c r="BA258" s="101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 ht="12" customHeight="1">
      <c r="A259" s="2"/>
      <c r="B259" s="107">
        <v>229</v>
      </c>
      <c r="C259" s="31">
        <v>10</v>
      </c>
      <c r="D259" s="106" t="s">
        <v>13</v>
      </c>
      <c r="E259" s="2" t="s">
        <v>135</v>
      </c>
      <c r="F259" s="2"/>
      <c r="G259" s="2"/>
      <c r="H259" s="33"/>
      <c r="I259" s="173">
        <f>M259/AE259</f>
        <v>899.07742838525542</v>
      </c>
      <c r="J259" s="174">
        <f>AH259/AE259</f>
        <v>21.760166048861723</v>
      </c>
      <c r="K259" s="207">
        <f>RANK(I259,$I$76:$I$977)</f>
        <v>184</v>
      </c>
      <c r="L259" s="208">
        <f>RANK(I259,$I$76:$I$450)</f>
        <v>184</v>
      </c>
      <c r="M259" s="173">
        <f>SUM(N259:R259)</f>
        <v>21526.459822820201</v>
      </c>
      <c r="N259" s="174">
        <f>T259*(1+((AG259+IF(F259="백어택",8,0))/100)*((AI259/100-1)))</f>
        <v>14320.044080364311</v>
      </c>
      <c r="O259" s="174">
        <f>U259*(1+($D$57/100)*($D$58/100-1))</f>
        <v>7206.4157424558907</v>
      </c>
      <c r="P259" s="174"/>
      <c r="Q259" s="174"/>
      <c r="R259" s="175">
        <f>X259*(1+($D$57/100)*($D$58/100-1))</f>
        <v>0</v>
      </c>
      <c r="S259" s="173">
        <f>SUM(T259:X259)</f>
        <v>13234.339751153182</v>
      </c>
      <c r="T259" s="174">
        <f>AL259*AY259</f>
        <v>7178.5943580726944</v>
      </c>
      <c r="U259" s="174">
        <f>AM259*AU259*AW259</f>
        <v>6055.7453930804877</v>
      </c>
      <c r="V259" s="174"/>
      <c r="W259" s="174"/>
      <c r="X259" s="175">
        <f>IF(AU259=1,0,U259*0.625)</f>
        <v>0</v>
      </c>
      <c r="Y259" s="173">
        <f>SUM(Z259:AD259)</f>
        <v>26468.679502306364</v>
      </c>
      <c r="Z259" s="174">
        <f>T259*$D$58/100</f>
        <v>14357.188716145389</v>
      </c>
      <c r="AA259" s="174">
        <f>U259*$D$58/100</f>
        <v>12111.490786160975</v>
      </c>
      <c r="AB259" s="174"/>
      <c r="AC259" s="174"/>
      <c r="AD259" s="175">
        <f>X259*$D$58/100</f>
        <v>0</v>
      </c>
      <c r="AE259" s="173">
        <f>AO259*(1-$D$17/100)</f>
        <v>23.942831999999999</v>
      </c>
      <c r="AF259" s="174">
        <f>AP259</f>
        <v>36</v>
      </c>
      <c r="AG259" s="174">
        <f>IF($D$57+AT259&gt;100,100,$D$57+AT259)</f>
        <v>59.001300000000001</v>
      </c>
      <c r="AH259" s="174">
        <f>AQ259</f>
        <v>521</v>
      </c>
      <c r="AI259" s="174">
        <f>$D$58+$D$19</f>
        <v>268.61079999999998</v>
      </c>
      <c r="AJ259" s="174">
        <f>10/IF(AY259=1,2.5,2)</f>
        <v>5</v>
      </c>
      <c r="AK259" s="174">
        <f>SUM(AL259:AN259)</f>
        <v>8425.3120635121941</v>
      </c>
      <c r="AL259" s="174">
        <f>(VLOOKUP(C259,$B$36:$AG$39,17,FALSE)+VLOOKUP(C259,$B$40:$AG$43,17,FALSE)*$D$54)*$D$59/100</f>
        <v>5397.4393669719502</v>
      </c>
      <c r="AM259" s="174">
        <f>(VLOOKUP(C259,$B$36:$AG$39,18,FALSE)+VLOOKUP(C259,$B$40:$AG$43,18,FALSE)*$D$54)*$D$59/100</f>
        <v>3027.8726965402439</v>
      </c>
      <c r="AN259" s="174"/>
      <c r="AO259" s="176">
        <v>24</v>
      </c>
      <c r="AP259" s="174">
        <v>36</v>
      </c>
      <c r="AQ259" s="175">
        <f>VLOOKUP(C259,$B$45:$AA$48,17,FALSE)</f>
        <v>521</v>
      </c>
      <c r="AR259" s="31">
        <f>IF(LEFT(E259,1)*1=1,$S$63,$R$63)</f>
        <v>0</v>
      </c>
      <c r="AS259" s="2">
        <f>IF(LEFT(E259,1)*1=2,$U$63,$T$63)</f>
        <v>0</v>
      </c>
      <c r="AT259" s="33">
        <f>IF(LEFT(E259,1)*1=3,$W$63,$V$63)</f>
        <v>40</v>
      </c>
      <c r="AU259" s="31">
        <f>IF(MID(E259,3,1)*1=1,$Y$63,$X$63)</f>
        <v>1</v>
      </c>
      <c r="AV259" s="2">
        <f>IF(MID(E259,3,1)*1=2,$AA$63,$Z$63)</f>
        <v>0</v>
      </c>
      <c r="AW259" s="33">
        <f>IF(MID(E259,3,1)*1=3,$AC$63,$AB$63)</f>
        <v>2</v>
      </c>
      <c r="AX259" s="31">
        <f>IF(MID(E259,5,1)*1=1,$AE$63,$AD$63)</f>
        <v>0</v>
      </c>
      <c r="AY259" s="33">
        <f>IF(MID(E259,5,1)*1=2,$AG$63,$AF$63)</f>
        <v>1.33</v>
      </c>
      <c r="AZ259" s="2"/>
      <c r="BA259" s="101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 ht="12" customHeight="1">
      <c r="A260" s="2"/>
      <c r="B260" s="107">
        <v>485</v>
      </c>
      <c r="C260" s="31">
        <v>10</v>
      </c>
      <c r="D260" s="111" t="s">
        <v>14</v>
      </c>
      <c r="E260" s="2" t="s">
        <v>150</v>
      </c>
      <c r="F260" s="2"/>
      <c r="G260" s="2"/>
      <c r="H260" s="33" t="s">
        <v>81</v>
      </c>
      <c r="I260" s="173">
        <f>M260/AE260</f>
        <v>898.61588243980702</v>
      </c>
      <c r="J260" s="174">
        <f>AH260/AE260</f>
        <v>23.695174714659018</v>
      </c>
      <c r="K260" s="207">
        <f>RANK(I260,$I$76:$I$977)</f>
        <v>185</v>
      </c>
      <c r="L260" s="208" t="e">
        <f>RANK(I260,$I$451:$I$866)</f>
        <v>#N/A</v>
      </c>
      <c r="M260" s="173">
        <f>SUM(N260:R260)</f>
        <v>24916.070122821595</v>
      </c>
      <c r="N260" s="174">
        <f>T260*(1+((AG260+IF(F260="백어택",8,0))/100)*(AI260/100-1))</f>
        <v>4646.7132211855005</v>
      </c>
      <c r="O260" s="174">
        <f>U260*(1+((AG260+IF(F260="백어택",8,0))/100)*(AI260/100-1))</f>
        <v>4646.7132211855005</v>
      </c>
      <c r="P260" s="174">
        <f>V260*(1+((AG260+IF(F260="백어택",8,0))/100)*(AI260*IF(AX260=1,AW260,1)/100-1))</f>
        <v>6279.1173843924962</v>
      </c>
      <c r="Q260" s="174">
        <f>W260*(1+((AG260+IF(F260="백어택",8,0))/100)*(AI260*AW260/100-1))</f>
        <v>9343.5262960580985</v>
      </c>
      <c r="R260" s="175"/>
      <c r="S260" s="173">
        <f>SUM(T260:X260)</f>
        <v>19389.643599043902</v>
      </c>
      <c r="T260" s="174">
        <f>AL260*AY260*IF(F260="백어택",1.2,1)</f>
        <v>3616.0643641481706</v>
      </c>
      <c r="U260" s="174">
        <f>AM260*AY260*IF(F260="백어택",1.2,1)</f>
        <v>3616.0643641481706</v>
      </c>
      <c r="V260" s="174">
        <f>AN260*AY260*IF(F260="백어택",1.2,1)</f>
        <v>4886.3985211060972</v>
      </c>
      <c r="W260" s="174">
        <f>(T260+U260+V260)*IF(AX260=1,0,0.6)*IF(F260="백어택",1.2,1)</f>
        <v>7271.1163496414638</v>
      </c>
      <c r="X260" s="175"/>
      <c r="Y260" s="173">
        <f>SUM(Z260:AD260)</f>
        <v>48474.108997609757</v>
      </c>
      <c r="Z260" s="174">
        <f>T260*AI260/100</f>
        <v>9040.1609103704268</v>
      </c>
      <c r="AA260" s="174">
        <f>U260*AI260/100</f>
        <v>9040.1609103704268</v>
      </c>
      <c r="AB260" s="174">
        <f>V260*AI260*IF(AX260=1,AW260,1)/100</f>
        <v>12215.996302765243</v>
      </c>
      <c r="AC260" s="174">
        <f>W260*AI260*AW260/100</f>
        <v>18177.790874103659</v>
      </c>
      <c r="AD260" s="175"/>
      <c r="AE260" s="173">
        <f>AO260*(1-$D$20/100)*(1-$D$17/100)</f>
        <v>27.727164197424003</v>
      </c>
      <c r="AF260" s="174">
        <f>AP260</f>
        <v>36</v>
      </c>
      <c r="AG260" s="174">
        <f>IF($D$57+AU260&gt;100,100,$D$57+AU260)</f>
        <v>19.001300000000001</v>
      </c>
      <c r="AH260" s="174">
        <f>AQ260*AS260</f>
        <v>657</v>
      </c>
      <c r="AI260" s="174">
        <f>$D$58+IF(H260="근접",AR260,0)+IF(AY260=1,0,50)</f>
        <v>250</v>
      </c>
      <c r="AJ260" s="174">
        <f>10/3</f>
        <v>3.3333333333333335</v>
      </c>
      <c r="AK260" s="174">
        <f>SUM(AL260:AN260)</f>
        <v>12118.527249402439</v>
      </c>
      <c r="AL260" s="174">
        <f>(IF(H260="근접",$D$61*(VLOOKUP(C260,$B$36:$AG$39,19,FALSE)+VLOOKUP(C260,$B$40:$AG$43,19,FALSE)*$D$54),$D$60*(VLOOKUP(C260,$B$36:$AG$39,19,FALSE)+VLOOKUP(C260,$B$40:$AG$43,19,FALSE)*$D$54)))*$D$59/100</f>
        <v>3616.0643641481706</v>
      </c>
      <c r="AM260" s="174">
        <f>(IF(H260="근접",$D$61*(VLOOKUP(C260,$B$36:$AG$39,20,FALSE)+VLOOKUP(C260,$B$40:$AG$43,20,FALSE)*$D$54),$D$60*(VLOOKUP(C260,$B$36:$AG$39,20,FALSE)+VLOOKUP(C260,$B$40:$AG$43,20,FALSE)*$D$54)))*$D$59/100</f>
        <v>3616.0643641481706</v>
      </c>
      <c r="AN260" s="174">
        <f>(IF(H260="근접",$D$61*(VLOOKUP(C260,$B$36:$AG$39,21,FALSE)+VLOOKUP(C260,$B$40:$AG$43,21,FALSE)*$D$54),$D$60*(VLOOKUP(C260,$B$36:$AG$39,21,FALSE)+VLOOKUP(C260,$B$40:$AG$43,21,FALSE)*$D$54)))*$D$59/100</f>
        <v>4886.3985211060972</v>
      </c>
      <c r="AO260" s="176">
        <v>36</v>
      </c>
      <c r="AP260" s="174">
        <v>36</v>
      </c>
      <c r="AQ260" s="175">
        <f>VLOOKUP(C260,$B$45:$AA$48,19,FALSE)</f>
        <v>657</v>
      </c>
      <c r="AR260" s="31">
        <f>IF(LEFT(E260,1)*1=1,$S$64,$R$64)</f>
        <v>50</v>
      </c>
      <c r="AS260" s="2">
        <f>IF(LEFT(E260,1)*1=2,$U$64,$T$64)</f>
        <v>1</v>
      </c>
      <c r="AT260" s="33">
        <f>IF(LEFT(E260,1)*1=3,$W$64,$V$64)</f>
        <v>0</v>
      </c>
      <c r="AU260" s="31">
        <f>IF(MID(E260,3,1)*1=1,$Y$64,$X$64)</f>
        <v>0</v>
      </c>
      <c r="AV260" s="2">
        <f>IF(MID(E260,3,1)*1=2,$AA$64,$Z$64)</f>
        <v>0</v>
      </c>
      <c r="AW260" s="33">
        <f>IF(MID(E260,3,1)*1=3,$AC$64,$AB$64)</f>
        <v>1</v>
      </c>
      <c r="AX260" s="31">
        <f>IF(MID(E260,5,1)*1=1,$AE$64,$AD$64)</f>
        <v>0.6</v>
      </c>
      <c r="AY260" s="33">
        <f>IF(MID(E260,5,1)*1=2,$AG$64,$AF$64)</f>
        <v>1</v>
      </c>
      <c r="AZ260" s="2"/>
      <c r="BA260" s="101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 ht="12" customHeight="1">
      <c r="A261" s="2"/>
      <c r="B261" s="107">
        <v>711</v>
      </c>
      <c r="C261" s="31">
        <v>10</v>
      </c>
      <c r="D261" s="111" t="s">
        <v>18</v>
      </c>
      <c r="E261" s="2" t="s">
        <v>170</v>
      </c>
      <c r="F261" s="2" t="s">
        <v>149</v>
      </c>
      <c r="G261" s="2"/>
      <c r="H261" s="33" t="s">
        <v>80</v>
      </c>
      <c r="I261" s="173">
        <f>M261/AE261</f>
        <v>898.24823752368513</v>
      </c>
      <c r="J261" s="174">
        <f>AH261/AE261</f>
        <v>28.185356224514496</v>
      </c>
      <c r="K261" s="207">
        <f>RANK(I261,$I$76:$I$977)</f>
        <v>186</v>
      </c>
      <c r="L261" s="208" t="e">
        <f>RANK(I261,$I$451:$I$866)</f>
        <v>#N/A</v>
      </c>
      <c r="M261" s="173">
        <f>SUM(N261:R261)</f>
        <v>16603.917581243953</v>
      </c>
      <c r="N261" s="174">
        <f>T261*(1+((AG261+IF(F261="백어택",8,0))/100)*(AI261/100-1))</f>
        <v>6538.9370618747262</v>
      </c>
      <c r="O261" s="174">
        <f>U261*(1+(($D$57+IF(F261="백어택",8,0))/100)*(AI261/100-1))</f>
        <v>10064.980519369228</v>
      </c>
      <c r="P261" s="174"/>
      <c r="Q261" s="174"/>
      <c r="R261" s="175"/>
      <c r="S261" s="173">
        <f>SUM(T261:X261)</f>
        <v>11840.601083069268</v>
      </c>
      <c r="T261" s="174">
        <f>AL261*IF(H261="근접",AT261,IF(AV261=1,AT261,1))*AX261*IF(F261="백어택",1.2,1)</f>
        <v>3915.5006948297564</v>
      </c>
      <c r="U261" s="174">
        <f>IF(AX261=1,AM261*IF(H261="근접",AT261,IF(AV261=1,AT261,1)),0)*AY261*IF(AX261=1,1,0)*IF(F261="백어택",1.2,1)</f>
        <v>7925.1003882395125</v>
      </c>
      <c r="V261" s="174"/>
      <c r="W261" s="174"/>
      <c r="X261" s="175"/>
      <c r="Y261" s="173">
        <f>SUM(Z261:AD261)</f>
        <v>23681.202166138537</v>
      </c>
      <c r="Z261" s="174">
        <f>T261*$D$58/100</f>
        <v>7831.0013896595128</v>
      </c>
      <c r="AA261" s="174">
        <f>U261*$D$58/100</f>
        <v>15850.200776479025</v>
      </c>
      <c r="AB261" s="174"/>
      <c r="AC261" s="174"/>
      <c r="AD261" s="175"/>
      <c r="AE261" s="173">
        <f>(AO261*(1-$D$20/100)*(1-$D$17/100)-AR261)*IF(AW261="보스대상",1,POWER(0.85,AW261))</f>
        <v>18.484776131615998</v>
      </c>
      <c r="AF261" s="174">
        <f>AP261</f>
        <v>36</v>
      </c>
      <c r="AG261" s="174">
        <f>IF($D$57+AU261&gt;100,100,$D$57+AU261)</f>
        <v>59.001300000000001</v>
      </c>
      <c r="AH261" s="174">
        <f>AQ261</f>
        <v>521</v>
      </c>
      <c r="AI261" s="174">
        <f>$D$58</f>
        <v>200</v>
      </c>
      <c r="AJ261" s="174">
        <f>10*AS261/IF(AX261=1,IF(AY261=1,4.5,4),4)</f>
        <v>2</v>
      </c>
      <c r="AK261" s="174">
        <f>SUM(AL261:AN261)</f>
        <v>5464.3340202024392</v>
      </c>
      <c r="AL261" s="174">
        <f>IF(AV261=1,$D$61*(VLOOKUP(C261,$B$36:$AG$39,25,FALSE)+VLOOKUP(C261,$B$40:$AG$43,25,FALSE)*$D$54),(IF(H261="근접",$D$61*(VLOOKUP(C261,$B$36:$AG$39,25,FALSE)+VLOOKUP(C261,$B$40:$AG$43,25,FALSE)*$D$54),$D$60*(VLOOKUP(C261,$B$36:$AG$39,25,FALSE)+VLOOKUP(C261,$B$40:$AG$43,25,FALSE)*$D$54))))*$D$59/100</f>
        <v>3262.9172456914639</v>
      </c>
      <c r="AM261" s="174">
        <f>(IF(AV261=1,$D$61*(VLOOKUP(C261,$B$36:$AG$39,26,FALSE)+VLOOKUP(C261,$B$40:$AG$43,26,FALSE)*$D$54),IF(H261="근접",$D$61*(VLOOKUP(C261,$B$36:$AG$39,26,FALSE)+VLOOKUP(C261,$B$40:$AG$43,26,FALSE)*$D$54),$D$60*(VLOOKUP(C261,$B$36:$AG$39,26,FALSE)+VLOOKUP(C261,$B$40:$AG$43,26,FALSE)*$D$54))))*$D$59/100</f>
        <v>2201.4167745109758</v>
      </c>
      <c r="AN261" s="174"/>
      <c r="AO261" s="176">
        <v>24</v>
      </c>
      <c r="AP261" s="174">
        <v>36</v>
      </c>
      <c r="AQ261" s="175">
        <f>VLOOKUP(C261,$B$45:$AA$48,25,FALSE)</f>
        <v>521</v>
      </c>
      <c r="AR261" s="31">
        <f>IF(LEFT(E261,1)*1=1,$S$68,$R$68)</f>
        <v>0</v>
      </c>
      <c r="AS261" s="2">
        <f>IF(LEFT(E261,1)*1=2,$U$68,$T$68)</f>
        <v>0.8</v>
      </c>
      <c r="AT261" s="33">
        <f>IF(LEFT(E261,1)*1=3,$W$68,$V$68)</f>
        <v>1</v>
      </c>
      <c r="AU261" s="31">
        <f>IF(MID(E261,3,1)*1=1,$Y$68,$X$68)</f>
        <v>40</v>
      </c>
      <c r="AV261" s="2">
        <f>IF(MID(E261,3,1)*1=2,$AA$68,$Z$68)</f>
        <v>0</v>
      </c>
      <c r="AW261" s="33" t="str">
        <f>IF(MID(E261,3,1)*1=3,$AC$68,$AB$68)</f>
        <v>보스대상</v>
      </c>
      <c r="AX261" s="31">
        <f>IF(MID(E261,5,1)*1=1,$AE$68,$AD$68)</f>
        <v>1</v>
      </c>
      <c r="AY261" s="33">
        <f>IF(MID(E261,5,1)*1=2,$AG$68,$AF$68)</f>
        <v>3</v>
      </c>
      <c r="AZ261" s="2"/>
      <c r="BA261" s="101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 ht="12" customHeight="1">
      <c r="A262" s="2"/>
      <c r="B262" s="107">
        <v>714</v>
      </c>
      <c r="C262" s="31">
        <v>10</v>
      </c>
      <c r="D262" s="111" t="s">
        <v>18</v>
      </c>
      <c r="E262" s="2" t="s">
        <v>145</v>
      </c>
      <c r="F262" s="2" t="s">
        <v>149</v>
      </c>
      <c r="G262" s="2"/>
      <c r="H262" s="33" t="s">
        <v>80</v>
      </c>
      <c r="I262" s="173">
        <f>M262/AE262</f>
        <v>898.24823752368513</v>
      </c>
      <c r="J262" s="174">
        <f>AH262/AE262</f>
        <v>28.185356224514496</v>
      </c>
      <c r="K262" s="207">
        <f>RANK(I262,$I$76:$I$977)</f>
        <v>186</v>
      </c>
      <c r="L262" s="208" t="e">
        <f>RANK(I262,$I$451:$I$866)</f>
        <v>#N/A</v>
      </c>
      <c r="M262" s="173">
        <f>SUM(N262:R262)</f>
        <v>16603.917581243953</v>
      </c>
      <c r="N262" s="174">
        <f>T262*(1+((AG262+IF(F262="백어택",8,0))/100)*(AI262/100-1))</f>
        <v>6538.9370618747262</v>
      </c>
      <c r="O262" s="174">
        <f>U262*(1+(($D$57+IF(F262="백어택",8,0))/100)*(AI262/100-1))</f>
        <v>10064.980519369228</v>
      </c>
      <c r="P262" s="174"/>
      <c r="Q262" s="174"/>
      <c r="R262" s="175"/>
      <c r="S262" s="173">
        <f>SUM(T262:X262)</f>
        <v>11840.601083069268</v>
      </c>
      <c r="T262" s="174">
        <f>AL262*IF(H262="근접",AT262,IF(AV262=1,AT262,1))*AX262*IF(F262="백어택",1.2,1)</f>
        <v>3915.5006948297564</v>
      </c>
      <c r="U262" s="174">
        <f>IF(AX262=1,AM262*IF(H262="근접",AT262,IF(AV262=1,AT262,1)),0)*AY262*IF(AX262=1,1,0)*IF(F262="백어택",1.2,1)</f>
        <v>7925.1003882395125</v>
      </c>
      <c r="V262" s="174"/>
      <c r="W262" s="174"/>
      <c r="X262" s="175"/>
      <c r="Y262" s="173">
        <f>SUM(Z262:AD262)</f>
        <v>23681.202166138537</v>
      </c>
      <c r="Z262" s="174">
        <f>T262*$D$58/100</f>
        <v>7831.0013896595128</v>
      </c>
      <c r="AA262" s="174">
        <f>U262*$D$58/100</f>
        <v>15850.200776479025</v>
      </c>
      <c r="AB262" s="174"/>
      <c r="AC262" s="174"/>
      <c r="AD262" s="175"/>
      <c r="AE262" s="173">
        <f>(AO262*(1-$D$20/100)*(1-$D$17/100)-AR262)*IF(AW262="보스대상",1,POWER(0.85,AW262))</f>
        <v>18.484776131615998</v>
      </c>
      <c r="AF262" s="174">
        <f>AP262</f>
        <v>36</v>
      </c>
      <c r="AG262" s="174">
        <f>IF($D$57+AU262&gt;100,100,$D$57+AU262)</f>
        <v>59.001300000000001</v>
      </c>
      <c r="AH262" s="174">
        <f>AQ262</f>
        <v>521</v>
      </c>
      <c r="AI262" s="174">
        <f>$D$58</f>
        <v>200</v>
      </c>
      <c r="AJ262" s="174">
        <f>10*AS262/IF(AX262=1,IF(AY262=1,4.5,4),4)</f>
        <v>2.5</v>
      </c>
      <c r="AK262" s="174">
        <f>SUM(AL262:AN262)</f>
        <v>5464.3340202024392</v>
      </c>
      <c r="AL262" s="174">
        <f>IF(AV262=1,$D$61*(VLOOKUP(C262,$B$36:$AG$39,25,FALSE)+VLOOKUP(C262,$B$40:$AG$43,25,FALSE)*$D$54),(IF(H262="근접",$D$61*(VLOOKUP(C262,$B$36:$AG$39,25,FALSE)+VLOOKUP(C262,$B$40:$AG$43,25,FALSE)*$D$54),$D$60*(VLOOKUP(C262,$B$36:$AG$39,25,FALSE)+VLOOKUP(C262,$B$40:$AG$43,25,FALSE)*$D$54))))*$D$59/100</f>
        <v>3262.9172456914639</v>
      </c>
      <c r="AM262" s="174">
        <f>(IF(AV262=1,$D$61*(VLOOKUP(C262,$B$36:$AG$39,26,FALSE)+VLOOKUP(C262,$B$40:$AG$43,26,FALSE)*$D$54),IF(H262="근접",$D$61*(VLOOKUP(C262,$B$36:$AG$39,26,FALSE)+VLOOKUP(C262,$B$40:$AG$43,26,FALSE)*$D$54),$D$60*(VLOOKUP(C262,$B$36:$AG$39,26,FALSE)+VLOOKUP(C262,$B$40:$AG$43,26,FALSE)*$D$54))))*$D$59/100</f>
        <v>2201.4167745109758</v>
      </c>
      <c r="AN262" s="174"/>
      <c r="AO262" s="176">
        <v>24</v>
      </c>
      <c r="AP262" s="174">
        <v>36</v>
      </c>
      <c r="AQ262" s="175">
        <f>VLOOKUP(C262,$B$45:$AA$48,25,FALSE)</f>
        <v>521</v>
      </c>
      <c r="AR262" s="31">
        <f>IF(LEFT(E262,1)*1=1,$S$68,$R$68)</f>
        <v>0</v>
      </c>
      <c r="AS262" s="2">
        <f>IF(LEFT(E262,1)*1=2,$U$68,$T$68)</f>
        <v>1</v>
      </c>
      <c r="AT262" s="33">
        <f>IF(LEFT(E262,1)*1=3,$W$68,$V$68)</f>
        <v>1.2</v>
      </c>
      <c r="AU262" s="31">
        <f>IF(MID(E262,3,1)*1=1,$Y$68,$X$68)</f>
        <v>40</v>
      </c>
      <c r="AV262" s="2">
        <f>IF(MID(E262,3,1)*1=2,$AA$68,$Z$68)</f>
        <v>0</v>
      </c>
      <c r="AW262" s="33" t="str">
        <f>IF(MID(E262,3,1)*1=3,$AC$68,$AB$68)</f>
        <v>보스대상</v>
      </c>
      <c r="AX262" s="31">
        <f>IF(MID(E262,5,1)*1=1,$AE$68,$AD$68)</f>
        <v>1</v>
      </c>
      <c r="AY262" s="33">
        <f>IF(MID(E262,5,1)*1=2,$AG$68,$AF$68)</f>
        <v>3</v>
      </c>
      <c r="AZ262" s="2"/>
      <c r="BA262" s="101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 ht="12" customHeight="1">
      <c r="A263" s="2"/>
      <c r="B263" s="107">
        <v>50</v>
      </c>
      <c r="C263" s="31">
        <v>10</v>
      </c>
      <c r="D263" s="106" t="s">
        <v>4</v>
      </c>
      <c r="E263" s="2" t="s">
        <v>135</v>
      </c>
      <c r="F263" s="2" t="s">
        <v>149</v>
      </c>
      <c r="G263" s="2" t="s">
        <v>143</v>
      </c>
      <c r="H263" s="33"/>
      <c r="I263" s="173">
        <f>M263/AE263</f>
        <v>894.73990404740562</v>
      </c>
      <c r="J263" s="174">
        <f>AH263/AE263</f>
        <v>29.152775243964456</v>
      </c>
      <c r="K263" s="207">
        <f>RANK(I263,$I$76:$I$977)</f>
        <v>188</v>
      </c>
      <c r="L263" s="208">
        <f>RANK(I263,$I$76:$I$450)</f>
        <v>188</v>
      </c>
      <c r="M263" s="173">
        <f>SUM(N263:R263)</f>
        <v>10711.303603151577</v>
      </c>
      <c r="N263" s="174">
        <f>T263*(1+((AG263+IF(F263="백어택",8,0))/100)*((AI263/100-1)))</f>
        <v>1441.0964680999632</v>
      </c>
      <c r="O263" s="174">
        <f>U263*(1+((AG263+IF(F263="백어택",8,0))/100)*(AI263/100-1))</f>
        <v>9270.2071350516144</v>
      </c>
      <c r="P263" s="174"/>
      <c r="Q263" s="174"/>
      <c r="R263" s="175"/>
      <c r="S263" s="173">
        <f>SUM(T263:X263)</f>
        <v>7360.3493910827565</v>
      </c>
      <c r="T263" s="174">
        <f>AT263*AL263*IF(F263="백어택",1.2,1)</f>
        <v>990.25981378682934</v>
      </c>
      <c r="U263" s="174">
        <f>AM263*AW263*AX263*AY263*IF(F263="백어택",1.2,1)</f>
        <v>6370.0895772959275</v>
      </c>
      <c r="V263" s="174"/>
      <c r="W263" s="174"/>
      <c r="X263" s="175"/>
      <c r="Y263" s="173">
        <f>SUM(Z263:AD263)</f>
        <v>14720.698782165515</v>
      </c>
      <c r="Z263" s="174">
        <f>T263*$D$58/100</f>
        <v>1980.5196275736587</v>
      </c>
      <c r="AA263" s="174">
        <f>U263*$D$58/100</f>
        <v>12740.179154591857</v>
      </c>
      <c r="AB263" s="174"/>
      <c r="AC263" s="174"/>
      <c r="AD263" s="175"/>
      <c r="AE263" s="173">
        <f>AO263*(1-$D$17/100)</f>
        <v>11.971416</v>
      </c>
      <c r="AF263" s="174">
        <f>AP263</f>
        <v>36</v>
      </c>
      <c r="AG263" s="174">
        <f>IF($D$57&gt;100,100,$D$57)</f>
        <v>19.001300000000001</v>
      </c>
      <c r="AH263" s="174">
        <f>AQ263</f>
        <v>349</v>
      </c>
      <c r="AI263" s="174">
        <f>$D$58+$D$19</f>
        <v>268.61079999999998</v>
      </c>
      <c r="AJ263" s="174">
        <f>10/IF(AY263=1,5,4)</f>
        <v>2.5</v>
      </c>
      <c r="AK263" s="174">
        <f>SUM(AL263:AN263)</f>
        <v>2748.2428838829269</v>
      </c>
      <c r="AL263" s="174">
        <f>(VLOOKUP(C263,$B$36:$AG$39,4,FALSE)+VLOOKUP(C263,$B$40:$AG$43,4,FALSE)*$D$54)*$D$59/100</f>
        <v>550.14434099268294</v>
      </c>
      <c r="AM263" s="174">
        <f>(VLOOKUP(C263,$B$36:$AG$39,5,FALSE)+VLOOKUP(C263,$B$40:$AG$43,5,FALSE)*$D$54)*$D$59/100</f>
        <v>2198.0985428902441</v>
      </c>
      <c r="AN263" s="174"/>
      <c r="AO263" s="176">
        <v>12</v>
      </c>
      <c r="AP263" s="174">
        <v>36</v>
      </c>
      <c r="AQ263" s="175">
        <f>VLOOKUP(C263,$B$45:$AA$48,4,FALSE)</f>
        <v>349</v>
      </c>
      <c r="AR263" s="31">
        <f>IF(LEFT(E263,1)*1=1,$S$54,$R$54)</f>
        <v>0</v>
      </c>
      <c r="AS263" s="2">
        <f>IF(LEFT(E263,1)*1=2,$U$54,$T$54)</f>
        <v>0</v>
      </c>
      <c r="AT263" s="33">
        <f>IF(LEFT(E263,1)*1=3,$W$54,$V$54)</f>
        <v>1.5</v>
      </c>
      <c r="AU263" s="31">
        <f>IF(MID(E263,3,1)*1=1,$Y$54,$X$54)</f>
        <v>0</v>
      </c>
      <c r="AV263" s="2">
        <f>IF(MID(E263,3,1)*1=2,$AA$54,$Z$54)</f>
        <v>0</v>
      </c>
      <c r="AW263" s="33">
        <f>IF(MID(E263,3,1)*1=3,$AC$54,$AB$54)</f>
        <v>1.4</v>
      </c>
      <c r="AX263" s="31">
        <f>IF(MID(E263,5,1)*1=1,$AE$54,$AD$54)</f>
        <v>1</v>
      </c>
      <c r="AY263" s="33">
        <f>IF(MID(E263,5,1)*1=2,$AG$54,$AF$54)</f>
        <v>1.7250000000000001</v>
      </c>
      <c r="AZ263" s="2"/>
      <c r="BA263" s="101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 ht="12" customHeight="1">
      <c r="A264" s="2"/>
      <c r="B264" s="107">
        <v>102</v>
      </c>
      <c r="C264" s="31">
        <v>10</v>
      </c>
      <c r="D264" s="106" t="s">
        <v>6</v>
      </c>
      <c r="E264" s="2" t="s">
        <v>147</v>
      </c>
      <c r="F264" s="2"/>
      <c r="G264" s="2" t="s">
        <v>86</v>
      </c>
      <c r="H264" s="33"/>
      <c r="I264" s="173">
        <f>M264/AE264</f>
        <v>894.15872975043976</v>
      </c>
      <c r="J264" s="174">
        <f>AH264/AE264</f>
        <v>23.505991271208018</v>
      </c>
      <c r="K264" s="207">
        <f>RANK(I264,$I$76:$I$977)</f>
        <v>189</v>
      </c>
      <c r="L264" s="208">
        <f>RANK(I264,$I$76:$I$450)</f>
        <v>189</v>
      </c>
      <c r="M264" s="173">
        <f>SUM(N264:R264)</f>
        <v>17840.576873123482</v>
      </c>
      <c r="N264" s="174">
        <f>T264*(1+((AG264+IF(F264="백어택",8,0))/100)*((AI264/100-1)))</f>
        <v>17840.576873123482</v>
      </c>
      <c r="O264" s="174"/>
      <c r="P264" s="174"/>
      <c r="Q264" s="174"/>
      <c r="R264" s="175"/>
      <c r="S264" s="173">
        <f>SUM(T264:X264)</f>
        <v>13511.673845932426</v>
      </c>
      <c r="T264" s="174">
        <f>AL264*AW264*AT264*AX264*AY264</f>
        <v>13511.673845932426</v>
      </c>
      <c r="U264" s="174"/>
      <c r="V264" s="174"/>
      <c r="W264" s="174"/>
      <c r="X264" s="175"/>
      <c r="Y264" s="173">
        <f>SUM(Z264:AD264)</f>
        <v>27023.347691864852</v>
      </c>
      <c r="Z264" s="174">
        <f>T264*$D$58/100</f>
        <v>27023.347691864852</v>
      </c>
      <c r="AA264" s="174"/>
      <c r="AB264" s="174"/>
      <c r="AC264" s="174"/>
      <c r="AD264" s="175"/>
      <c r="AE264" s="173">
        <f>AO264*(1-$D$17/100)</f>
        <v>19.952359999999999</v>
      </c>
      <c r="AF264" s="174">
        <f>AP264</f>
        <v>36</v>
      </c>
      <c r="AG264" s="174">
        <f>IF($D$57+AV264&gt;100,100,$D$57+AV264)</f>
        <v>19.001300000000001</v>
      </c>
      <c r="AH264" s="174">
        <f>AQ264*AR264</f>
        <v>469</v>
      </c>
      <c r="AI264" s="174">
        <f>$D$58+$D$19</f>
        <v>268.61079999999998</v>
      </c>
      <c r="AJ264" s="174">
        <f>10/IF(AX264=1,IF(AY264=1,5,6),4)</f>
        <v>2.5</v>
      </c>
      <c r="AK264" s="174">
        <f>SUM(AL264:AN264)</f>
        <v>5675.2662323304885</v>
      </c>
      <c r="AL264" s="174">
        <f>(VLOOKUP(C264,$B$36:$AG$39,7,FALSE)+VLOOKUP(C264,$B$40:$AG$43,7,FALSE)*$D$54)*$D$59/100</f>
        <v>5675.2662323304885</v>
      </c>
      <c r="AM264" s="174"/>
      <c r="AN264" s="174"/>
      <c r="AO264" s="176">
        <v>20</v>
      </c>
      <c r="AP264" s="174">
        <v>36</v>
      </c>
      <c r="AQ264" s="175">
        <f>VLOOKUP(C264,$B$45:$AA$48,7,FALSE)</f>
        <v>469</v>
      </c>
      <c r="AR264" s="31">
        <f>IF(LEFT(E264,1)*1=1,$S$56,$R$56)</f>
        <v>1</v>
      </c>
      <c r="AS264" s="2">
        <f>IF(LEFT(E264,1)*1=2,$U$56,$T$56)</f>
        <v>0</v>
      </c>
      <c r="AT264" s="33">
        <f>IF(LEFT(E264,1)*1=3,$W$56,$V$56)</f>
        <v>1.2</v>
      </c>
      <c r="AU264" s="31">
        <f>IF(MID(E264,3,1)*1=1,$Y$56,$X$56)</f>
        <v>0</v>
      </c>
      <c r="AV264" s="2">
        <f>IF(MID(E264,3,1)*1=2,$AA$56,$Z$56)</f>
        <v>0</v>
      </c>
      <c r="AW264" s="33">
        <f>IF(MID(E264,3,1)*1=3,$AC$56,$AB$56)</f>
        <v>1.24</v>
      </c>
      <c r="AX264" s="31">
        <f>IF(MID(E264,5,1)*1=1,$AE$56,$AD$56)</f>
        <v>1.6</v>
      </c>
      <c r="AY264" s="33">
        <f>IF(MID(E264,5,1)*1=2,$AG$56,$AF$56)</f>
        <v>1</v>
      </c>
      <c r="AZ264" s="2"/>
      <c r="BA264" s="101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 ht="12" customHeight="1">
      <c r="A265" s="2"/>
      <c r="B265" s="107">
        <v>746</v>
      </c>
      <c r="C265" s="31">
        <v>10</v>
      </c>
      <c r="D265" s="111" t="s">
        <v>21</v>
      </c>
      <c r="E265" s="2" t="s">
        <v>170</v>
      </c>
      <c r="F265" s="2"/>
      <c r="G265" s="2"/>
      <c r="H265" s="33"/>
      <c r="I265" s="173">
        <f>M265/AE265</f>
        <v>894.03760524824168</v>
      </c>
      <c r="J265" s="174">
        <f>AH265/AE265</f>
        <v>23.695174714659018</v>
      </c>
      <c r="K265" s="207">
        <f>RANK(I265,$I$76:$I$977)</f>
        <v>190</v>
      </c>
      <c r="L265" s="208" t="e">
        <f>RANK(I265,$I$451:$I$866)</f>
        <v>#N/A</v>
      </c>
      <c r="M265" s="173">
        <f>SUM(N265:R265)</f>
        <v>24789.127479389739</v>
      </c>
      <c r="N265" s="174">
        <f>T265*(1+((AG265+IF(F265="백어택",8,0))/100)*(AI265/100-1))</f>
        <v>18886.954270011229</v>
      </c>
      <c r="O265" s="174"/>
      <c r="P265" s="174"/>
      <c r="Q265" s="174"/>
      <c r="R265" s="175">
        <f>X265*(1+(AG265/100)*(AI265/100-1))</f>
        <v>5902.1732093785085</v>
      </c>
      <c r="S265" s="173">
        <f>SUM(T265:X265)</f>
        <v>20830.971997272078</v>
      </c>
      <c r="T265" s="174">
        <f>AL265*AW265*AX265*AY265*IF(F265="백어택",1.2,1)</f>
        <v>15871.216759826346</v>
      </c>
      <c r="U265" s="174"/>
      <c r="V265" s="174"/>
      <c r="W265" s="174"/>
      <c r="X265" s="175">
        <f>AL265*AS265+IF(AX265=1,AL265*AU265,AL265*AU265*2)</f>
        <v>4959.7552374457327</v>
      </c>
      <c r="Y265" s="173">
        <f>SUM(Z265:AD265)</f>
        <v>41661.943994544155</v>
      </c>
      <c r="Z265" s="174">
        <f>T265*$D$58/100</f>
        <v>31742.433519652692</v>
      </c>
      <c r="AA265" s="174"/>
      <c r="AB265" s="174"/>
      <c r="AC265" s="174"/>
      <c r="AD265" s="175">
        <f>X265*$D$58/100</f>
        <v>9919.5104748914655</v>
      </c>
      <c r="AE265" s="173">
        <f>AO265*(1-$D$20/100)*(1-$D$17/100)-AR265</f>
        <v>27.727164197424003</v>
      </c>
      <c r="AF265" s="174">
        <f>AP265</f>
        <v>36</v>
      </c>
      <c r="AG265" s="174">
        <f>IF($D$57&gt;100,100,$D$57)</f>
        <v>19.001300000000001</v>
      </c>
      <c r="AH265" s="174">
        <f>AQ265</f>
        <v>657</v>
      </c>
      <c r="AI265" s="174">
        <f>$D$58</f>
        <v>200</v>
      </c>
      <c r="AJ265" s="174">
        <f>10/6</f>
        <v>1.6666666666666667</v>
      </c>
      <c r="AK265" s="174">
        <f>SUM(AL265:AN265)</f>
        <v>9919.5104748914655</v>
      </c>
      <c r="AL265" s="174">
        <f>(VLOOKUP(C265,$B$36:$AG$39,31,FALSE)+VLOOKUP(C265,$B$40:$AG$43,31,FALSE)*$D$54)*$D$59/100</f>
        <v>9919.5104748914655</v>
      </c>
      <c r="AM265" s="174"/>
      <c r="AN265" s="174"/>
      <c r="AO265" s="176">
        <v>36</v>
      </c>
      <c r="AP265" s="174">
        <v>36</v>
      </c>
      <c r="AQ265" s="175">
        <f>VLOOKUP(C265,$B$45:$AG$48,31,FALSE)</f>
        <v>657</v>
      </c>
      <c r="AR265" s="31">
        <f>IF(LEFT(E265,1)*1=1,$S$71,$R$71)</f>
        <v>0</v>
      </c>
      <c r="AS265" s="2">
        <f>IF(LEFT(E265,1)*1=2,$U$71,$T$71)</f>
        <v>0.2</v>
      </c>
      <c r="AT265" s="33">
        <f>IF(LEFT(E265,1)*1=3,$W$71,$V$71)</f>
        <v>0</v>
      </c>
      <c r="AU265" s="31">
        <f>IF(MID(E265,3,1)*1=1,$Y$71,$X$71)</f>
        <v>0.3</v>
      </c>
      <c r="AV265" s="2">
        <f>IF(MID(E265,3,1)*1=2,$AA$71,$Z$71)</f>
        <v>0</v>
      </c>
      <c r="AW265" s="33">
        <f>IF(MID(E265,3,1)*1=3,$AC$71,$AB$71)</f>
        <v>1</v>
      </c>
      <c r="AX265" s="31">
        <f>IF(MID(E265,5,1)*1=1,$AE$71,$AD$71)</f>
        <v>1</v>
      </c>
      <c r="AY265" s="33">
        <f>IF(MID(E265,5,1)*1=2,$AG$71,$AF$71)</f>
        <v>1.6</v>
      </c>
      <c r="AZ265" s="2"/>
      <c r="BA265" s="101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 ht="12" customHeight="1">
      <c r="A266" s="2"/>
      <c r="B266" s="107">
        <v>732</v>
      </c>
      <c r="C266" s="31">
        <v>10</v>
      </c>
      <c r="D266" s="111" t="s">
        <v>21</v>
      </c>
      <c r="E266" s="2" t="s">
        <v>141</v>
      </c>
      <c r="F266" s="2"/>
      <c r="G266" s="2" t="s">
        <v>177</v>
      </c>
      <c r="H266" s="33"/>
      <c r="I266" s="173">
        <f>M266/AE266</f>
        <v>894.03760524824133</v>
      </c>
      <c r="J266" s="174">
        <f>AH266/AE266</f>
        <v>23.695174714659018</v>
      </c>
      <c r="K266" s="207">
        <f>RANK(I266,$I$76:$I$977)</f>
        <v>191</v>
      </c>
      <c r="L266" s="208" t="e">
        <f>RANK(I266,$I$451:$I$866)</f>
        <v>#N/A</v>
      </c>
      <c r="M266" s="173">
        <f>SUM(N266:R266)</f>
        <v>24789.127479389732</v>
      </c>
      <c r="N266" s="174">
        <f>T266*(1+((AG266+IF(F266="백어택",8,0))/100)*(AI266/100-1))</f>
        <v>24789.127479389732</v>
      </c>
      <c r="O266" s="174"/>
      <c r="P266" s="174"/>
      <c r="Q266" s="174"/>
      <c r="R266" s="175">
        <f>X266*(1+(AG266/100)*(AI266/100-1))</f>
        <v>0</v>
      </c>
      <c r="S266" s="173">
        <f>SUM(T266:X266)</f>
        <v>20830.971997272074</v>
      </c>
      <c r="T266" s="174">
        <f>AL266*AW266*AX266*AY266*IF(F266="백어택",1.2,1)</f>
        <v>20830.971997272074</v>
      </c>
      <c r="U266" s="174"/>
      <c r="V266" s="174"/>
      <c r="W266" s="174"/>
      <c r="X266" s="175">
        <f>AL266*AS266+IF(AX266=1,AL266*AU266,AL266*AU266*2)</f>
        <v>0</v>
      </c>
      <c r="Y266" s="173">
        <f>SUM(Z266:AD266)</f>
        <v>41661.943994544148</v>
      </c>
      <c r="Z266" s="174">
        <f>T266*$D$58/100</f>
        <v>41661.943994544148</v>
      </c>
      <c r="AA266" s="174"/>
      <c r="AB266" s="174"/>
      <c r="AC266" s="174"/>
      <c r="AD266" s="175">
        <f>X266*$D$58/100</f>
        <v>0</v>
      </c>
      <c r="AE266" s="173">
        <f>AO266*(1-$D$20/100)*(1-$D$17/100)-AR266</f>
        <v>27.727164197424003</v>
      </c>
      <c r="AF266" s="174">
        <f>AP266</f>
        <v>36</v>
      </c>
      <c r="AG266" s="174">
        <f>IF($D$57&gt;100,100,$D$57)</f>
        <v>19.001300000000001</v>
      </c>
      <c r="AH266" s="174">
        <f>AQ266</f>
        <v>657</v>
      </c>
      <c r="AI266" s="174">
        <f>$D$58</f>
        <v>200</v>
      </c>
      <c r="AJ266" s="174">
        <f>10/6</f>
        <v>1.6666666666666667</v>
      </c>
      <c r="AK266" s="174">
        <f>SUM(AL266:AN266)</f>
        <v>9919.5104748914655</v>
      </c>
      <c r="AL266" s="174">
        <f>(VLOOKUP(C266,$B$36:$AG$39,31,FALSE)+VLOOKUP(C266,$B$40:$AG$43,31,FALSE)*$D$54)*$D$59/100</f>
        <v>9919.5104748914655</v>
      </c>
      <c r="AM266" s="174"/>
      <c r="AN266" s="174"/>
      <c r="AO266" s="176">
        <v>36</v>
      </c>
      <c r="AP266" s="174">
        <v>36</v>
      </c>
      <c r="AQ266" s="175">
        <f>VLOOKUP(C266,$B$45:$AG$48,31,FALSE)</f>
        <v>657</v>
      </c>
      <c r="AR266" s="31">
        <f>IF(LEFT(E266,1)*1=1,$S$71,$R$71)</f>
        <v>0</v>
      </c>
      <c r="AS266" s="2">
        <f>IF(LEFT(E266,1)*1=2,$U$71,$T$71)</f>
        <v>0</v>
      </c>
      <c r="AT266" s="33">
        <f>IF(LEFT(E266,1)*1=3,$W$71,$V$71)</f>
        <v>0</v>
      </c>
      <c r="AU266" s="31">
        <f>IF(MID(E266,3,1)*1=1,$Y$71,$X$71)</f>
        <v>0</v>
      </c>
      <c r="AV266" s="2">
        <f>IF(MID(E266,3,1)*1=2,$AA$71,$Z$71)</f>
        <v>0</v>
      </c>
      <c r="AW266" s="33">
        <f>IF(MID(E266,3,1)*1=3,$AC$71,$AB$71)</f>
        <v>1.5</v>
      </c>
      <c r="AX266" s="31">
        <f>IF(MID(E266,5,1)*1=1,$AE$71,$AD$71)</f>
        <v>1.4</v>
      </c>
      <c r="AY266" s="33">
        <f>IF(MID(E266,5,1)*1=2,$AG$71,$AF$71)</f>
        <v>1</v>
      </c>
      <c r="AZ266" s="2"/>
      <c r="BA266" s="101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 ht="12" customHeight="1">
      <c r="A267" s="2"/>
      <c r="B267" s="107">
        <v>566</v>
      </c>
      <c r="C267" s="31">
        <v>7</v>
      </c>
      <c r="D267" s="111" t="s">
        <v>14</v>
      </c>
      <c r="E267" s="2" t="s">
        <v>163</v>
      </c>
      <c r="F267" s="2" t="s">
        <v>149</v>
      </c>
      <c r="G267" s="2"/>
      <c r="H267" s="33" t="s">
        <v>81</v>
      </c>
      <c r="I267" s="173">
        <f>M267/AE267</f>
        <v>893.54943436225369</v>
      </c>
      <c r="J267" s="174">
        <f>AH267/AE267</f>
        <v>16.518097441877977</v>
      </c>
      <c r="K267" s="207">
        <f>RANK(I267,$I$76:$I$977)</f>
        <v>192</v>
      </c>
      <c r="L267" s="208" t="e">
        <f>RANK(I267,$I$451:$I$866)</f>
        <v>#N/A</v>
      </c>
      <c r="M267" s="173">
        <f>SUM(N267:R267)</f>
        <v>24775.591885077549</v>
      </c>
      <c r="N267" s="174">
        <f>T267*(1+((AG267+IF(F267="백어택",8,0))/100)*(AI267/100-1))</f>
        <v>7394.4462899280561</v>
      </c>
      <c r="O267" s="174">
        <f>U267*(1+((AG267+IF(F267="백어택",8,0))/100)*(AI267/100-1))</f>
        <v>7394.4462899280561</v>
      </c>
      <c r="P267" s="174">
        <f>V267*(1+((AG267+IF(F267="백어택",8,0))/100)*(AI267*IF(AX267=1,AW267,1)/100-1))</f>
        <v>9986.6993052214348</v>
      </c>
      <c r="Q267" s="174">
        <f>W267*(1+((AG267+IF(F267="백어택",8,0))/100)*(AI267*AW267/100-1))</f>
        <v>0</v>
      </c>
      <c r="R267" s="175"/>
      <c r="S267" s="173">
        <f>SUM(T267:X267)</f>
        <v>13918.719365196586</v>
      </c>
      <c r="T267" s="174">
        <f>AL267*AY267*IF(F267="백어택",1.2,1)</f>
        <v>4154.1378001353669</v>
      </c>
      <c r="U267" s="174">
        <f>AM267*AY267*IF(F267="백어택",1.2,1)</f>
        <v>4154.1378001353669</v>
      </c>
      <c r="V267" s="174">
        <f>AN267*AY267*IF(F267="백어택",1.2,1)</f>
        <v>5610.4437649258534</v>
      </c>
      <c r="W267" s="174">
        <f>(T267+U267+V267)*IF(AX267=1,0,0.6)*IF(F267="백어택",1.2,1)</f>
        <v>0</v>
      </c>
      <c r="X267" s="175"/>
      <c r="Y267" s="173">
        <f>SUM(Z267:AD267)</f>
        <v>34796.798412991469</v>
      </c>
      <c r="Z267" s="174">
        <f>T267*AI267/100</f>
        <v>10385.344500338419</v>
      </c>
      <c r="AA267" s="174">
        <f>U267*AI267/100</f>
        <v>10385.344500338419</v>
      </c>
      <c r="AB267" s="174">
        <f>V267*AI267*IF(AX267=1,AW267,1)/100</f>
        <v>14026.109412314634</v>
      </c>
      <c r="AC267" s="174">
        <f>W267*AI267*AW267/100</f>
        <v>0</v>
      </c>
      <c r="AD267" s="175"/>
      <c r="AE267" s="173">
        <f>AO267*(1-$D$20/100)*(1-$D$17/100)</f>
        <v>27.727164197424003</v>
      </c>
      <c r="AF267" s="174">
        <f>AP267</f>
        <v>36</v>
      </c>
      <c r="AG267" s="174">
        <f>IF($D$57+AU267&gt;100,100,$D$57+AU267)</f>
        <v>44.001300000000001</v>
      </c>
      <c r="AH267" s="174">
        <f>AQ267*AS267</f>
        <v>458</v>
      </c>
      <c r="AI267" s="174">
        <f>$D$58+IF(H267="근접",AR267,0)+IF(AY267=1,0,50)</f>
        <v>250</v>
      </c>
      <c r="AJ267" s="174">
        <f>10/3</f>
        <v>3.3333333333333335</v>
      </c>
      <c r="AK267" s="174">
        <f>SUM(AL267:AN267)</f>
        <v>11598.932804330489</v>
      </c>
      <c r="AL267" s="174">
        <f>(IF(H267="근접",$D$61*(VLOOKUP(C267,$B$36:$AG$39,19,FALSE)+VLOOKUP(C267,$B$40:$AG$43,19,FALSE)*$D$54),$D$60*(VLOOKUP(C267,$B$36:$AG$39,19,FALSE)+VLOOKUP(C267,$B$40:$AG$43,19,FALSE)*$D$54)))*$D$59/100</f>
        <v>3461.7815001128056</v>
      </c>
      <c r="AM267" s="174">
        <f>(IF(H267="근접",$D$61*(VLOOKUP(C267,$B$36:$AG$39,20,FALSE)+VLOOKUP(C267,$B$40:$AG$43,20,FALSE)*$D$54),$D$60*(VLOOKUP(C267,$B$36:$AG$39,20,FALSE)+VLOOKUP(C267,$B$40:$AG$43,20,FALSE)*$D$54)))*$D$59/100</f>
        <v>3461.7815001128056</v>
      </c>
      <c r="AN267" s="174">
        <f>(IF(H267="근접",$D$61*(VLOOKUP(C267,$B$36:$AG$39,21,FALSE)+VLOOKUP(C267,$B$40:$AG$43,21,FALSE)*$D$54),$D$60*(VLOOKUP(C267,$B$36:$AG$39,21,FALSE)+VLOOKUP(C267,$B$40:$AG$43,21,FALSE)*$D$54)))*$D$59/100</f>
        <v>4675.3698041048783</v>
      </c>
      <c r="AO267" s="176">
        <v>36</v>
      </c>
      <c r="AP267" s="174">
        <v>36</v>
      </c>
      <c r="AQ267" s="175">
        <f>VLOOKUP(C267,$B$45:$AA$48,19,FALSE)</f>
        <v>458</v>
      </c>
      <c r="AR267" s="31">
        <f>IF(LEFT(E267,1)*1=1,$S$64,$R$64)</f>
        <v>50</v>
      </c>
      <c r="AS267" s="2">
        <f>IF(LEFT(E267,1)*1=2,$U$64,$T$64)</f>
        <v>1</v>
      </c>
      <c r="AT267" s="33">
        <f>IF(LEFT(E267,1)*1=3,$W$64,$V$64)</f>
        <v>0</v>
      </c>
      <c r="AU267" s="31">
        <f>IF(MID(E267,3,1)*1=1,$Y$64,$X$64)</f>
        <v>25</v>
      </c>
      <c r="AV267" s="2">
        <f>IF(MID(E267,3,1)*1=2,$AA$64,$Z$64)</f>
        <v>0</v>
      </c>
      <c r="AW267" s="33">
        <f>IF(MID(E267,3,1)*1=3,$AC$64,$AB$64)</f>
        <v>1</v>
      </c>
      <c r="AX267" s="31">
        <f>IF(MID(E267,5,1)*1=1,$AE$64,$AD$64)</f>
        <v>1</v>
      </c>
      <c r="AY267" s="33">
        <f>IF(MID(E267,5,1)*1=2,$AG$64,$AF$64)</f>
        <v>1</v>
      </c>
      <c r="AZ267" s="2"/>
      <c r="BA267" s="101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 ht="12" customHeight="1">
      <c r="A268" s="2"/>
      <c r="B268" s="107">
        <v>74</v>
      </c>
      <c r="C268" s="31">
        <v>10</v>
      </c>
      <c r="D268" s="106" t="s">
        <v>5</v>
      </c>
      <c r="E268" s="2" t="s">
        <v>92</v>
      </c>
      <c r="F268" s="2"/>
      <c r="G268" s="2"/>
      <c r="H268" s="33">
        <v>9</v>
      </c>
      <c r="I268" s="173">
        <f>M268/AE268</f>
        <v>889.52827552636779</v>
      </c>
      <c r="J268" s="174">
        <f>AH268/AE268</f>
        <v>34.707673678702669</v>
      </c>
      <c r="K268" s="207">
        <f>RANK(I268,$I$76:$I$977)</f>
        <v>193</v>
      </c>
      <c r="L268" s="208">
        <f>RANK(I268,$I$76:$I$450)</f>
        <v>193</v>
      </c>
      <c r="M268" s="173">
        <f>SUM(N268:R268)</f>
        <v>7099.2753533925115</v>
      </c>
      <c r="N268" s="174">
        <f>T268*(1+((AG268+IF(F268="백어택",8,0))/100)*((AI268/100-1)))</f>
        <v>7099.2753533925115</v>
      </c>
      <c r="O268" s="174"/>
      <c r="P268" s="174"/>
      <c r="Q268" s="174"/>
      <c r="R268" s="175"/>
      <c r="S268" s="173">
        <f>SUM(T268:X268)</f>
        <v>5376.6811353512194</v>
      </c>
      <c r="T268" s="174">
        <f>AL268*AU268*AW268*AX268*AY268</f>
        <v>5376.6811353512194</v>
      </c>
      <c r="U268" s="174"/>
      <c r="V268" s="174"/>
      <c r="W268" s="174"/>
      <c r="X268" s="175"/>
      <c r="Y268" s="173">
        <f>SUM(Z268:AD268)</f>
        <v>10753.362270702439</v>
      </c>
      <c r="Z268" s="174">
        <f>T268*$D$58/100</f>
        <v>10753.362270702439</v>
      </c>
      <c r="AA268" s="174"/>
      <c r="AB268" s="174"/>
      <c r="AC268" s="174"/>
      <c r="AD268" s="175"/>
      <c r="AE268" s="173">
        <f>AO268*(1-$D$17/100)</f>
        <v>7.980944</v>
      </c>
      <c r="AF268" s="174">
        <f>AP268</f>
        <v>36</v>
      </c>
      <c r="AG268" s="174">
        <f>IF($D$57&gt;100,100,$D$57)</f>
        <v>19.001300000000001</v>
      </c>
      <c r="AH268" s="174">
        <f>AQ268</f>
        <v>277</v>
      </c>
      <c r="AI268" s="174">
        <f>$D$58+$D$19</f>
        <v>268.61079999999998</v>
      </c>
      <c r="AJ268" s="174">
        <f>1*AS268</f>
        <v>1</v>
      </c>
      <c r="AK268" s="174">
        <f>SUM(AL268:AN268)</f>
        <v>2240.2838063963413</v>
      </c>
      <c r="AL268" s="174">
        <f>(H268*(VLOOKUP(C268,$B$36:$AG$39,6,FALSE)+VLOOKUP(C268,$B$40:$AG$43,6,FALSE)*$D$54))*$D$59/100</f>
        <v>2240.2838063963413</v>
      </c>
      <c r="AM268" s="174"/>
      <c r="AN268" s="174"/>
      <c r="AO268" s="176">
        <v>8</v>
      </c>
      <c r="AP268" s="174">
        <v>36</v>
      </c>
      <c r="AQ268" s="175">
        <f>VLOOKUP(C268,$B$45:$AA$48,6,FALSE)</f>
        <v>277</v>
      </c>
      <c r="AR268" s="31">
        <f>IF(LEFT(E268,1)*1=1,$S$55,$R$55)</f>
        <v>0</v>
      </c>
      <c r="AS268" s="2">
        <f>IF(LEFT(E268,1)*1=2,$U$55,$T$55)</f>
        <v>1</v>
      </c>
      <c r="AT268" s="33">
        <f>IF(LEFT(E268,1)*1=3,$W$55,$V$55)</f>
        <v>0</v>
      </c>
      <c r="AU268" s="31">
        <f>IF(MID(E268,3,1)*1=1,$Y$55,$X$55)</f>
        <v>1</v>
      </c>
      <c r="AV268" s="2">
        <f>IF(MID(E268,3,1)*1=2,$AA$55,$Z$55)</f>
        <v>0</v>
      </c>
      <c r="AW268" s="33">
        <f>IF(MID(E268,3,1)*1=3,$AC$55,$AB$55)</f>
        <v>1</v>
      </c>
      <c r="AX268" s="31">
        <f>IF(MID(E268,5,1)*1=1,$AE$55,$AD$55)</f>
        <v>1</v>
      </c>
      <c r="AY268" s="33">
        <f>IF(MID(E268,5,1)*1=2,$AG$55,$AF$55)</f>
        <v>2.4</v>
      </c>
      <c r="AZ268" s="2"/>
      <c r="BA268" s="101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 ht="12" customHeight="1">
      <c r="A269" s="2"/>
      <c r="B269" s="107">
        <v>80</v>
      </c>
      <c r="C269" s="31">
        <v>10</v>
      </c>
      <c r="D269" s="106" t="s">
        <v>5</v>
      </c>
      <c r="E269" s="2" t="s">
        <v>99</v>
      </c>
      <c r="F269" s="2"/>
      <c r="G269" s="2"/>
      <c r="H269" s="33">
        <v>9</v>
      </c>
      <c r="I269" s="173">
        <f>M269/AE269</f>
        <v>889.52827552636779</v>
      </c>
      <c r="J269" s="174">
        <f>AH269/AE269</f>
        <v>34.707673678702669</v>
      </c>
      <c r="K269" s="207">
        <f>RANK(I269,$I$76:$I$977)</f>
        <v>193</v>
      </c>
      <c r="L269" s="208">
        <f>RANK(I269,$I$76:$I$450)</f>
        <v>193</v>
      </c>
      <c r="M269" s="173">
        <f>SUM(N269:R269)</f>
        <v>7099.2753533925115</v>
      </c>
      <c r="N269" s="174">
        <f>T269*(1+((AG269+IF(F269="백어택",8,0))/100)*((AI269/100-1)))</f>
        <v>7099.2753533925115</v>
      </c>
      <c r="O269" s="174"/>
      <c r="P269" s="174"/>
      <c r="Q269" s="174"/>
      <c r="R269" s="175"/>
      <c r="S269" s="173">
        <f>SUM(T269:X269)</f>
        <v>5376.6811353512194</v>
      </c>
      <c r="T269" s="174">
        <f>AL269*AU269*AW269*AX269*AY269</f>
        <v>5376.6811353512194</v>
      </c>
      <c r="U269" s="174"/>
      <c r="V269" s="174"/>
      <c r="W269" s="174"/>
      <c r="X269" s="175"/>
      <c r="Y269" s="173">
        <f>SUM(Z269:AD269)</f>
        <v>10753.362270702439</v>
      </c>
      <c r="Z269" s="174">
        <f>T269*$D$58/100</f>
        <v>10753.362270702439</v>
      </c>
      <c r="AA269" s="174"/>
      <c r="AB269" s="174"/>
      <c r="AC269" s="174"/>
      <c r="AD269" s="175"/>
      <c r="AE269" s="173">
        <f>AO269*(1-$D$17/100)</f>
        <v>7.980944</v>
      </c>
      <c r="AF269" s="174">
        <f>AP269</f>
        <v>36</v>
      </c>
      <c r="AG269" s="174">
        <f>IF($D$57&gt;100,100,$D$57)</f>
        <v>19.001300000000001</v>
      </c>
      <c r="AH269" s="174">
        <f>AQ269</f>
        <v>277</v>
      </c>
      <c r="AI269" s="174">
        <f>$D$58+$D$19</f>
        <v>268.61079999999998</v>
      </c>
      <c r="AJ269" s="174">
        <f>1*AS269</f>
        <v>0.8</v>
      </c>
      <c r="AK269" s="174">
        <f>SUM(AL269:AN269)</f>
        <v>2240.2838063963413</v>
      </c>
      <c r="AL269" s="174">
        <f>(H269*(VLOOKUP(C269,$B$36:$AG$39,6,FALSE)+VLOOKUP(C269,$B$40:$AG$43,6,FALSE)*$D$54))*$D$59/100</f>
        <v>2240.2838063963413</v>
      </c>
      <c r="AM269" s="174"/>
      <c r="AN269" s="174"/>
      <c r="AO269" s="176">
        <v>8</v>
      </c>
      <c r="AP269" s="174">
        <v>36</v>
      </c>
      <c r="AQ269" s="175">
        <f>VLOOKUP(C269,$B$45:$AA$48,6,FALSE)</f>
        <v>277</v>
      </c>
      <c r="AR269" s="31">
        <f>IF(LEFT(E269,1)*1=1,$S$55,$R$55)</f>
        <v>0</v>
      </c>
      <c r="AS269" s="2">
        <f>IF(LEFT(E269,1)*1=2,$U$55,$T$55)</f>
        <v>0.8</v>
      </c>
      <c r="AT269" s="33">
        <f>IF(LEFT(E269,1)*1=3,$W$55,$V$55)</f>
        <v>0</v>
      </c>
      <c r="AU269" s="31">
        <f>IF(MID(E269,3,1)*1=1,$Y$55,$X$55)</f>
        <v>1</v>
      </c>
      <c r="AV269" s="2">
        <f>IF(MID(E269,3,1)*1=2,$AA$55,$Z$55)</f>
        <v>0</v>
      </c>
      <c r="AW269" s="33">
        <f>IF(MID(E269,3,1)*1=3,$AC$55,$AB$55)</f>
        <v>1</v>
      </c>
      <c r="AX269" s="31">
        <f>IF(MID(E269,5,1)*1=1,$AE$55,$AD$55)</f>
        <v>1</v>
      </c>
      <c r="AY269" s="33">
        <f>IF(MID(E269,5,1)*1=2,$AG$55,$AF$55)</f>
        <v>2.4</v>
      </c>
      <c r="AZ269" s="2"/>
      <c r="BA269" s="101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 ht="12" customHeight="1">
      <c r="A270" s="2"/>
      <c r="B270" s="107">
        <v>207</v>
      </c>
      <c r="C270" s="31">
        <v>7</v>
      </c>
      <c r="D270" s="106" t="s">
        <v>10</v>
      </c>
      <c r="E270" s="2" t="s">
        <v>89</v>
      </c>
      <c r="F270" s="2"/>
      <c r="G270" s="2"/>
      <c r="H270" s="33"/>
      <c r="I270" s="173">
        <f>M270/AE270</f>
        <v>887.08473920902725</v>
      </c>
      <c r="J270" s="174">
        <f>AH270/AE270</f>
        <v>17.980329144021059</v>
      </c>
      <c r="K270" s="207">
        <f>RANK(I270,$I$76:$I$977)</f>
        <v>195</v>
      </c>
      <c r="L270" s="208">
        <f>RANK(I270,$I$76:$I$450)</f>
        <v>195</v>
      </c>
      <c r="M270" s="173">
        <f>SUM(N270:R270)</f>
        <v>14159.547253763702</v>
      </c>
      <c r="N270" s="174">
        <f>T270*(1+((AG270+IF(F270="백어택",8,0))/100)*((AI270/100-1)))</f>
        <v>14159.547253763702</v>
      </c>
      <c r="O270" s="174"/>
      <c r="P270" s="174"/>
      <c r="Q270" s="174"/>
      <c r="R270" s="175"/>
      <c r="S270" s="173">
        <f>SUM(T270:X270)</f>
        <v>7753.4947960365853</v>
      </c>
      <c r="T270" s="174">
        <f>AL270*AS270*AU270*AX270*IF(AY270=0,1,0.5)*IF(F270="백어택",1.2,1)</f>
        <v>7753.4947960365853</v>
      </c>
      <c r="U270" s="174"/>
      <c r="V270" s="174"/>
      <c r="W270" s="174"/>
      <c r="X270" s="175"/>
      <c r="Y270" s="173">
        <f>SUM(Z270:AD270)</f>
        <v>20826.72439959224</v>
      </c>
      <c r="Z270" s="174">
        <f>T270*AI270/100</f>
        <v>20826.72439959224</v>
      </c>
      <c r="AA270" s="174"/>
      <c r="AB270" s="174"/>
      <c r="AC270" s="174"/>
      <c r="AD270" s="175"/>
      <c r="AE270" s="173">
        <f>AO270*(1-$D$17/100)</f>
        <v>15.961888</v>
      </c>
      <c r="AF270" s="174">
        <f>AP270</f>
        <v>36</v>
      </c>
      <c r="AG270" s="174">
        <f>IF($D$57+AV270&gt;100,100,$D$57+AV270)</f>
        <v>49.001300000000001</v>
      </c>
      <c r="AH270" s="174">
        <f>AQ270</f>
        <v>287</v>
      </c>
      <c r="AI270" s="174">
        <f>$D$58+$D$19</f>
        <v>268.61079999999998</v>
      </c>
      <c r="AJ270" s="174">
        <f>10*AR270/(7-IF(AX270=1,0,3))</f>
        <v>1.4285714285714286</v>
      </c>
      <c r="AK270" s="174">
        <f>SUM(AL270:AN270)</f>
        <v>7753.4947960365853</v>
      </c>
      <c r="AL270" s="174">
        <f>(VLOOKUP(C270,$B$36:$AG$39,13,FALSE)+VLOOKUP(C270,$B$40:$AG$43,13,FALSE)*$D$54)*$D$59/100</f>
        <v>7753.4947960365853</v>
      </c>
      <c r="AM270" s="174"/>
      <c r="AN270" s="174"/>
      <c r="AO270" s="176">
        <v>16</v>
      </c>
      <c r="AP270" s="174">
        <v>36</v>
      </c>
      <c r="AQ270" s="175">
        <f>VLOOKUP(C270,$B$45:$AA$48,13,FALSE)</f>
        <v>287</v>
      </c>
      <c r="AR270" s="31">
        <f>IF(LEFT(E270,1)*1=1,$S$60,$R$60)</f>
        <v>1</v>
      </c>
      <c r="AS270" s="2">
        <f>IF(LEFT(E270,1)*1=2,$U$60,$T$60)</f>
        <v>1</v>
      </c>
      <c r="AT270" s="33">
        <f>IF(LEFT(E270,1)*1=3,$W$60,$V$60)</f>
        <v>0</v>
      </c>
      <c r="AU270" s="31">
        <f>IF(MID(E270,3,1)*1=1,$Y$60,$X$60)</f>
        <v>1</v>
      </c>
      <c r="AV270" s="2">
        <f>IF(MID(E270,3,1)*1=2,$AA$60,$Z$60)</f>
        <v>30</v>
      </c>
      <c r="AW270" s="33">
        <f>IF(MID(E270,3,1)*1=3,$AC$60,$AB$60)</f>
        <v>0</v>
      </c>
      <c r="AX270" s="31">
        <f>IF(MID(E270,5,1)*1=1,$AE$60,$AD$60)</f>
        <v>1</v>
      </c>
      <c r="AY270" s="33">
        <f>IF(MID(E270,5,1)*1=2,$AG$60,$AF$60)</f>
        <v>0</v>
      </c>
      <c r="AZ270" s="2"/>
      <c r="BA270" s="101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 ht="12" customHeight="1">
      <c r="A271" s="2"/>
      <c r="B271" s="107">
        <v>210</v>
      </c>
      <c r="C271" s="31">
        <v>7</v>
      </c>
      <c r="D271" s="106" t="s">
        <v>10</v>
      </c>
      <c r="E271" s="2" t="s">
        <v>152</v>
      </c>
      <c r="F271" s="2"/>
      <c r="G271" s="2"/>
      <c r="H271" s="33"/>
      <c r="I271" s="173">
        <f>M271/AE271</f>
        <v>887.08473920902725</v>
      </c>
      <c r="J271" s="174">
        <f>AH271/AE271</f>
        <v>17.980329144021059</v>
      </c>
      <c r="K271" s="207">
        <f>RANK(I271,$I$76:$I$977)</f>
        <v>195</v>
      </c>
      <c r="L271" s="208">
        <f>RANK(I271,$I$76:$I$450)</f>
        <v>195</v>
      </c>
      <c r="M271" s="173">
        <f>SUM(N271:R271)</f>
        <v>14159.547253763702</v>
      </c>
      <c r="N271" s="174">
        <f>T271*(1+((AG271+IF(F271="백어택",8,0))/100)*((AI271/100-1)))</f>
        <v>14159.547253763702</v>
      </c>
      <c r="O271" s="174"/>
      <c r="P271" s="174"/>
      <c r="Q271" s="174"/>
      <c r="R271" s="175"/>
      <c r="S271" s="173">
        <f>SUM(T271:X271)</f>
        <v>7753.4947960365853</v>
      </c>
      <c r="T271" s="174">
        <f>AL271*AS271*AU271*AX271*IF(AY271=0,1,0.5)*IF(F271="백어택",1.2,1)</f>
        <v>7753.4947960365853</v>
      </c>
      <c r="U271" s="174"/>
      <c r="V271" s="174"/>
      <c r="W271" s="174"/>
      <c r="X271" s="175"/>
      <c r="Y271" s="173">
        <f>SUM(Z271:AD271)</f>
        <v>20826.72439959224</v>
      </c>
      <c r="Z271" s="174">
        <f>T271*AI271/100</f>
        <v>20826.72439959224</v>
      </c>
      <c r="AA271" s="174"/>
      <c r="AB271" s="174"/>
      <c r="AC271" s="174"/>
      <c r="AD271" s="175"/>
      <c r="AE271" s="173">
        <f>AO271*(1-$D$17/100)</f>
        <v>15.961888</v>
      </c>
      <c r="AF271" s="174">
        <f>AP271</f>
        <v>36</v>
      </c>
      <c r="AG271" s="174">
        <f>IF($D$57+AV271&gt;100,100,$D$57+AV271)</f>
        <v>49.001300000000001</v>
      </c>
      <c r="AH271" s="174">
        <f>AQ271</f>
        <v>287</v>
      </c>
      <c r="AI271" s="174">
        <f>$D$58+$D$19</f>
        <v>268.61079999999998</v>
      </c>
      <c r="AJ271" s="174">
        <f>10*AR271/(7-IF(AX271=1,0,3))</f>
        <v>1.2142857142857142</v>
      </c>
      <c r="AK271" s="174">
        <f>SUM(AL271:AN271)</f>
        <v>7753.4947960365853</v>
      </c>
      <c r="AL271" s="174">
        <f>(VLOOKUP(C271,$B$36:$AG$39,13,FALSE)+VLOOKUP(C271,$B$40:$AG$43,13,FALSE)*$D$54)*$D$59/100</f>
        <v>7753.4947960365853</v>
      </c>
      <c r="AM271" s="174"/>
      <c r="AN271" s="174"/>
      <c r="AO271" s="176">
        <v>16</v>
      </c>
      <c r="AP271" s="174">
        <v>36</v>
      </c>
      <c r="AQ271" s="175">
        <f>VLOOKUP(C271,$B$45:$AA$48,13,FALSE)</f>
        <v>287</v>
      </c>
      <c r="AR271" s="31">
        <f>IF(LEFT(E271,1)*1=1,$S$60,$R$60)</f>
        <v>0.85</v>
      </c>
      <c r="AS271" s="2">
        <f>IF(LEFT(E271,1)*1=2,$U$60,$T$60)</f>
        <v>1</v>
      </c>
      <c r="AT271" s="33">
        <f>IF(LEFT(E271,1)*1=3,$W$60,$V$60)</f>
        <v>0</v>
      </c>
      <c r="AU271" s="31">
        <f>IF(MID(E271,3,1)*1=1,$Y$60,$X$60)</f>
        <v>1</v>
      </c>
      <c r="AV271" s="2">
        <f>IF(MID(E271,3,1)*1=2,$AA$60,$Z$60)</f>
        <v>30</v>
      </c>
      <c r="AW271" s="33">
        <f>IF(MID(E271,3,1)*1=3,$AC$60,$AB$60)</f>
        <v>0</v>
      </c>
      <c r="AX271" s="31">
        <f>IF(MID(E271,5,1)*1=1,$AE$60,$AD$60)</f>
        <v>1</v>
      </c>
      <c r="AY271" s="33">
        <f>IF(MID(E271,5,1)*1=2,$AG$60,$AF$60)</f>
        <v>0</v>
      </c>
      <c r="AZ271" s="2"/>
      <c r="BA271" s="101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 ht="12" customHeight="1">
      <c r="A272" s="2"/>
      <c r="B272" s="107">
        <v>377</v>
      </c>
      <c r="C272" s="31">
        <v>10</v>
      </c>
      <c r="D272" s="111" t="s">
        <v>8</v>
      </c>
      <c r="E272" s="2" t="s">
        <v>138</v>
      </c>
      <c r="F272" s="2"/>
      <c r="G272" s="2"/>
      <c r="H272" s="33" t="s">
        <v>81</v>
      </c>
      <c r="I272" s="173">
        <f>M272/AE272</f>
        <v>886.89067166622658</v>
      </c>
      <c r="J272" s="174">
        <f>AH272/AE272</f>
        <v>39.459498714320297</v>
      </c>
      <c r="K272" s="207">
        <f>RANK(I272,$I$76:$I$977)</f>
        <v>197</v>
      </c>
      <c r="L272" s="208" t="e">
        <f>RANK(I272,$I$451:$I$866)</f>
        <v>#N/A</v>
      </c>
      <c r="M272" s="173">
        <f>SUM(N272:R272)</f>
        <v>16393.975518968746</v>
      </c>
      <c r="N272" s="174">
        <f>T272*(1+((AG272+IF(F272="백어택",8,0))/100)*(IF(AY272=1,$D$58,$D$58+50)/100-1))</f>
        <v>4614.746456630678</v>
      </c>
      <c r="O272" s="174">
        <f>U272*(1+((AG272+IF(F272="백어택",8,0))/100)*(AI272/100-1))</f>
        <v>5889.6145311690334</v>
      </c>
      <c r="P272" s="174">
        <f>V272*(1+((AG272+IF(F272="백어택",8,0))/100)*(AI272/100-1))</f>
        <v>5889.6145311690334</v>
      </c>
      <c r="Q272" s="174"/>
      <c r="R272" s="175"/>
      <c r="S272" s="173">
        <f>SUM(T272:X272)</f>
        <v>11384.602443845122</v>
      </c>
      <c r="T272" s="174">
        <f>AL272*IF(H272="근접",AR272,1)*AY272*IF(F272="백어택",1.2,1)</f>
        <v>3204.6561084036589</v>
      </c>
      <c r="U272" s="174">
        <f>AM272*IF(H272="근접",AR272,1)*AY272*IF(F272="백어택",1.2,1)</f>
        <v>4089.9731677207315</v>
      </c>
      <c r="V272" s="174">
        <f>IF(AX272=1,0,AM272*IF(H272="근접",AR272,1)*AY272)*IF(F272="백어택",1.2,1)</f>
        <v>4089.9731677207315</v>
      </c>
      <c r="W272" s="174"/>
      <c r="X272" s="175"/>
      <c r="Y272" s="173">
        <f>SUM(Z272:AD272)</f>
        <v>22769.204887690245</v>
      </c>
      <c r="Z272" s="174">
        <f>T272*IF(AY272=1,$D$58,$D$58+50)/100</f>
        <v>6409.3122168073178</v>
      </c>
      <c r="AA272" s="174">
        <f>U272*AI272/100</f>
        <v>8179.9463354414629</v>
      </c>
      <c r="AB272" s="174">
        <f>V272*AI272/100</f>
        <v>8179.9463354414629</v>
      </c>
      <c r="AC272" s="174"/>
      <c r="AD272" s="175"/>
      <c r="AE272" s="173">
        <f>AO272*(1-$D$20/100)*(1-$D$17/100)</f>
        <v>18.484776131615998</v>
      </c>
      <c r="AF272" s="174">
        <f>AP272</f>
        <v>36</v>
      </c>
      <c r="AG272" s="174">
        <f>IF($D$57+AU272&gt;100,100,$D$57+AU272)</f>
        <v>44.001300000000001</v>
      </c>
      <c r="AH272" s="174">
        <f>IF(AX272=1,AQ272,AQ272*1.4)</f>
        <v>729.4</v>
      </c>
      <c r="AI272" s="174">
        <f>IF(AY272=1,$D$58,$D$58+50)*AW272</f>
        <v>200</v>
      </c>
      <c r="AJ272" s="174">
        <f>10/6/AX272</f>
        <v>1.1111111111111112</v>
      </c>
      <c r="AK272" s="174">
        <f>SUM(AL272:AN272)</f>
        <v>7294.6292761243903</v>
      </c>
      <c r="AL272" s="174">
        <f>(IF(H272="근접",$D$61*(VLOOKUP(C272,$B$36:$AG$39,9,FALSE)+VLOOKUP(C272,$B$40:$AG$43,9,FALSE)*$D$54),$D$60*(VLOOKUP(C272,$B$36:$AG$39,9,FALSE)+VLOOKUP(C272,$B$40:$AG$43,9,FALSE)*$D$54)))*$D$59/100</f>
        <v>3204.6561084036589</v>
      </c>
      <c r="AM272" s="174">
        <f>(IF(H272="근접",$D$61*(VLOOKUP(C272,$B$36:$AG$39,10,FALSE)+VLOOKUP(C272,$B$40:$AG$43,10,FALSE)*$D$54),$D$60*(VLOOKUP(C272,$B$36:$AG$39,10,FALSE)+VLOOKUP(C272,$B$40:$AG$43,10,FALSE)*$D$54)))*$D$59/100</f>
        <v>4089.9731677207315</v>
      </c>
      <c r="AN272" s="174"/>
      <c r="AO272" s="176">
        <v>24</v>
      </c>
      <c r="AP272" s="174">
        <v>36</v>
      </c>
      <c r="AQ272" s="175">
        <f>VLOOKUP(C272,$B$45:$AA$48,9,FALSE)</f>
        <v>521</v>
      </c>
      <c r="AR272" s="31">
        <f>IF(LEFT(E272,1)*1=1,$S$58,$R$58)</f>
        <v>1</v>
      </c>
      <c r="AS272" s="2">
        <f>IF(LEFT(E272,1)*1=2,$U$58,$T$58)</f>
        <v>0</v>
      </c>
      <c r="AT272" s="33">
        <f>IF(LEFT(E272,1)*1=3,$W$58,$V$58)</f>
        <v>0</v>
      </c>
      <c r="AU272" s="31">
        <f>IF(MID(E272,3,1)*1=1,$Y$58,$X$58)</f>
        <v>25</v>
      </c>
      <c r="AV272" s="2">
        <f>IF(MID(E272,3,1)*1=2,$AA$58,$Z$58)</f>
        <v>0</v>
      </c>
      <c r="AW272" s="33">
        <f>IF(MID(E272,3,1)*1=3,$AC$58,$AB$58)</f>
        <v>1</v>
      </c>
      <c r="AX272" s="31">
        <f>IF(MID(E272,5,1)*1=1,$AE$58,$AD$58)</f>
        <v>1.5</v>
      </c>
      <c r="AY272" s="33">
        <f>IF(MID(E272,5,1)*1=2,$AG$58,$AF$58)</f>
        <v>1</v>
      </c>
      <c r="AZ272" s="2"/>
      <c r="BA272" s="101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12" customHeight="1">
      <c r="A273" s="2"/>
      <c r="B273" s="107">
        <v>156</v>
      </c>
      <c r="C273" s="31">
        <v>10</v>
      </c>
      <c r="D273" s="106" t="s">
        <v>10</v>
      </c>
      <c r="E273" s="2" t="s">
        <v>144</v>
      </c>
      <c r="F273" s="2" t="s">
        <v>149</v>
      </c>
      <c r="G273" s="2" t="s">
        <v>137</v>
      </c>
      <c r="H273" s="33"/>
      <c r="I273" s="173">
        <f>M273/AE273</f>
        <v>886.0011161493577</v>
      </c>
      <c r="J273" s="174">
        <f>AH273/AE273</f>
        <v>25.811482952392598</v>
      </c>
      <c r="K273" s="207">
        <f>RANK(I273,$I$76:$I$977)</f>
        <v>198</v>
      </c>
      <c r="L273" s="208">
        <f>RANK(I273,$I$76:$I$450)</f>
        <v>198</v>
      </c>
      <c r="M273" s="173">
        <f>SUM(N273:R273)</f>
        <v>14142.250583851039</v>
      </c>
      <c r="N273" s="174">
        <f>T273*(1+((AG273+IF(F273="백어택",8,0))/100)*((AI273/100-1)))</f>
        <v>14142.250583851039</v>
      </c>
      <c r="O273" s="174"/>
      <c r="P273" s="174"/>
      <c r="Q273" s="174"/>
      <c r="R273" s="175"/>
      <c r="S273" s="173">
        <f>SUM(T273:X273)</f>
        <v>9717.9493113014632</v>
      </c>
      <c r="T273" s="174">
        <f>AL273*AS273*AU273*AX273*IF(AY273=0,1,0.5)*IF(F273="백어택",1.2,1)</f>
        <v>9717.9493113014632</v>
      </c>
      <c r="U273" s="174"/>
      <c r="V273" s="174"/>
      <c r="W273" s="174"/>
      <c r="X273" s="175"/>
      <c r="Y273" s="173">
        <f>SUM(Z273:AD273)</f>
        <v>26103.461388681349</v>
      </c>
      <c r="Z273" s="174">
        <f>T273*AI273/100</f>
        <v>26103.461388681349</v>
      </c>
      <c r="AA273" s="174"/>
      <c r="AB273" s="174"/>
      <c r="AC273" s="174"/>
      <c r="AD273" s="175"/>
      <c r="AE273" s="173">
        <f>AO273*(1-$D$17/100)</f>
        <v>15.961888</v>
      </c>
      <c r="AF273" s="174">
        <f>AP273</f>
        <v>36</v>
      </c>
      <c r="AG273" s="174">
        <f>IF($D$57+AV273&gt;100,100,$D$57+AV273)</f>
        <v>19.001300000000001</v>
      </c>
      <c r="AH273" s="174">
        <f>AQ273</f>
        <v>412</v>
      </c>
      <c r="AI273" s="174">
        <f>$D$58+$D$19</f>
        <v>268.61079999999998</v>
      </c>
      <c r="AJ273" s="174">
        <f>10*AR273/(7-IF(AX273=1,0,3))</f>
        <v>1.4285714285714286</v>
      </c>
      <c r="AK273" s="174">
        <f>SUM(AL273:AN273)</f>
        <v>8098.2910927512203</v>
      </c>
      <c r="AL273" s="174">
        <f>(VLOOKUP(C273,$B$36:$AG$39,13,FALSE)+VLOOKUP(C273,$B$40:$AG$43,13,FALSE)*$D$54)*$D$59/100</f>
        <v>8098.2910927512203</v>
      </c>
      <c r="AM273" s="174"/>
      <c r="AN273" s="174"/>
      <c r="AO273" s="176">
        <v>16</v>
      </c>
      <c r="AP273" s="174">
        <v>36</v>
      </c>
      <c r="AQ273" s="175">
        <f>VLOOKUP(C273,$B$45:$AA$48,13,FALSE)</f>
        <v>412</v>
      </c>
      <c r="AR273" s="31">
        <f>IF(LEFT(E273,1)*1=1,$S$60,$R$60)</f>
        <v>1</v>
      </c>
      <c r="AS273" s="2">
        <f>IF(LEFT(E273,1)*1=2,$U$60,$T$60)</f>
        <v>1</v>
      </c>
      <c r="AT273" s="33">
        <f>IF(LEFT(E273,1)*1=3,$W$60,$V$60)</f>
        <v>0</v>
      </c>
      <c r="AU273" s="31">
        <f>IF(MID(E273,3,1)*1=1,$Y$60,$X$60)</f>
        <v>1</v>
      </c>
      <c r="AV273" s="2">
        <f>IF(MID(E273,3,1)*1=2,$AA$60,$Z$60)</f>
        <v>0</v>
      </c>
      <c r="AW273" s="33">
        <f>IF(MID(E273,3,1)*1=3,$AC$60,$AB$60)</f>
        <v>0</v>
      </c>
      <c r="AX273" s="31">
        <f>IF(MID(E273,5,1)*1=1,$AE$60,$AD$60)</f>
        <v>1</v>
      </c>
      <c r="AY273" s="33">
        <f>IF(MID(E273,5,1)*1=2,$AG$60,$AF$60)</f>
        <v>0</v>
      </c>
      <c r="AZ273" s="2"/>
      <c r="BA273" s="101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 ht="12" customHeight="1">
      <c r="A274" s="2"/>
      <c r="B274" s="107">
        <v>159</v>
      </c>
      <c r="C274" s="31">
        <v>10</v>
      </c>
      <c r="D274" s="106" t="s">
        <v>10</v>
      </c>
      <c r="E274" s="2" t="s">
        <v>150</v>
      </c>
      <c r="F274" s="2" t="s">
        <v>149</v>
      </c>
      <c r="G274" s="2" t="s">
        <v>137</v>
      </c>
      <c r="H274" s="33"/>
      <c r="I274" s="173">
        <f>M274/AE274</f>
        <v>886.0011161493577</v>
      </c>
      <c r="J274" s="174">
        <f>AH274/AE274</f>
        <v>25.811482952392598</v>
      </c>
      <c r="K274" s="207">
        <f>RANK(I274,$I$76:$I$977)</f>
        <v>198</v>
      </c>
      <c r="L274" s="208">
        <f>RANK(I274,$I$76:$I$450)</f>
        <v>198</v>
      </c>
      <c r="M274" s="173">
        <f>SUM(N274:R274)</f>
        <v>14142.250583851039</v>
      </c>
      <c r="N274" s="174">
        <f>T274*(1+((AG274+IF(F274="백어택",8,0))/100)*((AI274/100-1)))</f>
        <v>14142.250583851039</v>
      </c>
      <c r="O274" s="174"/>
      <c r="P274" s="174"/>
      <c r="Q274" s="174"/>
      <c r="R274" s="175"/>
      <c r="S274" s="173">
        <f>SUM(T274:X274)</f>
        <v>9717.9493113014632</v>
      </c>
      <c r="T274" s="174">
        <f>AL274*AS274*AU274*AX274*IF(AY274=0,1,0.5)*IF(F274="백어택",1.2,1)</f>
        <v>9717.9493113014632</v>
      </c>
      <c r="U274" s="174"/>
      <c r="V274" s="174"/>
      <c r="W274" s="174"/>
      <c r="X274" s="175"/>
      <c r="Y274" s="173">
        <f>SUM(Z274:AD274)</f>
        <v>26103.461388681349</v>
      </c>
      <c r="Z274" s="174">
        <f>T274*AI274/100</f>
        <v>26103.461388681349</v>
      </c>
      <c r="AA274" s="174"/>
      <c r="AB274" s="174"/>
      <c r="AC274" s="174"/>
      <c r="AD274" s="175"/>
      <c r="AE274" s="173">
        <f>AO274*(1-$D$17/100)</f>
        <v>15.961888</v>
      </c>
      <c r="AF274" s="174">
        <f>AP274</f>
        <v>36</v>
      </c>
      <c r="AG274" s="174">
        <f>IF($D$57+AV274&gt;100,100,$D$57+AV274)</f>
        <v>19.001300000000001</v>
      </c>
      <c r="AH274" s="174">
        <f>AQ274</f>
        <v>412</v>
      </c>
      <c r="AI274" s="174">
        <f>$D$58+$D$19</f>
        <v>268.61079999999998</v>
      </c>
      <c r="AJ274" s="174">
        <f>10*AR274/(7-IF(AX274=1,0,3))</f>
        <v>1.2142857142857142</v>
      </c>
      <c r="AK274" s="174">
        <f>SUM(AL274:AN274)</f>
        <v>8098.2910927512203</v>
      </c>
      <c r="AL274" s="174">
        <f>(VLOOKUP(C274,$B$36:$AG$39,13,FALSE)+VLOOKUP(C274,$B$40:$AG$43,13,FALSE)*$D$54)*$D$59/100</f>
        <v>8098.2910927512203</v>
      </c>
      <c r="AM274" s="174"/>
      <c r="AN274" s="174"/>
      <c r="AO274" s="176">
        <v>16</v>
      </c>
      <c r="AP274" s="174">
        <v>36</v>
      </c>
      <c r="AQ274" s="175">
        <f>VLOOKUP(C274,$B$45:$AA$48,13,FALSE)</f>
        <v>412</v>
      </c>
      <c r="AR274" s="31">
        <f>IF(LEFT(E274,1)*1=1,$S$60,$R$60)</f>
        <v>0.85</v>
      </c>
      <c r="AS274" s="2">
        <f>IF(LEFT(E274,1)*1=2,$U$60,$T$60)</f>
        <v>1</v>
      </c>
      <c r="AT274" s="33">
        <f>IF(LEFT(E274,1)*1=3,$W$60,$V$60)</f>
        <v>0</v>
      </c>
      <c r="AU274" s="31">
        <f>IF(MID(E274,3,1)*1=1,$Y$60,$X$60)</f>
        <v>1</v>
      </c>
      <c r="AV274" s="2">
        <f>IF(MID(E274,3,1)*1=2,$AA$60,$Z$60)</f>
        <v>0</v>
      </c>
      <c r="AW274" s="33">
        <f>IF(MID(E274,3,1)*1=3,$AC$60,$AB$60)</f>
        <v>0</v>
      </c>
      <c r="AX274" s="31">
        <f>IF(MID(E274,5,1)*1=1,$AE$60,$AD$60)</f>
        <v>1</v>
      </c>
      <c r="AY274" s="33">
        <f>IF(MID(E274,5,1)*1=2,$AG$60,$AF$60)</f>
        <v>0</v>
      </c>
      <c r="AZ274" s="2"/>
      <c r="BA274" s="101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 ht="12" customHeight="1">
      <c r="A275" s="2"/>
      <c r="B275" s="107">
        <v>553</v>
      </c>
      <c r="C275" s="31">
        <v>10</v>
      </c>
      <c r="D275" s="111" t="s">
        <v>14</v>
      </c>
      <c r="E275" s="2" t="s">
        <v>92</v>
      </c>
      <c r="F275" s="2" t="s">
        <v>149</v>
      </c>
      <c r="G275" s="2"/>
      <c r="H275" s="33" t="s">
        <v>81</v>
      </c>
      <c r="I275" s="173">
        <f>M275/AE275</f>
        <v>884.27884094667274</v>
      </c>
      <c r="J275" s="174">
        <f>AH275/AE275</f>
        <v>23.695174714659018</v>
      </c>
      <c r="K275" s="207">
        <f>RANK(I275,$I$76:$I$977)</f>
        <v>200</v>
      </c>
      <c r="L275" s="208" t="e">
        <f>RANK(I275,$I$451:$I$866)</f>
        <v>#N/A</v>
      </c>
      <c r="M275" s="173">
        <f>SUM(N275:R275)</f>
        <v>24518.544619236178</v>
      </c>
      <c r="N275" s="174">
        <f>T275*(1+((AG275+IF(F275="백어택",8,0))/100)*(AI275/100-1))</f>
        <v>7316.1229606319239</v>
      </c>
      <c r="O275" s="174">
        <f>U275*(1+((AG275+IF(F275="백어택",8,0))/100)*(AI275/100-1))</f>
        <v>7316.1229606319239</v>
      </c>
      <c r="P275" s="174">
        <f>V275*(1+((AG275+IF(F275="백어택",8,0))/100)*(AI275*IF(AX275=1,AW275,1)/100-1))</f>
        <v>9886.2986979723282</v>
      </c>
      <c r="Q275" s="174">
        <f>W275*(1+((AG275+IF(F275="백어택",8,0))/100)*(AI275*AW275/100-1))</f>
        <v>0</v>
      </c>
      <c r="R275" s="175"/>
      <c r="S275" s="173">
        <f>SUM(T275:X275)</f>
        <v>17450.679239139514</v>
      </c>
      <c r="T275" s="174">
        <f>AL275*AY275*IF(F275="백어택",1.2,1)</f>
        <v>5207.1326843733659</v>
      </c>
      <c r="U275" s="174">
        <f>AM275*AY275*IF(F275="백어택",1.2,1)</f>
        <v>5207.1326843733659</v>
      </c>
      <c r="V275" s="174">
        <f>AN275*AY275*IF(F275="백어택",1.2,1)</f>
        <v>7036.4138703927802</v>
      </c>
      <c r="W275" s="174">
        <f>(T275+U275+V275)*IF(AX275=1,0,0.6)*IF(F275="백어택",1.2,1)</f>
        <v>0</v>
      </c>
      <c r="X275" s="175"/>
      <c r="Y275" s="173">
        <f>SUM(Z275:AD275)</f>
        <v>43626.698097848785</v>
      </c>
      <c r="Z275" s="174">
        <f>T275*AI275/100</f>
        <v>13017.831710933415</v>
      </c>
      <c r="AA275" s="174">
        <f>U275*AI275/100</f>
        <v>13017.831710933415</v>
      </c>
      <c r="AB275" s="174">
        <f>V275*AI275*IF(AX275=1,AW275,1)/100</f>
        <v>17591.034675981951</v>
      </c>
      <c r="AC275" s="174">
        <f>W275*AI275*AW275/100</f>
        <v>0</v>
      </c>
      <c r="AD275" s="175"/>
      <c r="AE275" s="173">
        <f>AO275*(1-$D$20/100)*(1-$D$17/100)</f>
        <v>27.727164197424003</v>
      </c>
      <c r="AF275" s="174">
        <f>AP275</f>
        <v>36</v>
      </c>
      <c r="AG275" s="174">
        <f>IF($D$57+AU275&gt;100,100,$D$57+AU275)</f>
        <v>19.001300000000001</v>
      </c>
      <c r="AH275" s="174">
        <f>AQ275*AS275</f>
        <v>657</v>
      </c>
      <c r="AI275" s="174">
        <f>$D$58+IF(H275="근접",AR275,0)+IF(AY275=1,0,50)</f>
        <v>250</v>
      </c>
      <c r="AJ275" s="174">
        <f>10/3</f>
        <v>3.3333333333333335</v>
      </c>
      <c r="AK275" s="174">
        <f>SUM(AL275:AN275)</f>
        <v>12118.527249402439</v>
      </c>
      <c r="AL275" s="174">
        <f>(IF(H275="근접",$D$61*(VLOOKUP(C275,$B$36:$AG$39,19,FALSE)+VLOOKUP(C275,$B$40:$AG$43,19,FALSE)*$D$54),$D$60*(VLOOKUP(C275,$B$36:$AG$39,19,FALSE)+VLOOKUP(C275,$B$40:$AG$43,19,FALSE)*$D$54)))*$D$59/100</f>
        <v>3616.0643641481706</v>
      </c>
      <c r="AM275" s="174">
        <f>(IF(H275="근접",$D$61*(VLOOKUP(C275,$B$36:$AG$39,20,FALSE)+VLOOKUP(C275,$B$40:$AG$43,20,FALSE)*$D$54),$D$60*(VLOOKUP(C275,$B$36:$AG$39,20,FALSE)+VLOOKUP(C275,$B$40:$AG$43,20,FALSE)*$D$54)))*$D$59/100</f>
        <v>3616.0643641481706</v>
      </c>
      <c r="AN275" s="174">
        <f>(IF(H275="근접",$D$61*(VLOOKUP(C275,$B$36:$AG$39,21,FALSE)+VLOOKUP(C275,$B$40:$AG$43,21,FALSE)*$D$54),$D$60*(VLOOKUP(C275,$B$36:$AG$39,21,FALSE)+VLOOKUP(C275,$B$40:$AG$43,21,FALSE)*$D$54)))*$D$59/100</f>
        <v>4886.3985211060972</v>
      </c>
      <c r="AO275" s="176">
        <v>36</v>
      </c>
      <c r="AP275" s="174">
        <v>36</v>
      </c>
      <c r="AQ275" s="175">
        <f>VLOOKUP(C275,$B$45:$AA$48,19,FALSE)</f>
        <v>657</v>
      </c>
      <c r="AR275" s="31">
        <f>IF(LEFT(E275,1)*1=1,$S$64,$R$64)</f>
        <v>0</v>
      </c>
      <c r="AS275" s="2">
        <f>IF(LEFT(E275,1)*1=2,$U$64,$T$64)</f>
        <v>1</v>
      </c>
      <c r="AT275" s="33">
        <f>IF(LEFT(E275,1)*1=3,$W$64,$V$64)</f>
        <v>0</v>
      </c>
      <c r="AU275" s="31">
        <f>IF(MID(E275,3,1)*1=1,$Y$64,$X$64)</f>
        <v>0</v>
      </c>
      <c r="AV275" s="2">
        <f>IF(MID(E275,3,1)*1=2,$AA$64,$Z$64)</f>
        <v>0</v>
      </c>
      <c r="AW275" s="33">
        <f>IF(MID(E275,3,1)*1=3,$AC$64,$AB$64)</f>
        <v>1</v>
      </c>
      <c r="AX275" s="31">
        <f>IF(MID(E275,5,1)*1=1,$AE$64,$AD$64)</f>
        <v>1</v>
      </c>
      <c r="AY275" s="33">
        <f>IF(MID(E275,5,1)*1=2,$AG$64,$AF$64)</f>
        <v>1.2</v>
      </c>
      <c r="AZ275" s="2"/>
      <c r="BA275" s="101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 ht="12" customHeight="1">
      <c r="A276" s="2"/>
      <c r="B276" s="107">
        <v>559</v>
      </c>
      <c r="C276" s="31">
        <v>10</v>
      </c>
      <c r="D276" s="111" t="s">
        <v>14</v>
      </c>
      <c r="E276" s="2" t="s">
        <v>99</v>
      </c>
      <c r="F276" s="2" t="s">
        <v>149</v>
      </c>
      <c r="G276" s="2"/>
      <c r="H276" s="33" t="s">
        <v>81</v>
      </c>
      <c r="I276" s="173">
        <f>M276/AE276</f>
        <v>884.27884094667274</v>
      </c>
      <c r="J276" s="174">
        <f>AH276/AE276</f>
        <v>11.847587357329509</v>
      </c>
      <c r="K276" s="207">
        <f>RANK(I276,$I$76:$I$977)</f>
        <v>200</v>
      </c>
      <c r="L276" s="208" t="e">
        <f>RANK(I276,$I$451:$I$866)</f>
        <v>#N/A</v>
      </c>
      <c r="M276" s="173">
        <f>SUM(N276:R276)</f>
        <v>24518.544619236178</v>
      </c>
      <c r="N276" s="174">
        <f>T276*(1+((AG276+IF(F276="백어택",8,0))/100)*(AI276/100-1))</f>
        <v>7316.1229606319239</v>
      </c>
      <c r="O276" s="174">
        <f>U276*(1+((AG276+IF(F276="백어택",8,0))/100)*(AI276/100-1))</f>
        <v>7316.1229606319239</v>
      </c>
      <c r="P276" s="174">
        <f>V276*(1+((AG276+IF(F276="백어택",8,0))/100)*(AI276*IF(AX276=1,AW276,1)/100-1))</f>
        <v>9886.2986979723282</v>
      </c>
      <c r="Q276" s="174">
        <f>W276*(1+((AG276+IF(F276="백어택",8,0))/100)*(AI276*AW276/100-1))</f>
        <v>0</v>
      </c>
      <c r="R276" s="175"/>
      <c r="S276" s="173">
        <f>SUM(T276:X276)</f>
        <v>17450.679239139514</v>
      </c>
      <c r="T276" s="174">
        <f>AL276*AY276*IF(F276="백어택",1.2,1)</f>
        <v>5207.1326843733659</v>
      </c>
      <c r="U276" s="174">
        <f>AM276*AY276*IF(F276="백어택",1.2,1)</f>
        <v>5207.1326843733659</v>
      </c>
      <c r="V276" s="174">
        <f>AN276*AY276*IF(F276="백어택",1.2,1)</f>
        <v>7036.4138703927802</v>
      </c>
      <c r="W276" s="174">
        <f>(T276+U276+V276)*IF(AX276=1,0,0.6)*IF(F276="백어택",1.2,1)</f>
        <v>0</v>
      </c>
      <c r="X276" s="175"/>
      <c r="Y276" s="173">
        <f>SUM(Z276:AD276)</f>
        <v>43626.698097848785</v>
      </c>
      <c r="Z276" s="174">
        <f>T276*AI276/100</f>
        <v>13017.831710933415</v>
      </c>
      <c r="AA276" s="174">
        <f>U276*AI276/100</f>
        <v>13017.831710933415</v>
      </c>
      <c r="AB276" s="174">
        <f>V276*AI276*IF(AX276=1,AW276,1)/100</f>
        <v>17591.034675981951</v>
      </c>
      <c r="AC276" s="174">
        <f>W276*AI276*AW276/100</f>
        <v>0</v>
      </c>
      <c r="AD276" s="175"/>
      <c r="AE276" s="173">
        <f>AO276*(1-$D$20/100)*(1-$D$17/100)</f>
        <v>27.727164197424003</v>
      </c>
      <c r="AF276" s="174">
        <f>AP276</f>
        <v>36</v>
      </c>
      <c r="AG276" s="174">
        <f>IF($D$57+AU276&gt;100,100,$D$57+AU276)</f>
        <v>19.001300000000001</v>
      </c>
      <c r="AH276" s="174">
        <f>AQ276*AS276</f>
        <v>328.5</v>
      </c>
      <c r="AI276" s="174">
        <f>$D$58+IF(H276="근접",AR276,0)+IF(AY276=1,0,50)</f>
        <v>250</v>
      </c>
      <c r="AJ276" s="174">
        <f>10/3</f>
        <v>3.3333333333333335</v>
      </c>
      <c r="AK276" s="174">
        <f>SUM(AL276:AN276)</f>
        <v>12118.527249402439</v>
      </c>
      <c r="AL276" s="174">
        <f>(IF(H276="근접",$D$61*(VLOOKUP(C276,$B$36:$AG$39,19,FALSE)+VLOOKUP(C276,$B$40:$AG$43,19,FALSE)*$D$54),$D$60*(VLOOKUP(C276,$B$36:$AG$39,19,FALSE)+VLOOKUP(C276,$B$40:$AG$43,19,FALSE)*$D$54)))*$D$59/100</f>
        <v>3616.0643641481706</v>
      </c>
      <c r="AM276" s="174">
        <f>(IF(H276="근접",$D$61*(VLOOKUP(C276,$B$36:$AG$39,20,FALSE)+VLOOKUP(C276,$B$40:$AG$43,20,FALSE)*$D$54),$D$60*(VLOOKUP(C276,$B$36:$AG$39,20,FALSE)+VLOOKUP(C276,$B$40:$AG$43,20,FALSE)*$D$54)))*$D$59/100</f>
        <v>3616.0643641481706</v>
      </c>
      <c r="AN276" s="174">
        <f>(IF(H276="근접",$D$61*(VLOOKUP(C276,$B$36:$AG$39,21,FALSE)+VLOOKUP(C276,$B$40:$AG$43,21,FALSE)*$D$54),$D$60*(VLOOKUP(C276,$B$36:$AG$39,21,FALSE)+VLOOKUP(C276,$B$40:$AG$43,21,FALSE)*$D$54)))*$D$59/100</f>
        <v>4886.3985211060972</v>
      </c>
      <c r="AO276" s="176">
        <v>36</v>
      </c>
      <c r="AP276" s="174">
        <v>36</v>
      </c>
      <c r="AQ276" s="175">
        <f>VLOOKUP(C276,$B$45:$AA$48,19,FALSE)</f>
        <v>657</v>
      </c>
      <c r="AR276" s="31">
        <f>IF(LEFT(E276,1)*1=1,$S$64,$R$64)</f>
        <v>0</v>
      </c>
      <c r="AS276" s="2">
        <f>IF(LEFT(E276,1)*1=2,$U$64,$T$64)</f>
        <v>0.5</v>
      </c>
      <c r="AT276" s="33">
        <f>IF(LEFT(E276,1)*1=3,$W$64,$V$64)</f>
        <v>0</v>
      </c>
      <c r="AU276" s="31">
        <f>IF(MID(E276,3,1)*1=1,$Y$64,$X$64)</f>
        <v>0</v>
      </c>
      <c r="AV276" s="2">
        <f>IF(MID(E276,3,1)*1=2,$AA$64,$Z$64)</f>
        <v>0</v>
      </c>
      <c r="AW276" s="33">
        <f>IF(MID(E276,3,1)*1=3,$AC$64,$AB$64)</f>
        <v>1</v>
      </c>
      <c r="AX276" s="31">
        <f>IF(MID(E276,5,1)*1=1,$AE$64,$AD$64)</f>
        <v>1</v>
      </c>
      <c r="AY276" s="33">
        <f>IF(MID(E276,5,1)*1=2,$AG$64,$AF$64)</f>
        <v>1.2</v>
      </c>
      <c r="AZ276" s="2"/>
      <c r="BA276" s="101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 ht="12" customHeight="1">
      <c r="A277" s="2"/>
      <c r="B277" s="107">
        <v>610</v>
      </c>
      <c r="C277" s="31">
        <v>10</v>
      </c>
      <c r="D277" s="111" t="s">
        <v>18</v>
      </c>
      <c r="E277" s="2" t="s">
        <v>162</v>
      </c>
      <c r="F277" s="2"/>
      <c r="G277" s="2"/>
      <c r="H277" s="33" t="s">
        <v>81</v>
      </c>
      <c r="I277" s="173">
        <f>M277/AE277</f>
        <v>882.25242400173067</v>
      </c>
      <c r="J277" s="174">
        <f>AH277/AE277</f>
        <v>28.185356224514496</v>
      </c>
      <c r="K277" s="207">
        <f>RANK(I277,$I$76:$I$977)</f>
        <v>202</v>
      </c>
      <c r="L277" s="208" t="e">
        <f>RANK(I277,$I$451:$I$866)</f>
        <v>#N/A</v>
      </c>
      <c r="M277" s="173">
        <f>SUM(N277:R277)</f>
        <v>16308.23854924755</v>
      </c>
      <c r="N277" s="174">
        <f>T277*(1+((AG277+IF(F277="백어택",8,0))/100)*(AI277/100-1))</f>
        <v>16308.23854924755</v>
      </c>
      <c r="O277" s="174">
        <f>U277*(1+(($D$57+IF(F277="백어택",8,0))/100)*(AI277/100-1))</f>
        <v>0</v>
      </c>
      <c r="P277" s="174"/>
      <c r="Q277" s="174"/>
      <c r="R277" s="175"/>
      <c r="S277" s="173">
        <f>SUM(T277:X277)</f>
        <v>13704.252431904148</v>
      </c>
      <c r="T277" s="174">
        <f>AL277*IF(H277="근접",AT277,IF(AV277=1,AT277,1))*AX277*IF(F277="백어택",1.2,1)</f>
        <v>13704.252431904148</v>
      </c>
      <c r="U277" s="174">
        <f>IF(AX277=1,AM277*IF(H277="근접",AT277,IF(AV277=1,AT277,1)),0)*AY277*IF(AX277=1,1,0)*IF(F277="백어택",1.2,1)</f>
        <v>0</v>
      </c>
      <c r="V277" s="174"/>
      <c r="W277" s="174"/>
      <c r="X277" s="175"/>
      <c r="Y277" s="173">
        <f>SUM(Z277:AD277)</f>
        <v>27408.504863808295</v>
      </c>
      <c r="Z277" s="174">
        <f>T277*$D$58/100</f>
        <v>27408.504863808295</v>
      </c>
      <c r="AA277" s="174">
        <f>U277*$D$58/100</f>
        <v>0</v>
      </c>
      <c r="AB277" s="174"/>
      <c r="AC277" s="174"/>
      <c r="AD277" s="175"/>
      <c r="AE277" s="173">
        <f>(AO277*(1-$D$20/100)*(1-$D$17/100)-AR277)*IF(AW277="보스대상",1,POWER(0.85,AW277))</f>
        <v>18.484776131615998</v>
      </c>
      <c r="AF277" s="174">
        <f>AP277</f>
        <v>36</v>
      </c>
      <c r="AG277" s="174">
        <f>IF($D$57+AU277&gt;100,100,$D$57+AU277)</f>
        <v>19.001300000000001</v>
      </c>
      <c r="AH277" s="174">
        <f>AQ277</f>
        <v>521</v>
      </c>
      <c r="AI277" s="174">
        <f>$D$58</f>
        <v>200</v>
      </c>
      <c r="AJ277" s="174">
        <f>10*AS277/IF(AX277=1,IF(AY277=1,4.5,4),4)</f>
        <v>2</v>
      </c>
      <c r="AK277" s="174">
        <f>SUM(AL277:AN277)</f>
        <v>8196.5010303036597</v>
      </c>
      <c r="AL277" s="174">
        <f>IF(AV277=1,$D$61*(VLOOKUP(C277,$B$36:$AG$39,25,FALSE)+VLOOKUP(C277,$B$40:$AG$43,25,FALSE)*$D$54),(IF(H277="근접",$D$61*(VLOOKUP(C277,$B$36:$AG$39,25,FALSE)+VLOOKUP(C277,$B$40:$AG$43,25,FALSE)*$D$54),$D$60*(VLOOKUP(C277,$B$36:$AG$39,25,FALSE)+VLOOKUP(C277,$B$40:$AG$43,25,FALSE)*$D$54))))*$D$59/100</f>
        <v>4894.3758685371959</v>
      </c>
      <c r="AM277" s="174">
        <f>(IF(AV277=1,$D$61*(VLOOKUP(C277,$B$36:$AG$39,26,FALSE)+VLOOKUP(C277,$B$40:$AG$43,26,FALSE)*$D$54),IF(H277="근접",$D$61*(VLOOKUP(C277,$B$36:$AG$39,26,FALSE)+VLOOKUP(C277,$B$40:$AG$43,26,FALSE)*$D$54),$D$60*(VLOOKUP(C277,$B$36:$AG$39,26,FALSE)+VLOOKUP(C277,$B$40:$AG$43,26,FALSE)*$D$54))))*$D$59/100</f>
        <v>3302.1251617664634</v>
      </c>
      <c r="AN277" s="174"/>
      <c r="AO277" s="176">
        <v>24</v>
      </c>
      <c r="AP277" s="174">
        <v>36</v>
      </c>
      <c r="AQ277" s="175">
        <f>VLOOKUP(C277,$B$45:$AA$48,25,FALSE)</f>
        <v>521</v>
      </c>
      <c r="AR277" s="31">
        <f>IF(LEFT(E277,1)*1=1,$S$68,$R$68)</f>
        <v>0</v>
      </c>
      <c r="AS277" s="2">
        <f>IF(LEFT(E277,1)*1=2,$U$68,$T$68)</f>
        <v>0.8</v>
      </c>
      <c r="AT277" s="33">
        <f>IF(LEFT(E277,1)*1=3,$W$68,$V$68)</f>
        <v>1</v>
      </c>
      <c r="AU277" s="31">
        <f>IF(MID(E277,3,1)*1=1,$Y$68,$X$68)</f>
        <v>0</v>
      </c>
      <c r="AV277" s="2">
        <f>IF(MID(E277,3,1)*1=2,$AA$68,$Z$68)</f>
        <v>1</v>
      </c>
      <c r="AW277" s="33" t="str">
        <f>IF(MID(E277,3,1)*1=3,$AC$68,$AB$68)</f>
        <v>보스대상</v>
      </c>
      <c r="AX277" s="31">
        <f>IF(MID(E277,5,1)*1=1,$AE$68,$AD$68)</f>
        <v>2.8</v>
      </c>
      <c r="AY277" s="33">
        <f>IF(MID(E277,5,1)*1=2,$AG$68,$AF$68)</f>
        <v>1</v>
      </c>
      <c r="AZ277" s="2"/>
      <c r="BA277" s="101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 ht="12" customHeight="1">
      <c r="A278" s="2"/>
      <c r="B278" s="107">
        <v>641</v>
      </c>
      <c r="C278" s="31">
        <v>10</v>
      </c>
      <c r="D278" s="111" t="s">
        <v>18</v>
      </c>
      <c r="E278" s="2" t="s">
        <v>162</v>
      </c>
      <c r="F278" s="2"/>
      <c r="G278" s="2"/>
      <c r="H278" s="33" t="s">
        <v>80</v>
      </c>
      <c r="I278" s="173">
        <f>M278/AE278</f>
        <v>882.25242400173067</v>
      </c>
      <c r="J278" s="174">
        <f>AH278/AE278</f>
        <v>28.185356224514496</v>
      </c>
      <c r="K278" s="207">
        <f>RANK(I278,$I$76:$I$977)</f>
        <v>202</v>
      </c>
      <c r="L278" s="208" t="e">
        <f>RANK(I278,$I$451:$I$866)</f>
        <v>#N/A</v>
      </c>
      <c r="M278" s="173">
        <f>SUM(N278:R278)</f>
        <v>16308.23854924755</v>
      </c>
      <c r="N278" s="174">
        <f>T278*(1+((AG278+IF(F278="백어택",8,0))/100)*(AI278/100-1))</f>
        <v>16308.23854924755</v>
      </c>
      <c r="O278" s="174">
        <f>U278*(1+(($D$57+IF(F278="백어택",8,0))/100)*(AI278/100-1))</f>
        <v>0</v>
      </c>
      <c r="P278" s="174"/>
      <c r="Q278" s="174"/>
      <c r="R278" s="175"/>
      <c r="S278" s="173">
        <f>SUM(T278:X278)</f>
        <v>13704.252431904148</v>
      </c>
      <c r="T278" s="174">
        <f>AL278*IF(H278="근접",AT278,IF(AV278=1,AT278,1))*AX278*IF(F278="백어택",1.2,1)</f>
        <v>13704.252431904148</v>
      </c>
      <c r="U278" s="174">
        <f>IF(AX278=1,AM278*IF(H278="근접",AT278,IF(AV278=1,AT278,1)),0)*AY278*IF(AX278=1,1,0)*IF(F278="백어택",1.2,1)</f>
        <v>0</v>
      </c>
      <c r="V278" s="174"/>
      <c r="W278" s="174"/>
      <c r="X278" s="175"/>
      <c r="Y278" s="173">
        <f>SUM(Z278:AD278)</f>
        <v>27408.504863808295</v>
      </c>
      <c r="Z278" s="174">
        <f>T278*$D$58/100</f>
        <v>27408.504863808295</v>
      </c>
      <c r="AA278" s="174">
        <f>U278*$D$58/100</f>
        <v>0</v>
      </c>
      <c r="AB278" s="174"/>
      <c r="AC278" s="174"/>
      <c r="AD278" s="175"/>
      <c r="AE278" s="173">
        <f>(AO278*(1-$D$20/100)*(1-$D$17/100)-AR278)*IF(AW278="보스대상",1,POWER(0.85,AW278))</f>
        <v>18.484776131615998</v>
      </c>
      <c r="AF278" s="174">
        <f>AP278</f>
        <v>36</v>
      </c>
      <c r="AG278" s="174">
        <f>IF($D$57+AU278&gt;100,100,$D$57+AU278)</f>
        <v>19.001300000000001</v>
      </c>
      <c r="AH278" s="174">
        <f>AQ278</f>
        <v>521</v>
      </c>
      <c r="AI278" s="174">
        <f>$D$58</f>
        <v>200</v>
      </c>
      <c r="AJ278" s="174">
        <f>10*AS278/IF(AX278=1,IF(AY278=1,4.5,4),4)</f>
        <v>2</v>
      </c>
      <c r="AK278" s="174">
        <f>SUM(AL278:AN278)</f>
        <v>8196.5010303036597</v>
      </c>
      <c r="AL278" s="174">
        <f>IF(AV278=1,$D$61*(VLOOKUP(C278,$B$36:$AG$39,25,FALSE)+VLOOKUP(C278,$B$40:$AG$43,25,FALSE)*$D$54),(IF(H278="근접",$D$61*(VLOOKUP(C278,$B$36:$AG$39,25,FALSE)+VLOOKUP(C278,$B$40:$AG$43,25,FALSE)*$D$54),$D$60*(VLOOKUP(C278,$B$36:$AG$39,25,FALSE)+VLOOKUP(C278,$B$40:$AG$43,25,FALSE)*$D$54))))*$D$59/100</f>
        <v>4894.3758685371959</v>
      </c>
      <c r="AM278" s="174">
        <f>(IF(AV278=1,$D$61*(VLOOKUP(C278,$B$36:$AG$39,26,FALSE)+VLOOKUP(C278,$B$40:$AG$43,26,FALSE)*$D$54),IF(H278="근접",$D$61*(VLOOKUP(C278,$B$36:$AG$39,26,FALSE)+VLOOKUP(C278,$B$40:$AG$43,26,FALSE)*$D$54),$D$60*(VLOOKUP(C278,$B$36:$AG$39,26,FALSE)+VLOOKUP(C278,$B$40:$AG$43,26,FALSE)*$D$54))))*$D$59/100</f>
        <v>3302.1251617664634</v>
      </c>
      <c r="AN278" s="174"/>
      <c r="AO278" s="176">
        <v>24</v>
      </c>
      <c r="AP278" s="174">
        <v>36</v>
      </c>
      <c r="AQ278" s="175">
        <f>VLOOKUP(C278,$B$45:$AA$48,25,FALSE)</f>
        <v>521</v>
      </c>
      <c r="AR278" s="31">
        <f>IF(LEFT(E278,1)*1=1,$S$68,$R$68)</f>
        <v>0</v>
      </c>
      <c r="AS278" s="2">
        <f>IF(LEFT(E278,1)*1=2,$U$68,$T$68)</f>
        <v>0.8</v>
      </c>
      <c r="AT278" s="33">
        <f>IF(LEFT(E278,1)*1=3,$W$68,$V$68)</f>
        <v>1</v>
      </c>
      <c r="AU278" s="31">
        <f>IF(MID(E278,3,1)*1=1,$Y$68,$X$68)</f>
        <v>0</v>
      </c>
      <c r="AV278" s="2">
        <f>IF(MID(E278,3,1)*1=2,$AA$68,$Z$68)</f>
        <v>1</v>
      </c>
      <c r="AW278" s="33" t="str">
        <f>IF(MID(E278,3,1)*1=3,$AC$68,$AB$68)</f>
        <v>보스대상</v>
      </c>
      <c r="AX278" s="31">
        <f>IF(MID(E278,5,1)*1=1,$AE$68,$AD$68)</f>
        <v>2.8</v>
      </c>
      <c r="AY278" s="33">
        <f>IF(MID(E278,5,1)*1=2,$AG$68,$AF$68)</f>
        <v>1</v>
      </c>
      <c r="AZ278" s="2"/>
      <c r="BA278" s="101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 ht="12" customHeight="1">
      <c r="A279" s="2"/>
      <c r="B279" s="107">
        <v>379</v>
      </c>
      <c r="C279" s="31">
        <v>10</v>
      </c>
      <c r="D279" s="111" t="s">
        <v>8</v>
      </c>
      <c r="E279" s="2" t="s">
        <v>150</v>
      </c>
      <c r="F279" s="2"/>
      <c r="G279" s="2"/>
      <c r="H279" s="33" t="s">
        <v>81</v>
      </c>
      <c r="I279" s="173">
        <f>M279/AE279</f>
        <v>879.50158410642769</v>
      </c>
      <c r="J279" s="174">
        <f>AH279/AE279</f>
        <v>39.459498714320297</v>
      </c>
      <c r="K279" s="207">
        <f>RANK(I279,$I$76:$I$977)</f>
        <v>204</v>
      </c>
      <c r="L279" s="208" t="e">
        <f>RANK(I279,$I$451:$I$866)</f>
        <v>#N/A</v>
      </c>
      <c r="M279" s="173">
        <f>SUM(N279:R279)</f>
        <v>16257.389889608956</v>
      </c>
      <c r="N279" s="174">
        <f>T279*(1+((AG279+IF(F279="백어택",8,0))/100)*(IF(AY279=1,$D$58,$D$58+50)/100-1))</f>
        <v>4576.2989154357156</v>
      </c>
      <c r="O279" s="174">
        <f>U279*(1+((AG279+IF(F279="백어택",8,0))/100)*(AI279/100-1))</f>
        <v>5840.5454870866206</v>
      </c>
      <c r="P279" s="174">
        <f>V279*(1+((AG279+IF(F279="백어택",8,0))/100)*(AI279/100-1))</f>
        <v>5840.5454870866206</v>
      </c>
      <c r="Q279" s="174"/>
      <c r="R279" s="175"/>
      <c r="S279" s="173">
        <f>SUM(T279:X279)</f>
        <v>13661.522932614145</v>
      </c>
      <c r="T279" s="174">
        <f>AL279*IF(H279="근접",AR279,1)*AY279*IF(F279="백어택",1.2,1)</f>
        <v>3845.5873300843905</v>
      </c>
      <c r="U279" s="174">
        <f>AM279*IF(H279="근접",AR279,1)*AY279*IF(F279="백어택",1.2,1)</f>
        <v>4907.9678012648774</v>
      </c>
      <c r="V279" s="174">
        <f>IF(AX279=1,0,AM279*IF(H279="근접",AR279,1)*AY279)*IF(F279="백어택",1.2,1)</f>
        <v>4907.9678012648774</v>
      </c>
      <c r="W279" s="174"/>
      <c r="X279" s="175"/>
      <c r="Y279" s="173">
        <f>SUM(Z279:AD279)</f>
        <v>27323.04586522829</v>
      </c>
      <c r="Z279" s="174">
        <f>T279*IF(AY279=1,$D$58,$D$58+50)/100</f>
        <v>7691.174660168781</v>
      </c>
      <c r="AA279" s="174">
        <f>U279*AI279/100</f>
        <v>9815.9356025297548</v>
      </c>
      <c r="AB279" s="174">
        <f>V279*AI279/100</f>
        <v>9815.9356025297548</v>
      </c>
      <c r="AC279" s="174"/>
      <c r="AD279" s="175"/>
      <c r="AE279" s="173">
        <f>AO279*(1-$D$20/100)*(1-$D$17/100)</f>
        <v>18.484776131615998</v>
      </c>
      <c r="AF279" s="174">
        <f>AP279</f>
        <v>36</v>
      </c>
      <c r="AG279" s="174">
        <f>IF($D$57+AU279&gt;100,100,$D$57+AU279)</f>
        <v>19.001300000000001</v>
      </c>
      <c r="AH279" s="174">
        <f>IF(AX279=1,AQ279,AQ279*1.4)</f>
        <v>729.4</v>
      </c>
      <c r="AI279" s="174">
        <f>IF(AY279=1,$D$58,$D$58+50)*AW279</f>
        <v>200</v>
      </c>
      <c r="AJ279" s="174">
        <f>10/6/AX279</f>
        <v>1.1111111111111112</v>
      </c>
      <c r="AK279" s="174">
        <f>SUM(AL279:AN279)</f>
        <v>7294.6292761243903</v>
      </c>
      <c r="AL279" s="174">
        <f>(IF(H279="근접",$D$61*(VLOOKUP(C279,$B$36:$AG$39,9,FALSE)+VLOOKUP(C279,$B$40:$AG$43,9,FALSE)*$D$54),$D$60*(VLOOKUP(C279,$B$36:$AG$39,9,FALSE)+VLOOKUP(C279,$B$40:$AG$43,9,FALSE)*$D$54)))*$D$59/100</f>
        <v>3204.6561084036589</v>
      </c>
      <c r="AM279" s="174">
        <f>(IF(H279="근접",$D$61*(VLOOKUP(C279,$B$36:$AG$39,10,FALSE)+VLOOKUP(C279,$B$40:$AG$43,10,FALSE)*$D$54),$D$60*(VLOOKUP(C279,$B$36:$AG$39,10,FALSE)+VLOOKUP(C279,$B$40:$AG$43,10,FALSE)*$D$54)))*$D$59/100</f>
        <v>4089.9731677207315</v>
      </c>
      <c r="AN279" s="174"/>
      <c r="AO279" s="176">
        <v>24</v>
      </c>
      <c r="AP279" s="174">
        <v>36</v>
      </c>
      <c r="AQ279" s="175">
        <f>VLOOKUP(C279,$B$45:$AA$48,9,FALSE)</f>
        <v>521</v>
      </c>
      <c r="AR279" s="31">
        <f>IF(LEFT(E279,1)*1=1,$S$58,$R$58)</f>
        <v>1.2</v>
      </c>
      <c r="AS279" s="2">
        <f>IF(LEFT(E279,1)*1=2,$U$58,$T$58)</f>
        <v>0</v>
      </c>
      <c r="AT279" s="33">
        <f>IF(LEFT(E279,1)*1=3,$W$58,$V$58)</f>
        <v>0</v>
      </c>
      <c r="AU279" s="31">
        <f>IF(MID(E279,3,1)*1=1,$Y$58,$X$58)</f>
        <v>0</v>
      </c>
      <c r="AV279" s="2">
        <f>IF(MID(E279,3,1)*1=2,$AA$58,$Z$58)</f>
        <v>0</v>
      </c>
      <c r="AW279" s="33">
        <f>IF(MID(E279,3,1)*1=3,$AC$58,$AB$58)</f>
        <v>1</v>
      </c>
      <c r="AX279" s="31">
        <f>IF(MID(E279,5,1)*1=1,$AE$58,$AD$58)</f>
        <v>1.5</v>
      </c>
      <c r="AY279" s="33">
        <f>IF(MID(E279,5,1)*1=2,$AG$58,$AF$58)</f>
        <v>1</v>
      </c>
      <c r="AZ279" s="2"/>
      <c r="BA279" s="101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 ht="12" customHeight="1">
      <c r="A280" s="2"/>
      <c r="B280" s="107">
        <v>838</v>
      </c>
      <c r="C280" s="31">
        <v>10</v>
      </c>
      <c r="D280" s="113" t="s">
        <v>15</v>
      </c>
      <c r="E280" s="2" t="s">
        <v>141</v>
      </c>
      <c r="F280" s="2"/>
      <c r="G280" s="1" t="s">
        <v>174</v>
      </c>
      <c r="H280" s="33">
        <f>IF(AX280=AT280,3,4)</f>
        <v>4</v>
      </c>
      <c r="I280" s="173">
        <f>M280/AE280</f>
        <v>878.82754460999683</v>
      </c>
      <c r="J280" s="174">
        <f>AH280/AE280</f>
        <v>19.780450366105395</v>
      </c>
      <c r="K280" s="207">
        <f>RANK(I280,$I$76:$I$977)</f>
        <v>205</v>
      </c>
      <c r="L280" s="208" t="e">
        <f>RANK(I280,$I$867:$I$977)</f>
        <v>#N/A</v>
      </c>
      <c r="M280" s="173">
        <f>SUM(N280:R280)*(1+$D$22/100)</f>
        <v>26302.025321962075</v>
      </c>
      <c r="N280" s="174">
        <f>T280*(1+((AG280+IF(F280="백어택",8,0))/100)*(AI280/100-1))</f>
        <v>3590.6285741015899</v>
      </c>
      <c r="O280" s="174">
        <f>U280*(1+(AG280/100)*(AI280/100-1))</f>
        <v>3590.6285741015899</v>
      </c>
      <c r="P280" s="174">
        <f>V280*(1+(AG280/100)*(AI280/100-1))</f>
        <v>3590.6285741015899</v>
      </c>
      <c r="Q280" s="174">
        <f>W280*(1+(AG280/100)*(AI280/100-1))</f>
        <v>3590.6285741015899</v>
      </c>
      <c r="R280" s="175">
        <f>X280*(1+(AG280/100)*(AI280/100-1))</f>
        <v>9335.6342926641355</v>
      </c>
      <c r="S280" s="173">
        <f>SUM(T280:X280)</f>
        <v>14904.374108306343</v>
      </c>
      <c r="T280" s="174">
        <f>AL280*AS280*AY280</f>
        <v>2258.2385012585369</v>
      </c>
      <c r="U280" s="174">
        <f>AL280*AS280*AY280</f>
        <v>2258.2385012585369</v>
      </c>
      <c r="V280" s="174">
        <f>AL280*AS280*AY280</f>
        <v>2258.2385012585369</v>
      </c>
      <c r="W280" s="174">
        <f>IF(H280=4,AL280*AS280*IF(AT280=0,AY280,1),0)</f>
        <v>2258.2385012585369</v>
      </c>
      <c r="X280" s="175">
        <f>AL280*IF(H280=3,11,IF(AT280=1,15,13))*IF(AW280=1,0,AW280)</f>
        <v>5871.4201032721967</v>
      </c>
      <c r="Y280" s="173">
        <f>SUM(Z280:AD280)</f>
        <v>29808.748216612687</v>
      </c>
      <c r="Z280" s="174">
        <f>T280*AI280/100</f>
        <v>4516.4770025170737</v>
      </c>
      <c r="AA280" s="174">
        <f>U280*AI280/100</f>
        <v>4516.4770025170737</v>
      </c>
      <c r="AB280" s="174">
        <f>V280*AI280/100</f>
        <v>4516.4770025170737</v>
      </c>
      <c r="AC280" s="174">
        <f>W280*AI280/100</f>
        <v>4516.4770025170737</v>
      </c>
      <c r="AD280" s="175">
        <f>X280*AI280/100</f>
        <v>11742.840206544392</v>
      </c>
      <c r="AE280" s="173">
        <f>AO280*(1-$D$17/100)</f>
        <v>29.928540000000002</v>
      </c>
      <c r="AF280" s="174">
        <f>AP280</f>
        <v>36</v>
      </c>
      <c r="AG280" s="174">
        <f>IF($D$57+AX280&gt;100,100,$D$57+AX280)</f>
        <v>59.001300000000001</v>
      </c>
      <c r="AH280" s="174">
        <f>AQ280</f>
        <v>592</v>
      </c>
      <c r="AI280" s="174">
        <f>$D$58</f>
        <v>200</v>
      </c>
      <c r="AJ280" s="174">
        <f>10*AU280/IF(AT280=1,2.5,(IF(AY280=1,3,2.5)))</f>
        <v>3.3333333333333335</v>
      </c>
      <c r="AK280" s="174">
        <f>SUM(AL280:AN280)</f>
        <v>2258.2385012585369</v>
      </c>
      <c r="AL280" s="174">
        <f>((VLOOKUP(C280,$B$36:$AG$39,22,FALSE)+VLOOKUP(C280,$B$40:$AG$43,22,FALSE)*$D$54))*$D$59/100</f>
        <v>2258.2385012585369</v>
      </c>
      <c r="AM280" s="174"/>
      <c r="AN280" s="174"/>
      <c r="AO280" s="176">
        <v>30</v>
      </c>
      <c r="AP280" s="174">
        <v>36</v>
      </c>
      <c r="AQ280" s="175">
        <f>VLOOKUP(C280,$B$45:$AA$48,22,FALSE)</f>
        <v>592</v>
      </c>
      <c r="AR280" s="31">
        <f>IF(LEFT(E280,1)*1=1,$S$65,$R$65)</f>
        <v>0</v>
      </c>
      <c r="AS280" s="2">
        <f>IF(LEFT(E280,1)*1=2,$U$65,$T$65)</f>
        <v>1</v>
      </c>
      <c r="AT280" s="33">
        <f>IF(LEFT(E280,1)*1=3,$W$65,$V$65)</f>
        <v>0</v>
      </c>
      <c r="AU280" s="31">
        <f>IF(MID(E280,3,1)*1=1,$Y$65,$X$65)</f>
        <v>1</v>
      </c>
      <c r="AV280" s="2">
        <f>IF(MID(E280,3,1)*1=2,$AA$65,$Z$65)</f>
        <v>0</v>
      </c>
      <c r="AW280" s="33">
        <f>IF(MID(E280,3,1)*1=3,$AC$65,$AB$65)</f>
        <v>0.2</v>
      </c>
      <c r="AX280" s="31">
        <f>IF(MID(E280,5,1)*1=1,$AE$65,$AD$65)</f>
        <v>40</v>
      </c>
      <c r="AY280" s="33">
        <f>IF(MID(E280,5,1)*1=2,$AG$65,$AF$65)</f>
        <v>1</v>
      </c>
      <c r="AZ280" s="2"/>
      <c r="BA280" s="101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 ht="12" customHeight="1">
      <c r="A281" s="2"/>
      <c r="B281" s="107">
        <v>770</v>
      </c>
      <c r="C281" s="31">
        <v>10</v>
      </c>
      <c r="D281" s="111" t="s">
        <v>21</v>
      </c>
      <c r="E281" s="2" t="s">
        <v>92</v>
      </c>
      <c r="F281" s="2" t="s">
        <v>149</v>
      </c>
      <c r="G281" s="2"/>
      <c r="H281" s="33"/>
      <c r="I281" s="173">
        <f>M281/AE281</f>
        <v>872.3568613339836</v>
      </c>
      <c r="J281" s="174">
        <f>AH281/AE281</f>
        <v>23.695174714659018</v>
      </c>
      <c r="K281" s="207">
        <f>RANK(I281,$I$76:$I$977)</f>
        <v>206</v>
      </c>
      <c r="L281" s="208" t="e">
        <f>RANK(I281,$I$451:$I$866)</f>
        <v>#N/A</v>
      </c>
      <c r="M281" s="173">
        <f>SUM(N281:R281)</f>
        <v>24187.981932956805</v>
      </c>
      <c r="N281" s="174">
        <f>T281*(1+((AG281+IF(F281="백어택",8,0))/100)*(AI281/100-1))</f>
        <v>24187.981932956805</v>
      </c>
      <c r="O281" s="174"/>
      <c r="P281" s="174"/>
      <c r="Q281" s="174"/>
      <c r="R281" s="175">
        <f>X281*(1+(AG281/100)*(AI281/100-1))</f>
        <v>0</v>
      </c>
      <c r="S281" s="173">
        <f>SUM(T281:X281)</f>
        <v>19045.460111791614</v>
      </c>
      <c r="T281" s="174">
        <f>AL281*AW281*AX281*AY281*IF(F281="백어택",1.2,1)</f>
        <v>19045.460111791614</v>
      </c>
      <c r="U281" s="174"/>
      <c r="V281" s="174"/>
      <c r="W281" s="174"/>
      <c r="X281" s="175">
        <f>AL281*AS281+IF(AX281=1,AL281*AU281,AL281*AU281*2)</f>
        <v>0</v>
      </c>
      <c r="Y281" s="173">
        <f>SUM(Z281:AD281)</f>
        <v>38090.920223583227</v>
      </c>
      <c r="Z281" s="174">
        <f>T281*$D$58/100</f>
        <v>38090.920223583227</v>
      </c>
      <c r="AA281" s="174"/>
      <c r="AB281" s="174"/>
      <c r="AC281" s="174"/>
      <c r="AD281" s="175">
        <f>X281*$D$58/100</f>
        <v>0</v>
      </c>
      <c r="AE281" s="173">
        <f>AO281*(1-$D$20/100)*(1-$D$17/100)-AR281</f>
        <v>27.727164197424003</v>
      </c>
      <c r="AF281" s="174">
        <f>AP281</f>
        <v>36</v>
      </c>
      <c r="AG281" s="174">
        <f>IF($D$57&gt;100,100,$D$57)</f>
        <v>19.001300000000001</v>
      </c>
      <c r="AH281" s="174">
        <f>AQ281</f>
        <v>657</v>
      </c>
      <c r="AI281" s="174">
        <f>$D$58</f>
        <v>200</v>
      </c>
      <c r="AJ281" s="174">
        <f>10/6</f>
        <v>1.6666666666666667</v>
      </c>
      <c r="AK281" s="174">
        <f>SUM(AL281:AN281)</f>
        <v>9919.5104748914655</v>
      </c>
      <c r="AL281" s="174">
        <f>(VLOOKUP(C281,$B$36:$AG$39,31,FALSE)+VLOOKUP(C281,$B$40:$AG$43,31,FALSE)*$D$54)*$D$59/100</f>
        <v>9919.5104748914655</v>
      </c>
      <c r="AM281" s="174"/>
      <c r="AN281" s="174"/>
      <c r="AO281" s="176">
        <v>36</v>
      </c>
      <c r="AP281" s="174">
        <v>36</v>
      </c>
      <c r="AQ281" s="175">
        <f>VLOOKUP(C281,$B$45:$AG$48,31,FALSE)</f>
        <v>657</v>
      </c>
      <c r="AR281" s="31">
        <f>IF(LEFT(E281,1)*1=1,$S$71,$R$71)</f>
        <v>0</v>
      </c>
      <c r="AS281" s="2">
        <f>IF(LEFT(E281,1)*1=2,$U$71,$T$71)</f>
        <v>0</v>
      </c>
      <c r="AT281" s="33">
        <f>IF(LEFT(E281,1)*1=3,$W$71,$V$71)</f>
        <v>0</v>
      </c>
      <c r="AU281" s="31">
        <f>IF(MID(E281,3,1)*1=1,$Y$71,$X$71)</f>
        <v>0</v>
      </c>
      <c r="AV281" s="2">
        <f>IF(MID(E281,3,1)*1=2,$AA$71,$Z$71)</f>
        <v>0</v>
      </c>
      <c r="AW281" s="33">
        <f>IF(MID(E281,3,1)*1=3,$AC$71,$AB$71)</f>
        <v>1</v>
      </c>
      <c r="AX281" s="31">
        <f>IF(MID(E281,5,1)*1=1,$AE$71,$AD$71)</f>
        <v>1</v>
      </c>
      <c r="AY281" s="33">
        <f>IF(MID(E281,5,1)*1=2,$AG$71,$AF$71)</f>
        <v>1.6</v>
      </c>
      <c r="AZ281" s="2"/>
      <c r="BA281" s="101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 ht="12" customHeight="1">
      <c r="A282" s="2"/>
      <c r="B282" s="107">
        <v>492</v>
      </c>
      <c r="C282" s="31">
        <v>10</v>
      </c>
      <c r="D282" s="111" t="s">
        <v>14</v>
      </c>
      <c r="E282" s="2" t="s">
        <v>139</v>
      </c>
      <c r="F282" s="2"/>
      <c r="G282" s="2"/>
      <c r="H282" s="33" t="s">
        <v>81</v>
      </c>
      <c r="I282" s="173">
        <f>M282/AE282</f>
        <v>870.64041899351753</v>
      </c>
      <c r="J282" s="174">
        <f>AH282/AE282</f>
        <v>23.695174714659018</v>
      </c>
      <c r="K282" s="207">
        <f>RANK(I282,$I$76:$I$977)</f>
        <v>207</v>
      </c>
      <c r="L282" s="208" t="e">
        <f>RANK(I282,$I$451:$I$866)</f>
        <v>#N/A</v>
      </c>
      <c r="M282" s="173">
        <f>SUM(N282:R282)</f>
        <v>24140.389854347293</v>
      </c>
      <c r="N282" s="174">
        <f>T282*(1+((AG282+IF(F282="백어택",8,0))/100)*(AI282/100-1))</f>
        <v>7203.2848292892768</v>
      </c>
      <c r="O282" s="174">
        <f>U282*(1+((AG282+IF(F282="백어택",8,0))/100)*(AI282/100-1))</f>
        <v>7203.2848292892768</v>
      </c>
      <c r="P282" s="174">
        <f>V282*(1+((AG282+IF(F282="백어택",8,0))/100)*(AI282*IF(AX282=1,AW282,1)/100-1))</f>
        <v>9733.8201957687397</v>
      </c>
      <c r="Q282" s="174">
        <f>W282*(1+((AG282+IF(F282="백어택",8,0))/100)*(AI282*AW282/100-1))</f>
        <v>0</v>
      </c>
      <c r="R282" s="175"/>
      <c r="S282" s="173">
        <f>SUM(T282:X282)</f>
        <v>14542.232699282926</v>
      </c>
      <c r="T282" s="174">
        <f>AL282*AY282*IF(F282="백어택",1.2,1)</f>
        <v>4339.2772369778049</v>
      </c>
      <c r="U282" s="174">
        <f>AM282*AY282*IF(F282="백어택",1.2,1)</f>
        <v>4339.2772369778049</v>
      </c>
      <c r="V282" s="174">
        <f>AN282*AY282*IF(F282="백어택",1.2,1)</f>
        <v>5863.6782253273168</v>
      </c>
      <c r="W282" s="174">
        <f>(T282+U282+V282)*IF(AX282=1,0,0.6)*IF(F282="백어택",1.2,1)</f>
        <v>0</v>
      </c>
      <c r="X282" s="175"/>
      <c r="Y282" s="173">
        <f>SUM(Z282:AD282)</f>
        <v>36355.581748207318</v>
      </c>
      <c r="Z282" s="174">
        <f>T282*AI282/100</f>
        <v>10848.193092444513</v>
      </c>
      <c r="AA282" s="174">
        <f>U282*AI282/100</f>
        <v>10848.193092444513</v>
      </c>
      <c r="AB282" s="174">
        <f>V282*AI282*IF(AX282=1,AW282,1)/100</f>
        <v>14659.195563318292</v>
      </c>
      <c r="AC282" s="174">
        <f>W282*AI282*AW282/100</f>
        <v>0</v>
      </c>
      <c r="AD282" s="175"/>
      <c r="AE282" s="173">
        <f>AO282*(1-$D$20/100)*(1-$D$17/100)</f>
        <v>27.727164197424003</v>
      </c>
      <c r="AF282" s="174">
        <f>AP282</f>
        <v>36</v>
      </c>
      <c r="AG282" s="174">
        <f>IF($D$57+AU282&gt;100,100,$D$57+AU282)</f>
        <v>44.001300000000001</v>
      </c>
      <c r="AH282" s="174">
        <f>AQ282*AS282</f>
        <v>657</v>
      </c>
      <c r="AI282" s="174">
        <f>$D$58+IF(H282="근접",AR282,0)+IF(AY282=1,0,50)</f>
        <v>250</v>
      </c>
      <c r="AJ282" s="174">
        <f>10/3</f>
        <v>3.3333333333333335</v>
      </c>
      <c r="AK282" s="174">
        <f>SUM(AL282:AN282)</f>
        <v>12118.527249402439</v>
      </c>
      <c r="AL282" s="174">
        <f>(IF(H282="근접",$D$61*(VLOOKUP(C282,$B$36:$AG$39,19,FALSE)+VLOOKUP(C282,$B$40:$AG$43,19,FALSE)*$D$54),$D$60*(VLOOKUP(C282,$B$36:$AG$39,19,FALSE)+VLOOKUP(C282,$B$40:$AG$43,19,FALSE)*$D$54)))*$D$59/100</f>
        <v>3616.0643641481706</v>
      </c>
      <c r="AM282" s="174">
        <f>(IF(H282="근접",$D$61*(VLOOKUP(C282,$B$36:$AG$39,20,FALSE)+VLOOKUP(C282,$B$40:$AG$43,20,FALSE)*$D$54),$D$60*(VLOOKUP(C282,$B$36:$AG$39,20,FALSE)+VLOOKUP(C282,$B$40:$AG$43,20,FALSE)*$D$54)))*$D$59/100</f>
        <v>3616.0643641481706</v>
      </c>
      <c r="AN282" s="174">
        <f>(IF(H282="근접",$D$61*(VLOOKUP(C282,$B$36:$AG$39,21,FALSE)+VLOOKUP(C282,$B$40:$AG$43,21,FALSE)*$D$54),$D$60*(VLOOKUP(C282,$B$36:$AG$39,21,FALSE)+VLOOKUP(C282,$B$40:$AG$43,21,FALSE)*$D$54)))*$D$59/100</f>
        <v>4886.3985211060972</v>
      </c>
      <c r="AO282" s="176">
        <v>36</v>
      </c>
      <c r="AP282" s="174">
        <v>36</v>
      </c>
      <c r="AQ282" s="175">
        <f>VLOOKUP(C282,$B$45:$AA$48,19,FALSE)</f>
        <v>657</v>
      </c>
      <c r="AR282" s="31">
        <f>IF(LEFT(E282,1)*1=1,$S$64,$R$64)</f>
        <v>0</v>
      </c>
      <c r="AS282" s="2">
        <f>IF(LEFT(E282,1)*1=2,$U$64,$T$64)</f>
        <v>1</v>
      </c>
      <c r="AT282" s="33">
        <f>IF(LEFT(E282,1)*1=3,$W$64,$V$64)</f>
        <v>0</v>
      </c>
      <c r="AU282" s="31">
        <f>IF(MID(E282,3,1)*1=1,$Y$64,$X$64)</f>
        <v>25</v>
      </c>
      <c r="AV282" s="2">
        <f>IF(MID(E282,3,1)*1=2,$AA$64,$Z$64)</f>
        <v>0</v>
      </c>
      <c r="AW282" s="33">
        <f>IF(MID(E282,3,1)*1=3,$AC$64,$AB$64)</f>
        <v>1</v>
      </c>
      <c r="AX282" s="31">
        <f>IF(MID(E282,5,1)*1=1,$AE$64,$AD$64)</f>
        <v>1</v>
      </c>
      <c r="AY282" s="33">
        <f>IF(MID(E282,5,1)*1=2,$AG$64,$AF$64)</f>
        <v>1.2</v>
      </c>
      <c r="AZ282" s="2"/>
      <c r="BA282" s="101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 ht="12" customHeight="1">
      <c r="A283" s="2"/>
      <c r="B283" s="107">
        <v>498</v>
      </c>
      <c r="C283" s="31">
        <v>10</v>
      </c>
      <c r="D283" s="111" t="s">
        <v>14</v>
      </c>
      <c r="E283" s="2" t="s">
        <v>170</v>
      </c>
      <c r="F283" s="2"/>
      <c r="G283" s="2"/>
      <c r="H283" s="33" t="s">
        <v>81</v>
      </c>
      <c r="I283" s="173">
        <f>M283/AE283</f>
        <v>870.64041899351753</v>
      </c>
      <c r="J283" s="174">
        <f>AH283/AE283</f>
        <v>11.847587357329509</v>
      </c>
      <c r="K283" s="207">
        <f>RANK(I283,$I$76:$I$977)</f>
        <v>207</v>
      </c>
      <c r="L283" s="208" t="e">
        <f>RANK(I283,$I$451:$I$866)</f>
        <v>#N/A</v>
      </c>
      <c r="M283" s="173">
        <f>SUM(N283:R283)</f>
        <v>24140.389854347293</v>
      </c>
      <c r="N283" s="174">
        <f>T283*(1+((AG283+IF(F283="백어택",8,0))/100)*(AI283/100-1))</f>
        <v>7203.2848292892768</v>
      </c>
      <c r="O283" s="174">
        <f>U283*(1+((AG283+IF(F283="백어택",8,0))/100)*(AI283/100-1))</f>
        <v>7203.2848292892768</v>
      </c>
      <c r="P283" s="174">
        <f>V283*(1+((AG283+IF(F283="백어택",8,0))/100)*(AI283*IF(AX283=1,AW283,1)/100-1))</f>
        <v>9733.8201957687397</v>
      </c>
      <c r="Q283" s="174">
        <f>W283*(1+((AG283+IF(F283="백어택",8,0))/100)*(AI283*AW283/100-1))</f>
        <v>0</v>
      </c>
      <c r="R283" s="175"/>
      <c r="S283" s="173">
        <f>SUM(T283:X283)</f>
        <v>14542.232699282926</v>
      </c>
      <c r="T283" s="174">
        <f>AL283*AY283*IF(F283="백어택",1.2,1)</f>
        <v>4339.2772369778049</v>
      </c>
      <c r="U283" s="174">
        <f>AM283*AY283*IF(F283="백어택",1.2,1)</f>
        <v>4339.2772369778049</v>
      </c>
      <c r="V283" s="174">
        <f>AN283*AY283*IF(F283="백어택",1.2,1)</f>
        <v>5863.6782253273168</v>
      </c>
      <c r="W283" s="174">
        <f>(T283+U283+V283)*IF(AX283=1,0,0.6)*IF(F283="백어택",1.2,1)</f>
        <v>0</v>
      </c>
      <c r="X283" s="175"/>
      <c r="Y283" s="173">
        <f>SUM(Z283:AD283)</f>
        <v>36355.581748207318</v>
      </c>
      <c r="Z283" s="174">
        <f>T283*AI283/100</f>
        <v>10848.193092444513</v>
      </c>
      <c r="AA283" s="174">
        <f>U283*AI283/100</f>
        <v>10848.193092444513</v>
      </c>
      <c r="AB283" s="174">
        <f>V283*AI283*IF(AX283=1,AW283,1)/100</f>
        <v>14659.195563318292</v>
      </c>
      <c r="AC283" s="174">
        <f>W283*AI283*AW283/100</f>
        <v>0</v>
      </c>
      <c r="AD283" s="175"/>
      <c r="AE283" s="173">
        <f>AO283*(1-$D$20/100)*(1-$D$17/100)</f>
        <v>27.727164197424003</v>
      </c>
      <c r="AF283" s="174">
        <f>AP283</f>
        <v>36</v>
      </c>
      <c r="AG283" s="174">
        <f>IF($D$57+AU283&gt;100,100,$D$57+AU283)</f>
        <v>44.001300000000001</v>
      </c>
      <c r="AH283" s="174">
        <f>AQ283*AS283</f>
        <v>328.5</v>
      </c>
      <c r="AI283" s="174">
        <f>$D$58+IF(H283="근접",AR283,0)+IF(AY283=1,0,50)</f>
        <v>250</v>
      </c>
      <c r="AJ283" s="174">
        <f>10/3</f>
        <v>3.3333333333333335</v>
      </c>
      <c r="AK283" s="174">
        <f>SUM(AL283:AN283)</f>
        <v>12118.527249402439</v>
      </c>
      <c r="AL283" s="174">
        <f>(IF(H283="근접",$D$61*(VLOOKUP(C283,$B$36:$AG$39,19,FALSE)+VLOOKUP(C283,$B$40:$AG$43,19,FALSE)*$D$54),$D$60*(VLOOKUP(C283,$B$36:$AG$39,19,FALSE)+VLOOKUP(C283,$B$40:$AG$43,19,FALSE)*$D$54)))*$D$59/100</f>
        <v>3616.0643641481706</v>
      </c>
      <c r="AM283" s="174">
        <f>(IF(H283="근접",$D$61*(VLOOKUP(C283,$B$36:$AG$39,20,FALSE)+VLOOKUP(C283,$B$40:$AG$43,20,FALSE)*$D$54),$D$60*(VLOOKUP(C283,$B$36:$AG$39,20,FALSE)+VLOOKUP(C283,$B$40:$AG$43,20,FALSE)*$D$54)))*$D$59/100</f>
        <v>3616.0643641481706</v>
      </c>
      <c r="AN283" s="174">
        <f>(IF(H283="근접",$D$61*(VLOOKUP(C283,$B$36:$AG$39,21,FALSE)+VLOOKUP(C283,$B$40:$AG$43,21,FALSE)*$D$54),$D$60*(VLOOKUP(C283,$B$36:$AG$39,21,FALSE)+VLOOKUP(C283,$B$40:$AG$43,21,FALSE)*$D$54)))*$D$59/100</f>
        <v>4886.3985211060972</v>
      </c>
      <c r="AO283" s="176">
        <v>36</v>
      </c>
      <c r="AP283" s="174">
        <v>36</v>
      </c>
      <c r="AQ283" s="175">
        <f>VLOOKUP(C283,$B$45:$AA$48,19,FALSE)</f>
        <v>657</v>
      </c>
      <c r="AR283" s="31">
        <f>IF(LEFT(E283,1)*1=1,$S$64,$R$64)</f>
        <v>0</v>
      </c>
      <c r="AS283" s="2">
        <f>IF(LEFT(E283,1)*1=2,$U$64,$T$64)</f>
        <v>0.5</v>
      </c>
      <c r="AT283" s="33">
        <f>IF(LEFT(E283,1)*1=3,$W$64,$V$64)</f>
        <v>0</v>
      </c>
      <c r="AU283" s="31">
        <f>IF(MID(E283,3,1)*1=1,$Y$64,$X$64)</f>
        <v>25</v>
      </c>
      <c r="AV283" s="2">
        <f>IF(MID(E283,3,1)*1=2,$AA$64,$Z$64)</f>
        <v>0</v>
      </c>
      <c r="AW283" s="33">
        <f>IF(MID(E283,3,1)*1=3,$AC$64,$AB$64)</f>
        <v>1</v>
      </c>
      <c r="AX283" s="31">
        <f>IF(MID(E283,5,1)*1=1,$AE$64,$AD$64)</f>
        <v>1</v>
      </c>
      <c r="AY283" s="33">
        <f>IF(MID(E283,5,1)*1=2,$AG$64,$AF$64)</f>
        <v>1.2</v>
      </c>
      <c r="AZ283" s="2"/>
      <c r="BA283" s="101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 ht="12" customHeight="1">
      <c r="A284" s="2"/>
      <c r="B284" s="107">
        <v>742</v>
      </c>
      <c r="C284" s="31">
        <v>10</v>
      </c>
      <c r="D284" s="111" t="s">
        <v>21</v>
      </c>
      <c r="E284" s="2" t="s">
        <v>151</v>
      </c>
      <c r="F284" s="2"/>
      <c r="G284" s="2"/>
      <c r="H284" s="33"/>
      <c r="I284" s="173">
        <f>M284/AE284</f>
        <v>869.27838803052305</v>
      </c>
      <c r="J284" s="174">
        <f>AH284/AE284</f>
        <v>30.238644768832497</v>
      </c>
      <c r="K284" s="207">
        <f>RANK(I284,$I$76:$I$977)</f>
        <v>209</v>
      </c>
      <c r="L284" s="208" t="e">
        <f>RANK(I284,$I$451:$I$866)</f>
        <v>#N/A</v>
      </c>
      <c r="M284" s="173">
        <f>SUM(N284:R284)</f>
        <v>18886.954270011229</v>
      </c>
      <c r="N284" s="174">
        <f>T284*(1+((AG284+IF(F284="백어택",8,0))/100)*(AI284/100-1))</f>
        <v>18886.954270011229</v>
      </c>
      <c r="O284" s="174"/>
      <c r="P284" s="174"/>
      <c r="Q284" s="174"/>
      <c r="R284" s="175">
        <f>X284*(1+(AG284/100)*(AI284/100-1))</f>
        <v>0</v>
      </c>
      <c r="S284" s="173">
        <f>SUM(T284:X284)</f>
        <v>15871.216759826346</v>
      </c>
      <c r="T284" s="174">
        <f>AL284*AW284*AX284*AY284*IF(F284="백어택",1.2,1)</f>
        <v>15871.216759826346</v>
      </c>
      <c r="U284" s="174"/>
      <c r="V284" s="174"/>
      <c r="W284" s="174"/>
      <c r="X284" s="175">
        <f>AL284*AS284+IF(AX284=1,AL284*AU284,AL284*AU284*2)</f>
        <v>0</v>
      </c>
      <c r="Y284" s="173">
        <f>SUM(Z284:AD284)</f>
        <v>31742.433519652692</v>
      </c>
      <c r="Z284" s="174">
        <f>T284*$D$58/100</f>
        <v>31742.433519652692</v>
      </c>
      <c r="AA284" s="174"/>
      <c r="AB284" s="174"/>
      <c r="AC284" s="174"/>
      <c r="AD284" s="175">
        <f>X284*$D$58/100</f>
        <v>0</v>
      </c>
      <c r="AE284" s="173">
        <f>AO284*(1-$D$20/100)*(1-$D$17/100)-AR284</f>
        <v>21.727164197424003</v>
      </c>
      <c r="AF284" s="174">
        <f>AP284</f>
        <v>36</v>
      </c>
      <c r="AG284" s="174">
        <f>IF($D$57&gt;100,100,$D$57)</f>
        <v>19.001300000000001</v>
      </c>
      <c r="AH284" s="174">
        <f>AQ284</f>
        <v>657</v>
      </c>
      <c r="AI284" s="174">
        <f>$D$58</f>
        <v>200</v>
      </c>
      <c r="AJ284" s="174">
        <f>10/6</f>
        <v>1.6666666666666667</v>
      </c>
      <c r="AK284" s="174">
        <f>SUM(AL284:AN284)</f>
        <v>9919.5104748914655</v>
      </c>
      <c r="AL284" s="174">
        <f>(VLOOKUP(C284,$B$36:$AG$39,31,FALSE)+VLOOKUP(C284,$B$40:$AG$43,31,FALSE)*$D$54)*$D$59/100</f>
        <v>9919.5104748914655</v>
      </c>
      <c r="AM284" s="174"/>
      <c r="AN284" s="174"/>
      <c r="AO284" s="176">
        <v>36</v>
      </c>
      <c r="AP284" s="174">
        <v>36</v>
      </c>
      <c r="AQ284" s="175">
        <f>VLOOKUP(C284,$B$45:$AG$48,31,FALSE)</f>
        <v>657</v>
      </c>
      <c r="AR284" s="31">
        <f>IF(LEFT(E284,1)*1=1,$S$71,$R$71)</f>
        <v>6</v>
      </c>
      <c r="AS284" s="2">
        <f>IF(LEFT(E284,1)*1=2,$U$71,$T$71)</f>
        <v>0</v>
      </c>
      <c r="AT284" s="33">
        <f>IF(LEFT(E284,1)*1=3,$W$71,$V$71)</f>
        <v>0</v>
      </c>
      <c r="AU284" s="31">
        <f>IF(MID(E284,3,1)*1=1,$Y$71,$X$71)</f>
        <v>0</v>
      </c>
      <c r="AV284" s="2">
        <f>IF(MID(E284,3,1)*1=2,$AA$71,$Z$71)</f>
        <v>0</v>
      </c>
      <c r="AW284" s="33">
        <f>IF(MID(E284,3,1)*1=3,$AC$71,$AB$71)</f>
        <v>1</v>
      </c>
      <c r="AX284" s="31">
        <f>IF(MID(E284,5,1)*1=1,$AE$71,$AD$71)</f>
        <v>1</v>
      </c>
      <c r="AY284" s="33">
        <f>IF(MID(E284,5,1)*1=2,$AG$71,$AF$71)</f>
        <v>1.6</v>
      </c>
      <c r="AZ284" s="2"/>
      <c r="BA284" s="101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 ht="12" customHeight="1">
      <c r="A285" s="2"/>
      <c r="B285" s="107">
        <v>484</v>
      </c>
      <c r="C285" s="31">
        <v>10</v>
      </c>
      <c r="D285" s="111" t="s">
        <v>14</v>
      </c>
      <c r="E285" s="2" t="s">
        <v>141</v>
      </c>
      <c r="F285" s="2"/>
      <c r="G285" s="2"/>
      <c r="H285" s="33" t="s">
        <v>81</v>
      </c>
      <c r="I285" s="173">
        <f>M285/AE285</f>
        <v>868.05432214900372</v>
      </c>
      <c r="J285" s="174">
        <f>AH285/AE285</f>
        <v>23.695174714659018</v>
      </c>
      <c r="K285" s="207">
        <f>RANK(I285,$I$76:$I$977)</f>
        <v>210</v>
      </c>
      <c r="L285" s="208" t="e">
        <f>RANK(I285,$I$451:$I$866)</f>
        <v>#N/A</v>
      </c>
      <c r="M285" s="173">
        <f>SUM(N285:R285)</f>
        <v>24068.684722509017</v>
      </c>
      <c r="N285" s="174">
        <f>T285*(1+((AG285+IF(F285="백어택",8,0))/100)*(AI285/100-1))</f>
        <v>4303.1636021730574</v>
      </c>
      <c r="O285" s="174">
        <f>U285*(1+((AG285+IF(F285="백어택",8,0))/100)*(AI285/100-1))</f>
        <v>4303.1636021730574</v>
      </c>
      <c r="P285" s="174">
        <f>V285*(1+((AG285+IF(F285="백어택",8,0))/100)*(AI285*IF(AX285=1,AW285,1)/100-1))</f>
        <v>5814.8777632970296</v>
      </c>
      <c r="Q285" s="174">
        <f>W285*(1+((AG285+IF(F285="백어택",8,0))/100)*(AI285*AW285/100-1))</f>
        <v>9647.4797548658717</v>
      </c>
      <c r="R285" s="175"/>
      <c r="S285" s="173">
        <f>SUM(T285:X285)</f>
        <v>19389.643599043902</v>
      </c>
      <c r="T285" s="174">
        <f>AL285*AY285*IF(F285="백어택",1.2,1)</f>
        <v>3616.0643641481706</v>
      </c>
      <c r="U285" s="174">
        <f>AM285*AY285*IF(F285="백어택",1.2,1)</f>
        <v>3616.0643641481706</v>
      </c>
      <c r="V285" s="174">
        <f>AN285*AY285*IF(F285="백어택",1.2,1)</f>
        <v>4886.3985211060972</v>
      </c>
      <c r="W285" s="174">
        <f>(T285+U285+V285)*IF(AX285=1,0,0.6)*IF(F285="백어택",1.2,1)</f>
        <v>7271.1163496414638</v>
      </c>
      <c r="X285" s="175"/>
      <c r="Y285" s="173">
        <f>SUM(Z285:AD285)</f>
        <v>44014.490969829661</v>
      </c>
      <c r="Z285" s="174">
        <f>T285*AI285/100</f>
        <v>7232.1287282963413</v>
      </c>
      <c r="AA285" s="174">
        <f>U285*AI285/100</f>
        <v>7232.1287282963413</v>
      </c>
      <c r="AB285" s="174">
        <f>V285*AI285*IF(AX285=1,AW285,1)/100</f>
        <v>9772.7970422121944</v>
      </c>
      <c r="AC285" s="174">
        <f>W285*AI285*AW285/100</f>
        <v>19777.436471024783</v>
      </c>
      <c r="AD285" s="175"/>
      <c r="AE285" s="173">
        <f>AO285*(1-$D$20/100)*(1-$D$17/100)</f>
        <v>27.727164197424003</v>
      </c>
      <c r="AF285" s="174">
        <f>AP285</f>
        <v>36</v>
      </c>
      <c r="AG285" s="174">
        <f>IF($D$57+AU285&gt;100,100,$D$57+AU285)</f>
        <v>19.001300000000001</v>
      </c>
      <c r="AH285" s="174">
        <f>AQ285*AS285</f>
        <v>657</v>
      </c>
      <c r="AI285" s="174">
        <f>$D$58+IF(H285="근접",AR285,0)+IF(AY285=1,0,50)</f>
        <v>200</v>
      </c>
      <c r="AJ285" s="174">
        <f>10/3</f>
        <v>3.3333333333333335</v>
      </c>
      <c r="AK285" s="174">
        <f>SUM(AL285:AN285)</f>
        <v>12118.527249402439</v>
      </c>
      <c r="AL285" s="174">
        <f>(IF(H285="근접",$D$61*(VLOOKUP(C285,$B$36:$AG$39,19,FALSE)+VLOOKUP(C285,$B$40:$AG$43,19,FALSE)*$D$54),$D$60*(VLOOKUP(C285,$B$36:$AG$39,19,FALSE)+VLOOKUP(C285,$B$40:$AG$43,19,FALSE)*$D$54)))*$D$59/100</f>
        <v>3616.0643641481706</v>
      </c>
      <c r="AM285" s="174">
        <f>(IF(H285="근접",$D$61*(VLOOKUP(C285,$B$36:$AG$39,20,FALSE)+VLOOKUP(C285,$B$40:$AG$43,20,FALSE)*$D$54),$D$60*(VLOOKUP(C285,$B$36:$AG$39,20,FALSE)+VLOOKUP(C285,$B$40:$AG$43,20,FALSE)*$D$54)))*$D$59/100</f>
        <v>3616.0643641481706</v>
      </c>
      <c r="AN285" s="174">
        <f>(IF(H285="근접",$D$61*(VLOOKUP(C285,$B$36:$AG$39,21,FALSE)+VLOOKUP(C285,$B$40:$AG$43,21,FALSE)*$D$54),$D$60*(VLOOKUP(C285,$B$36:$AG$39,21,FALSE)+VLOOKUP(C285,$B$40:$AG$43,21,FALSE)*$D$54)))*$D$59/100</f>
        <v>4886.3985211060972</v>
      </c>
      <c r="AO285" s="176">
        <v>36</v>
      </c>
      <c r="AP285" s="174">
        <v>36</v>
      </c>
      <c r="AQ285" s="175">
        <f>VLOOKUP(C285,$B$45:$AA$48,19,FALSE)</f>
        <v>657</v>
      </c>
      <c r="AR285" s="31">
        <f>IF(LEFT(E285,1)*1=1,$S$64,$R$64)</f>
        <v>0</v>
      </c>
      <c r="AS285" s="2">
        <f>IF(LEFT(E285,1)*1=2,$U$64,$T$64)</f>
        <v>1</v>
      </c>
      <c r="AT285" s="33">
        <f>IF(LEFT(E285,1)*1=3,$W$64,$V$64)</f>
        <v>0</v>
      </c>
      <c r="AU285" s="31">
        <f>IF(MID(E285,3,1)*1=1,$Y$64,$X$64)</f>
        <v>0</v>
      </c>
      <c r="AV285" s="2">
        <f>IF(MID(E285,3,1)*1=2,$AA$64,$Z$64)</f>
        <v>0</v>
      </c>
      <c r="AW285" s="33">
        <f>IF(MID(E285,3,1)*1=3,$AC$64,$AB$64)</f>
        <v>1.36</v>
      </c>
      <c r="AX285" s="31">
        <f>IF(MID(E285,5,1)*1=1,$AE$64,$AD$64)</f>
        <v>0.6</v>
      </c>
      <c r="AY285" s="33">
        <f>IF(MID(E285,5,1)*1=2,$AG$64,$AF$64)</f>
        <v>1</v>
      </c>
      <c r="AZ285" s="2"/>
      <c r="BA285" s="101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 ht="12" customHeight="1">
      <c r="A286" s="2"/>
      <c r="B286" s="107">
        <v>490</v>
      </c>
      <c r="C286" s="31">
        <v>10</v>
      </c>
      <c r="D286" s="111" t="s">
        <v>14</v>
      </c>
      <c r="E286" s="2" t="s">
        <v>171</v>
      </c>
      <c r="F286" s="2"/>
      <c r="G286" s="2"/>
      <c r="H286" s="33" t="s">
        <v>81</v>
      </c>
      <c r="I286" s="173">
        <f>M286/AE286</f>
        <v>868.05432214900372</v>
      </c>
      <c r="J286" s="174">
        <f>AH286/AE286</f>
        <v>11.847587357329509</v>
      </c>
      <c r="K286" s="207">
        <f>RANK(I286,$I$76:$I$977)</f>
        <v>210</v>
      </c>
      <c r="L286" s="208" t="e">
        <f>RANK(I286,$I$451:$I$866)</f>
        <v>#N/A</v>
      </c>
      <c r="M286" s="173">
        <f>SUM(N286:R286)</f>
        <v>24068.684722509017</v>
      </c>
      <c r="N286" s="174">
        <f>T286*(1+((AG286+IF(F286="백어택",8,0))/100)*(AI286/100-1))</f>
        <v>4303.1636021730574</v>
      </c>
      <c r="O286" s="174">
        <f>U286*(1+((AG286+IF(F286="백어택",8,0))/100)*(AI286/100-1))</f>
        <v>4303.1636021730574</v>
      </c>
      <c r="P286" s="174">
        <f>V286*(1+((AG286+IF(F286="백어택",8,0))/100)*(AI286*IF(AX286=1,AW286,1)/100-1))</f>
        <v>5814.8777632970296</v>
      </c>
      <c r="Q286" s="174">
        <f>W286*(1+((AG286+IF(F286="백어택",8,0))/100)*(AI286*AW286/100-1))</f>
        <v>9647.4797548658717</v>
      </c>
      <c r="R286" s="175"/>
      <c r="S286" s="173">
        <f>SUM(T286:X286)</f>
        <v>19389.643599043902</v>
      </c>
      <c r="T286" s="174">
        <f>AL286*AY286*IF(F286="백어택",1.2,1)</f>
        <v>3616.0643641481706</v>
      </c>
      <c r="U286" s="174">
        <f>AM286*AY286*IF(F286="백어택",1.2,1)</f>
        <v>3616.0643641481706</v>
      </c>
      <c r="V286" s="174">
        <f>AN286*AY286*IF(F286="백어택",1.2,1)</f>
        <v>4886.3985211060972</v>
      </c>
      <c r="W286" s="174">
        <f>(T286+U286+V286)*IF(AX286=1,0,0.6)*IF(F286="백어택",1.2,1)</f>
        <v>7271.1163496414638</v>
      </c>
      <c r="X286" s="175"/>
      <c r="Y286" s="173">
        <f>SUM(Z286:AD286)</f>
        <v>44014.490969829661</v>
      </c>
      <c r="Z286" s="174">
        <f>T286*AI286/100</f>
        <v>7232.1287282963413</v>
      </c>
      <c r="AA286" s="174">
        <f>U286*AI286/100</f>
        <v>7232.1287282963413</v>
      </c>
      <c r="AB286" s="174">
        <f>V286*AI286*IF(AX286=1,AW286,1)/100</f>
        <v>9772.7970422121944</v>
      </c>
      <c r="AC286" s="174">
        <f>W286*AI286*AW286/100</f>
        <v>19777.436471024783</v>
      </c>
      <c r="AD286" s="175"/>
      <c r="AE286" s="173">
        <f>AO286*(1-$D$20/100)*(1-$D$17/100)</f>
        <v>27.727164197424003</v>
      </c>
      <c r="AF286" s="174">
        <f>AP286</f>
        <v>36</v>
      </c>
      <c r="AG286" s="174">
        <f>IF($D$57+AU286&gt;100,100,$D$57+AU286)</f>
        <v>19.001300000000001</v>
      </c>
      <c r="AH286" s="174">
        <f>AQ286*AS286</f>
        <v>328.5</v>
      </c>
      <c r="AI286" s="174">
        <f>$D$58+IF(H286="근접",AR286,0)+IF(AY286=1,0,50)</f>
        <v>200</v>
      </c>
      <c r="AJ286" s="174">
        <f>10/3</f>
        <v>3.3333333333333335</v>
      </c>
      <c r="AK286" s="174">
        <f>SUM(AL286:AN286)</f>
        <v>12118.527249402439</v>
      </c>
      <c r="AL286" s="174">
        <f>(IF(H286="근접",$D$61*(VLOOKUP(C286,$B$36:$AG$39,19,FALSE)+VLOOKUP(C286,$B$40:$AG$43,19,FALSE)*$D$54),$D$60*(VLOOKUP(C286,$B$36:$AG$39,19,FALSE)+VLOOKUP(C286,$B$40:$AG$43,19,FALSE)*$D$54)))*$D$59/100</f>
        <v>3616.0643641481706</v>
      </c>
      <c r="AM286" s="174">
        <f>(IF(H286="근접",$D$61*(VLOOKUP(C286,$B$36:$AG$39,20,FALSE)+VLOOKUP(C286,$B$40:$AG$43,20,FALSE)*$D$54),$D$60*(VLOOKUP(C286,$B$36:$AG$39,20,FALSE)+VLOOKUP(C286,$B$40:$AG$43,20,FALSE)*$D$54)))*$D$59/100</f>
        <v>3616.0643641481706</v>
      </c>
      <c r="AN286" s="174">
        <f>(IF(H286="근접",$D$61*(VLOOKUP(C286,$B$36:$AG$39,21,FALSE)+VLOOKUP(C286,$B$40:$AG$43,21,FALSE)*$D$54),$D$60*(VLOOKUP(C286,$B$36:$AG$39,21,FALSE)+VLOOKUP(C286,$B$40:$AG$43,21,FALSE)*$D$54)))*$D$59/100</f>
        <v>4886.3985211060972</v>
      </c>
      <c r="AO286" s="176">
        <v>36</v>
      </c>
      <c r="AP286" s="174">
        <v>36</v>
      </c>
      <c r="AQ286" s="175">
        <f>VLOOKUP(C286,$B$45:$AA$48,19,FALSE)</f>
        <v>657</v>
      </c>
      <c r="AR286" s="31">
        <f>IF(LEFT(E286,1)*1=1,$S$64,$R$64)</f>
        <v>0</v>
      </c>
      <c r="AS286" s="2">
        <f>IF(LEFT(E286,1)*1=2,$U$64,$T$64)</f>
        <v>0.5</v>
      </c>
      <c r="AT286" s="33">
        <f>IF(LEFT(E286,1)*1=3,$W$64,$V$64)</f>
        <v>0</v>
      </c>
      <c r="AU286" s="31">
        <f>IF(MID(E286,3,1)*1=1,$Y$64,$X$64)</f>
        <v>0</v>
      </c>
      <c r="AV286" s="2">
        <f>IF(MID(E286,3,1)*1=2,$AA$64,$Z$64)</f>
        <v>0</v>
      </c>
      <c r="AW286" s="33">
        <f>IF(MID(E286,3,1)*1=3,$AC$64,$AB$64)</f>
        <v>1.36</v>
      </c>
      <c r="AX286" s="31">
        <f>IF(MID(E286,5,1)*1=1,$AE$64,$AD$64)</f>
        <v>0.6</v>
      </c>
      <c r="AY286" s="33">
        <f>IF(MID(E286,5,1)*1=2,$AG$64,$AF$64)</f>
        <v>1</v>
      </c>
      <c r="AZ286" s="2"/>
      <c r="BA286" s="101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 ht="12" customHeight="1">
      <c r="A287" s="2"/>
      <c r="B287" s="107">
        <v>787</v>
      </c>
      <c r="C287" s="31">
        <v>7</v>
      </c>
      <c r="D287" s="111" t="s">
        <v>21</v>
      </c>
      <c r="E287" s="2" t="s">
        <v>103</v>
      </c>
      <c r="F287" s="2" t="s">
        <v>149</v>
      </c>
      <c r="G287" s="2" t="s">
        <v>177</v>
      </c>
      <c r="H287" s="33"/>
      <c r="I287" s="173">
        <f>M287/AE287</f>
        <v>864.5643568713142</v>
      </c>
      <c r="J287" s="174">
        <f>AH287/AE287</f>
        <v>16.518097441877977</v>
      </c>
      <c r="K287" s="207">
        <f>RANK(I287,$I$76:$I$977)</f>
        <v>212</v>
      </c>
      <c r="L287" s="208" t="e">
        <f>RANK(I287,$I$451:$I$866)</f>
        <v>#N/A</v>
      </c>
      <c r="M287" s="173">
        <f>SUM(N287:R287)</f>
        <v>23971.917882211212</v>
      </c>
      <c r="N287" s="174">
        <f>T287*(1+((AG287+IF(F287="백어택",8,0))/100)*(AI287/100-1))</f>
        <v>21711.489985290671</v>
      </c>
      <c r="O287" s="174"/>
      <c r="P287" s="174"/>
      <c r="Q287" s="174"/>
      <c r="R287" s="175">
        <f>X287*(1+(AG287/100)*(AI287/100-1))</f>
        <v>2260.4278969205398</v>
      </c>
      <c r="S287" s="173">
        <f>SUM(T287:X287)</f>
        <v>18994.984902858534</v>
      </c>
      <c r="T287" s="174">
        <f>AL287*AW287*AX287*AY287*IF(F287="백어택",1.2,1)</f>
        <v>17095.486412572682</v>
      </c>
      <c r="U287" s="174"/>
      <c r="V287" s="174"/>
      <c r="W287" s="174"/>
      <c r="X287" s="175">
        <f>AL287*AS287+IF(AX287=1,AL287*AU287,AL287*AU287*2)</f>
        <v>1899.4984902858539</v>
      </c>
      <c r="Y287" s="173">
        <f>SUM(Z287:AD287)</f>
        <v>37989.969805717068</v>
      </c>
      <c r="Z287" s="174">
        <f>T287*$D$58/100</f>
        <v>34190.972825145363</v>
      </c>
      <c r="AA287" s="174"/>
      <c r="AB287" s="174"/>
      <c r="AC287" s="174"/>
      <c r="AD287" s="175">
        <f>X287*$D$58/100</f>
        <v>3798.9969805717078</v>
      </c>
      <c r="AE287" s="173">
        <f>AO287*(1-$D$20/100)*(1-$D$17/100)-AR287</f>
        <v>27.727164197424003</v>
      </c>
      <c r="AF287" s="174">
        <f>AP287</f>
        <v>36</v>
      </c>
      <c r="AG287" s="174">
        <f>IF($D$57&gt;100,100,$D$57)</f>
        <v>19.001300000000001</v>
      </c>
      <c r="AH287" s="174">
        <f>AQ287</f>
        <v>458</v>
      </c>
      <c r="AI287" s="174">
        <f>$D$58</f>
        <v>200</v>
      </c>
      <c r="AJ287" s="174">
        <f>10/6</f>
        <v>1.6666666666666667</v>
      </c>
      <c r="AK287" s="174">
        <f>SUM(AL287:AN287)</f>
        <v>9497.4924514292688</v>
      </c>
      <c r="AL287" s="174">
        <f>(VLOOKUP(C287,$B$36:$AG$39,31,FALSE)+VLOOKUP(C287,$B$40:$AG$43,31,FALSE)*$D$54)*$D$59/100</f>
        <v>9497.4924514292688</v>
      </c>
      <c r="AM287" s="174"/>
      <c r="AN287" s="174"/>
      <c r="AO287" s="176">
        <v>36</v>
      </c>
      <c r="AP287" s="174">
        <v>36</v>
      </c>
      <c r="AQ287" s="175">
        <f>VLOOKUP(C287,$B$45:$AG$48,31,FALSE)</f>
        <v>458</v>
      </c>
      <c r="AR287" s="31">
        <f>IF(LEFT(E287,1)*1=1,$S$71,$R$71)</f>
        <v>0</v>
      </c>
      <c r="AS287" s="2">
        <f>IF(LEFT(E287,1)*1=2,$U$71,$T$71)</f>
        <v>0.2</v>
      </c>
      <c r="AT287" s="33">
        <f>IF(LEFT(E287,1)*1=3,$W$71,$V$71)</f>
        <v>0</v>
      </c>
      <c r="AU287" s="31">
        <f>IF(MID(E287,3,1)*1=1,$Y$71,$X$71)</f>
        <v>0</v>
      </c>
      <c r="AV287" s="2">
        <f>IF(MID(E287,3,1)*1=2,$AA$71,$Z$71)</f>
        <v>0</v>
      </c>
      <c r="AW287" s="33">
        <f>IF(MID(E287,3,1)*1=3,$AC$71,$AB$71)</f>
        <v>1.5</v>
      </c>
      <c r="AX287" s="31">
        <f>IF(MID(E287,5,1)*1=1,$AE$71,$AD$71)</f>
        <v>1</v>
      </c>
      <c r="AY287" s="33">
        <f>IF(MID(E287,5,1)*1=2,$AG$71,$AF$71)</f>
        <v>1</v>
      </c>
      <c r="AZ287" s="2"/>
      <c r="BA287" s="101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 ht="12" customHeight="1">
      <c r="A288" s="2"/>
      <c r="B288" s="107">
        <v>48</v>
      </c>
      <c r="C288" s="31">
        <v>10</v>
      </c>
      <c r="D288" s="106" t="s">
        <v>4</v>
      </c>
      <c r="E288" s="2" t="s">
        <v>98</v>
      </c>
      <c r="F288" s="2" t="s">
        <v>149</v>
      </c>
      <c r="G288" s="2" t="s">
        <v>143</v>
      </c>
      <c r="H288" s="33"/>
      <c r="I288" s="173">
        <f>M288/AE288</f>
        <v>854.61386637845715</v>
      </c>
      <c r="J288" s="174">
        <f>AH288/AE288</f>
        <v>29.152775243964456</v>
      </c>
      <c r="K288" s="207">
        <f>RANK(I288,$I$76:$I$977)</f>
        <v>213</v>
      </c>
      <c r="L288" s="208">
        <f>RANK(I288,$I$76:$I$450)</f>
        <v>213</v>
      </c>
      <c r="M288" s="173">
        <f>SUM(N288:R288)</f>
        <v>10230.938113784923</v>
      </c>
      <c r="N288" s="174">
        <f>T288*(1+((AG288+IF(F288="백어택",8,0))/100)*((AI288/100-1)))</f>
        <v>960.73097873330869</v>
      </c>
      <c r="O288" s="174">
        <f>U288*(1+((AG288+IF(F288="백어택",8,0))/100)*(AI288/100-1))</f>
        <v>9270.2071350516144</v>
      </c>
      <c r="P288" s="174"/>
      <c r="Q288" s="174"/>
      <c r="R288" s="175"/>
      <c r="S288" s="173">
        <f>SUM(T288:X288)</f>
        <v>7030.2627864871465</v>
      </c>
      <c r="T288" s="174">
        <f>AT288*AL288*IF(F288="백어택",1.2,1)</f>
        <v>660.17320919121948</v>
      </c>
      <c r="U288" s="174">
        <f>AM288*AW288*AX288*AY288*IF(F288="백어택",1.2,1)</f>
        <v>6370.0895772959275</v>
      </c>
      <c r="V288" s="174"/>
      <c r="W288" s="174"/>
      <c r="X288" s="175"/>
      <c r="Y288" s="173">
        <f>SUM(Z288:AD288)</f>
        <v>14060.525572974297</v>
      </c>
      <c r="Z288" s="174">
        <f>T288*$D$58/100</f>
        <v>1320.346418382439</v>
      </c>
      <c r="AA288" s="174">
        <f>U288*$D$58/100</f>
        <v>12740.179154591857</v>
      </c>
      <c r="AB288" s="174"/>
      <c r="AC288" s="174"/>
      <c r="AD288" s="175"/>
      <c r="AE288" s="173">
        <f>AO288*(1-$D$17/100)</f>
        <v>11.971416</v>
      </c>
      <c r="AF288" s="174">
        <f>AP288</f>
        <v>36</v>
      </c>
      <c r="AG288" s="174">
        <f>IF($D$57&gt;100,100,$D$57)</f>
        <v>19.001300000000001</v>
      </c>
      <c r="AH288" s="174">
        <f>AQ288</f>
        <v>349</v>
      </c>
      <c r="AI288" s="174">
        <f>$D$58+$D$19</f>
        <v>268.61079999999998</v>
      </c>
      <c r="AJ288" s="174">
        <f>10/IF(AY288=1,5,4)</f>
        <v>2.5</v>
      </c>
      <c r="AK288" s="174">
        <f>SUM(AL288:AN288)</f>
        <v>2748.2428838829269</v>
      </c>
      <c r="AL288" s="174">
        <f>(VLOOKUP(C288,$B$36:$AG$39,4,FALSE)+VLOOKUP(C288,$B$40:$AG$43,4,FALSE)*$D$54)*$D$59/100</f>
        <v>550.14434099268294</v>
      </c>
      <c r="AM288" s="174">
        <f>(VLOOKUP(C288,$B$36:$AG$39,5,FALSE)+VLOOKUP(C288,$B$40:$AG$43,5,FALSE)*$D$54)*$D$59/100</f>
        <v>2198.0985428902441</v>
      </c>
      <c r="AN288" s="174"/>
      <c r="AO288" s="176">
        <v>12</v>
      </c>
      <c r="AP288" s="174">
        <v>36</v>
      </c>
      <c r="AQ288" s="175">
        <f>VLOOKUP(C288,$B$45:$AA$48,4,FALSE)</f>
        <v>349</v>
      </c>
      <c r="AR288" s="31">
        <f>IF(LEFT(E288,1)*1=1,$S$54,$R$54)</f>
        <v>0</v>
      </c>
      <c r="AS288" s="2">
        <f>IF(LEFT(E288,1)*1=2,$U$54,$T$54)</f>
        <v>0</v>
      </c>
      <c r="AT288" s="33">
        <f>IF(LEFT(E288,1)*1=3,$W$54,$V$54)</f>
        <v>1</v>
      </c>
      <c r="AU288" s="31">
        <f>IF(MID(E288,3,1)*1=1,$Y$54,$X$54)</f>
        <v>0</v>
      </c>
      <c r="AV288" s="2">
        <f>IF(MID(E288,3,1)*1=2,$AA$54,$Z$54)</f>
        <v>0</v>
      </c>
      <c r="AW288" s="33">
        <f>IF(MID(E288,3,1)*1=3,$AC$54,$AB$54)</f>
        <v>1.4</v>
      </c>
      <c r="AX288" s="31">
        <f>IF(MID(E288,5,1)*1=1,$AE$54,$AD$54)</f>
        <v>1</v>
      </c>
      <c r="AY288" s="33">
        <f>IF(MID(E288,5,1)*1=2,$AG$54,$AF$54)</f>
        <v>1.7250000000000001</v>
      </c>
      <c r="AZ288" s="2"/>
      <c r="BA288" s="101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1" ht="12" customHeight="1">
      <c r="A289" s="2"/>
      <c r="B289" s="107">
        <v>731</v>
      </c>
      <c r="C289" s="31">
        <v>10</v>
      </c>
      <c r="D289" s="111" t="s">
        <v>21</v>
      </c>
      <c r="E289" s="2" t="s">
        <v>138</v>
      </c>
      <c r="F289" s="2"/>
      <c r="G289" s="2"/>
      <c r="H289" s="33"/>
      <c r="I289" s="173">
        <f>M289/AE289</f>
        <v>851.46438595070617</v>
      </c>
      <c r="J289" s="174">
        <f>AH289/AE289</f>
        <v>23.695174714659018</v>
      </c>
      <c r="K289" s="207">
        <f>RANK(I289,$I$76:$I$977)</f>
        <v>214</v>
      </c>
      <c r="L289" s="208" t="e">
        <f>RANK(I289,$I$451:$I$866)</f>
        <v>#N/A</v>
      </c>
      <c r="M289" s="173">
        <f>SUM(N289:R289)</f>
        <v>23608.692837514034</v>
      </c>
      <c r="N289" s="174">
        <f>T289*(1+((AG289+IF(F289="백어택",8,0))/100)*(AI289/100-1))</f>
        <v>16526.084986259822</v>
      </c>
      <c r="O289" s="174"/>
      <c r="P289" s="174"/>
      <c r="Q289" s="174"/>
      <c r="R289" s="175">
        <f>X289*(1+(AG289/100)*(AI289/100-1))</f>
        <v>7082.6078512542108</v>
      </c>
      <c r="S289" s="173">
        <f>SUM(T289:X289)</f>
        <v>19839.020949782931</v>
      </c>
      <c r="T289" s="174">
        <f>AL289*AW289*AX289*AY289*IF(F289="백어택",1.2,1)</f>
        <v>13887.314664848051</v>
      </c>
      <c r="U289" s="174"/>
      <c r="V289" s="174"/>
      <c r="W289" s="174"/>
      <c r="X289" s="175">
        <f>AL289*AS289+IF(AX289=1,AL289*AU289,AL289*AU289*2)</f>
        <v>5951.7062849348795</v>
      </c>
      <c r="Y289" s="173">
        <f>SUM(Z289:AD289)</f>
        <v>39678.041899565862</v>
      </c>
      <c r="Z289" s="174">
        <f>T289*$D$58/100</f>
        <v>27774.629329696101</v>
      </c>
      <c r="AA289" s="174"/>
      <c r="AB289" s="174"/>
      <c r="AC289" s="174"/>
      <c r="AD289" s="175">
        <f>X289*$D$58/100</f>
        <v>11903.412569869759</v>
      </c>
      <c r="AE289" s="173">
        <f>AO289*(1-$D$20/100)*(1-$D$17/100)-AR289</f>
        <v>27.727164197424003</v>
      </c>
      <c r="AF289" s="174">
        <f>AP289</f>
        <v>36</v>
      </c>
      <c r="AG289" s="174">
        <f>IF($D$57&gt;100,100,$D$57)</f>
        <v>19.001300000000001</v>
      </c>
      <c r="AH289" s="174">
        <f>AQ289</f>
        <v>657</v>
      </c>
      <c r="AI289" s="174">
        <f>$D$58</f>
        <v>200</v>
      </c>
      <c r="AJ289" s="174">
        <f>10/6</f>
        <v>1.6666666666666667</v>
      </c>
      <c r="AK289" s="174">
        <f>SUM(AL289:AN289)</f>
        <v>9919.5104748914655</v>
      </c>
      <c r="AL289" s="174">
        <f>(VLOOKUP(C289,$B$36:$AG$39,31,FALSE)+VLOOKUP(C289,$B$40:$AG$43,31,FALSE)*$D$54)*$D$59/100</f>
        <v>9919.5104748914655</v>
      </c>
      <c r="AM289" s="174"/>
      <c r="AN289" s="174"/>
      <c r="AO289" s="176">
        <v>36</v>
      </c>
      <c r="AP289" s="174">
        <v>36</v>
      </c>
      <c r="AQ289" s="175">
        <f>VLOOKUP(C289,$B$45:$AG$48,31,FALSE)</f>
        <v>657</v>
      </c>
      <c r="AR289" s="31">
        <f>IF(LEFT(E289,1)*1=1,$S$71,$R$71)</f>
        <v>0</v>
      </c>
      <c r="AS289" s="2">
        <f>IF(LEFT(E289,1)*1=2,$U$71,$T$71)</f>
        <v>0</v>
      </c>
      <c r="AT289" s="33">
        <f>IF(LEFT(E289,1)*1=3,$W$71,$V$71)</f>
        <v>0</v>
      </c>
      <c r="AU289" s="31">
        <f>IF(MID(E289,3,1)*1=1,$Y$71,$X$71)</f>
        <v>0.3</v>
      </c>
      <c r="AV289" s="2">
        <f>IF(MID(E289,3,1)*1=2,$AA$71,$Z$71)</f>
        <v>0</v>
      </c>
      <c r="AW289" s="33">
        <f>IF(MID(E289,3,1)*1=3,$AC$71,$AB$71)</f>
        <v>1</v>
      </c>
      <c r="AX289" s="31">
        <f>IF(MID(E289,5,1)*1=1,$AE$71,$AD$71)</f>
        <v>1.4</v>
      </c>
      <c r="AY289" s="33">
        <f>IF(MID(E289,5,1)*1=2,$AG$71,$AF$71)</f>
        <v>1</v>
      </c>
      <c r="AZ289" s="2"/>
      <c r="BA289" s="101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1" ht="12" customHeight="1">
      <c r="A290" s="2"/>
      <c r="B290" s="107">
        <v>426</v>
      </c>
      <c r="C290" s="31">
        <v>10</v>
      </c>
      <c r="D290" s="111" t="s">
        <v>8</v>
      </c>
      <c r="E290" s="2" t="s">
        <v>98</v>
      </c>
      <c r="F290" s="2" t="s">
        <v>149</v>
      </c>
      <c r="G290" s="2"/>
      <c r="H290" s="33" t="s">
        <v>81</v>
      </c>
      <c r="I290" s="173">
        <f>M290/AE290</f>
        <v>850.04295166520808</v>
      </c>
      <c r="J290" s="174">
        <f>AH290/AE290</f>
        <v>28.185356224514496</v>
      </c>
      <c r="K290" s="207">
        <f>RANK(I290,$I$76:$I$977)</f>
        <v>215</v>
      </c>
      <c r="L290" s="208" t="e">
        <f>RANK(I290,$I$451:$I$866)</f>
        <v>#N/A</v>
      </c>
      <c r="M290" s="173">
        <f>SUM(N290:R290)</f>
        <v>15712.85366378945</v>
      </c>
      <c r="N290" s="174">
        <f>T290*(1+((AG290+IF(F290="백어택",8,0))/100)*(IF(AY290=1,$D$58,$D$58+50)/100-1))</f>
        <v>6483.750225265806</v>
      </c>
      <c r="O290" s="174">
        <f>U290*(1+((AG290+IF(F290="백어택",8,0))/100)*(AI290/100-1))</f>
        <v>9229.1034385236435</v>
      </c>
      <c r="P290" s="174">
        <f>V290*(1+((AG290+IF(F290="백어택",8,0))/100)*(AI290/100-1))</f>
        <v>0</v>
      </c>
      <c r="Q290" s="174"/>
      <c r="R290" s="175"/>
      <c r="S290" s="173">
        <f>SUM(T290:X290)</f>
        <v>10504.26615761912</v>
      </c>
      <c r="T290" s="174">
        <f>AL290*IF(H290="근접",AR290,1)*AY290*IF(F290="백어택",1.2,1)</f>
        <v>4614.7047961012686</v>
      </c>
      <c r="U290" s="174">
        <f>AM290*IF(H290="근접",AR290,1)*AY290*IF(F290="백어택",1.2,1)</f>
        <v>5889.5613615178527</v>
      </c>
      <c r="V290" s="174">
        <f>IF(AX290=1,0,AM290*IF(H290="근접",AR290,1)*AY290)*IF(F290="백어택",1.2,1)</f>
        <v>0</v>
      </c>
      <c r="W290" s="174"/>
      <c r="X290" s="175"/>
      <c r="Y290" s="173">
        <f>SUM(Z290:AD290)</f>
        <v>29794.402210958513</v>
      </c>
      <c r="Z290" s="174">
        <f>T290*IF(AY290=1,$D$58,$D$58+50)/100</f>
        <v>11536.761990253171</v>
      </c>
      <c r="AA290" s="174">
        <f>U290*AI290/100</f>
        <v>18257.640220705343</v>
      </c>
      <c r="AB290" s="174">
        <f>V290*AI290/100</f>
        <v>0</v>
      </c>
      <c r="AC290" s="174"/>
      <c r="AD290" s="175"/>
      <c r="AE290" s="173">
        <f>AO290*(1-$D$20/100)*(1-$D$17/100)</f>
        <v>18.484776131615998</v>
      </c>
      <c r="AF290" s="174">
        <f>AP290</f>
        <v>36</v>
      </c>
      <c r="AG290" s="174">
        <f>IF($D$57+AU290&gt;100,100,$D$57+AU290)</f>
        <v>19.001300000000001</v>
      </c>
      <c r="AH290" s="174">
        <f>IF(AX290=1,AQ290,AQ290*1.4)</f>
        <v>521</v>
      </c>
      <c r="AI290" s="174">
        <f>IF(AY290=1,$D$58,$D$58+50)*AW290</f>
        <v>310</v>
      </c>
      <c r="AJ290" s="174">
        <f>10/6/AX290</f>
        <v>1.6666666666666667</v>
      </c>
      <c r="AK290" s="174">
        <f>SUM(AL290:AN290)</f>
        <v>7294.6292761243903</v>
      </c>
      <c r="AL290" s="174">
        <f>(IF(H290="근접",$D$61*(VLOOKUP(C290,$B$36:$AG$39,9,FALSE)+VLOOKUP(C290,$B$40:$AG$43,9,FALSE)*$D$54),$D$60*(VLOOKUP(C290,$B$36:$AG$39,9,FALSE)+VLOOKUP(C290,$B$40:$AG$43,9,FALSE)*$D$54)))*$D$59/100</f>
        <v>3204.6561084036589</v>
      </c>
      <c r="AM290" s="174">
        <f>(IF(H290="근접",$D$61*(VLOOKUP(C290,$B$36:$AG$39,10,FALSE)+VLOOKUP(C290,$B$40:$AG$43,10,FALSE)*$D$54),$D$60*(VLOOKUP(C290,$B$36:$AG$39,10,FALSE)+VLOOKUP(C290,$B$40:$AG$43,10,FALSE)*$D$54)))*$D$59/100</f>
        <v>4089.9731677207315</v>
      </c>
      <c r="AN290" s="174"/>
      <c r="AO290" s="176">
        <v>24</v>
      </c>
      <c r="AP290" s="174">
        <v>36</v>
      </c>
      <c r="AQ290" s="175">
        <f>VLOOKUP(C290,$B$45:$AA$48,9,FALSE)</f>
        <v>521</v>
      </c>
      <c r="AR290" s="31">
        <f>IF(LEFT(E290,1)*1=1,$S$58,$R$58)</f>
        <v>1</v>
      </c>
      <c r="AS290" s="2">
        <f>IF(LEFT(E290,1)*1=2,$U$58,$T$58)</f>
        <v>0</v>
      </c>
      <c r="AT290" s="33">
        <f>IF(LEFT(E290,1)*1=3,$W$58,$V$58)</f>
        <v>0</v>
      </c>
      <c r="AU290" s="31">
        <f>IF(MID(E290,3,1)*1=1,$Y$58,$X$58)</f>
        <v>0</v>
      </c>
      <c r="AV290" s="2">
        <f>IF(MID(E290,3,1)*1=2,$AA$58,$Z$58)</f>
        <v>0</v>
      </c>
      <c r="AW290" s="33">
        <f>IF(MID(E290,3,1)*1=3,$AC$58,$AB$58)</f>
        <v>1.24</v>
      </c>
      <c r="AX290" s="31">
        <f>IF(MID(E290,5,1)*1=1,$AE$58,$AD$58)</f>
        <v>1</v>
      </c>
      <c r="AY290" s="33">
        <f>IF(MID(E290,5,1)*1=2,$AG$58,$AF$58)</f>
        <v>1.2</v>
      </c>
      <c r="AZ290" s="2"/>
      <c r="BA290" s="101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1" ht="12" customHeight="1">
      <c r="A291" s="2"/>
      <c r="B291" s="107">
        <v>767</v>
      </c>
      <c r="C291" s="31">
        <v>10</v>
      </c>
      <c r="D291" s="111" t="s">
        <v>21</v>
      </c>
      <c r="E291" s="2" t="s">
        <v>161</v>
      </c>
      <c r="F291" s="2" t="s">
        <v>149</v>
      </c>
      <c r="G291" s="2"/>
      <c r="H291" s="33"/>
      <c r="I291" s="173">
        <f>M291/AE291</f>
        <v>848.45869226230616</v>
      </c>
      <c r="J291" s="174">
        <f>AH291/AE291</f>
        <v>23.695174714659018</v>
      </c>
      <c r="K291" s="207">
        <f>RANK(I291,$I$76:$I$977)</f>
        <v>216</v>
      </c>
      <c r="L291" s="208" t="e">
        <f>RANK(I291,$I$451:$I$866)</f>
        <v>#N/A</v>
      </c>
      <c r="M291" s="173">
        <f>SUM(N291:R291)</f>
        <v>23525.353475088607</v>
      </c>
      <c r="N291" s="174">
        <f>T291*(1+((AG291+IF(F291="백어택",8,0))/100)*(AI291/100-1))</f>
        <v>21164.484191337204</v>
      </c>
      <c r="O291" s="174"/>
      <c r="P291" s="174"/>
      <c r="Q291" s="174"/>
      <c r="R291" s="175">
        <f>X291*(1+(AG291/100)*(AI291/100-1))</f>
        <v>2360.8692837514036</v>
      </c>
      <c r="S291" s="173">
        <f>SUM(T291:X291)</f>
        <v>18648.679692795955</v>
      </c>
      <c r="T291" s="174">
        <f>AL291*AW291*AX291*AY291*IF(F291="백어택",1.2,1)</f>
        <v>16664.777597817661</v>
      </c>
      <c r="U291" s="174"/>
      <c r="V291" s="174"/>
      <c r="W291" s="174"/>
      <c r="X291" s="175">
        <f>AL291*AS291+IF(AX291=1,AL291*AU291,AL291*AU291*2)</f>
        <v>1983.9020949782932</v>
      </c>
      <c r="Y291" s="173">
        <f>SUM(Z291:AD291)</f>
        <v>37297.35938559191</v>
      </c>
      <c r="Z291" s="174">
        <f>T291*$D$58/100</f>
        <v>33329.555195635323</v>
      </c>
      <c r="AA291" s="174"/>
      <c r="AB291" s="174"/>
      <c r="AC291" s="174"/>
      <c r="AD291" s="175">
        <f>X291*$D$58/100</f>
        <v>3967.8041899565865</v>
      </c>
      <c r="AE291" s="173">
        <f>AO291*(1-$D$20/100)*(1-$D$17/100)-AR291</f>
        <v>27.727164197424003</v>
      </c>
      <c r="AF291" s="174">
        <f>AP291</f>
        <v>36</v>
      </c>
      <c r="AG291" s="174">
        <f>IF($D$57&gt;100,100,$D$57)</f>
        <v>19.001300000000001</v>
      </c>
      <c r="AH291" s="174">
        <f>AQ291</f>
        <v>657</v>
      </c>
      <c r="AI291" s="174">
        <f>$D$58</f>
        <v>200</v>
      </c>
      <c r="AJ291" s="174">
        <f>10/6</f>
        <v>1.6666666666666667</v>
      </c>
      <c r="AK291" s="174">
        <f>SUM(AL291:AN291)</f>
        <v>9919.5104748914655</v>
      </c>
      <c r="AL291" s="174">
        <f>(VLOOKUP(C291,$B$36:$AG$39,31,FALSE)+VLOOKUP(C291,$B$40:$AG$43,31,FALSE)*$D$54)*$D$59/100</f>
        <v>9919.5104748914655</v>
      </c>
      <c r="AM291" s="174"/>
      <c r="AN291" s="174"/>
      <c r="AO291" s="176">
        <v>36</v>
      </c>
      <c r="AP291" s="174">
        <v>36</v>
      </c>
      <c r="AQ291" s="175">
        <f>VLOOKUP(C291,$B$45:$AG$48,31,FALSE)</f>
        <v>657</v>
      </c>
      <c r="AR291" s="31">
        <f>IF(LEFT(E291,1)*1=1,$S$71,$R$71)</f>
        <v>0</v>
      </c>
      <c r="AS291" s="2">
        <f>IF(LEFT(E291,1)*1=2,$U$71,$T$71)</f>
        <v>0.2</v>
      </c>
      <c r="AT291" s="33">
        <f>IF(LEFT(E291,1)*1=3,$W$71,$V$71)</f>
        <v>0</v>
      </c>
      <c r="AU291" s="31">
        <f>IF(MID(E291,3,1)*1=1,$Y$71,$X$71)</f>
        <v>0</v>
      </c>
      <c r="AV291" s="2">
        <f>IF(MID(E291,3,1)*1=2,$AA$71,$Z$71)</f>
        <v>0</v>
      </c>
      <c r="AW291" s="33">
        <f>IF(MID(E291,3,1)*1=3,$AC$71,$AB$71)</f>
        <v>1</v>
      </c>
      <c r="AX291" s="31">
        <f>IF(MID(E291,5,1)*1=1,$AE$71,$AD$71)</f>
        <v>1.4</v>
      </c>
      <c r="AY291" s="33">
        <f>IF(MID(E291,5,1)*1=2,$AG$71,$AF$71)</f>
        <v>1</v>
      </c>
      <c r="AZ291" s="2"/>
      <c r="BA291" s="101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1" ht="12" customHeight="1">
      <c r="A292" s="2"/>
      <c r="B292" s="107">
        <v>174</v>
      </c>
      <c r="C292" s="31">
        <v>7</v>
      </c>
      <c r="D292" s="106" t="s">
        <v>10</v>
      </c>
      <c r="E292" s="2" t="s">
        <v>67</v>
      </c>
      <c r="F292" s="2" t="s">
        <v>149</v>
      </c>
      <c r="G292" s="2"/>
      <c r="H292" s="33"/>
      <c r="I292" s="173">
        <f>M292/AE292</f>
        <v>848.27835461430061</v>
      </c>
      <c r="J292" s="174">
        <f>AH292/AE292</f>
        <v>17.980329144021059</v>
      </c>
      <c r="K292" s="207">
        <f>RANK(I292,$I$76:$I$977)</f>
        <v>217</v>
      </c>
      <c r="L292" s="208">
        <f>RANK(I292,$I$76:$I$450)</f>
        <v>217</v>
      </c>
      <c r="M292" s="173">
        <f>SUM(N292:R292)</f>
        <v>13540.124089177749</v>
      </c>
      <c r="N292" s="174">
        <f>T292*(1+((AG292+IF(F292="백어택",8,0))/100)*((AI292/100-1)))</f>
        <v>13540.124089177749</v>
      </c>
      <c r="O292" s="174"/>
      <c r="P292" s="174"/>
      <c r="Q292" s="174"/>
      <c r="R292" s="175"/>
      <c r="S292" s="173">
        <f>SUM(T292:X292)</f>
        <v>9304.1937552439013</v>
      </c>
      <c r="T292" s="174">
        <f>AL292*AS292*AU292*AX292*IF(AY292=0,1,0.5)*IF(F292="백어택",1.2,1)</f>
        <v>9304.1937552439013</v>
      </c>
      <c r="U292" s="174"/>
      <c r="V292" s="174"/>
      <c r="W292" s="174"/>
      <c r="X292" s="175"/>
      <c r="Y292" s="173">
        <f>SUM(Z292:AD292)</f>
        <v>24992.069279510681</v>
      </c>
      <c r="Z292" s="174">
        <f>T292*AI292/100</f>
        <v>24992.069279510681</v>
      </c>
      <c r="AA292" s="174"/>
      <c r="AB292" s="174"/>
      <c r="AC292" s="174"/>
      <c r="AD292" s="175"/>
      <c r="AE292" s="173">
        <f>AO292*(1-$D$17/100)</f>
        <v>15.961888</v>
      </c>
      <c r="AF292" s="174">
        <f>AP292</f>
        <v>36</v>
      </c>
      <c r="AG292" s="174">
        <f>IF($D$57+AV292&gt;100,100,$D$57+AV292)</f>
        <v>19.001300000000001</v>
      </c>
      <c r="AH292" s="174">
        <f>AQ292</f>
        <v>287</v>
      </c>
      <c r="AI292" s="174">
        <f>$D$58+$D$19</f>
        <v>268.61079999999998</v>
      </c>
      <c r="AJ292" s="174">
        <f>10*AR292/(7-IF(AX292=1,0,3))</f>
        <v>1.4285714285714286</v>
      </c>
      <c r="AK292" s="174">
        <f>SUM(AL292:AN292)</f>
        <v>7753.4947960365853</v>
      </c>
      <c r="AL292" s="174">
        <f>(VLOOKUP(C292,$B$36:$AG$39,13,FALSE)+VLOOKUP(C292,$B$40:$AG$43,13,FALSE)*$D$54)*$D$59/100</f>
        <v>7753.4947960365853</v>
      </c>
      <c r="AM292" s="174"/>
      <c r="AN292" s="174"/>
      <c r="AO292" s="176">
        <v>16</v>
      </c>
      <c r="AP292" s="174">
        <v>36</v>
      </c>
      <c r="AQ292" s="175">
        <f>VLOOKUP(C292,$B$45:$AA$48,13,FALSE)</f>
        <v>287</v>
      </c>
      <c r="AR292" s="31">
        <f>IF(LEFT(E292,1)*1=1,$S$60,$R$60)</f>
        <v>1</v>
      </c>
      <c r="AS292" s="2">
        <f>IF(LEFT(E292,1)*1=2,$U$60,$T$60)</f>
        <v>1</v>
      </c>
      <c r="AT292" s="33">
        <f>IF(LEFT(E292,1)*1=3,$W$60,$V$60)</f>
        <v>0</v>
      </c>
      <c r="AU292" s="31">
        <f>IF(MID(E292,3,1)*1=1,$Y$60,$X$60)</f>
        <v>1</v>
      </c>
      <c r="AV292" s="2">
        <f>IF(MID(E292,3,1)*1=2,$AA$60,$Z$60)</f>
        <v>0</v>
      </c>
      <c r="AW292" s="33">
        <f>IF(MID(E292,3,1)*1=3,$AC$60,$AB$60)</f>
        <v>0</v>
      </c>
      <c r="AX292" s="31">
        <f>IF(MID(E292,5,1)*1=1,$AE$60,$AD$60)</f>
        <v>1</v>
      </c>
      <c r="AY292" s="33">
        <f>IF(MID(E292,5,1)*1=2,$AG$60,$AF$60)</f>
        <v>0</v>
      </c>
      <c r="AZ292" s="2"/>
      <c r="BA292" s="101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1" ht="12" customHeight="1">
      <c r="A293" s="2"/>
      <c r="B293" s="107">
        <v>177</v>
      </c>
      <c r="C293" s="31">
        <v>7</v>
      </c>
      <c r="D293" s="106" t="s">
        <v>10</v>
      </c>
      <c r="E293" s="2" t="s">
        <v>148</v>
      </c>
      <c r="F293" s="2" t="s">
        <v>149</v>
      </c>
      <c r="G293" s="2"/>
      <c r="H293" s="33"/>
      <c r="I293" s="173">
        <f>M293/AE293</f>
        <v>848.27835461430061</v>
      </c>
      <c r="J293" s="174">
        <f>AH293/AE293</f>
        <v>17.980329144021059</v>
      </c>
      <c r="K293" s="207">
        <f>RANK(I293,$I$76:$I$977)</f>
        <v>217</v>
      </c>
      <c r="L293" s="208">
        <f>RANK(I293,$I$76:$I$450)</f>
        <v>217</v>
      </c>
      <c r="M293" s="173">
        <f>SUM(N293:R293)</f>
        <v>13540.124089177749</v>
      </c>
      <c r="N293" s="174">
        <f>T293*(1+((AG293+IF(F293="백어택",8,0))/100)*((AI293/100-1)))</f>
        <v>13540.124089177749</v>
      </c>
      <c r="O293" s="174"/>
      <c r="P293" s="174"/>
      <c r="Q293" s="174"/>
      <c r="R293" s="175"/>
      <c r="S293" s="173">
        <f>SUM(T293:X293)</f>
        <v>9304.1937552439013</v>
      </c>
      <c r="T293" s="174">
        <f>AL293*AS293*AU293*AX293*IF(AY293=0,1,0.5)*IF(F293="백어택",1.2,1)</f>
        <v>9304.1937552439013</v>
      </c>
      <c r="U293" s="174"/>
      <c r="V293" s="174"/>
      <c r="W293" s="174"/>
      <c r="X293" s="175"/>
      <c r="Y293" s="173">
        <f>SUM(Z293:AD293)</f>
        <v>24992.069279510681</v>
      </c>
      <c r="Z293" s="174">
        <f>T293*AI293/100</f>
        <v>24992.069279510681</v>
      </c>
      <c r="AA293" s="174"/>
      <c r="AB293" s="174"/>
      <c r="AC293" s="174"/>
      <c r="AD293" s="175"/>
      <c r="AE293" s="173">
        <f>AO293*(1-$D$17/100)</f>
        <v>15.961888</v>
      </c>
      <c r="AF293" s="174">
        <f>AP293</f>
        <v>36</v>
      </c>
      <c r="AG293" s="174">
        <f>IF($D$57+AV293&gt;100,100,$D$57+AV293)</f>
        <v>19.001300000000001</v>
      </c>
      <c r="AH293" s="174">
        <f>AQ293</f>
        <v>287</v>
      </c>
      <c r="AI293" s="174">
        <f>$D$58+$D$19</f>
        <v>268.61079999999998</v>
      </c>
      <c r="AJ293" s="174">
        <f>10*AR293/(7-IF(AX293=1,0,3))</f>
        <v>1.2142857142857142</v>
      </c>
      <c r="AK293" s="174">
        <f>SUM(AL293:AN293)</f>
        <v>7753.4947960365853</v>
      </c>
      <c r="AL293" s="174">
        <f>(VLOOKUP(C293,$B$36:$AG$39,13,FALSE)+VLOOKUP(C293,$B$40:$AG$43,13,FALSE)*$D$54)*$D$59/100</f>
        <v>7753.4947960365853</v>
      </c>
      <c r="AM293" s="174"/>
      <c r="AN293" s="174"/>
      <c r="AO293" s="176">
        <v>16</v>
      </c>
      <c r="AP293" s="174">
        <v>36</v>
      </c>
      <c r="AQ293" s="175">
        <f>VLOOKUP(C293,$B$45:$AA$48,13,FALSE)</f>
        <v>287</v>
      </c>
      <c r="AR293" s="31">
        <f>IF(LEFT(E293,1)*1=1,$S$60,$R$60)</f>
        <v>0.85</v>
      </c>
      <c r="AS293" s="2">
        <f>IF(LEFT(E293,1)*1=2,$U$60,$T$60)</f>
        <v>1</v>
      </c>
      <c r="AT293" s="33">
        <f>IF(LEFT(E293,1)*1=3,$W$60,$V$60)</f>
        <v>0</v>
      </c>
      <c r="AU293" s="31">
        <f>IF(MID(E293,3,1)*1=1,$Y$60,$X$60)</f>
        <v>1</v>
      </c>
      <c r="AV293" s="2">
        <f>IF(MID(E293,3,1)*1=2,$AA$60,$Z$60)</f>
        <v>0</v>
      </c>
      <c r="AW293" s="33">
        <f>IF(MID(E293,3,1)*1=3,$AC$60,$AB$60)</f>
        <v>0</v>
      </c>
      <c r="AX293" s="31">
        <f>IF(MID(E293,5,1)*1=1,$AE$60,$AD$60)</f>
        <v>1</v>
      </c>
      <c r="AY293" s="33">
        <f>IF(MID(E293,5,1)*1=2,$AG$60,$AF$60)</f>
        <v>0</v>
      </c>
      <c r="AZ293" s="2"/>
      <c r="BA293" s="101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1" ht="12" customHeight="1">
      <c r="A294" s="2"/>
      <c r="B294" s="107">
        <v>188</v>
      </c>
      <c r="C294" s="31">
        <v>10</v>
      </c>
      <c r="D294" s="106" t="s">
        <v>10</v>
      </c>
      <c r="E294" s="2" t="s">
        <v>138</v>
      </c>
      <c r="F294" s="2"/>
      <c r="G294" s="2" t="s">
        <v>137</v>
      </c>
      <c r="H294" s="33"/>
      <c r="I294" s="173">
        <f>M294/AE294</f>
        <v>837.37285245098667</v>
      </c>
      <c r="J294" s="174">
        <f>AH294/AE294</f>
        <v>25.811482952392598</v>
      </c>
      <c r="K294" s="207">
        <f>RANK(I294,$I$76:$I$977)</f>
        <v>219</v>
      </c>
      <c r="L294" s="208">
        <f>RANK(I294,$I$76:$I$450)</f>
        <v>219</v>
      </c>
      <c r="M294" s="173">
        <f>SUM(N294:R294)</f>
        <v>13366.051685063176</v>
      </c>
      <c r="N294" s="174">
        <f>T294*(1+((AG294+IF(F294="백어택",8,0))/100)*((AI294/100-1)))</f>
        <v>13366.051685063176</v>
      </c>
      <c r="O294" s="174"/>
      <c r="P294" s="174"/>
      <c r="Q294" s="174"/>
      <c r="R294" s="175"/>
      <c r="S294" s="173">
        <f>SUM(T294:X294)</f>
        <v>10122.863865939025</v>
      </c>
      <c r="T294" s="174">
        <f>AL294*AS294*AU294*AX294*IF(AY294=0,1,0.5)*IF(F294="백어택",1.2,1)</f>
        <v>10122.863865939025</v>
      </c>
      <c r="U294" s="174"/>
      <c r="V294" s="174"/>
      <c r="W294" s="174"/>
      <c r="X294" s="175"/>
      <c r="Y294" s="173">
        <f>SUM(Z294:AD294)</f>
        <v>27191.10561320974</v>
      </c>
      <c r="Z294" s="174">
        <f>T294*AI294/100</f>
        <v>27191.10561320974</v>
      </c>
      <c r="AA294" s="174"/>
      <c r="AB294" s="174"/>
      <c r="AC294" s="174"/>
      <c r="AD294" s="175"/>
      <c r="AE294" s="173">
        <f>AO294*(1-$D$17/100)</f>
        <v>15.961888</v>
      </c>
      <c r="AF294" s="174">
        <f>AP294</f>
        <v>36</v>
      </c>
      <c r="AG294" s="174">
        <f>IF($D$57+AV294&gt;100,100,$D$57+AV294)</f>
        <v>19.001300000000001</v>
      </c>
      <c r="AH294" s="174">
        <f>AQ294</f>
        <v>412</v>
      </c>
      <c r="AI294" s="174">
        <f>$D$58+$D$19</f>
        <v>268.61079999999998</v>
      </c>
      <c r="AJ294" s="174">
        <f>10*AR294/(7-IF(AX294=1,0,3))</f>
        <v>1.4285714285714286</v>
      </c>
      <c r="AK294" s="174">
        <f>SUM(AL294:AN294)</f>
        <v>8098.2910927512203</v>
      </c>
      <c r="AL294" s="174">
        <f>(VLOOKUP(C294,$B$36:$AG$39,13,FALSE)+VLOOKUP(C294,$B$40:$AG$43,13,FALSE)*$D$54)*$D$59/100</f>
        <v>8098.2910927512203</v>
      </c>
      <c r="AM294" s="174"/>
      <c r="AN294" s="174"/>
      <c r="AO294" s="176">
        <v>16</v>
      </c>
      <c r="AP294" s="174">
        <v>36</v>
      </c>
      <c r="AQ294" s="175">
        <f>VLOOKUP(C294,$B$45:$AA$48,13,FALSE)</f>
        <v>412</v>
      </c>
      <c r="AR294" s="31">
        <f>IF(LEFT(E294,1)*1=1,$S$60,$R$60)</f>
        <v>1</v>
      </c>
      <c r="AS294" s="2">
        <f>IF(LEFT(E294,1)*1=2,$U$60,$T$60)</f>
        <v>1</v>
      </c>
      <c r="AT294" s="33">
        <f>IF(LEFT(E294,1)*1=3,$W$60,$V$60)</f>
        <v>0</v>
      </c>
      <c r="AU294" s="31">
        <f>IF(MID(E294,3,1)*1=1,$Y$60,$X$60)</f>
        <v>1.25</v>
      </c>
      <c r="AV294" s="2">
        <f>IF(MID(E294,3,1)*1=2,$AA$60,$Z$60)</f>
        <v>0</v>
      </c>
      <c r="AW294" s="33">
        <f>IF(MID(E294,3,1)*1=3,$AC$60,$AB$60)</f>
        <v>0</v>
      </c>
      <c r="AX294" s="31">
        <f>IF(MID(E294,5,1)*1=1,$AE$60,$AD$60)</f>
        <v>1</v>
      </c>
      <c r="AY294" s="33">
        <f>IF(MID(E294,5,1)*1=2,$AG$60,$AF$60)</f>
        <v>0</v>
      </c>
      <c r="AZ294" s="2"/>
      <c r="BA294" s="101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1" ht="12" customHeight="1">
      <c r="A295" s="2"/>
      <c r="B295" s="107">
        <v>191</v>
      </c>
      <c r="C295" s="31">
        <v>10</v>
      </c>
      <c r="D295" s="106" t="s">
        <v>10</v>
      </c>
      <c r="E295" s="2" t="s">
        <v>164</v>
      </c>
      <c r="F295" s="2"/>
      <c r="G295" s="2" t="s">
        <v>137</v>
      </c>
      <c r="H295" s="33"/>
      <c r="I295" s="173">
        <f>M295/AE295</f>
        <v>837.37285245098667</v>
      </c>
      <c r="J295" s="174">
        <f>AH295/AE295</f>
        <v>25.811482952392598</v>
      </c>
      <c r="K295" s="207">
        <f>RANK(I295,$I$76:$I$977)</f>
        <v>219</v>
      </c>
      <c r="L295" s="208">
        <f>RANK(I295,$I$76:$I$450)</f>
        <v>219</v>
      </c>
      <c r="M295" s="173">
        <f>SUM(N295:R295)</f>
        <v>13366.051685063176</v>
      </c>
      <c r="N295" s="174">
        <f>T295*(1+((AG295+IF(F295="백어택",8,0))/100)*((AI295/100-1)))</f>
        <v>13366.051685063176</v>
      </c>
      <c r="O295" s="174"/>
      <c r="P295" s="174"/>
      <c r="Q295" s="174"/>
      <c r="R295" s="175"/>
      <c r="S295" s="173">
        <f>SUM(T295:X295)</f>
        <v>10122.863865939025</v>
      </c>
      <c r="T295" s="174">
        <f>AL295*AS295*AU295*AX295*IF(AY295=0,1,0.5)*IF(F295="백어택",1.2,1)</f>
        <v>10122.863865939025</v>
      </c>
      <c r="U295" s="174"/>
      <c r="V295" s="174"/>
      <c r="W295" s="174"/>
      <c r="X295" s="175"/>
      <c r="Y295" s="173">
        <f>SUM(Z295:AD295)</f>
        <v>27191.10561320974</v>
      </c>
      <c r="Z295" s="174">
        <f>T295*AI295/100</f>
        <v>27191.10561320974</v>
      </c>
      <c r="AA295" s="174"/>
      <c r="AB295" s="174"/>
      <c r="AC295" s="174"/>
      <c r="AD295" s="175"/>
      <c r="AE295" s="173">
        <f>AO295*(1-$D$17/100)</f>
        <v>15.961888</v>
      </c>
      <c r="AF295" s="174">
        <f>AP295</f>
        <v>36</v>
      </c>
      <c r="AG295" s="174">
        <f>IF($D$57+AV295&gt;100,100,$D$57+AV295)</f>
        <v>19.001300000000001</v>
      </c>
      <c r="AH295" s="174">
        <f>AQ295</f>
        <v>412</v>
      </c>
      <c r="AI295" s="174">
        <f>$D$58+$D$19</f>
        <v>268.61079999999998</v>
      </c>
      <c r="AJ295" s="174">
        <f>10*AR295/(7-IF(AX295=1,0,3))</f>
        <v>1.2142857142857142</v>
      </c>
      <c r="AK295" s="174">
        <f>SUM(AL295:AN295)</f>
        <v>8098.2910927512203</v>
      </c>
      <c r="AL295" s="174">
        <f>(VLOOKUP(C295,$B$36:$AG$39,13,FALSE)+VLOOKUP(C295,$B$40:$AG$43,13,FALSE)*$D$54)*$D$59/100</f>
        <v>8098.2910927512203</v>
      </c>
      <c r="AM295" s="174"/>
      <c r="AN295" s="174"/>
      <c r="AO295" s="176">
        <v>16</v>
      </c>
      <c r="AP295" s="174">
        <v>36</v>
      </c>
      <c r="AQ295" s="175">
        <f>VLOOKUP(C295,$B$45:$AA$48,13,FALSE)</f>
        <v>412</v>
      </c>
      <c r="AR295" s="31">
        <f>IF(LEFT(E295,1)*1=1,$S$60,$R$60)</f>
        <v>0.85</v>
      </c>
      <c r="AS295" s="2">
        <f>IF(LEFT(E295,1)*1=2,$U$60,$T$60)</f>
        <v>1</v>
      </c>
      <c r="AT295" s="33">
        <f>IF(LEFT(E295,1)*1=3,$W$60,$V$60)</f>
        <v>0</v>
      </c>
      <c r="AU295" s="31">
        <f>IF(MID(E295,3,1)*1=1,$Y$60,$X$60)</f>
        <v>1.25</v>
      </c>
      <c r="AV295" s="2">
        <f>IF(MID(E295,3,1)*1=2,$AA$60,$Z$60)</f>
        <v>0</v>
      </c>
      <c r="AW295" s="33">
        <f>IF(MID(E295,3,1)*1=3,$AC$60,$AB$60)</f>
        <v>0</v>
      </c>
      <c r="AX295" s="31">
        <f>IF(MID(E295,5,1)*1=1,$AE$60,$AD$60)</f>
        <v>1</v>
      </c>
      <c r="AY295" s="33">
        <f>IF(MID(E295,5,1)*1=2,$AG$60,$AF$60)</f>
        <v>0</v>
      </c>
      <c r="AZ295" s="2"/>
      <c r="BA295" s="101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</row>
    <row r="296" spans="1:71" ht="12" customHeight="1">
      <c r="A296" s="2"/>
      <c r="B296" s="107">
        <v>482</v>
      </c>
      <c r="C296" s="31">
        <v>10</v>
      </c>
      <c r="D296" s="111" t="s">
        <v>14</v>
      </c>
      <c r="E296" s="2" t="s">
        <v>144</v>
      </c>
      <c r="F296" s="2"/>
      <c r="G296" s="2"/>
      <c r="H296" s="33" t="s">
        <v>81</v>
      </c>
      <c r="I296" s="173">
        <f>M296/AE296</f>
        <v>832.17770789458234</v>
      </c>
      <c r="J296" s="174">
        <f>AH296/AE296</f>
        <v>23.695174714659018</v>
      </c>
      <c r="K296" s="207">
        <f>RANK(I296,$I$76:$I$977)</f>
        <v>221</v>
      </c>
      <c r="L296" s="208" t="e">
        <f>RANK(I296,$I$451:$I$866)</f>
        <v>#N/A</v>
      </c>
      <c r="M296" s="173">
        <f>SUM(N296:R296)</f>
        <v>23073.927948229033</v>
      </c>
      <c r="N296" s="174">
        <f>T296*(1+((AG296+IF(F296="백어택",8,0))/100)*(AI296/100-1))</f>
        <v>4303.1636021730574</v>
      </c>
      <c r="O296" s="174">
        <f>U296*(1+((AG296+IF(F296="백어택",8,0))/100)*(AI296/100-1))</f>
        <v>4303.1636021730574</v>
      </c>
      <c r="P296" s="174">
        <f>V296*(1+((AG296+IF(F296="백어택",8,0))/100)*(AI296*IF(AX296=1,AW296,1)/100-1))</f>
        <v>5814.8777632970296</v>
      </c>
      <c r="Q296" s="174">
        <f>W296*(1+((AG296+IF(F296="백어택",8,0))/100)*(AI296*AW296/100-1))</f>
        <v>8652.7229805858879</v>
      </c>
      <c r="R296" s="175"/>
      <c r="S296" s="173">
        <f>SUM(T296:X296)</f>
        <v>19389.643599043902</v>
      </c>
      <c r="T296" s="174">
        <f>AL296*AY296*IF(F296="백어택",1.2,1)</f>
        <v>3616.0643641481706</v>
      </c>
      <c r="U296" s="174">
        <f>AM296*AY296*IF(F296="백어택",1.2,1)</f>
        <v>3616.0643641481706</v>
      </c>
      <c r="V296" s="174">
        <f>AN296*AY296*IF(F296="백어택",1.2,1)</f>
        <v>4886.3985211060972</v>
      </c>
      <c r="W296" s="174">
        <f>(T296+U296+V296)*IF(AX296=1,0,0.6)*IF(F296="백어택",1.2,1)</f>
        <v>7271.1163496414638</v>
      </c>
      <c r="X296" s="175"/>
      <c r="Y296" s="173">
        <f>SUM(Z296:AD296)</f>
        <v>38779.287198087804</v>
      </c>
      <c r="Z296" s="174">
        <f>T296*AI296/100</f>
        <v>7232.1287282963413</v>
      </c>
      <c r="AA296" s="174">
        <f>U296*AI296/100</f>
        <v>7232.1287282963413</v>
      </c>
      <c r="AB296" s="174">
        <f>V296*AI296*IF(AX296=1,AW296,1)/100</f>
        <v>9772.7970422121944</v>
      </c>
      <c r="AC296" s="174">
        <f>W296*AI296*AW296/100</f>
        <v>14542.232699282928</v>
      </c>
      <c r="AD296" s="175"/>
      <c r="AE296" s="173">
        <f>AO296*(1-$D$20/100)*(1-$D$17/100)</f>
        <v>27.727164197424003</v>
      </c>
      <c r="AF296" s="174">
        <f>AP296</f>
        <v>36</v>
      </c>
      <c r="AG296" s="174">
        <f>IF($D$57+AU296&gt;100,100,$D$57+AU296)</f>
        <v>19.001300000000001</v>
      </c>
      <c r="AH296" s="174">
        <f>AQ296*AS296</f>
        <v>657</v>
      </c>
      <c r="AI296" s="174">
        <f>$D$58+IF(H296="근접",AR296,0)+IF(AY296=1,0,50)</f>
        <v>200</v>
      </c>
      <c r="AJ296" s="174">
        <f>10/3</f>
        <v>3.3333333333333335</v>
      </c>
      <c r="AK296" s="174">
        <f>SUM(AL296:AN296)</f>
        <v>12118.527249402439</v>
      </c>
      <c r="AL296" s="174">
        <f>(IF(H296="근접",$D$61*(VLOOKUP(C296,$B$36:$AG$39,19,FALSE)+VLOOKUP(C296,$B$40:$AG$43,19,FALSE)*$D$54),$D$60*(VLOOKUP(C296,$B$36:$AG$39,19,FALSE)+VLOOKUP(C296,$B$40:$AG$43,19,FALSE)*$D$54)))*$D$59/100</f>
        <v>3616.0643641481706</v>
      </c>
      <c r="AM296" s="174">
        <f>(IF(H296="근접",$D$61*(VLOOKUP(C296,$B$36:$AG$39,20,FALSE)+VLOOKUP(C296,$B$40:$AG$43,20,FALSE)*$D$54),$D$60*(VLOOKUP(C296,$B$36:$AG$39,20,FALSE)+VLOOKUP(C296,$B$40:$AG$43,20,FALSE)*$D$54)))*$D$59/100</f>
        <v>3616.0643641481706</v>
      </c>
      <c r="AN296" s="174">
        <f>(IF(H296="근접",$D$61*(VLOOKUP(C296,$B$36:$AG$39,21,FALSE)+VLOOKUP(C296,$B$40:$AG$43,21,FALSE)*$D$54),$D$60*(VLOOKUP(C296,$B$36:$AG$39,21,FALSE)+VLOOKUP(C296,$B$40:$AG$43,21,FALSE)*$D$54)))*$D$59/100</f>
        <v>4886.3985211060972</v>
      </c>
      <c r="AO296" s="176">
        <v>36</v>
      </c>
      <c r="AP296" s="174">
        <v>36</v>
      </c>
      <c r="AQ296" s="175">
        <f>VLOOKUP(C296,$B$45:$AA$48,19,FALSE)</f>
        <v>657</v>
      </c>
      <c r="AR296" s="31">
        <f>IF(LEFT(E296,1)*1=1,$S$64,$R$64)</f>
        <v>0</v>
      </c>
      <c r="AS296" s="2">
        <f>IF(LEFT(E296,1)*1=2,$U$64,$T$64)</f>
        <v>1</v>
      </c>
      <c r="AT296" s="33">
        <f>IF(LEFT(E296,1)*1=3,$W$64,$V$64)</f>
        <v>0</v>
      </c>
      <c r="AU296" s="31">
        <f>IF(MID(E296,3,1)*1=1,$Y$64,$X$64)</f>
        <v>0</v>
      </c>
      <c r="AV296" s="2">
        <f>IF(MID(E296,3,1)*1=2,$AA$64,$Z$64)</f>
        <v>0</v>
      </c>
      <c r="AW296" s="33">
        <f>IF(MID(E296,3,1)*1=3,$AC$64,$AB$64)</f>
        <v>1</v>
      </c>
      <c r="AX296" s="31">
        <f>IF(MID(E296,5,1)*1=1,$AE$64,$AD$64)</f>
        <v>0.6</v>
      </c>
      <c r="AY296" s="33">
        <f>IF(MID(E296,5,1)*1=2,$AG$64,$AF$64)</f>
        <v>1</v>
      </c>
      <c r="AZ296" s="2"/>
      <c r="BA296" s="101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</row>
    <row r="297" spans="1:71" ht="12" customHeight="1">
      <c r="A297" s="2"/>
      <c r="B297" s="107">
        <v>488</v>
      </c>
      <c r="C297" s="31">
        <v>10</v>
      </c>
      <c r="D297" s="111" t="s">
        <v>14</v>
      </c>
      <c r="E297" s="2" t="s">
        <v>161</v>
      </c>
      <c r="F297" s="2"/>
      <c r="G297" s="2"/>
      <c r="H297" s="33" t="s">
        <v>81</v>
      </c>
      <c r="I297" s="173">
        <f>M297/AE297</f>
        <v>832.17770789458234</v>
      </c>
      <c r="J297" s="174">
        <f>AH297/AE297</f>
        <v>11.847587357329509</v>
      </c>
      <c r="K297" s="207">
        <f>RANK(I297,$I$76:$I$977)</f>
        <v>221</v>
      </c>
      <c r="L297" s="208" t="e">
        <f>RANK(I297,$I$451:$I$866)</f>
        <v>#N/A</v>
      </c>
      <c r="M297" s="173">
        <f>SUM(N297:R297)</f>
        <v>23073.927948229033</v>
      </c>
      <c r="N297" s="174">
        <f>T297*(1+((AG297+IF(F297="백어택",8,0))/100)*(AI297/100-1))</f>
        <v>4303.1636021730574</v>
      </c>
      <c r="O297" s="174">
        <f>U297*(1+((AG297+IF(F297="백어택",8,0))/100)*(AI297/100-1))</f>
        <v>4303.1636021730574</v>
      </c>
      <c r="P297" s="174">
        <f>V297*(1+((AG297+IF(F297="백어택",8,0))/100)*(AI297*IF(AX297=1,AW297,1)/100-1))</f>
        <v>5814.8777632970296</v>
      </c>
      <c r="Q297" s="174">
        <f>W297*(1+((AG297+IF(F297="백어택",8,0))/100)*(AI297*AW297/100-1))</f>
        <v>8652.7229805858879</v>
      </c>
      <c r="R297" s="175"/>
      <c r="S297" s="173">
        <f>SUM(T297:X297)</f>
        <v>19389.643599043902</v>
      </c>
      <c r="T297" s="174">
        <f>AL297*AY297*IF(F297="백어택",1.2,1)</f>
        <v>3616.0643641481706</v>
      </c>
      <c r="U297" s="174">
        <f>AM297*AY297*IF(F297="백어택",1.2,1)</f>
        <v>3616.0643641481706</v>
      </c>
      <c r="V297" s="174">
        <f>AN297*AY297*IF(F297="백어택",1.2,1)</f>
        <v>4886.3985211060972</v>
      </c>
      <c r="W297" s="174">
        <f>(T297+U297+V297)*IF(AX297=1,0,0.6)*IF(F297="백어택",1.2,1)</f>
        <v>7271.1163496414638</v>
      </c>
      <c r="X297" s="175"/>
      <c r="Y297" s="173">
        <f>SUM(Z297:AD297)</f>
        <v>38779.287198087804</v>
      </c>
      <c r="Z297" s="174">
        <f>T297*AI297/100</f>
        <v>7232.1287282963413</v>
      </c>
      <c r="AA297" s="174">
        <f>U297*AI297/100</f>
        <v>7232.1287282963413</v>
      </c>
      <c r="AB297" s="174">
        <f>V297*AI297*IF(AX297=1,AW297,1)/100</f>
        <v>9772.7970422121944</v>
      </c>
      <c r="AC297" s="174">
        <f>W297*AI297*AW297/100</f>
        <v>14542.232699282928</v>
      </c>
      <c r="AD297" s="175"/>
      <c r="AE297" s="173">
        <f>AO297*(1-$D$20/100)*(1-$D$17/100)</f>
        <v>27.727164197424003</v>
      </c>
      <c r="AF297" s="174">
        <f>AP297</f>
        <v>36</v>
      </c>
      <c r="AG297" s="174">
        <f>IF($D$57+AU297&gt;100,100,$D$57+AU297)</f>
        <v>19.001300000000001</v>
      </c>
      <c r="AH297" s="174">
        <f>AQ297*AS297</f>
        <v>328.5</v>
      </c>
      <c r="AI297" s="174">
        <f>$D$58+IF(H297="근접",AR297,0)+IF(AY297=1,0,50)</f>
        <v>200</v>
      </c>
      <c r="AJ297" s="174">
        <f>10/3</f>
        <v>3.3333333333333335</v>
      </c>
      <c r="AK297" s="174">
        <f>SUM(AL297:AN297)</f>
        <v>12118.527249402439</v>
      </c>
      <c r="AL297" s="174">
        <f>(IF(H297="근접",$D$61*(VLOOKUP(C297,$B$36:$AG$39,19,FALSE)+VLOOKUP(C297,$B$40:$AG$43,19,FALSE)*$D$54),$D$60*(VLOOKUP(C297,$B$36:$AG$39,19,FALSE)+VLOOKUP(C297,$B$40:$AG$43,19,FALSE)*$D$54)))*$D$59/100</f>
        <v>3616.0643641481706</v>
      </c>
      <c r="AM297" s="174">
        <f>(IF(H297="근접",$D$61*(VLOOKUP(C297,$B$36:$AG$39,20,FALSE)+VLOOKUP(C297,$B$40:$AG$43,20,FALSE)*$D$54),$D$60*(VLOOKUP(C297,$B$36:$AG$39,20,FALSE)+VLOOKUP(C297,$B$40:$AG$43,20,FALSE)*$D$54)))*$D$59/100</f>
        <v>3616.0643641481706</v>
      </c>
      <c r="AN297" s="174">
        <f>(IF(H297="근접",$D$61*(VLOOKUP(C297,$B$36:$AG$39,21,FALSE)+VLOOKUP(C297,$B$40:$AG$43,21,FALSE)*$D$54),$D$60*(VLOOKUP(C297,$B$36:$AG$39,21,FALSE)+VLOOKUP(C297,$B$40:$AG$43,21,FALSE)*$D$54)))*$D$59/100</f>
        <v>4886.3985211060972</v>
      </c>
      <c r="AO297" s="176">
        <v>36</v>
      </c>
      <c r="AP297" s="174">
        <v>36</v>
      </c>
      <c r="AQ297" s="175">
        <f>VLOOKUP(C297,$B$45:$AA$48,19,FALSE)</f>
        <v>657</v>
      </c>
      <c r="AR297" s="31">
        <f>IF(LEFT(E297,1)*1=1,$S$64,$R$64)</f>
        <v>0</v>
      </c>
      <c r="AS297" s="2">
        <f>IF(LEFT(E297,1)*1=2,$U$64,$T$64)</f>
        <v>0.5</v>
      </c>
      <c r="AT297" s="33">
        <f>IF(LEFT(E297,1)*1=3,$W$64,$V$64)</f>
        <v>0</v>
      </c>
      <c r="AU297" s="31">
        <f>IF(MID(E297,3,1)*1=1,$Y$64,$X$64)</f>
        <v>0</v>
      </c>
      <c r="AV297" s="2">
        <f>IF(MID(E297,3,1)*1=2,$AA$64,$Z$64)</f>
        <v>0</v>
      </c>
      <c r="AW297" s="33">
        <f>IF(MID(E297,3,1)*1=3,$AC$64,$AB$64)</f>
        <v>1</v>
      </c>
      <c r="AX297" s="31">
        <f>IF(MID(E297,5,1)*1=1,$AE$64,$AD$64)</f>
        <v>0.6</v>
      </c>
      <c r="AY297" s="33">
        <f>IF(MID(E297,5,1)*1=2,$AG$64,$AF$64)</f>
        <v>1</v>
      </c>
      <c r="AZ297" s="2"/>
      <c r="BA297" s="101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</row>
    <row r="298" spans="1:71" ht="12" customHeight="1">
      <c r="A298" s="2"/>
      <c r="B298" s="107">
        <v>434</v>
      </c>
      <c r="C298" s="31">
        <v>7</v>
      </c>
      <c r="D298" s="111" t="s">
        <v>8</v>
      </c>
      <c r="E298" s="2" t="s">
        <v>163</v>
      </c>
      <c r="F298" s="2" t="s">
        <v>149</v>
      </c>
      <c r="G298" s="2"/>
      <c r="H298" s="33" t="s">
        <v>81</v>
      </c>
      <c r="I298" s="173">
        <f>M298/AE298</f>
        <v>826.87129745622042</v>
      </c>
      <c r="J298" s="174">
        <f>AH298/AE298</f>
        <v>19.637781784066725</v>
      </c>
      <c r="K298" s="207">
        <f>RANK(I298,$I$76:$I$977)</f>
        <v>223</v>
      </c>
      <c r="L298" s="208" t="e">
        <f>RANK(I298,$I$451:$I$866)</f>
        <v>#N/A</v>
      </c>
      <c r="M298" s="173">
        <f>SUM(N298:R298)</f>
        <v>15284.530823137095</v>
      </c>
      <c r="N298" s="174">
        <f>T298*(1+((AG298+IF(F298="백어택",8,0))/100)*(IF(AY298=1,$D$58,$D$58+50)/100-1))</f>
        <v>6711.3772074619619</v>
      </c>
      <c r="O298" s="174">
        <f>U298*(1+((AG298+IF(F298="백어택",8,0))/100)*(AI298/100-1))</f>
        <v>8573.1536156751317</v>
      </c>
      <c r="P298" s="174">
        <f>V298*(1+((AG298+IF(F298="백어택",8,0))/100)*(AI298/100-1))</f>
        <v>0</v>
      </c>
      <c r="Q298" s="174"/>
      <c r="R298" s="175"/>
      <c r="S298" s="173">
        <f>SUM(T298:X298)</f>
        <v>10055.526382430344</v>
      </c>
      <c r="T298" s="174">
        <f>AL298*IF(H298="근접",AR298,1)*AY298*IF(F298="백어택",1.2,1)</f>
        <v>4415.3419789580494</v>
      </c>
      <c r="U298" s="174">
        <f>AM298*IF(H298="근접",AR298,1)*AY298*IF(F298="백어택",1.2,1)</f>
        <v>5640.1844034722935</v>
      </c>
      <c r="V298" s="174">
        <f>IF(AX298=1,0,AM298*IF(H298="근접",AR298,1)*AY298)*IF(F298="백어택",1.2,1)</f>
        <v>0</v>
      </c>
      <c r="W298" s="174"/>
      <c r="X298" s="175"/>
      <c r="Y298" s="173">
        <f>SUM(Z298:AD298)</f>
        <v>20111.052764860688</v>
      </c>
      <c r="Z298" s="174">
        <f>T298*IF(AY298=1,$D$58,$D$58+50)/100</f>
        <v>8830.6839579160987</v>
      </c>
      <c r="AA298" s="174">
        <f>U298*AI298/100</f>
        <v>11280.368806944587</v>
      </c>
      <c r="AB298" s="174">
        <f>V298*AI298/100</f>
        <v>0</v>
      </c>
      <c r="AC298" s="174"/>
      <c r="AD298" s="175"/>
      <c r="AE298" s="173">
        <f>AO298*(1-$D$20/100)*(1-$D$17/100)</f>
        <v>18.484776131615998</v>
      </c>
      <c r="AF298" s="174">
        <f>AP298</f>
        <v>36</v>
      </c>
      <c r="AG298" s="174">
        <f>IF($D$57+AU298&gt;100,100,$D$57+AU298)</f>
        <v>44.001300000000001</v>
      </c>
      <c r="AH298" s="174">
        <f>IF(AX298=1,AQ298,AQ298*1.4)</f>
        <v>363</v>
      </c>
      <c r="AI298" s="174">
        <f>IF(AY298=1,$D$58,$D$58+50)*AW298</f>
        <v>200</v>
      </c>
      <c r="AJ298" s="174">
        <f>10/6/AX298</f>
        <v>1.6666666666666667</v>
      </c>
      <c r="AK298" s="174">
        <f>SUM(AL298:AN298)</f>
        <v>6983.0044322432941</v>
      </c>
      <c r="AL298" s="174">
        <f>(IF(H298="근접",$D$61*(VLOOKUP(C298,$B$36:$AG$39,9,FALSE)+VLOOKUP(C298,$B$40:$AG$43,9,FALSE)*$D$54),$D$60*(VLOOKUP(C298,$B$36:$AG$39,9,FALSE)+VLOOKUP(C298,$B$40:$AG$43,9,FALSE)*$D$54)))*$D$59/100</f>
        <v>3066.2097076097566</v>
      </c>
      <c r="AM298" s="174">
        <f>(IF(H298="근접",$D$61*(VLOOKUP(C298,$B$36:$AG$39,10,FALSE)+VLOOKUP(C298,$B$40:$AG$43,10,FALSE)*$D$54),$D$60*(VLOOKUP(C298,$B$36:$AG$39,10,FALSE)+VLOOKUP(C298,$B$40:$AG$43,10,FALSE)*$D$54)))*$D$59/100</f>
        <v>3916.7947246335375</v>
      </c>
      <c r="AN298" s="174"/>
      <c r="AO298" s="176">
        <v>24</v>
      </c>
      <c r="AP298" s="174">
        <v>36</v>
      </c>
      <c r="AQ298" s="175">
        <f>VLOOKUP(C298,$B$45:$AA$48,9,FALSE)</f>
        <v>363</v>
      </c>
      <c r="AR298" s="31">
        <f>IF(LEFT(E298,1)*1=1,$S$58,$R$58)</f>
        <v>1.2</v>
      </c>
      <c r="AS298" s="2">
        <f>IF(LEFT(E298,1)*1=2,$U$58,$T$58)</f>
        <v>0</v>
      </c>
      <c r="AT298" s="33">
        <f>IF(LEFT(E298,1)*1=3,$W$58,$V$58)</f>
        <v>0</v>
      </c>
      <c r="AU298" s="31">
        <f>IF(MID(E298,3,1)*1=1,$Y$58,$X$58)</f>
        <v>25</v>
      </c>
      <c r="AV298" s="2">
        <f>IF(MID(E298,3,1)*1=2,$AA$58,$Z$58)</f>
        <v>0</v>
      </c>
      <c r="AW298" s="33">
        <f>IF(MID(E298,3,1)*1=3,$AC$58,$AB$58)</f>
        <v>1</v>
      </c>
      <c r="AX298" s="31">
        <f>IF(MID(E298,5,1)*1=1,$AE$58,$AD$58)</f>
        <v>1</v>
      </c>
      <c r="AY298" s="33">
        <f>IF(MID(E298,5,1)*1=2,$AG$58,$AF$58)</f>
        <v>1</v>
      </c>
      <c r="AZ298" s="2"/>
      <c r="BA298" s="101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</row>
    <row r="299" spans="1:71" ht="12" customHeight="1">
      <c r="A299" s="2"/>
      <c r="B299" s="107">
        <v>687</v>
      </c>
      <c r="C299" s="31">
        <v>7</v>
      </c>
      <c r="D299" s="111" t="s">
        <v>18</v>
      </c>
      <c r="E299" s="2" t="s">
        <v>152</v>
      </c>
      <c r="F299" s="2" t="s">
        <v>149</v>
      </c>
      <c r="G299" s="2"/>
      <c r="H299" s="33" t="s">
        <v>81</v>
      </c>
      <c r="I299" s="173">
        <f>M299/AE299</f>
        <v>825.3091210277164</v>
      </c>
      <c r="J299" s="174">
        <f>AH299/AE299</f>
        <v>25.060794637183101</v>
      </c>
      <c r="K299" s="207">
        <f>RANK(I299,$I$76:$I$977)</f>
        <v>224</v>
      </c>
      <c r="L299" s="208" t="e">
        <f>RANK(I299,$I$451:$I$866)</f>
        <v>#N/A</v>
      </c>
      <c r="M299" s="173">
        <f>SUM(N299:R299)</f>
        <v>11954.417857467246</v>
      </c>
      <c r="N299" s="174">
        <f>T299*(1+((AG299+IF(F299="백어택",8,0))/100)*(AI299/100-1))</f>
        <v>7135.6653004363916</v>
      </c>
      <c r="O299" s="174">
        <f>U299*(1+(($D$57+IF(F299="백어택",8,0))/100)*(AI299/100-1))</f>
        <v>4818.7525570308544</v>
      </c>
      <c r="P299" s="174"/>
      <c r="Q299" s="174"/>
      <c r="R299" s="175"/>
      <c r="S299" s="173">
        <f>SUM(T299:X299)</f>
        <v>9412.8310950102441</v>
      </c>
      <c r="T299" s="174">
        <f>AL299*IF(H299="근접",AT299,IF(AV299=1,AT299,1))*AX299*IF(F299="백어택",1.2,1)</f>
        <v>5618.576581843171</v>
      </c>
      <c r="U299" s="174">
        <f>IF(AX299=1,AM299*IF(H299="근접",AT299,IF(AV299=1,AT299,1)),0)*AY299*IF(AX299=1,1,0)*IF(F299="백어택",1.2,1)</f>
        <v>3794.2545131670736</v>
      </c>
      <c r="V299" s="174"/>
      <c r="W299" s="174"/>
      <c r="X299" s="175"/>
      <c r="Y299" s="173">
        <f>SUM(Z299:AD299)</f>
        <v>18825.662190020488</v>
      </c>
      <c r="Z299" s="174">
        <f>T299*$D$58/100</f>
        <v>11237.153163686342</v>
      </c>
      <c r="AA299" s="174">
        <f>U299*$D$58/100</f>
        <v>7588.5090263341472</v>
      </c>
      <c r="AB299" s="174"/>
      <c r="AC299" s="174"/>
      <c r="AD299" s="175"/>
      <c r="AE299" s="173">
        <f>(AO299*(1-$D$20/100)*(1-$D$17/100)-AR299)*IF(AW299="보스대상",1,POWER(0.85,AW299))</f>
        <v>14.484776131615998</v>
      </c>
      <c r="AF299" s="174">
        <f>AP299</f>
        <v>36</v>
      </c>
      <c r="AG299" s="174">
        <f>IF($D$57+AU299&gt;100,100,$D$57+AU299)</f>
        <v>19.001300000000001</v>
      </c>
      <c r="AH299" s="174">
        <f>AQ299</f>
        <v>363</v>
      </c>
      <c r="AI299" s="174">
        <f>$D$58</f>
        <v>200</v>
      </c>
      <c r="AJ299" s="174">
        <f>10*AS299/IF(AX299=1,IF(AY299=1,4.5,4),4)</f>
        <v>2.2222222222222223</v>
      </c>
      <c r="AK299" s="174">
        <f>SUM(AL299:AN299)</f>
        <v>7844.0259125085377</v>
      </c>
      <c r="AL299" s="174">
        <f>IF(AV299=1,$D$61*(VLOOKUP(C299,$B$36:$AG$39,25,FALSE)+VLOOKUP(C299,$B$40:$AG$43,25,FALSE)*$D$54),(IF(H299="근접",$D$61*(VLOOKUP(C299,$B$36:$AG$39,25,FALSE)+VLOOKUP(C299,$B$40:$AG$43,25,FALSE)*$D$54),$D$60*(VLOOKUP(C299,$B$36:$AG$39,25,FALSE)+VLOOKUP(C299,$B$40:$AG$43,25,FALSE)*$D$54))))*$D$59/100</f>
        <v>4682.1471515359763</v>
      </c>
      <c r="AM299" s="174">
        <f>(IF(AV299=1,$D$61*(VLOOKUP(C299,$B$36:$AG$39,26,FALSE)+VLOOKUP(C299,$B$40:$AG$43,26,FALSE)*$D$54),IF(H299="근접",$D$61*(VLOOKUP(C299,$B$36:$AG$39,26,FALSE)+VLOOKUP(C299,$B$40:$AG$43,26,FALSE)*$D$54),$D$60*(VLOOKUP(C299,$B$36:$AG$39,26,FALSE)+VLOOKUP(C299,$B$40:$AG$43,26,FALSE)*$D$54))))*$D$59/100</f>
        <v>3161.8787609725614</v>
      </c>
      <c r="AN299" s="174"/>
      <c r="AO299" s="176">
        <v>24</v>
      </c>
      <c r="AP299" s="174">
        <v>36</v>
      </c>
      <c r="AQ299" s="175">
        <f>VLOOKUP(C299,$B$45:$AA$48,25,FALSE)</f>
        <v>363</v>
      </c>
      <c r="AR299" s="31">
        <f>IF(LEFT(E299,1)*1=1,$S$68,$R$68)</f>
        <v>4</v>
      </c>
      <c r="AS299" s="2">
        <f>IF(LEFT(E299,1)*1=2,$U$68,$T$68)</f>
        <v>1</v>
      </c>
      <c r="AT299" s="33">
        <f>IF(LEFT(E299,1)*1=3,$W$68,$V$68)</f>
        <v>1</v>
      </c>
      <c r="AU299" s="31">
        <f>IF(MID(E299,3,1)*1=1,$Y$68,$X$68)</f>
        <v>0</v>
      </c>
      <c r="AV299" s="2">
        <f>IF(MID(E299,3,1)*1=2,$AA$68,$Z$68)</f>
        <v>1</v>
      </c>
      <c r="AW299" s="33" t="str">
        <f>IF(MID(E299,3,1)*1=3,$AC$68,$AB$68)</f>
        <v>보스대상</v>
      </c>
      <c r="AX299" s="31">
        <f>IF(MID(E299,5,1)*1=1,$AE$68,$AD$68)</f>
        <v>1</v>
      </c>
      <c r="AY299" s="33">
        <f>IF(MID(E299,5,1)*1=2,$AG$68,$AF$68)</f>
        <v>1</v>
      </c>
      <c r="AZ299" s="2"/>
      <c r="BA299" s="101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</row>
    <row r="300" spans="1:71" ht="12" customHeight="1">
      <c r="A300" s="2"/>
      <c r="B300" s="107">
        <v>718</v>
      </c>
      <c r="C300" s="31">
        <v>7</v>
      </c>
      <c r="D300" s="111" t="s">
        <v>18</v>
      </c>
      <c r="E300" s="2" t="s">
        <v>152</v>
      </c>
      <c r="F300" s="2" t="s">
        <v>149</v>
      </c>
      <c r="G300" s="2"/>
      <c r="H300" s="33" t="s">
        <v>80</v>
      </c>
      <c r="I300" s="173">
        <f>M300/AE300</f>
        <v>825.3091210277164</v>
      </c>
      <c r="J300" s="174">
        <f>AH300/AE300</f>
        <v>25.060794637183101</v>
      </c>
      <c r="K300" s="207">
        <f>RANK(I300,$I$76:$I$977)</f>
        <v>224</v>
      </c>
      <c r="L300" s="208" t="e">
        <f>RANK(I300,$I$451:$I$866)</f>
        <v>#N/A</v>
      </c>
      <c r="M300" s="173">
        <f>SUM(N300:R300)</f>
        <v>11954.417857467246</v>
      </c>
      <c r="N300" s="174">
        <f>T300*(1+((AG300+IF(F300="백어택",8,0))/100)*(AI300/100-1))</f>
        <v>7135.6653004363916</v>
      </c>
      <c r="O300" s="174">
        <f>U300*(1+(($D$57+IF(F300="백어택",8,0))/100)*(AI300/100-1))</f>
        <v>4818.7525570308544</v>
      </c>
      <c r="P300" s="174"/>
      <c r="Q300" s="174"/>
      <c r="R300" s="175"/>
      <c r="S300" s="173">
        <f>SUM(T300:X300)</f>
        <v>9412.8310950102441</v>
      </c>
      <c r="T300" s="174">
        <f>AL300*IF(H300="근접",AT300,IF(AV300=1,AT300,1))*AX300*IF(F300="백어택",1.2,1)</f>
        <v>5618.576581843171</v>
      </c>
      <c r="U300" s="174">
        <f>IF(AX300=1,AM300*IF(H300="근접",AT300,IF(AV300=1,AT300,1)),0)*AY300*IF(AX300=1,1,0)*IF(F300="백어택",1.2,1)</f>
        <v>3794.2545131670736</v>
      </c>
      <c r="V300" s="174"/>
      <c r="W300" s="174"/>
      <c r="X300" s="175"/>
      <c r="Y300" s="173">
        <f>SUM(Z300:AD300)</f>
        <v>18825.662190020488</v>
      </c>
      <c r="Z300" s="174">
        <f>T300*$D$58/100</f>
        <v>11237.153163686342</v>
      </c>
      <c r="AA300" s="174">
        <f>U300*$D$58/100</f>
        <v>7588.5090263341472</v>
      </c>
      <c r="AB300" s="174"/>
      <c r="AC300" s="174"/>
      <c r="AD300" s="175"/>
      <c r="AE300" s="173">
        <f>(AO300*(1-$D$20/100)*(1-$D$17/100)-AR300)*IF(AW300="보스대상",1,POWER(0.85,AW300))</f>
        <v>14.484776131615998</v>
      </c>
      <c r="AF300" s="174">
        <f>AP300</f>
        <v>36</v>
      </c>
      <c r="AG300" s="174">
        <f>IF($D$57+AU300&gt;100,100,$D$57+AU300)</f>
        <v>19.001300000000001</v>
      </c>
      <c r="AH300" s="174">
        <f>AQ300</f>
        <v>363</v>
      </c>
      <c r="AI300" s="174">
        <f>$D$58</f>
        <v>200</v>
      </c>
      <c r="AJ300" s="174">
        <f>10*AS300/IF(AX300=1,IF(AY300=1,4.5,4),4)</f>
        <v>2.2222222222222223</v>
      </c>
      <c r="AK300" s="174">
        <f>SUM(AL300:AN300)</f>
        <v>7844.0259125085377</v>
      </c>
      <c r="AL300" s="174">
        <f>IF(AV300=1,$D$61*(VLOOKUP(C300,$B$36:$AG$39,25,FALSE)+VLOOKUP(C300,$B$40:$AG$43,25,FALSE)*$D$54),(IF(H300="근접",$D$61*(VLOOKUP(C300,$B$36:$AG$39,25,FALSE)+VLOOKUP(C300,$B$40:$AG$43,25,FALSE)*$D$54),$D$60*(VLOOKUP(C300,$B$36:$AG$39,25,FALSE)+VLOOKUP(C300,$B$40:$AG$43,25,FALSE)*$D$54))))*$D$59/100</f>
        <v>4682.1471515359763</v>
      </c>
      <c r="AM300" s="174">
        <f>(IF(AV300=1,$D$61*(VLOOKUP(C300,$B$36:$AG$39,26,FALSE)+VLOOKUP(C300,$B$40:$AG$43,26,FALSE)*$D$54),IF(H300="근접",$D$61*(VLOOKUP(C300,$B$36:$AG$39,26,FALSE)+VLOOKUP(C300,$B$40:$AG$43,26,FALSE)*$D$54),$D$60*(VLOOKUP(C300,$B$36:$AG$39,26,FALSE)+VLOOKUP(C300,$B$40:$AG$43,26,FALSE)*$D$54))))*$D$59/100</f>
        <v>3161.8787609725614</v>
      </c>
      <c r="AN300" s="174"/>
      <c r="AO300" s="176">
        <v>24</v>
      </c>
      <c r="AP300" s="174">
        <v>36</v>
      </c>
      <c r="AQ300" s="175">
        <f>VLOOKUP(C300,$B$45:$AA$48,25,FALSE)</f>
        <v>363</v>
      </c>
      <c r="AR300" s="31">
        <f>IF(LEFT(E300,1)*1=1,$S$68,$R$68)</f>
        <v>4</v>
      </c>
      <c r="AS300" s="2">
        <f>IF(LEFT(E300,1)*1=2,$U$68,$T$68)</f>
        <v>1</v>
      </c>
      <c r="AT300" s="33">
        <f>IF(LEFT(E300,1)*1=3,$W$68,$V$68)</f>
        <v>1</v>
      </c>
      <c r="AU300" s="31">
        <f>IF(MID(E300,3,1)*1=1,$Y$68,$X$68)</f>
        <v>0</v>
      </c>
      <c r="AV300" s="2">
        <f>IF(MID(E300,3,1)*1=2,$AA$68,$Z$68)</f>
        <v>1</v>
      </c>
      <c r="AW300" s="33" t="str">
        <f>IF(MID(E300,3,1)*1=3,$AC$68,$AB$68)</f>
        <v>보스대상</v>
      </c>
      <c r="AX300" s="31">
        <f>IF(MID(E300,5,1)*1=1,$AE$68,$AD$68)</f>
        <v>1</v>
      </c>
      <c r="AY300" s="33">
        <f>IF(MID(E300,5,1)*1=2,$AG$68,$AF$68)</f>
        <v>1</v>
      </c>
      <c r="AZ300" s="2"/>
      <c r="BA300" s="101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</row>
    <row r="301" spans="1:71" ht="12" customHeight="1">
      <c r="A301" s="2"/>
      <c r="B301" s="107">
        <v>783</v>
      </c>
      <c r="C301" s="31">
        <v>7</v>
      </c>
      <c r="D301" s="111" t="s">
        <v>21</v>
      </c>
      <c r="E301" s="2" t="s">
        <v>163</v>
      </c>
      <c r="F301" s="2" t="s">
        <v>149</v>
      </c>
      <c r="G301" s="2"/>
      <c r="H301" s="33"/>
      <c r="I301" s="173">
        <f>M301/AE301</f>
        <v>822.24115121104251</v>
      </c>
      <c r="J301" s="174">
        <f>AH301/AE301</f>
        <v>21.079603202626</v>
      </c>
      <c r="K301" s="207">
        <f>RANK(I301,$I$76:$I$977)</f>
        <v>226</v>
      </c>
      <c r="L301" s="208" t="e">
        <f>RANK(I301,$I$451:$I$866)</f>
        <v>#N/A</v>
      </c>
      <c r="M301" s="173">
        <f>SUM(N301:R301)</f>
        <v>17864.96850224126</v>
      </c>
      <c r="N301" s="174">
        <f>T301*(1+((AG301+IF(F301="백어택",8,0))/100)*(AI301/100-1))</f>
        <v>14474.326656860449</v>
      </c>
      <c r="O301" s="174"/>
      <c r="P301" s="174"/>
      <c r="Q301" s="174"/>
      <c r="R301" s="175">
        <f>X301*(1+(AG301/100)*(AI301/100-1))</f>
        <v>3390.6418453808096</v>
      </c>
      <c r="S301" s="173">
        <f>SUM(T301:X301)</f>
        <v>14246.238677143903</v>
      </c>
      <c r="T301" s="174">
        <f>AL301*AW301*AX301*AY301*IF(F301="백어택",1.2,1)</f>
        <v>11396.990941715123</v>
      </c>
      <c r="U301" s="174"/>
      <c r="V301" s="174"/>
      <c r="W301" s="174"/>
      <c r="X301" s="175">
        <f>AL301*AS301+IF(AX301=1,AL301*AU301,AL301*AU301*2)</f>
        <v>2849.2477354287807</v>
      </c>
      <c r="Y301" s="173">
        <f>SUM(Z301:AD301)</f>
        <v>28492.47735428781</v>
      </c>
      <c r="Z301" s="174">
        <f>T301*$D$58/100</f>
        <v>22793.98188343025</v>
      </c>
      <c r="AA301" s="174"/>
      <c r="AB301" s="174"/>
      <c r="AC301" s="174"/>
      <c r="AD301" s="175">
        <f>X301*$D$58/100</f>
        <v>5698.4954708575624</v>
      </c>
      <c r="AE301" s="173">
        <f>AO301*(1-$D$20/100)*(1-$D$17/100)-AR301</f>
        <v>21.727164197424003</v>
      </c>
      <c r="AF301" s="174">
        <f>AP301</f>
        <v>36</v>
      </c>
      <c r="AG301" s="174">
        <f>IF($D$57&gt;100,100,$D$57)</f>
        <v>19.001300000000001</v>
      </c>
      <c r="AH301" s="174">
        <f>AQ301</f>
        <v>458</v>
      </c>
      <c r="AI301" s="174">
        <f>$D$58</f>
        <v>200</v>
      </c>
      <c r="AJ301" s="174">
        <f>10/6</f>
        <v>1.6666666666666667</v>
      </c>
      <c r="AK301" s="174">
        <f>SUM(AL301:AN301)</f>
        <v>9497.4924514292688</v>
      </c>
      <c r="AL301" s="174">
        <f>(VLOOKUP(C301,$B$36:$AG$39,31,FALSE)+VLOOKUP(C301,$B$40:$AG$43,31,FALSE)*$D$54)*$D$59/100</f>
        <v>9497.4924514292688</v>
      </c>
      <c r="AM301" s="174"/>
      <c r="AN301" s="174"/>
      <c r="AO301" s="176">
        <v>36</v>
      </c>
      <c r="AP301" s="174">
        <v>36</v>
      </c>
      <c r="AQ301" s="175">
        <f>VLOOKUP(C301,$B$45:$AG$48,31,FALSE)</f>
        <v>458</v>
      </c>
      <c r="AR301" s="31">
        <f>IF(LEFT(E301,1)*1=1,$S$71,$R$71)</f>
        <v>6</v>
      </c>
      <c r="AS301" s="2">
        <f>IF(LEFT(E301,1)*1=2,$U$71,$T$71)</f>
        <v>0</v>
      </c>
      <c r="AT301" s="33">
        <f>IF(LEFT(E301,1)*1=3,$W$71,$V$71)</f>
        <v>0</v>
      </c>
      <c r="AU301" s="31">
        <f>IF(MID(E301,3,1)*1=1,$Y$71,$X$71)</f>
        <v>0.3</v>
      </c>
      <c r="AV301" s="2">
        <f>IF(MID(E301,3,1)*1=2,$AA$71,$Z$71)</f>
        <v>0</v>
      </c>
      <c r="AW301" s="33">
        <f>IF(MID(E301,3,1)*1=3,$AC$71,$AB$71)</f>
        <v>1</v>
      </c>
      <c r="AX301" s="31">
        <f>IF(MID(E301,5,1)*1=1,$AE$71,$AD$71)</f>
        <v>1</v>
      </c>
      <c r="AY301" s="33">
        <f>IF(MID(E301,5,1)*1=2,$AG$71,$AF$71)</f>
        <v>1</v>
      </c>
      <c r="AZ301" s="2"/>
      <c r="BA301" s="101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</row>
    <row r="302" spans="1:71" ht="12" customHeight="1">
      <c r="A302" s="2"/>
      <c r="B302" s="107">
        <v>315</v>
      </c>
      <c r="C302" s="31">
        <v>10</v>
      </c>
      <c r="D302" s="106" t="s">
        <v>20</v>
      </c>
      <c r="E302" s="2" t="s">
        <v>138</v>
      </c>
      <c r="F302" s="2" t="s">
        <v>149</v>
      </c>
      <c r="G302" s="2"/>
      <c r="H302" s="33"/>
      <c r="I302" s="173">
        <f>M302/AE302</f>
        <v>815.70041973992875</v>
      </c>
      <c r="J302" s="174">
        <f>AH302/AE302</f>
        <v>24.558498343053152</v>
      </c>
      <c r="K302" s="207">
        <f>RANK(I302,$I$76:$I$977)</f>
        <v>227</v>
      </c>
      <c r="L302" s="208">
        <f>RANK(I302,$I$76:$I$450)</f>
        <v>227</v>
      </c>
      <c r="M302" s="173">
        <f>SUM(N302:R302)</f>
        <v>14647.633584121948</v>
      </c>
      <c r="N302" s="174">
        <f>T302*(1+((AG302+IF(F302="백어택",8,0))/100)*((AI302/100-1)))</f>
        <v>7217.5658145662783</v>
      </c>
      <c r="O302" s="174">
        <f>U302*(1+(($D$57+IF(F302="백어택",8,0))/100)*($D$58/100-1))</f>
        <v>7430.0677695556687</v>
      </c>
      <c r="P302" s="174"/>
      <c r="Q302" s="174"/>
      <c r="R302" s="175"/>
      <c r="S302" s="173">
        <f>SUM(T302:X302)</f>
        <v>8776.1080578321944</v>
      </c>
      <c r="T302" s="174">
        <f>AL302*AV302*IF(F302="백어택",1.2,1)</f>
        <v>2925.720881042927</v>
      </c>
      <c r="U302" s="174">
        <f>AM302*AX302*AY302*IF(F302="백어택",1.2,1)</f>
        <v>5850.3871767892679</v>
      </c>
      <c r="V302" s="174"/>
      <c r="W302" s="174"/>
      <c r="X302" s="175"/>
      <c r="Y302" s="173">
        <f>SUM(Z302:AD302)</f>
        <v>17552.216115664389</v>
      </c>
      <c r="Z302" s="174">
        <f>T302*$D$58/100</f>
        <v>5851.441762085854</v>
      </c>
      <c r="AA302" s="174">
        <f>U302*$D$58/100</f>
        <v>11700.774353578536</v>
      </c>
      <c r="AB302" s="174"/>
      <c r="AC302" s="174"/>
      <c r="AD302" s="175"/>
      <c r="AE302" s="173">
        <f>AO302*(1-$D$17/100)-AR302</f>
        <v>17.957124</v>
      </c>
      <c r="AF302" s="174">
        <f>AP302</f>
        <v>36</v>
      </c>
      <c r="AG302" s="174">
        <f>IF($D$57+AU302&gt;100,100,$D$57+AU302)</f>
        <v>79.001300000000001</v>
      </c>
      <c r="AH302" s="174">
        <f>AQ302*AS302</f>
        <v>441</v>
      </c>
      <c r="AI302" s="174">
        <f>$D$58+$D$19</f>
        <v>268.61079999999998</v>
      </c>
      <c r="AJ302" s="174">
        <f>10*IF(AV302=1,1,5/4.5)/IF(AX302=1,5,3.5)</f>
        <v>2.8571428571428572</v>
      </c>
      <c r="AK302" s="174">
        <f>SUM(AL302:AN302)</f>
        <v>4875.7620578646347</v>
      </c>
      <c r="AL302" s="174">
        <f>(VLOOKUP(C302,$B$36:$AG$39,29,FALSE)+VLOOKUP(C302,$B$40:$AG$43,29,FALSE)*$D$54)*$D$59/100</f>
        <v>2438.1007342024391</v>
      </c>
      <c r="AM302" s="174">
        <f>(VLOOKUP(C302,$B$36:$AG$39,30,FALSE)+VLOOKUP(C302,$B$40:$AG$43,30,FALSE)*$D$54)*$D$59/100</f>
        <v>2437.6613236621952</v>
      </c>
      <c r="AN302" s="174"/>
      <c r="AO302" s="176">
        <v>18</v>
      </c>
      <c r="AP302" s="174">
        <v>36</v>
      </c>
      <c r="AQ302" s="175">
        <f>VLOOKUP(C302,$B$45:$AG$48,29,FALSE)</f>
        <v>441</v>
      </c>
      <c r="AR302" s="31">
        <f>IF(LEFT(E302,1)*1=1,$S$70,$R$70)</f>
        <v>0</v>
      </c>
      <c r="AS302" s="2">
        <f>IF(LEFT(E302,1)*1=2,$U$70,$T$70)</f>
        <v>1</v>
      </c>
      <c r="AT302" s="33">
        <f>IF(LEFT(E302,1)*1=3,$W$70,$V$70)</f>
        <v>0</v>
      </c>
      <c r="AU302" s="31">
        <f>IF(MID(E302,3,1)*1=1,$Y$70,$X$70)</f>
        <v>60</v>
      </c>
      <c r="AV302" s="2">
        <f>IF(MID(E302,3,1)*1=2,$AA$70,$Z$70)</f>
        <v>1</v>
      </c>
      <c r="AW302" s="33">
        <f>IF(MID(E302,3,1)*1=3,$AC$70,$AB$70)</f>
        <v>0</v>
      </c>
      <c r="AX302" s="31">
        <f>IF(MID(E302,5,1)*1=1,$AE$70,$AD$70)</f>
        <v>2</v>
      </c>
      <c r="AY302" s="33">
        <f>IF(MID(E302,5,1)*1=2,$AG$70,$AF$70)</f>
        <v>1</v>
      </c>
      <c r="AZ302" s="2"/>
      <c r="BA302" s="101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</row>
    <row r="303" spans="1:71" ht="12" customHeight="1">
      <c r="A303" s="2"/>
      <c r="B303" s="107">
        <v>321</v>
      </c>
      <c r="C303" s="31">
        <v>10</v>
      </c>
      <c r="D303" s="106" t="s">
        <v>20</v>
      </c>
      <c r="E303" s="2" t="s">
        <v>169</v>
      </c>
      <c r="F303" s="2" t="s">
        <v>149</v>
      </c>
      <c r="G303" s="2"/>
      <c r="H303" s="33"/>
      <c r="I303" s="173">
        <f>M303/AE303</f>
        <v>815.70041973992875</v>
      </c>
      <c r="J303" s="174">
        <f>AH303/AE303</f>
        <v>12.279249171526576</v>
      </c>
      <c r="K303" s="207">
        <f>RANK(I303,$I$76:$I$977)</f>
        <v>227</v>
      </c>
      <c r="L303" s="208">
        <f>RANK(I303,$I$76:$I$450)</f>
        <v>227</v>
      </c>
      <c r="M303" s="173">
        <f>SUM(N303:R303)</f>
        <v>14647.633584121948</v>
      </c>
      <c r="N303" s="174">
        <f>T303*(1+((AG303+IF(F303="백어택",8,0))/100)*((AI303/100-1)))</f>
        <v>7217.5658145662783</v>
      </c>
      <c r="O303" s="174">
        <f>U303*(1+(($D$57+IF(F303="백어택",8,0))/100)*($D$58/100-1))</f>
        <v>7430.0677695556687</v>
      </c>
      <c r="P303" s="174"/>
      <c r="Q303" s="174"/>
      <c r="R303" s="175"/>
      <c r="S303" s="173">
        <f>SUM(T303:X303)</f>
        <v>8776.1080578321944</v>
      </c>
      <c r="T303" s="174">
        <f>AL303*AV303*IF(F303="백어택",1.2,1)</f>
        <v>2925.720881042927</v>
      </c>
      <c r="U303" s="174">
        <f>AM303*AX303*AY303*IF(F303="백어택",1.2,1)</f>
        <v>5850.3871767892679</v>
      </c>
      <c r="V303" s="174"/>
      <c r="W303" s="174"/>
      <c r="X303" s="175"/>
      <c r="Y303" s="173">
        <f>SUM(Z303:AD303)</f>
        <v>17552.216115664389</v>
      </c>
      <c r="Z303" s="174">
        <f>T303*$D$58/100</f>
        <v>5851.441762085854</v>
      </c>
      <c r="AA303" s="174">
        <f>U303*$D$58/100</f>
        <v>11700.774353578536</v>
      </c>
      <c r="AB303" s="174"/>
      <c r="AC303" s="174"/>
      <c r="AD303" s="175"/>
      <c r="AE303" s="173">
        <f>AO303*(1-$D$17/100)-AR303</f>
        <v>17.957124</v>
      </c>
      <c r="AF303" s="174">
        <f>AP303</f>
        <v>36</v>
      </c>
      <c r="AG303" s="174">
        <f>IF($D$57+AU303&gt;100,100,$D$57+AU303)</f>
        <v>79.001300000000001</v>
      </c>
      <c r="AH303" s="174">
        <f>AQ303*AS303</f>
        <v>220.5</v>
      </c>
      <c r="AI303" s="174">
        <f>$D$58+$D$19</f>
        <v>268.61079999999998</v>
      </c>
      <c r="AJ303" s="174">
        <f>10*IF(AV303=1,1,5/4.5)/IF(AX303=1,5,3.5)</f>
        <v>2.8571428571428572</v>
      </c>
      <c r="AK303" s="174">
        <f>SUM(AL303:AN303)</f>
        <v>4875.7620578646347</v>
      </c>
      <c r="AL303" s="174">
        <f>(VLOOKUP(C303,$B$36:$AG$39,29,FALSE)+VLOOKUP(C303,$B$40:$AG$43,29,FALSE)*$D$54)*$D$59/100</f>
        <v>2438.1007342024391</v>
      </c>
      <c r="AM303" s="174">
        <f>(VLOOKUP(C303,$B$36:$AG$39,30,FALSE)+VLOOKUP(C303,$B$40:$AG$43,30,FALSE)*$D$54)*$D$59/100</f>
        <v>2437.6613236621952</v>
      </c>
      <c r="AN303" s="174"/>
      <c r="AO303" s="176">
        <v>18</v>
      </c>
      <c r="AP303" s="174">
        <v>36</v>
      </c>
      <c r="AQ303" s="175">
        <f>VLOOKUP(C303,$B$45:$AG$48,29,FALSE)</f>
        <v>441</v>
      </c>
      <c r="AR303" s="31">
        <f>IF(LEFT(E303,1)*1=1,$S$70,$R$70)</f>
        <v>0</v>
      </c>
      <c r="AS303" s="2">
        <f>IF(LEFT(E303,1)*1=2,$U$70,$T$70)</f>
        <v>0.5</v>
      </c>
      <c r="AT303" s="33">
        <f>IF(LEFT(E303,1)*1=3,$W$70,$V$70)</f>
        <v>0</v>
      </c>
      <c r="AU303" s="31">
        <f>IF(MID(E303,3,1)*1=1,$Y$70,$X$70)</f>
        <v>60</v>
      </c>
      <c r="AV303" s="2">
        <f>IF(MID(E303,3,1)*1=2,$AA$70,$Z$70)</f>
        <v>1</v>
      </c>
      <c r="AW303" s="33">
        <f>IF(MID(E303,3,1)*1=3,$AC$70,$AB$70)</f>
        <v>0</v>
      </c>
      <c r="AX303" s="31">
        <f>IF(MID(E303,5,1)*1=1,$AE$70,$AD$70)</f>
        <v>2</v>
      </c>
      <c r="AY303" s="33">
        <f>IF(MID(E303,5,1)*1=2,$AG$70,$AF$70)</f>
        <v>1</v>
      </c>
      <c r="AZ303" s="2"/>
      <c r="BA303" s="101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</row>
    <row r="304" spans="1:71" ht="12" customHeight="1">
      <c r="A304" s="2"/>
      <c r="B304" s="107">
        <v>324</v>
      </c>
      <c r="C304" s="31">
        <v>10</v>
      </c>
      <c r="D304" s="106" t="s">
        <v>20</v>
      </c>
      <c r="E304" s="2" t="s">
        <v>139</v>
      </c>
      <c r="F304" s="2" t="s">
        <v>149</v>
      </c>
      <c r="G304" s="2"/>
      <c r="H304" s="33"/>
      <c r="I304" s="173">
        <f>M304/AE304</f>
        <v>815.70041973992875</v>
      </c>
      <c r="J304" s="174">
        <f>AH304/AE304</f>
        <v>24.558498343053152</v>
      </c>
      <c r="K304" s="207">
        <f>RANK(I304,$I$76:$I$977)</f>
        <v>227</v>
      </c>
      <c r="L304" s="208">
        <f>RANK(I304,$I$76:$I$450)</f>
        <v>227</v>
      </c>
      <c r="M304" s="173">
        <f>SUM(N304:R304)</f>
        <v>14647.633584121948</v>
      </c>
      <c r="N304" s="174">
        <f>T304*(1+((AG304+IF(F304="백어택",8,0))/100)*((AI304/100-1)))</f>
        <v>7217.5658145662783</v>
      </c>
      <c r="O304" s="174">
        <f>U304*(1+(($D$57+IF(F304="백어택",8,0))/100)*($D$58/100-1))</f>
        <v>7430.0677695556687</v>
      </c>
      <c r="P304" s="174"/>
      <c r="Q304" s="174"/>
      <c r="R304" s="175"/>
      <c r="S304" s="173">
        <f>SUM(T304:X304)</f>
        <v>8776.1080578321944</v>
      </c>
      <c r="T304" s="174">
        <f>AL304*AV304*IF(F304="백어택",1.2,1)</f>
        <v>2925.720881042927</v>
      </c>
      <c r="U304" s="174">
        <f>AM304*AX304*AY304*IF(F304="백어택",1.2,1)</f>
        <v>5850.3871767892679</v>
      </c>
      <c r="V304" s="174"/>
      <c r="W304" s="174"/>
      <c r="X304" s="175"/>
      <c r="Y304" s="173">
        <f>SUM(Z304:AD304)</f>
        <v>17552.216115664389</v>
      </c>
      <c r="Z304" s="174">
        <f>T304*$D$58/100</f>
        <v>5851.441762085854</v>
      </c>
      <c r="AA304" s="174">
        <f>U304*$D$58/100</f>
        <v>11700.774353578536</v>
      </c>
      <c r="AB304" s="174"/>
      <c r="AC304" s="174"/>
      <c r="AD304" s="175"/>
      <c r="AE304" s="173">
        <f>AO304*(1-$D$17/100)-AR304</f>
        <v>17.957124</v>
      </c>
      <c r="AF304" s="174">
        <f>AP304</f>
        <v>36</v>
      </c>
      <c r="AG304" s="174">
        <f>IF($D$57+AU304&gt;100,100,$D$57+AU304)</f>
        <v>79.001300000000001</v>
      </c>
      <c r="AH304" s="174">
        <f>AQ304*AS304</f>
        <v>441</v>
      </c>
      <c r="AI304" s="174">
        <f>$D$58+$D$19</f>
        <v>268.61079999999998</v>
      </c>
      <c r="AJ304" s="174">
        <f>10*IF(AV304=1,1,5/4.5)/IF(AX304=1,5,3.5)</f>
        <v>2</v>
      </c>
      <c r="AK304" s="174">
        <f>SUM(AL304:AN304)</f>
        <v>4875.7620578646347</v>
      </c>
      <c r="AL304" s="174">
        <f>(VLOOKUP(C304,$B$36:$AG$39,29,FALSE)+VLOOKUP(C304,$B$40:$AG$43,29,FALSE)*$D$54)*$D$59/100</f>
        <v>2438.1007342024391</v>
      </c>
      <c r="AM304" s="174">
        <f>(VLOOKUP(C304,$B$36:$AG$39,30,FALSE)+VLOOKUP(C304,$B$40:$AG$43,30,FALSE)*$D$54)*$D$59/100</f>
        <v>2437.6613236621952</v>
      </c>
      <c r="AN304" s="174"/>
      <c r="AO304" s="176">
        <v>18</v>
      </c>
      <c r="AP304" s="174">
        <v>36</v>
      </c>
      <c r="AQ304" s="175">
        <f>VLOOKUP(C304,$B$45:$AG$48,29,FALSE)</f>
        <v>441</v>
      </c>
      <c r="AR304" s="31">
        <f>IF(LEFT(E304,1)*1=1,$S$70,$R$70)</f>
        <v>0</v>
      </c>
      <c r="AS304" s="2">
        <f>IF(LEFT(E304,1)*1=2,$U$70,$T$70)</f>
        <v>1</v>
      </c>
      <c r="AT304" s="33">
        <f>IF(LEFT(E304,1)*1=3,$W$70,$V$70)</f>
        <v>0</v>
      </c>
      <c r="AU304" s="31">
        <f>IF(MID(E304,3,1)*1=1,$Y$70,$X$70)</f>
        <v>60</v>
      </c>
      <c r="AV304" s="2">
        <f>IF(MID(E304,3,1)*1=2,$AA$70,$Z$70)</f>
        <v>1</v>
      </c>
      <c r="AW304" s="33">
        <f>IF(MID(E304,3,1)*1=3,$AC$70,$AB$70)</f>
        <v>0</v>
      </c>
      <c r="AX304" s="31">
        <f>IF(MID(E304,5,1)*1=1,$AE$70,$AD$70)</f>
        <v>1</v>
      </c>
      <c r="AY304" s="33">
        <f>IF(MID(E304,5,1)*1=2,$AG$70,$AF$70)</f>
        <v>2</v>
      </c>
      <c r="AZ304" s="2"/>
      <c r="BA304" s="101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</row>
    <row r="305" spans="1:71" ht="12" customHeight="1">
      <c r="A305" s="2"/>
      <c r="B305" s="107">
        <v>330</v>
      </c>
      <c r="C305" s="31">
        <v>10</v>
      </c>
      <c r="D305" s="106" t="s">
        <v>20</v>
      </c>
      <c r="E305" s="2" t="s">
        <v>170</v>
      </c>
      <c r="F305" s="2" t="s">
        <v>149</v>
      </c>
      <c r="G305" s="2"/>
      <c r="H305" s="33"/>
      <c r="I305" s="173">
        <f>M305/AE305</f>
        <v>815.70041973992875</v>
      </c>
      <c r="J305" s="174">
        <f>AH305/AE305</f>
        <v>12.279249171526576</v>
      </c>
      <c r="K305" s="207">
        <f>RANK(I305,$I$76:$I$977)</f>
        <v>227</v>
      </c>
      <c r="L305" s="208">
        <f>RANK(I305,$I$76:$I$450)</f>
        <v>227</v>
      </c>
      <c r="M305" s="173">
        <f>SUM(N305:R305)</f>
        <v>14647.633584121948</v>
      </c>
      <c r="N305" s="174">
        <f>T305*(1+((AG305+IF(F305="백어택",8,0))/100)*((AI305/100-1)))</f>
        <v>7217.5658145662783</v>
      </c>
      <c r="O305" s="174">
        <f>U305*(1+(($D$57+IF(F305="백어택",8,0))/100)*($D$58/100-1))</f>
        <v>7430.0677695556687</v>
      </c>
      <c r="P305" s="174"/>
      <c r="Q305" s="174"/>
      <c r="R305" s="175"/>
      <c r="S305" s="173">
        <f>SUM(T305:X305)</f>
        <v>8776.1080578321944</v>
      </c>
      <c r="T305" s="174">
        <f>AL305*AV305*IF(F305="백어택",1.2,1)</f>
        <v>2925.720881042927</v>
      </c>
      <c r="U305" s="174">
        <f>AM305*AX305*AY305*IF(F305="백어택",1.2,1)</f>
        <v>5850.3871767892679</v>
      </c>
      <c r="V305" s="174"/>
      <c r="W305" s="174"/>
      <c r="X305" s="175"/>
      <c r="Y305" s="173">
        <f>SUM(Z305:AD305)</f>
        <v>17552.216115664389</v>
      </c>
      <c r="Z305" s="174">
        <f>T305*$D$58/100</f>
        <v>5851.441762085854</v>
      </c>
      <c r="AA305" s="174">
        <f>U305*$D$58/100</f>
        <v>11700.774353578536</v>
      </c>
      <c r="AB305" s="174"/>
      <c r="AC305" s="174"/>
      <c r="AD305" s="175"/>
      <c r="AE305" s="173">
        <f>AO305*(1-$D$17/100)-AR305</f>
        <v>17.957124</v>
      </c>
      <c r="AF305" s="174">
        <f>AP305</f>
        <v>36</v>
      </c>
      <c r="AG305" s="174">
        <f>IF($D$57+AU305&gt;100,100,$D$57+AU305)</f>
        <v>79.001300000000001</v>
      </c>
      <c r="AH305" s="174">
        <f>AQ305*AS305</f>
        <v>220.5</v>
      </c>
      <c r="AI305" s="174">
        <f>$D$58+$D$19</f>
        <v>268.61079999999998</v>
      </c>
      <c r="AJ305" s="174">
        <f>10*IF(AV305=1,1,5/4.5)/IF(AX305=1,5,3.5)</f>
        <v>2</v>
      </c>
      <c r="AK305" s="174">
        <f>SUM(AL305:AN305)</f>
        <v>4875.7620578646347</v>
      </c>
      <c r="AL305" s="174">
        <f>(VLOOKUP(C305,$B$36:$AG$39,29,FALSE)+VLOOKUP(C305,$B$40:$AG$43,29,FALSE)*$D$54)*$D$59/100</f>
        <v>2438.1007342024391</v>
      </c>
      <c r="AM305" s="174">
        <f>(VLOOKUP(C305,$B$36:$AG$39,30,FALSE)+VLOOKUP(C305,$B$40:$AG$43,30,FALSE)*$D$54)*$D$59/100</f>
        <v>2437.6613236621952</v>
      </c>
      <c r="AN305" s="174"/>
      <c r="AO305" s="176">
        <v>18</v>
      </c>
      <c r="AP305" s="174">
        <v>36</v>
      </c>
      <c r="AQ305" s="175">
        <f>VLOOKUP(C305,$B$45:$AG$48,29,FALSE)</f>
        <v>441</v>
      </c>
      <c r="AR305" s="31">
        <f>IF(LEFT(E305,1)*1=1,$S$70,$R$70)</f>
        <v>0</v>
      </c>
      <c r="AS305" s="2">
        <f>IF(LEFT(E305,1)*1=2,$U$70,$T$70)</f>
        <v>0.5</v>
      </c>
      <c r="AT305" s="33">
        <f>IF(LEFT(E305,1)*1=3,$W$70,$V$70)</f>
        <v>0</v>
      </c>
      <c r="AU305" s="31">
        <f>IF(MID(E305,3,1)*1=1,$Y$70,$X$70)</f>
        <v>60</v>
      </c>
      <c r="AV305" s="2">
        <f>IF(MID(E305,3,1)*1=2,$AA$70,$Z$70)</f>
        <v>1</v>
      </c>
      <c r="AW305" s="33">
        <f>IF(MID(E305,3,1)*1=3,$AC$70,$AB$70)</f>
        <v>0</v>
      </c>
      <c r="AX305" s="31">
        <f>IF(MID(E305,5,1)*1=1,$AE$70,$AD$70)</f>
        <v>1</v>
      </c>
      <c r="AY305" s="33">
        <f>IF(MID(E305,5,1)*1=2,$AG$70,$AF$70)</f>
        <v>2</v>
      </c>
      <c r="AZ305" s="2"/>
      <c r="BA305" s="101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</row>
    <row r="306" spans="1:71" ht="12" customHeight="1">
      <c r="A306" s="2"/>
      <c r="B306" s="107">
        <v>577</v>
      </c>
      <c r="C306" s="31">
        <v>10</v>
      </c>
      <c r="D306" s="111" t="s">
        <v>14</v>
      </c>
      <c r="E306" s="2" t="s">
        <v>141</v>
      </c>
      <c r="F306" s="2" t="s">
        <v>149</v>
      </c>
      <c r="G306" s="2"/>
      <c r="H306" s="33" t="s">
        <v>80</v>
      </c>
      <c r="I306" s="173">
        <f>M306/AE306</f>
        <v>812.72702493547206</v>
      </c>
      <c r="J306" s="174">
        <f>AH306/AE306</f>
        <v>23.695174714659018</v>
      </c>
      <c r="K306" s="207">
        <f>RANK(I306,$I$76:$I$977)</f>
        <v>231</v>
      </c>
      <c r="L306" s="208" t="e">
        <f>RANK(I306,$I$451:$I$866)</f>
        <v>#N/A</v>
      </c>
      <c r="M306" s="173">
        <f>SUM(N306:R306)</f>
        <v>22534.615668069746</v>
      </c>
      <c r="N306" s="174">
        <f>T306*(1+((AG306+IF(F306="백어택",8,0))/100)*(AI306/100-1))</f>
        <v>3673.9590010439292</v>
      </c>
      <c r="O306" s="174">
        <f>U306*(1+((AG306+IF(F306="백어택",8,0))/100)*(AI306/100-1))</f>
        <v>3673.9590010439292</v>
      </c>
      <c r="P306" s="174">
        <f>V306*(1+((AG306+IF(F306="백어택",8,0))/100)*(AI306*IF(AX306=1,AW306,1)/100-1))</f>
        <v>4964.6317159884147</v>
      </c>
      <c r="Q306" s="174">
        <f>W306*(1+((AG306+IF(F306="백어택",8,0))/100)*(AI306*AW306/100-1))</f>
        <v>10222.065949993474</v>
      </c>
      <c r="R306" s="175"/>
      <c r="S306" s="173">
        <f>SUM(T306:X306)</f>
        <v>16675.093495177756</v>
      </c>
      <c r="T306" s="174">
        <f>AL306*AY306*IF(F306="백어택",1.2,1)</f>
        <v>2892.8514913185368</v>
      </c>
      <c r="U306" s="174">
        <f>AM306*AY306*IF(F306="백어택",1.2,1)</f>
        <v>2892.8514913185368</v>
      </c>
      <c r="V306" s="174">
        <f>AN306*AY306*IF(F306="백어택",1.2,1)</f>
        <v>3909.118816884878</v>
      </c>
      <c r="W306" s="174">
        <f>(T306+U306+V306)*IF(AX306=1,0,0.6)*IF(F306="백어택",1.2,1)</f>
        <v>6980.2716956558043</v>
      </c>
      <c r="X306" s="175"/>
      <c r="Y306" s="173">
        <f>SUM(Z306:AD306)</f>
        <v>38375.982611227693</v>
      </c>
      <c r="Z306" s="174">
        <f>T306*AI306/100</f>
        <v>5785.7029826370735</v>
      </c>
      <c r="AA306" s="174">
        <f>U306*AI306/100</f>
        <v>5785.7029826370735</v>
      </c>
      <c r="AB306" s="174">
        <f>V306*AI306*IF(AX306=1,AW306,1)/100</f>
        <v>7818.2376337697551</v>
      </c>
      <c r="AC306" s="174">
        <f>W306*AI306*AW306/100</f>
        <v>18986.339012183787</v>
      </c>
      <c r="AD306" s="175"/>
      <c r="AE306" s="173">
        <f>AO306*(1-$D$20/100)*(1-$D$17/100)</f>
        <v>27.727164197424003</v>
      </c>
      <c r="AF306" s="174">
        <f>AP306</f>
        <v>36</v>
      </c>
      <c r="AG306" s="174">
        <f>IF($D$57+AU306&gt;100,100,$D$57+AU306)</f>
        <v>19.001300000000001</v>
      </c>
      <c r="AH306" s="174">
        <f>AQ306*AS306</f>
        <v>657</v>
      </c>
      <c r="AI306" s="174">
        <f>$D$58+IF(H306="근접",AR306,0)+IF(AY306=1,0,50)</f>
        <v>200</v>
      </c>
      <c r="AJ306" s="174">
        <f>10/3</f>
        <v>3.3333333333333335</v>
      </c>
      <c r="AK306" s="174">
        <f>SUM(AL306:AN306)</f>
        <v>8079.0181662682935</v>
      </c>
      <c r="AL306" s="174">
        <f>(IF(H306="근접",$D$61*(VLOOKUP(C306,$B$36:$AG$39,19,FALSE)+VLOOKUP(C306,$B$40:$AG$43,19,FALSE)*$D$54),$D$60*(VLOOKUP(C306,$B$36:$AG$39,19,FALSE)+VLOOKUP(C306,$B$40:$AG$43,19,FALSE)*$D$54)))*$D$59/100</f>
        <v>2410.7095760987809</v>
      </c>
      <c r="AM306" s="174">
        <f>(IF(H306="근접",$D$61*(VLOOKUP(C306,$B$36:$AG$39,20,FALSE)+VLOOKUP(C306,$B$40:$AG$43,20,FALSE)*$D$54),$D$60*(VLOOKUP(C306,$B$36:$AG$39,20,FALSE)+VLOOKUP(C306,$B$40:$AG$43,20,FALSE)*$D$54)))*$D$59/100</f>
        <v>2410.7095760987809</v>
      </c>
      <c r="AN306" s="174">
        <f>(IF(H306="근접",$D$61*(VLOOKUP(C306,$B$36:$AG$39,21,FALSE)+VLOOKUP(C306,$B$40:$AG$43,21,FALSE)*$D$54),$D$60*(VLOOKUP(C306,$B$36:$AG$39,21,FALSE)+VLOOKUP(C306,$B$40:$AG$43,21,FALSE)*$D$54)))*$D$59/100</f>
        <v>3257.5990140707318</v>
      </c>
      <c r="AO306" s="176">
        <v>36</v>
      </c>
      <c r="AP306" s="174">
        <v>36</v>
      </c>
      <c r="AQ306" s="175">
        <f>VLOOKUP(C306,$B$45:$AA$48,19,FALSE)</f>
        <v>657</v>
      </c>
      <c r="AR306" s="31">
        <f>IF(LEFT(E306,1)*1=1,$S$64,$R$64)</f>
        <v>0</v>
      </c>
      <c r="AS306" s="2">
        <f>IF(LEFT(E306,1)*1=2,$U$64,$T$64)</f>
        <v>1</v>
      </c>
      <c r="AT306" s="33">
        <f>IF(LEFT(E306,1)*1=3,$W$64,$V$64)</f>
        <v>0</v>
      </c>
      <c r="AU306" s="31">
        <f>IF(MID(E306,3,1)*1=1,$Y$64,$X$64)</f>
        <v>0</v>
      </c>
      <c r="AV306" s="2">
        <f>IF(MID(E306,3,1)*1=2,$AA$64,$Z$64)</f>
        <v>0</v>
      </c>
      <c r="AW306" s="33">
        <f>IF(MID(E306,3,1)*1=3,$AC$64,$AB$64)</f>
        <v>1.36</v>
      </c>
      <c r="AX306" s="31">
        <f>IF(MID(E306,5,1)*1=1,$AE$64,$AD$64)</f>
        <v>0.6</v>
      </c>
      <c r="AY306" s="33">
        <f>IF(MID(E306,5,1)*1=2,$AG$64,$AF$64)</f>
        <v>1</v>
      </c>
      <c r="AZ306" s="2"/>
      <c r="BA306" s="101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</row>
    <row r="307" spans="1:71" ht="12" customHeight="1">
      <c r="A307" s="2"/>
      <c r="B307" s="107">
        <v>580</v>
      </c>
      <c r="C307" s="31">
        <v>10</v>
      </c>
      <c r="D307" s="111" t="s">
        <v>14</v>
      </c>
      <c r="E307" s="2" t="s">
        <v>156</v>
      </c>
      <c r="F307" s="2" t="s">
        <v>149</v>
      </c>
      <c r="G307" s="2"/>
      <c r="H307" s="33" t="s">
        <v>80</v>
      </c>
      <c r="I307" s="173">
        <f>M307/AE307</f>
        <v>812.72702493547206</v>
      </c>
      <c r="J307" s="174">
        <f>AH307/AE307</f>
        <v>23.695174714659018</v>
      </c>
      <c r="K307" s="207">
        <f>RANK(I307,$I$76:$I$977)</f>
        <v>231</v>
      </c>
      <c r="L307" s="208" t="e">
        <f>RANK(I307,$I$451:$I$866)</f>
        <v>#N/A</v>
      </c>
      <c r="M307" s="173">
        <f>SUM(N307:R307)</f>
        <v>22534.615668069746</v>
      </c>
      <c r="N307" s="174">
        <f>T307*(1+((AG307+IF(F307="백어택",8,0))/100)*(AI307/100-1))</f>
        <v>3673.9590010439292</v>
      </c>
      <c r="O307" s="174">
        <f>U307*(1+((AG307+IF(F307="백어택",8,0))/100)*(AI307/100-1))</f>
        <v>3673.9590010439292</v>
      </c>
      <c r="P307" s="174">
        <f>V307*(1+((AG307+IF(F307="백어택",8,0))/100)*(AI307*IF(AX307=1,AW307,1)/100-1))</f>
        <v>4964.6317159884147</v>
      </c>
      <c r="Q307" s="174">
        <f>W307*(1+((AG307+IF(F307="백어택",8,0))/100)*(AI307*AW307/100-1))</f>
        <v>10222.065949993474</v>
      </c>
      <c r="R307" s="175"/>
      <c r="S307" s="173">
        <f>SUM(T307:X307)</f>
        <v>16675.093495177756</v>
      </c>
      <c r="T307" s="174">
        <f>AL307*AY307*IF(F307="백어택",1.2,1)</f>
        <v>2892.8514913185368</v>
      </c>
      <c r="U307" s="174">
        <f>AM307*AY307*IF(F307="백어택",1.2,1)</f>
        <v>2892.8514913185368</v>
      </c>
      <c r="V307" s="174">
        <f>AN307*AY307*IF(F307="백어택",1.2,1)</f>
        <v>3909.118816884878</v>
      </c>
      <c r="W307" s="174">
        <f>(T307+U307+V307)*IF(AX307=1,0,0.6)*IF(F307="백어택",1.2,1)</f>
        <v>6980.2716956558043</v>
      </c>
      <c r="X307" s="175"/>
      <c r="Y307" s="173">
        <f>SUM(Z307:AD307)</f>
        <v>38375.982611227693</v>
      </c>
      <c r="Z307" s="174">
        <f>T307*AI307/100</f>
        <v>5785.7029826370735</v>
      </c>
      <c r="AA307" s="174">
        <f>U307*AI307/100</f>
        <v>5785.7029826370735</v>
      </c>
      <c r="AB307" s="174">
        <f>V307*AI307*IF(AX307=1,AW307,1)/100</f>
        <v>7818.2376337697551</v>
      </c>
      <c r="AC307" s="174">
        <f>W307*AI307*AW307/100</f>
        <v>18986.339012183787</v>
      </c>
      <c r="AD307" s="175"/>
      <c r="AE307" s="173">
        <f>AO307*(1-$D$20/100)*(1-$D$17/100)</f>
        <v>27.727164197424003</v>
      </c>
      <c r="AF307" s="174">
        <f>AP307</f>
        <v>36</v>
      </c>
      <c r="AG307" s="174">
        <f>IF($D$57+AU307&gt;100,100,$D$57+AU307)</f>
        <v>19.001300000000001</v>
      </c>
      <c r="AH307" s="174">
        <f>AQ307*AS307</f>
        <v>657</v>
      </c>
      <c r="AI307" s="174">
        <f>$D$58+IF(H307="근접",AR307,0)+IF(AY307=1,0,50)</f>
        <v>200</v>
      </c>
      <c r="AJ307" s="174">
        <f>10/3</f>
        <v>3.3333333333333335</v>
      </c>
      <c r="AK307" s="174">
        <f>SUM(AL307:AN307)</f>
        <v>8079.0181662682935</v>
      </c>
      <c r="AL307" s="174">
        <f>(IF(H307="근접",$D$61*(VLOOKUP(C307,$B$36:$AG$39,19,FALSE)+VLOOKUP(C307,$B$40:$AG$43,19,FALSE)*$D$54),$D$60*(VLOOKUP(C307,$B$36:$AG$39,19,FALSE)+VLOOKUP(C307,$B$40:$AG$43,19,FALSE)*$D$54)))*$D$59/100</f>
        <v>2410.7095760987809</v>
      </c>
      <c r="AM307" s="174">
        <f>(IF(H307="근접",$D$61*(VLOOKUP(C307,$B$36:$AG$39,20,FALSE)+VLOOKUP(C307,$B$40:$AG$43,20,FALSE)*$D$54),$D$60*(VLOOKUP(C307,$B$36:$AG$39,20,FALSE)+VLOOKUP(C307,$B$40:$AG$43,20,FALSE)*$D$54)))*$D$59/100</f>
        <v>2410.7095760987809</v>
      </c>
      <c r="AN307" s="174">
        <f>(IF(H307="근접",$D$61*(VLOOKUP(C307,$B$36:$AG$39,21,FALSE)+VLOOKUP(C307,$B$40:$AG$43,21,FALSE)*$D$54),$D$60*(VLOOKUP(C307,$B$36:$AG$39,21,FALSE)+VLOOKUP(C307,$B$40:$AG$43,21,FALSE)*$D$54)))*$D$59/100</f>
        <v>3257.5990140707318</v>
      </c>
      <c r="AO307" s="176">
        <v>36</v>
      </c>
      <c r="AP307" s="174">
        <v>36</v>
      </c>
      <c r="AQ307" s="175">
        <f>VLOOKUP(C307,$B$45:$AA$48,19,FALSE)</f>
        <v>657</v>
      </c>
      <c r="AR307" s="31">
        <f>IF(LEFT(E307,1)*1=1,$S$64,$R$64)</f>
        <v>50</v>
      </c>
      <c r="AS307" s="2">
        <f>IF(LEFT(E307,1)*1=2,$U$64,$T$64)</f>
        <v>1</v>
      </c>
      <c r="AT307" s="33">
        <f>IF(LEFT(E307,1)*1=3,$W$64,$V$64)</f>
        <v>0</v>
      </c>
      <c r="AU307" s="31">
        <f>IF(MID(E307,3,1)*1=1,$Y$64,$X$64)</f>
        <v>0</v>
      </c>
      <c r="AV307" s="2">
        <f>IF(MID(E307,3,1)*1=2,$AA$64,$Z$64)</f>
        <v>0</v>
      </c>
      <c r="AW307" s="33">
        <f>IF(MID(E307,3,1)*1=3,$AC$64,$AB$64)</f>
        <v>1.36</v>
      </c>
      <c r="AX307" s="31">
        <f>IF(MID(E307,5,1)*1=1,$AE$64,$AD$64)</f>
        <v>0.6</v>
      </c>
      <c r="AY307" s="33">
        <f>IF(MID(E307,5,1)*1=2,$AG$64,$AF$64)</f>
        <v>1</v>
      </c>
      <c r="AZ307" s="2"/>
      <c r="BA307" s="101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</row>
    <row r="308" spans="1:71" ht="12" customHeight="1">
      <c r="A308" s="2"/>
      <c r="B308" s="107">
        <v>583</v>
      </c>
      <c r="C308" s="31">
        <v>10</v>
      </c>
      <c r="D308" s="111" t="s">
        <v>14</v>
      </c>
      <c r="E308" s="2" t="s">
        <v>171</v>
      </c>
      <c r="F308" s="2" t="s">
        <v>149</v>
      </c>
      <c r="G308" s="2"/>
      <c r="H308" s="33" t="s">
        <v>80</v>
      </c>
      <c r="I308" s="173">
        <f>M308/AE308</f>
        <v>812.72702493547206</v>
      </c>
      <c r="J308" s="174">
        <f>AH308/AE308</f>
        <v>11.847587357329509</v>
      </c>
      <c r="K308" s="207">
        <f>RANK(I308,$I$76:$I$977)</f>
        <v>231</v>
      </c>
      <c r="L308" s="208" t="e">
        <f>RANK(I308,$I$451:$I$866)</f>
        <v>#N/A</v>
      </c>
      <c r="M308" s="173">
        <f>SUM(N308:R308)</f>
        <v>22534.615668069746</v>
      </c>
      <c r="N308" s="174">
        <f>T308*(1+((AG308+IF(F308="백어택",8,0))/100)*(AI308/100-1))</f>
        <v>3673.9590010439292</v>
      </c>
      <c r="O308" s="174">
        <f>U308*(1+((AG308+IF(F308="백어택",8,0))/100)*(AI308/100-1))</f>
        <v>3673.9590010439292</v>
      </c>
      <c r="P308" s="174">
        <f>V308*(1+((AG308+IF(F308="백어택",8,0))/100)*(AI308*IF(AX308=1,AW308,1)/100-1))</f>
        <v>4964.6317159884147</v>
      </c>
      <c r="Q308" s="174">
        <f>W308*(1+((AG308+IF(F308="백어택",8,0))/100)*(AI308*AW308/100-1))</f>
        <v>10222.065949993474</v>
      </c>
      <c r="R308" s="175"/>
      <c r="S308" s="173">
        <f>SUM(T308:X308)</f>
        <v>16675.093495177756</v>
      </c>
      <c r="T308" s="174">
        <f>AL308*AY308*IF(F308="백어택",1.2,1)</f>
        <v>2892.8514913185368</v>
      </c>
      <c r="U308" s="174">
        <f>AM308*AY308*IF(F308="백어택",1.2,1)</f>
        <v>2892.8514913185368</v>
      </c>
      <c r="V308" s="174">
        <f>AN308*AY308*IF(F308="백어택",1.2,1)</f>
        <v>3909.118816884878</v>
      </c>
      <c r="W308" s="174">
        <f>(T308+U308+V308)*IF(AX308=1,0,0.6)*IF(F308="백어택",1.2,1)</f>
        <v>6980.2716956558043</v>
      </c>
      <c r="X308" s="175"/>
      <c r="Y308" s="173">
        <f>SUM(Z308:AD308)</f>
        <v>38375.982611227693</v>
      </c>
      <c r="Z308" s="174">
        <f>T308*AI308/100</f>
        <v>5785.7029826370735</v>
      </c>
      <c r="AA308" s="174">
        <f>U308*AI308/100</f>
        <v>5785.7029826370735</v>
      </c>
      <c r="AB308" s="174">
        <f>V308*AI308*IF(AX308=1,AW308,1)/100</f>
        <v>7818.2376337697551</v>
      </c>
      <c r="AC308" s="174">
        <f>W308*AI308*AW308/100</f>
        <v>18986.339012183787</v>
      </c>
      <c r="AD308" s="175"/>
      <c r="AE308" s="173">
        <f>AO308*(1-$D$20/100)*(1-$D$17/100)</f>
        <v>27.727164197424003</v>
      </c>
      <c r="AF308" s="174">
        <f>AP308</f>
        <v>36</v>
      </c>
      <c r="AG308" s="174">
        <f>IF($D$57+AU308&gt;100,100,$D$57+AU308)</f>
        <v>19.001300000000001</v>
      </c>
      <c r="AH308" s="174">
        <f>AQ308*AS308</f>
        <v>328.5</v>
      </c>
      <c r="AI308" s="174">
        <f>$D$58+IF(H308="근접",AR308,0)+IF(AY308=1,0,50)</f>
        <v>200</v>
      </c>
      <c r="AJ308" s="174">
        <f>10/3</f>
        <v>3.3333333333333335</v>
      </c>
      <c r="AK308" s="174">
        <f>SUM(AL308:AN308)</f>
        <v>8079.0181662682935</v>
      </c>
      <c r="AL308" s="174">
        <f>(IF(H308="근접",$D$61*(VLOOKUP(C308,$B$36:$AG$39,19,FALSE)+VLOOKUP(C308,$B$40:$AG$43,19,FALSE)*$D$54),$D$60*(VLOOKUP(C308,$B$36:$AG$39,19,FALSE)+VLOOKUP(C308,$B$40:$AG$43,19,FALSE)*$D$54)))*$D$59/100</f>
        <v>2410.7095760987809</v>
      </c>
      <c r="AM308" s="174">
        <f>(IF(H308="근접",$D$61*(VLOOKUP(C308,$B$36:$AG$39,20,FALSE)+VLOOKUP(C308,$B$40:$AG$43,20,FALSE)*$D$54),$D$60*(VLOOKUP(C308,$B$36:$AG$39,20,FALSE)+VLOOKUP(C308,$B$40:$AG$43,20,FALSE)*$D$54)))*$D$59/100</f>
        <v>2410.7095760987809</v>
      </c>
      <c r="AN308" s="174">
        <f>(IF(H308="근접",$D$61*(VLOOKUP(C308,$B$36:$AG$39,21,FALSE)+VLOOKUP(C308,$B$40:$AG$43,21,FALSE)*$D$54),$D$60*(VLOOKUP(C308,$B$36:$AG$39,21,FALSE)+VLOOKUP(C308,$B$40:$AG$43,21,FALSE)*$D$54)))*$D$59/100</f>
        <v>3257.5990140707318</v>
      </c>
      <c r="AO308" s="176">
        <v>36</v>
      </c>
      <c r="AP308" s="174">
        <v>36</v>
      </c>
      <c r="AQ308" s="175">
        <f>VLOOKUP(C308,$B$45:$AA$48,19,FALSE)</f>
        <v>657</v>
      </c>
      <c r="AR308" s="31">
        <f>IF(LEFT(E308,1)*1=1,$S$64,$R$64)</f>
        <v>0</v>
      </c>
      <c r="AS308" s="2">
        <f>IF(LEFT(E308,1)*1=2,$U$64,$T$64)</f>
        <v>0.5</v>
      </c>
      <c r="AT308" s="33">
        <f>IF(LEFT(E308,1)*1=3,$W$64,$V$64)</f>
        <v>0</v>
      </c>
      <c r="AU308" s="31">
        <f>IF(MID(E308,3,1)*1=1,$Y$64,$X$64)</f>
        <v>0</v>
      </c>
      <c r="AV308" s="2">
        <f>IF(MID(E308,3,1)*1=2,$AA$64,$Z$64)</f>
        <v>0</v>
      </c>
      <c r="AW308" s="33">
        <f>IF(MID(E308,3,1)*1=3,$AC$64,$AB$64)</f>
        <v>1.36</v>
      </c>
      <c r="AX308" s="31">
        <f>IF(MID(E308,5,1)*1=1,$AE$64,$AD$64)</f>
        <v>0.6</v>
      </c>
      <c r="AY308" s="33">
        <f>IF(MID(E308,5,1)*1=2,$AG$64,$AF$64)</f>
        <v>1</v>
      </c>
      <c r="AZ308" s="2"/>
      <c r="BA308" s="101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</row>
    <row r="309" spans="1:71" ht="12" customHeight="1">
      <c r="A309" s="2"/>
      <c r="B309" s="107">
        <v>740</v>
      </c>
      <c r="C309" s="31">
        <v>10</v>
      </c>
      <c r="D309" s="111" t="s">
        <v>21</v>
      </c>
      <c r="E309" s="2" t="s">
        <v>139</v>
      </c>
      <c r="F309" s="2"/>
      <c r="G309" s="2"/>
      <c r="H309" s="33"/>
      <c r="I309" s="173">
        <f>M309/AE309</f>
        <v>808.8911666531709</v>
      </c>
      <c r="J309" s="174">
        <f>AH309/AE309</f>
        <v>23.695174714659018</v>
      </c>
      <c r="K309" s="207">
        <f>RANK(I309,$I$76:$I$977)</f>
        <v>234</v>
      </c>
      <c r="L309" s="208" t="e">
        <f>RANK(I309,$I$451:$I$866)</f>
        <v>#N/A</v>
      </c>
      <c r="M309" s="173">
        <f>SUM(N309:R309)</f>
        <v>22428.258195638333</v>
      </c>
      <c r="N309" s="174">
        <f>T309*(1+((AG309+IF(F309="백어택",8,0))/100)*(AI309/100-1))</f>
        <v>18886.954270011229</v>
      </c>
      <c r="O309" s="174"/>
      <c r="P309" s="174"/>
      <c r="Q309" s="174"/>
      <c r="R309" s="175">
        <f>X309*(1+(AG309/100)*(AI309/100-1))</f>
        <v>3541.3039256271054</v>
      </c>
      <c r="S309" s="173">
        <f>SUM(T309:X309)</f>
        <v>18847.069902293784</v>
      </c>
      <c r="T309" s="174">
        <f>AL309*AW309*AX309*AY309*IF(F309="백어택",1.2,1)</f>
        <v>15871.216759826346</v>
      </c>
      <c r="U309" s="174"/>
      <c r="V309" s="174"/>
      <c r="W309" s="174"/>
      <c r="X309" s="175">
        <f>AL309*AS309+IF(AX309=1,AL309*AU309,AL309*AU309*2)</f>
        <v>2975.8531424674397</v>
      </c>
      <c r="Y309" s="173">
        <f>SUM(Z309:AD309)</f>
        <v>37694.139804587569</v>
      </c>
      <c r="Z309" s="174">
        <f>T309*$D$58/100</f>
        <v>31742.433519652692</v>
      </c>
      <c r="AA309" s="174"/>
      <c r="AB309" s="174"/>
      <c r="AC309" s="174"/>
      <c r="AD309" s="175">
        <f>X309*$D$58/100</f>
        <v>5951.7062849348795</v>
      </c>
      <c r="AE309" s="173">
        <f>AO309*(1-$D$20/100)*(1-$D$17/100)-AR309</f>
        <v>27.727164197424003</v>
      </c>
      <c r="AF309" s="174">
        <f>AP309</f>
        <v>36</v>
      </c>
      <c r="AG309" s="174">
        <f>IF($D$57&gt;100,100,$D$57)</f>
        <v>19.001300000000001</v>
      </c>
      <c r="AH309" s="174">
        <f>AQ309</f>
        <v>657</v>
      </c>
      <c r="AI309" s="174">
        <f>$D$58</f>
        <v>200</v>
      </c>
      <c r="AJ309" s="174">
        <f>10/6</f>
        <v>1.6666666666666667</v>
      </c>
      <c r="AK309" s="174">
        <f>SUM(AL309:AN309)</f>
        <v>9919.5104748914655</v>
      </c>
      <c r="AL309" s="174">
        <f>(VLOOKUP(C309,$B$36:$AG$39,31,FALSE)+VLOOKUP(C309,$B$40:$AG$43,31,FALSE)*$D$54)*$D$59/100</f>
        <v>9919.5104748914655</v>
      </c>
      <c r="AM309" s="174"/>
      <c r="AN309" s="174"/>
      <c r="AO309" s="176">
        <v>36</v>
      </c>
      <c r="AP309" s="174">
        <v>36</v>
      </c>
      <c r="AQ309" s="175">
        <f>VLOOKUP(C309,$B$45:$AG$48,31,FALSE)</f>
        <v>657</v>
      </c>
      <c r="AR309" s="31">
        <f>IF(LEFT(E309,1)*1=1,$S$71,$R$71)</f>
        <v>0</v>
      </c>
      <c r="AS309" s="2">
        <f>IF(LEFT(E309,1)*1=2,$U$71,$T$71)</f>
        <v>0</v>
      </c>
      <c r="AT309" s="33">
        <f>IF(LEFT(E309,1)*1=3,$W$71,$V$71)</f>
        <v>0</v>
      </c>
      <c r="AU309" s="31">
        <f>IF(MID(E309,3,1)*1=1,$Y$71,$X$71)</f>
        <v>0.3</v>
      </c>
      <c r="AV309" s="2">
        <f>IF(MID(E309,3,1)*1=2,$AA$71,$Z$71)</f>
        <v>0</v>
      </c>
      <c r="AW309" s="33">
        <f>IF(MID(E309,3,1)*1=3,$AC$71,$AB$71)</f>
        <v>1</v>
      </c>
      <c r="AX309" s="31">
        <f>IF(MID(E309,5,1)*1=1,$AE$71,$AD$71)</f>
        <v>1</v>
      </c>
      <c r="AY309" s="33">
        <f>IF(MID(E309,5,1)*1=2,$AG$71,$AF$71)</f>
        <v>1.6</v>
      </c>
      <c r="AZ309" s="2"/>
      <c r="BA309" s="101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</row>
    <row r="310" spans="1:71" ht="12" customHeight="1">
      <c r="A310" s="2"/>
      <c r="B310" s="107">
        <v>206</v>
      </c>
      <c r="C310" s="31">
        <v>7</v>
      </c>
      <c r="D310" s="106" t="s">
        <v>10</v>
      </c>
      <c r="E310" s="2" t="s">
        <v>136</v>
      </c>
      <c r="F310" s="2"/>
      <c r="G310" s="2"/>
      <c r="H310" s="33"/>
      <c r="I310" s="173">
        <f>M310/AE310</f>
        <v>801.72050861848288</v>
      </c>
      <c r="J310" s="174">
        <f>AH310/AE310</f>
        <v>17.980329144021059</v>
      </c>
      <c r="K310" s="207">
        <f>RANK(I310,$I$76:$I$977)</f>
        <v>235</v>
      </c>
      <c r="L310" s="208">
        <f>RANK(I310,$I$76:$I$450)</f>
        <v>235</v>
      </c>
      <c r="M310" s="173">
        <f>SUM(N310:R310)</f>
        <v>12796.972965871259</v>
      </c>
      <c r="N310" s="174">
        <f>T310*(1+((AG310+IF(F310="백어택",8,0))/100)*((AI310/100-1)))</f>
        <v>12796.972965871259</v>
      </c>
      <c r="O310" s="174"/>
      <c r="P310" s="174"/>
      <c r="Q310" s="174"/>
      <c r="R310" s="175"/>
      <c r="S310" s="173">
        <f>SUM(T310:X310)</f>
        <v>9691.8684950457318</v>
      </c>
      <c r="T310" s="174">
        <f>AL310*AS310*AU310*AX310*IF(AY310=0,1,0.5)*IF(F310="백어택",1.2,1)</f>
        <v>9691.8684950457318</v>
      </c>
      <c r="U310" s="174"/>
      <c r="V310" s="174"/>
      <c r="W310" s="174"/>
      <c r="X310" s="175"/>
      <c r="Y310" s="173">
        <f>SUM(Z310:AD310)</f>
        <v>26033.405499490298</v>
      </c>
      <c r="Z310" s="174">
        <f>T310*AI310/100</f>
        <v>26033.405499490298</v>
      </c>
      <c r="AA310" s="174"/>
      <c r="AB310" s="174"/>
      <c r="AC310" s="174"/>
      <c r="AD310" s="175"/>
      <c r="AE310" s="173">
        <f>AO310*(1-$D$17/100)</f>
        <v>15.961888</v>
      </c>
      <c r="AF310" s="174">
        <f>AP310</f>
        <v>36</v>
      </c>
      <c r="AG310" s="174">
        <f>IF($D$57+AV310&gt;100,100,$D$57+AV310)</f>
        <v>19.001300000000001</v>
      </c>
      <c r="AH310" s="174">
        <f>AQ310</f>
        <v>287</v>
      </c>
      <c r="AI310" s="174">
        <f>$D$58+$D$19</f>
        <v>268.61079999999998</v>
      </c>
      <c r="AJ310" s="174">
        <f>10*AR310/(7-IF(AX310=1,0,3))</f>
        <v>1.4285714285714286</v>
      </c>
      <c r="AK310" s="174">
        <f>SUM(AL310:AN310)</f>
        <v>7753.4947960365853</v>
      </c>
      <c r="AL310" s="174">
        <f>(VLOOKUP(C310,$B$36:$AG$39,13,FALSE)+VLOOKUP(C310,$B$40:$AG$43,13,FALSE)*$D$54)*$D$59/100</f>
        <v>7753.4947960365853</v>
      </c>
      <c r="AM310" s="174"/>
      <c r="AN310" s="174"/>
      <c r="AO310" s="176">
        <v>16</v>
      </c>
      <c r="AP310" s="174">
        <v>36</v>
      </c>
      <c r="AQ310" s="175">
        <f>VLOOKUP(C310,$B$45:$AA$48,13,FALSE)</f>
        <v>287</v>
      </c>
      <c r="AR310" s="31">
        <f>IF(LEFT(E310,1)*1=1,$S$60,$R$60)</f>
        <v>1</v>
      </c>
      <c r="AS310" s="2">
        <f>IF(LEFT(E310,1)*1=2,$U$60,$T$60)</f>
        <v>1</v>
      </c>
      <c r="AT310" s="33">
        <f>IF(LEFT(E310,1)*1=3,$W$60,$V$60)</f>
        <v>0</v>
      </c>
      <c r="AU310" s="31">
        <f>IF(MID(E310,3,1)*1=1,$Y$60,$X$60)</f>
        <v>1.25</v>
      </c>
      <c r="AV310" s="2">
        <f>IF(MID(E310,3,1)*1=2,$AA$60,$Z$60)</f>
        <v>0</v>
      </c>
      <c r="AW310" s="33">
        <f>IF(MID(E310,3,1)*1=3,$AC$60,$AB$60)</f>
        <v>0</v>
      </c>
      <c r="AX310" s="31">
        <f>IF(MID(E310,5,1)*1=1,$AE$60,$AD$60)</f>
        <v>1</v>
      </c>
      <c r="AY310" s="33">
        <f>IF(MID(E310,5,1)*1=2,$AG$60,$AF$60)</f>
        <v>0</v>
      </c>
      <c r="AZ310" s="2"/>
      <c r="BA310" s="101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</row>
    <row r="311" spans="1:71" ht="12" customHeight="1">
      <c r="A311" s="2"/>
      <c r="B311" s="107">
        <v>209</v>
      </c>
      <c r="C311" s="31">
        <v>7</v>
      </c>
      <c r="D311" s="106" t="s">
        <v>10</v>
      </c>
      <c r="E311" s="2" t="s">
        <v>163</v>
      </c>
      <c r="F311" s="2"/>
      <c r="G311" s="2"/>
      <c r="H311" s="33"/>
      <c r="I311" s="173">
        <f>M311/AE311</f>
        <v>801.72050861848288</v>
      </c>
      <c r="J311" s="174">
        <f>AH311/AE311</f>
        <v>17.980329144021059</v>
      </c>
      <c r="K311" s="207">
        <f>RANK(I311,$I$76:$I$977)</f>
        <v>235</v>
      </c>
      <c r="L311" s="208">
        <f>RANK(I311,$I$76:$I$450)</f>
        <v>235</v>
      </c>
      <c r="M311" s="173">
        <f>SUM(N311:R311)</f>
        <v>12796.972965871259</v>
      </c>
      <c r="N311" s="174">
        <f>T311*(1+((AG311+IF(F311="백어택",8,0))/100)*((AI311/100-1)))</f>
        <v>12796.972965871259</v>
      </c>
      <c r="O311" s="174"/>
      <c r="P311" s="174"/>
      <c r="Q311" s="174"/>
      <c r="R311" s="175"/>
      <c r="S311" s="173">
        <f>SUM(T311:X311)</f>
        <v>9691.8684950457318</v>
      </c>
      <c r="T311" s="174">
        <f>AL311*AS311*AU311*AX311*IF(AY311=0,1,0.5)*IF(F311="백어택",1.2,1)</f>
        <v>9691.8684950457318</v>
      </c>
      <c r="U311" s="174"/>
      <c r="V311" s="174"/>
      <c r="W311" s="174"/>
      <c r="X311" s="175"/>
      <c r="Y311" s="173">
        <f>SUM(Z311:AD311)</f>
        <v>26033.405499490298</v>
      </c>
      <c r="Z311" s="174">
        <f>T311*AI311/100</f>
        <v>26033.405499490298</v>
      </c>
      <c r="AA311" s="174"/>
      <c r="AB311" s="174"/>
      <c r="AC311" s="174"/>
      <c r="AD311" s="175"/>
      <c r="AE311" s="173">
        <f>AO311*(1-$D$17/100)</f>
        <v>15.961888</v>
      </c>
      <c r="AF311" s="174">
        <f>AP311</f>
        <v>36</v>
      </c>
      <c r="AG311" s="174">
        <f>IF($D$57+AV311&gt;100,100,$D$57+AV311)</f>
        <v>19.001300000000001</v>
      </c>
      <c r="AH311" s="174">
        <f>AQ311</f>
        <v>287</v>
      </c>
      <c r="AI311" s="174">
        <f>$D$58+$D$19</f>
        <v>268.61079999999998</v>
      </c>
      <c r="AJ311" s="174">
        <f>10*AR311/(7-IF(AX311=1,0,3))</f>
        <v>1.2142857142857142</v>
      </c>
      <c r="AK311" s="174">
        <f>SUM(AL311:AN311)</f>
        <v>7753.4947960365853</v>
      </c>
      <c r="AL311" s="174">
        <f>(VLOOKUP(C311,$B$36:$AG$39,13,FALSE)+VLOOKUP(C311,$B$40:$AG$43,13,FALSE)*$D$54)*$D$59/100</f>
        <v>7753.4947960365853</v>
      </c>
      <c r="AM311" s="174"/>
      <c r="AN311" s="174"/>
      <c r="AO311" s="176">
        <v>16</v>
      </c>
      <c r="AP311" s="174">
        <v>36</v>
      </c>
      <c r="AQ311" s="175">
        <f>VLOOKUP(C311,$B$45:$AA$48,13,FALSE)</f>
        <v>287</v>
      </c>
      <c r="AR311" s="31">
        <f>IF(LEFT(E311,1)*1=1,$S$60,$R$60)</f>
        <v>0.85</v>
      </c>
      <c r="AS311" s="2">
        <f>IF(LEFT(E311,1)*1=2,$U$60,$T$60)</f>
        <v>1</v>
      </c>
      <c r="AT311" s="33">
        <f>IF(LEFT(E311,1)*1=3,$W$60,$V$60)</f>
        <v>0</v>
      </c>
      <c r="AU311" s="31">
        <f>IF(MID(E311,3,1)*1=1,$Y$60,$X$60)</f>
        <v>1.25</v>
      </c>
      <c r="AV311" s="2">
        <f>IF(MID(E311,3,1)*1=2,$AA$60,$Z$60)</f>
        <v>0</v>
      </c>
      <c r="AW311" s="33">
        <f>IF(MID(E311,3,1)*1=3,$AC$60,$AB$60)</f>
        <v>0</v>
      </c>
      <c r="AX311" s="31">
        <f>IF(MID(E311,5,1)*1=1,$AE$60,$AD$60)</f>
        <v>1</v>
      </c>
      <c r="AY311" s="33">
        <f>IF(MID(E311,5,1)*1=2,$AG$60,$AF$60)</f>
        <v>0</v>
      </c>
      <c r="AZ311" s="2"/>
      <c r="BA311" s="101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</row>
    <row r="312" spans="1:71" ht="12" customHeight="1">
      <c r="A312" s="2"/>
      <c r="B312" s="107">
        <v>827</v>
      </c>
      <c r="C312" s="31">
        <v>10</v>
      </c>
      <c r="D312" s="113" t="s">
        <v>12</v>
      </c>
      <c r="E312" s="2" t="s">
        <v>141</v>
      </c>
      <c r="F312" s="2"/>
      <c r="G312" s="2" t="s">
        <v>183</v>
      </c>
      <c r="H312" s="33"/>
      <c r="I312" s="173">
        <f>M312/AE312</f>
        <v>800.99851131916751</v>
      </c>
      <c r="J312" s="174">
        <f>AH312/AE312</f>
        <v>21.760166048861723</v>
      </c>
      <c r="K312" s="207">
        <f>RANK(I312,$I$76:$I$977)</f>
        <v>237</v>
      </c>
      <c r="L312" s="208" t="e">
        <f>RANK(I312,$I$867:$I$977)</f>
        <v>#N/A</v>
      </c>
      <c r="M312" s="173">
        <f>SUM(N312:R312)*(1+$D$22/100)</f>
        <v>19178.172788764925</v>
      </c>
      <c r="N312" s="174">
        <f>T312*(1+((AG312+IF(F312="백어택",8,0))/100)*(AI312/100-1))</f>
        <v>11519.700678348516</v>
      </c>
      <c r="O312" s="174">
        <f>U312*(1+($D$57/100)*(AI312/100-1))</f>
        <v>5759.8503391742579</v>
      </c>
      <c r="P312" s="174"/>
      <c r="Q312" s="174"/>
      <c r="R312" s="175">
        <f>X312*(1+($D$57/100)*(AI312/100-1))</f>
        <v>0</v>
      </c>
      <c r="S312" s="173">
        <f>SUM(T312:X312)</f>
        <v>14520.472480151708</v>
      </c>
      <c r="T312" s="174">
        <f>AL312*AU312*AW312</f>
        <v>9680.3149867678057</v>
      </c>
      <c r="U312" s="174">
        <f>AL312*AU312*AW312*AX312</f>
        <v>4840.1574933839029</v>
      </c>
      <c r="V312" s="174"/>
      <c r="W312" s="174"/>
      <c r="X312" s="175">
        <f>AL312*AY312</f>
        <v>0</v>
      </c>
      <c r="Y312" s="173">
        <f>SUM(Z312:AD312)</f>
        <v>29040.944960303415</v>
      </c>
      <c r="Z312" s="174">
        <f>T312*$D$58/100</f>
        <v>19360.629973535611</v>
      </c>
      <c r="AA312" s="174">
        <f>U312*$D$58/100</f>
        <v>9680.3149867678057</v>
      </c>
      <c r="AB312" s="174"/>
      <c r="AC312" s="174"/>
      <c r="AD312" s="175">
        <f>X312*$D$58/100</f>
        <v>0</v>
      </c>
      <c r="AE312" s="173">
        <f>AO312*(1-$D$17/100)</f>
        <v>23.942831999999999</v>
      </c>
      <c r="AF312" s="174">
        <f>AP312</f>
        <v>36</v>
      </c>
      <c r="AG312" s="174">
        <f>IF($D$57+AV312&gt;100,100,$D$57+AV312)</f>
        <v>19.001300000000001</v>
      </c>
      <c r="AH312" s="174">
        <f>AQ312</f>
        <v>521</v>
      </c>
      <c r="AI312" s="174">
        <f>$D$58</f>
        <v>200</v>
      </c>
      <c r="AJ312" s="174">
        <f>10/7</f>
        <v>1.4285714285714286</v>
      </c>
      <c r="AK312" s="174">
        <f>SUM(AL312:AN312)</f>
        <v>6914.5107048341479</v>
      </c>
      <c r="AL312" s="174">
        <f>(VLOOKUP(C312,$B$36:$AG$39,16,FALSE)+VLOOKUP(C312,$B$40:$AG$43,16,FALSE)*$D$54)*$D$59/100</f>
        <v>6914.5107048341479</v>
      </c>
      <c r="AM312" s="174"/>
      <c r="AN312" s="174"/>
      <c r="AO312" s="176">
        <v>24</v>
      </c>
      <c r="AP312" s="174">
        <v>36</v>
      </c>
      <c r="AQ312" s="175">
        <f>VLOOKUP(C312,$B$45:$AA$48,16,FALSE)</f>
        <v>521</v>
      </c>
      <c r="AR312" s="31">
        <f>IF(LEFT(E312,1)*1=1,$S$62,$R$62)</f>
        <v>0</v>
      </c>
      <c r="AS312" s="2">
        <f>IF(LEFT(E312,1)*1=2,$U$62,$T$62)</f>
        <v>0</v>
      </c>
      <c r="AT312" s="33">
        <f>IF(LEFT(E312,1)*1=3,$W$62,$V$62)</f>
        <v>0</v>
      </c>
      <c r="AU312" s="31">
        <f>IF(MID(E312,3,1)*1=1,$Y$62,$X$62)</f>
        <v>1</v>
      </c>
      <c r="AV312" s="2">
        <f>IF(MID(E312,3,1)*1=2,$AA$62,$Z$62)</f>
        <v>0</v>
      </c>
      <c r="AW312" s="33">
        <f>IF(MID(E312,3,1)*1=3,$AC$62,$AB$62)</f>
        <v>1.4</v>
      </c>
      <c r="AX312" s="31">
        <f>IF(MID(E312,5,1)*1=1,$AE$62,$AD$62)</f>
        <v>0.5</v>
      </c>
      <c r="AY312" s="33">
        <f>IF(MID(E312,5,1)*1=2,$AG$62,$AF$62)</f>
        <v>0</v>
      </c>
      <c r="AZ312" s="2"/>
      <c r="BA312" s="101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</row>
    <row r="313" spans="1:71" ht="12" customHeight="1">
      <c r="A313" s="2"/>
      <c r="B313" s="107">
        <v>424</v>
      </c>
      <c r="C313" s="31">
        <v>10</v>
      </c>
      <c r="D313" s="111" t="s">
        <v>8</v>
      </c>
      <c r="E313" s="2" t="s">
        <v>92</v>
      </c>
      <c r="F313" s="2" t="s">
        <v>149</v>
      </c>
      <c r="G313" s="2"/>
      <c r="H313" s="33" t="s">
        <v>81</v>
      </c>
      <c r="I313" s="173">
        <f>M313/AE313</f>
        <v>798.42453484746011</v>
      </c>
      <c r="J313" s="174">
        <f>AH313/AE313</f>
        <v>28.185356224514496</v>
      </c>
      <c r="K313" s="207">
        <f>RANK(I313,$I$76:$I$977)</f>
        <v>238</v>
      </c>
      <c r="L313" s="208" t="e">
        <f>RANK(I313,$I$451:$I$866)</f>
        <v>#N/A</v>
      </c>
      <c r="M313" s="173">
        <f>SUM(N313:R313)</f>
        <v>14758.698784644937</v>
      </c>
      <c r="N313" s="174">
        <f>T313*(1+((AG313+IF(F313="백어택",8,0))/100)*(IF(AY313=1,$D$58,$D$58+50)/100-1))</f>
        <v>6483.750225265806</v>
      </c>
      <c r="O313" s="174">
        <f>U313*(1+((AG313+IF(F313="백어택",8,0))/100)*(AI313/100-1))</f>
        <v>8274.9485593791323</v>
      </c>
      <c r="P313" s="174">
        <f>V313*(1+((AG313+IF(F313="백어택",8,0))/100)*(AI313/100-1))</f>
        <v>0</v>
      </c>
      <c r="Q313" s="174"/>
      <c r="R313" s="175"/>
      <c r="S313" s="173">
        <f>SUM(T313:X313)</f>
        <v>10504.26615761912</v>
      </c>
      <c r="T313" s="174">
        <f>AL313*IF(H313="근접",AR313,1)*AY313*IF(F313="백어택",1.2,1)</f>
        <v>4614.7047961012686</v>
      </c>
      <c r="U313" s="174">
        <f>AM313*IF(H313="근접",AR313,1)*AY313*IF(F313="백어택",1.2,1)</f>
        <v>5889.5613615178527</v>
      </c>
      <c r="V313" s="174">
        <f>IF(AX313=1,0,AM313*IF(H313="근접",AR313,1)*AY313)*IF(F313="백어택",1.2,1)</f>
        <v>0</v>
      </c>
      <c r="W313" s="174"/>
      <c r="X313" s="175"/>
      <c r="Y313" s="173">
        <f>SUM(Z313:AD313)</f>
        <v>26260.665394047806</v>
      </c>
      <c r="Z313" s="174">
        <f>T313*IF(AY313=1,$D$58,$D$58+50)/100</f>
        <v>11536.761990253171</v>
      </c>
      <c r="AA313" s="174">
        <f>U313*AI313/100</f>
        <v>14723.903403794633</v>
      </c>
      <c r="AB313" s="174">
        <f>V313*AI313/100</f>
        <v>0</v>
      </c>
      <c r="AC313" s="174"/>
      <c r="AD313" s="175"/>
      <c r="AE313" s="173">
        <f>AO313*(1-$D$20/100)*(1-$D$17/100)</f>
        <v>18.484776131615998</v>
      </c>
      <c r="AF313" s="174">
        <f>AP313</f>
        <v>36</v>
      </c>
      <c r="AG313" s="174">
        <f>IF($D$57+AU313&gt;100,100,$D$57+AU313)</f>
        <v>19.001300000000001</v>
      </c>
      <c r="AH313" s="174">
        <f>IF(AX313=1,AQ313,AQ313*1.4)</f>
        <v>521</v>
      </c>
      <c r="AI313" s="174">
        <f>IF(AY313=1,$D$58,$D$58+50)*AW313</f>
        <v>250</v>
      </c>
      <c r="AJ313" s="174">
        <f>10/6/AX313</f>
        <v>1.6666666666666667</v>
      </c>
      <c r="AK313" s="174">
        <f>SUM(AL313:AN313)</f>
        <v>7294.6292761243903</v>
      </c>
      <c r="AL313" s="174">
        <f>(IF(H313="근접",$D$61*(VLOOKUP(C313,$B$36:$AG$39,9,FALSE)+VLOOKUP(C313,$B$40:$AG$43,9,FALSE)*$D$54),$D$60*(VLOOKUP(C313,$B$36:$AG$39,9,FALSE)+VLOOKUP(C313,$B$40:$AG$43,9,FALSE)*$D$54)))*$D$59/100</f>
        <v>3204.6561084036589</v>
      </c>
      <c r="AM313" s="174">
        <f>(IF(H313="근접",$D$61*(VLOOKUP(C313,$B$36:$AG$39,10,FALSE)+VLOOKUP(C313,$B$40:$AG$43,10,FALSE)*$D$54),$D$60*(VLOOKUP(C313,$B$36:$AG$39,10,FALSE)+VLOOKUP(C313,$B$40:$AG$43,10,FALSE)*$D$54)))*$D$59/100</f>
        <v>4089.9731677207315</v>
      </c>
      <c r="AN313" s="174"/>
      <c r="AO313" s="176">
        <v>24</v>
      </c>
      <c r="AP313" s="174">
        <v>36</v>
      </c>
      <c r="AQ313" s="175">
        <f>VLOOKUP(C313,$B$45:$AA$48,9,FALSE)</f>
        <v>521</v>
      </c>
      <c r="AR313" s="31">
        <f>IF(LEFT(E313,1)*1=1,$S$58,$R$58)</f>
        <v>1</v>
      </c>
      <c r="AS313" s="2">
        <f>IF(LEFT(E313,1)*1=2,$U$58,$T$58)</f>
        <v>0</v>
      </c>
      <c r="AT313" s="33">
        <f>IF(LEFT(E313,1)*1=3,$W$58,$V$58)</f>
        <v>0</v>
      </c>
      <c r="AU313" s="31">
        <f>IF(MID(E313,3,1)*1=1,$Y$58,$X$58)</f>
        <v>0</v>
      </c>
      <c r="AV313" s="2">
        <f>IF(MID(E313,3,1)*1=2,$AA$58,$Z$58)</f>
        <v>0</v>
      </c>
      <c r="AW313" s="33">
        <f>IF(MID(E313,3,1)*1=3,$AC$58,$AB$58)</f>
        <v>1</v>
      </c>
      <c r="AX313" s="31">
        <f>IF(MID(E313,5,1)*1=1,$AE$58,$AD$58)</f>
        <v>1</v>
      </c>
      <c r="AY313" s="33">
        <f>IF(MID(E313,5,1)*1=2,$AG$58,$AF$58)</f>
        <v>1.2</v>
      </c>
      <c r="AZ313" s="2"/>
      <c r="BA313" s="101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</row>
    <row r="314" spans="1:71" ht="12" hidden="1" customHeight="1">
      <c r="A314" s="2"/>
      <c r="B314" s="107">
        <v>193</v>
      </c>
      <c r="C314" s="31">
        <v>10</v>
      </c>
      <c r="D314" s="106" t="s">
        <v>10</v>
      </c>
      <c r="E314" s="2" t="s">
        <v>161</v>
      </c>
      <c r="F314" s="2"/>
      <c r="G314" s="2" t="s">
        <v>185</v>
      </c>
      <c r="H314" s="33"/>
      <c r="I314" s="173">
        <f>M314/AE314</f>
        <v>790.47997271373163</v>
      </c>
      <c r="J314" s="174">
        <f>AH314/AE314</f>
        <v>25.811482952392598</v>
      </c>
      <c r="K314" s="207">
        <f>RANK(I314,$I$76:$I$977)</f>
        <v>239</v>
      </c>
      <c r="L314" s="208">
        <f>RANK(I314,$I$76:$I$450)</f>
        <v>239</v>
      </c>
      <c r="M314" s="173">
        <f>SUM(N314:R314)</f>
        <v>12617.552790699639</v>
      </c>
      <c r="N314" s="174">
        <f>T314*(1+((AG314+IF(F314="백어택",8,0))/100)*((AI314/100-1)))</f>
        <v>12617.552790699639</v>
      </c>
      <c r="O314" s="174"/>
      <c r="P314" s="174"/>
      <c r="Q314" s="174"/>
      <c r="R314" s="175"/>
      <c r="S314" s="173">
        <f>SUM(T314:X314)</f>
        <v>9555.9834894464402</v>
      </c>
      <c r="T314" s="174">
        <f>AL314*AS314*AU314*AX314*IF(AY314=0,1,0.5)*IF(F314="백어택",1.2,1)</f>
        <v>9555.9834894464402</v>
      </c>
      <c r="U314" s="174"/>
      <c r="V314" s="174"/>
      <c r="W314" s="174"/>
      <c r="X314" s="175"/>
      <c r="Y314" s="173">
        <f>SUM(Z314:AD314)</f>
        <v>25668.403698869995</v>
      </c>
      <c r="Z314" s="174">
        <f>T314*AI314/100</f>
        <v>25668.403698869995</v>
      </c>
      <c r="AA314" s="174"/>
      <c r="AB314" s="174"/>
      <c r="AC314" s="174"/>
      <c r="AD314" s="175"/>
      <c r="AE314" s="173">
        <f>AO314*(1-$D$17/100)</f>
        <v>15.961888</v>
      </c>
      <c r="AF314" s="174">
        <f>AP314</f>
        <v>36</v>
      </c>
      <c r="AG314" s="174">
        <f>IF($D$57+AV314&gt;100,100,$D$57+AV314)</f>
        <v>19.001300000000001</v>
      </c>
      <c r="AH314" s="174">
        <f>AQ314</f>
        <v>412</v>
      </c>
      <c r="AI314" s="174">
        <f>$D$58+$D$19</f>
        <v>268.61079999999998</v>
      </c>
      <c r="AJ314" s="174">
        <f>10*AR314/(7-IF(AX314=1,0,3))</f>
        <v>1.4285714285714286</v>
      </c>
      <c r="AK314" s="174">
        <f>SUM(AL314:AN314)</f>
        <v>8098.2910927512203</v>
      </c>
      <c r="AL314" s="174">
        <f>(VLOOKUP(C314,$B$36:$AG$39,13,FALSE)+VLOOKUP(C314,$B$40:$AG$43,13,FALSE)*$D$54)*$D$59/100</f>
        <v>8098.2910927512203</v>
      </c>
      <c r="AM314" s="174"/>
      <c r="AN314" s="174"/>
      <c r="AO314" s="176">
        <v>16</v>
      </c>
      <c r="AP314" s="174">
        <v>36</v>
      </c>
      <c r="AQ314" s="175">
        <f>VLOOKUP(C314,$B$45:$AA$48,13,FALSE)</f>
        <v>412</v>
      </c>
      <c r="AR314" s="31">
        <f>IF(LEFT(E314,1)*1=1,$S$60,$R$60)</f>
        <v>1</v>
      </c>
      <c r="AS314" s="2">
        <f>IF(LEFT(E314,1)*1=2,$U$60,$T$60)</f>
        <v>1.18</v>
      </c>
      <c r="AT314" s="33">
        <f>IF(LEFT(E314,1)*1=3,$W$60,$V$60)</f>
        <v>0</v>
      </c>
      <c r="AU314" s="31">
        <f>IF(MID(E314,3,1)*1=1,$Y$60,$X$60)</f>
        <v>1</v>
      </c>
      <c r="AV314" s="2">
        <f>IF(MID(E314,3,1)*1=2,$AA$60,$Z$60)</f>
        <v>0</v>
      </c>
      <c r="AW314" s="33">
        <f>IF(MID(E314,3,1)*1=3,$AC$60,$AB$60)</f>
        <v>0</v>
      </c>
      <c r="AX314" s="31">
        <f>IF(MID(E314,5,1)*1=1,$AE$60,$AD$60)</f>
        <v>1</v>
      </c>
      <c r="AY314" s="33">
        <f>IF(MID(E314,5,1)*1=2,$AG$60,$AF$60)</f>
        <v>0</v>
      </c>
      <c r="AZ314" s="2"/>
      <c r="BA314" s="101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</row>
    <row r="315" spans="1:71" ht="12" customHeight="1">
      <c r="A315" s="2"/>
      <c r="B315" s="107">
        <v>853</v>
      </c>
      <c r="C315" s="31">
        <v>10</v>
      </c>
      <c r="D315" s="113" t="s">
        <v>15</v>
      </c>
      <c r="E315" s="2" t="s">
        <v>135</v>
      </c>
      <c r="F315" s="2"/>
      <c r="G315" s="2"/>
      <c r="H315" s="33">
        <f>IF(AX315=AT315,3,4)</f>
        <v>4</v>
      </c>
      <c r="I315" s="173">
        <f>M315/AE315</f>
        <v>787.29564060429277</v>
      </c>
      <c r="J315" s="174">
        <f>AH315/AE315</f>
        <v>19.780450366105395</v>
      </c>
      <c r="K315" s="207">
        <f>RANK(I315,$I$76:$I$977)</f>
        <v>240</v>
      </c>
      <c r="L315" s="208" t="e">
        <f>RANK(I315,$I$867:$I$977)</f>
        <v>#N/A</v>
      </c>
      <c r="M315" s="173">
        <f>SUM(N315:R315)*(1+$D$22/100)</f>
        <v>23562.609071651201</v>
      </c>
      <c r="N315" s="174">
        <f>T315*(1+((AG315+IF(F315="백어택",8,0))/100)*(AI315/100-1))</f>
        <v>3493.5331256776276</v>
      </c>
      <c r="O315" s="174">
        <f>U315*(1+(AG315/100)*(AI315/100-1))</f>
        <v>3493.5331256776276</v>
      </c>
      <c r="P315" s="174">
        <f>V315*(1+(AG315/100)*(AI315/100-1))</f>
        <v>3493.5331256776276</v>
      </c>
      <c r="Q315" s="174">
        <f>W315*(1+(AG315/100)*(AI315/100-1))</f>
        <v>2687.3331735981751</v>
      </c>
      <c r="R315" s="175">
        <f>X315*(1+(AG315/100)*(AI315/100-1))</f>
        <v>8061.9995207945258</v>
      </c>
      <c r="S315" s="173">
        <f>SUM(T315:X315)</f>
        <v>17840.084159942438</v>
      </c>
      <c r="T315" s="174">
        <f>AL315*AS315*AY315</f>
        <v>2935.7100516360979</v>
      </c>
      <c r="U315" s="174">
        <f>AL315*AS315*AY315</f>
        <v>2935.7100516360979</v>
      </c>
      <c r="V315" s="174">
        <f>AL315*AS315*AY315</f>
        <v>2935.7100516360979</v>
      </c>
      <c r="W315" s="174">
        <f>IF(H315=4,AL315*AS315*IF(AT315=0,AY315,1),0)</f>
        <v>2258.2385012585369</v>
      </c>
      <c r="X315" s="175">
        <f>AL315*IF(H315=3,11,IF(AT315=1,15,13))*IF(AW315=1,0,AW315)</f>
        <v>6774.7155037756111</v>
      </c>
      <c r="Y315" s="173">
        <f>SUM(Z315:AD315)</f>
        <v>35680.168319884877</v>
      </c>
      <c r="Z315" s="174">
        <f>T315*AI315/100</f>
        <v>5871.4201032721958</v>
      </c>
      <c r="AA315" s="174">
        <f>U315*AI315/100</f>
        <v>5871.4201032721958</v>
      </c>
      <c r="AB315" s="174">
        <f>V315*AI315/100</f>
        <v>5871.4201032721958</v>
      </c>
      <c r="AC315" s="174">
        <f>W315*AI315/100</f>
        <v>4516.4770025170737</v>
      </c>
      <c r="AD315" s="175">
        <f>X315*AI315/100</f>
        <v>13549.431007551222</v>
      </c>
      <c r="AE315" s="173">
        <f>AO315*(1-$D$17/100)</f>
        <v>29.928540000000002</v>
      </c>
      <c r="AF315" s="174">
        <f>AP315</f>
        <v>36</v>
      </c>
      <c r="AG315" s="174">
        <f>IF($D$57+AX315&gt;100,100,$D$57+AX315)</f>
        <v>19.001300000000001</v>
      </c>
      <c r="AH315" s="174">
        <f>AQ315</f>
        <v>592</v>
      </c>
      <c r="AI315" s="174">
        <f>$D$58</f>
        <v>200</v>
      </c>
      <c r="AJ315" s="174">
        <f>10*AU315/IF(AT315=1,2.5,(IF(AY315=1,3,2.5)))</f>
        <v>4</v>
      </c>
      <c r="AK315" s="174">
        <f>SUM(AL315:AN315)</f>
        <v>2258.2385012585369</v>
      </c>
      <c r="AL315" s="174">
        <f>((VLOOKUP(C315,$B$36:$AG$39,22,FALSE)+VLOOKUP(C315,$B$40:$AG$43,22,FALSE)*$D$54))*$D$59/100</f>
        <v>2258.2385012585369</v>
      </c>
      <c r="AM315" s="174"/>
      <c r="AN315" s="174"/>
      <c r="AO315" s="176">
        <v>30</v>
      </c>
      <c r="AP315" s="174">
        <v>36</v>
      </c>
      <c r="AQ315" s="175">
        <f>VLOOKUP(C315,$B$45:$AA$48,22,FALSE)</f>
        <v>592</v>
      </c>
      <c r="AR315" s="31">
        <f>IF(LEFT(E315,1)*1=1,$S$65,$R$65)</f>
        <v>0</v>
      </c>
      <c r="AS315" s="2">
        <f>IF(LEFT(E315,1)*1=2,$U$65,$T$65)</f>
        <v>1</v>
      </c>
      <c r="AT315" s="74">
        <f>IF(LEFT(E315,1)*1=3,$W$65,$V$65)</f>
        <v>1</v>
      </c>
      <c r="AU315" s="31">
        <f>IF(MID(E315,3,1)*1=1,$Y$65,$X$65)</f>
        <v>1</v>
      </c>
      <c r="AV315" s="2">
        <f>IF(MID(E315,3,1)*1=2,$AA$65,$Z$65)</f>
        <v>0</v>
      </c>
      <c r="AW315" s="33">
        <f>IF(MID(E315,3,1)*1=3,$AC$65,$AB$65)</f>
        <v>0.2</v>
      </c>
      <c r="AX315" s="31">
        <f>IF(MID(E315,5,1)*1=1,$AE$65,$AD$65)</f>
        <v>0</v>
      </c>
      <c r="AY315" s="33">
        <f>IF(MID(E315,5,1)*1=2,$AG$65,$AF$65)</f>
        <v>1.3</v>
      </c>
      <c r="AZ315" s="2"/>
      <c r="BA315" s="101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</row>
    <row r="316" spans="1:71" ht="12" customHeight="1">
      <c r="A316" s="2"/>
      <c r="B316" s="107">
        <v>183</v>
      </c>
      <c r="C316" s="31">
        <v>4</v>
      </c>
      <c r="D316" s="106" t="s">
        <v>10</v>
      </c>
      <c r="E316" s="2" t="s">
        <v>67</v>
      </c>
      <c r="F316" s="2" t="s">
        <v>149</v>
      </c>
      <c r="G316" s="2"/>
      <c r="H316" s="33"/>
      <c r="I316" s="173">
        <f>M316/AE316</f>
        <v>786.11181009395807</v>
      </c>
      <c r="J316" s="174">
        <f>AH316/AE316</f>
        <v>9.8985784137816282</v>
      </c>
      <c r="K316" s="207">
        <f>RANK(I316,$I$76:$I$977)</f>
        <v>241</v>
      </c>
      <c r="L316" s="208">
        <f>RANK(I316,$I$76:$I$450)</f>
        <v>241</v>
      </c>
      <c r="M316" s="173">
        <f>SUM(N316:R316)</f>
        <v>12547.828668197028</v>
      </c>
      <c r="N316" s="174">
        <f>T316*(1+((AG316+IF(F316="백어택",8,0))/100)*((AI316/100-1)))</f>
        <v>12547.828668197028</v>
      </c>
      <c r="O316" s="174"/>
      <c r="P316" s="174"/>
      <c r="Q316" s="174"/>
      <c r="R316" s="175"/>
      <c r="S316" s="173">
        <f>SUM(T316:X316)</f>
        <v>8622.3308123019506</v>
      </c>
      <c r="T316" s="174">
        <f>AL316*AS316*AU316*AX316*IF(AY316=0,1,0.5)*IF(F316="백어택",1.2,1)</f>
        <v>8622.3308123019506</v>
      </c>
      <c r="U316" s="174"/>
      <c r="V316" s="174"/>
      <c r="W316" s="174"/>
      <c r="X316" s="175"/>
      <c r="Y316" s="173">
        <f>SUM(Z316:AD316)</f>
        <v>23160.511773570768</v>
      </c>
      <c r="Z316" s="174">
        <f>T316*AI316/100</f>
        <v>23160.511773570768</v>
      </c>
      <c r="AA316" s="174"/>
      <c r="AB316" s="174"/>
      <c r="AC316" s="174"/>
      <c r="AD316" s="175"/>
      <c r="AE316" s="173">
        <f>AO316*(1-$D$17/100)</f>
        <v>15.961888</v>
      </c>
      <c r="AF316" s="174">
        <f>AP316</f>
        <v>36</v>
      </c>
      <c r="AG316" s="174">
        <f>IF($D$57+AV316&gt;100,100,$D$57+AV316)</f>
        <v>19.001300000000001</v>
      </c>
      <c r="AH316" s="174">
        <f>AQ316</f>
        <v>158</v>
      </c>
      <c r="AI316" s="174">
        <f>$D$58+$D$19</f>
        <v>268.61079999999998</v>
      </c>
      <c r="AJ316" s="174">
        <f>10*AR316/(7-IF(AX316=1,0,3))</f>
        <v>1.4285714285714286</v>
      </c>
      <c r="AK316" s="174">
        <f>SUM(AL316:AN316)</f>
        <v>7185.2756769182924</v>
      </c>
      <c r="AL316" s="174">
        <f>(VLOOKUP(C316,$B$36:$AG$39,13,FALSE)+VLOOKUP(C316,$B$40:$AG$43,13,FALSE)*$D$54)*$D$59/100</f>
        <v>7185.2756769182924</v>
      </c>
      <c r="AM316" s="174"/>
      <c r="AN316" s="174"/>
      <c r="AO316" s="176">
        <v>16</v>
      </c>
      <c r="AP316" s="174">
        <v>36</v>
      </c>
      <c r="AQ316" s="175">
        <f>VLOOKUP(C316,$B$45:$AA$48,13,FALSE)</f>
        <v>158</v>
      </c>
      <c r="AR316" s="31">
        <f>IF(LEFT(E316,1)*1=1,$S$60,$R$60)</f>
        <v>1</v>
      </c>
      <c r="AS316" s="2">
        <f>IF(LEFT(E316,1)*1=2,$U$60,$T$60)</f>
        <v>1</v>
      </c>
      <c r="AT316" s="33">
        <f>IF(LEFT(E316,1)*1=3,$W$60,$V$60)</f>
        <v>0</v>
      </c>
      <c r="AU316" s="31">
        <f>IF(MID(E316,3,1)*1=1,$Y$60,$X$60)</f>
        <v>1</v>
      </c>
      <c r="AV316" s="2">
        <f>IF(MID(E316,3,1)*1=2,$AA$60,$Z$60)</f>
        <v>0</v>
      </c>
      <c r="AW316" s="33">
        <f>IF(MID(E316,3,1)*1=3,$AC$60,$AB$60)</f>
        <v>0</v>
      </c>
      <c r="AX316" s="31">
        <f>IF(MID(E316,5,1)*1=1,$AE$60,$AD$60)</f>
        <v>1</v>
      </c>
      <c r="AY316" s="33">
        <f>IF(MID(E316,5,1)*1=2,$AG$60,$AF$60)</f>
        <v>0</v>
      </c>
      <c r="AZ316" s="2"/>
      <c r="BA316" s="101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</row>
    <row r="317" spans="1:71" ht="12" customHeight="1">
      <c r="A317" s="2"/>
      <c r="B317" s="107">
        <v>184</v>
      </c>
      <c r="C317" s="31">
        <v>4</v>
      </c>
      <c r="D317" s="106" t="s">
        <v>10</v>
      </c>
      <c r="E317" s="2" t="s">
        <v>148</v>
      </c>
      <c r="F317" s="2" t="s">
        <v>149</v>
      </c>
      <c r="G317" s="2"/>
      <c r="H317" s="33"/>
      <c r="I317" s="173">
        <f>M317/AE317</f>
        <v>786.11181009395807</v>
      </c>
      <c r="J317" s="174">
        <f>AH317/AE317</f>
        <v>9.8985784137816282</v>
      </c>
      <c r="K317" s="207">
        <f>RANK(I317,$I$76:$I$977)</f>
        <v>241</v>
      </c>
      <c r="L317" s="208">
        <f>RANK(I317,$I$76:$I$450)</f>
        <v>241</v>
      </c>
      <c r="M317" s="173">
        <f>SUM(N317:R317)</f>
        <v>12547.828668197028</v>
      </c>
      <c r="N317" s="174">
        <f>T317*(1+((AG317+IF(F317="백어택",8,0))/100)*((AI317/100-1)))</f>
        <v>12547.828668197028</v>
      </c>
      <c r="O317" s="174"/>
      <c r="P317" s="174"/>
      <c r="Q317" s="174"/>
      <c r="R317" s="175"/>
      <c r="S317" s="173">
        <f>SUM(T317:X317)</f>
        <v>8622.3308123019506</v>
      </c>
      <c r="T317" s="174">
        <f>AL317*AS317*AU317*AX317*IF(AY317=0,1,0.5)*IF(F317="백어택",1.2,1)</f>
        <v>8622.3308123019506</v>
      </c>
      <c r="U317" s="174"/>
      <c r="V317" s="174"/>
      <c r="W317" s="174"/>
      <c r="X317" s="175"/>
      <c r="Y317" s="173">
        <f>SUM(Z317:AD317)</f>
        <v>23160.511773570768</v>
      </c>
      <c r="Z317" s="174">
        <f>T317*AI317/100</f>
        <v>23160.511773570768</v>
      </c>
      <c r="AA317" s="174"/>
      <c r="AB317" s="174"/>
      <c r="AC317" s="174"/>
      <c r="AD317" s="175"/>
      <c r="AE317" s="173">
        <f>AO317*(1-$D$17/100)</f>
        <v>15.961888</v>
      </c>
      <c r="AF317" s="174">
        <f>AP317</f>
        <v>36</v>
      </c>
      <c r="AG317" s="174">
        <f>IF($D$57+AV317&gt;100,100,$D$57+AV317)</f>
        <v>19.001300000000001</v>
      </c>
      <c r="AH317" s="174">
        <f>AQ317</f>
        <v>158</v>
      </c>
      <c r="AI317" s="174">
        <f>$D$58+$D$19</f>
        <v>268.61079999999998</v>
      </c>
      <c r="AJ317" s="174">
        <f>10*AR317/(7-IF(AX317=1,0,3))</f>
        <v>1.2142857142857142</v>
      </c>
      <c r="AK317" s="174">
        <f>SUM(AL317:AN317)</f>
        <v>7185.2756769182924</v>
      </c>
      <c r="AL317" s="174">
        <f>(VLOOKUP(C317,$B$36:$AG$39,13,FALSE)+VLOOKUP(C317,$B$40:$AG$43,13,FALSE)*$D$54)*$D$59/100</f>
        <v>7185.2756769182924</v>
      </c>
      <c r="AM317" s="174"/>
      <c r="AN317" s="174"/>
      <c r="AO317" s="176">
        <v>16</v>
      </c>
      <c r="AP317" s="174">
        <v>36</v>
      </c>
      <c r="AQ317" s="175">
        <f>VLOOKUP(C317,$B$45:$AA$48,13,FALSE)</f>
        <v>158</v>
      </c>
      <c r="AR317" s="31">
        <f>IF(LEFT(E317,1)*1=1,$S$60,$R$60)</f>
        <v>0.85</v>
      </c>
      <c r="AS317" s="2">
        <f>IF(LEFT(E317,1)*1=2,$U$60,$T$60)</f>
        <v>1</v>
      </c>
      <c r="AT317" s="33">
        <f>IF(LEFT(E317,1)*1=3,$W$60,$V$60)</f>
        <v>0</v>
      </c>
      <c r="AU317" s="31">
        <f>IF(MID(E317,3,1)*1=1,$Y$60,$X$60)</f>
        <v>1</v>
      </c>
      <c r="AV317" s="2">
        <f>IF(MID(E317,3,1)*1=2,$AA$60,$Z$60)</f>
        <v>0</v>
      </c>
      <c r="AW317" s="33">
        <f>IF(MID(E317,3,1)*1=3,$AC$60,$AB$60)</f>
        <v>0</v>
      </c>
      <c r="AX317" s="31">
        <f>IF(MID(E317,5,1)*1=1,$AE$60,$AD$60)</f>
        <v>1</v>
      </c>
      <c r="AY317" s="33">
        <f>IF(MID(E317,5,1)*1=2,$AG$60,$AF$60)</f>
        <v>0</v>
      </c>
      <c r="AZ317" s="2"/>
      <c r="BA317" s="101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</row>
    <row r="318" spans="1:71" ht="12" customHeight="1">
      <c r="A318" s="2"/>
      <c r="B318" s="107">
        <v>383</v>
      </c>
      <c r="C318" s="31">
        <v>10</v>
      </c>
      <c r="D318" s="111" t="s">
        <v>8</v>
      </c>
      <c r="E318" s="2" t="s">
        <v>139</v>
      </c>
      <c r="F318" s="2"/>
      <c r="G318" s="2"/>
      <c r="H318" s="33" t="s">
        <v>81</v>
      </c>
      <c r="I318" s="173">
        <f>M318/AE318</f>
        <v>786.11026224500415</v>
      </c>
      <c r="J318" s="174">
        <f>AH318/AE318</f>
        <v>28.185356224514496</v>
      </c>
      <c r="K318" s="207">
        <f>RANK(I318,$I$76:$I$977)</f>
        <v>243</v>
      </c>
      <c r="L318" s="208" t="e">
        <f>RANK(I318,$I$451:$I$866)</f>
        <v>#N/A</v>
      </c>
      <c r="M318" s="173">
        <f>SUM(N318:R318)</f>
        <v>14531.072212364847</v>
      </c>
      <c r="N318" s="174">
        <f>T318*(1+((AG318+IF(F318="백어택",8,0))/100)*(IF(AY318=1,$D$58,$D$58+50)/100-1))</f>
        <v>6383.7499568930252</v>
      </c>
      <c r="O318" s="174">
        <f>U318*(1+((AG318+IF(F318="백어택",8,0))/100)*(AI318/100-1))</f>
        <v>8147.3222554718213</v>
      </c>
      <c r="P318" s="174">
        <f>V318*(1+((AG318+IF(F318="백어택",8,0))/100)*(AI318/100-1))</f>
        <v>0</v>
      </c>
      <c r="Q318" s="174"/>
      <c r="R318" s="175"/>
      <c r="S318" s="173">
        <f>SUM(T318:X318)</f>
        <v>8753.5551313492688</v>
      </c>
      <c r="T318" s="174">
        <f>AL318*IF(H318="근접",AR318,1)*AY318*IF(F318="백어택",1.2,1)</f>
        <v>3845.5873300843905</v>
      </c>
      <c r="U318" s="174">
        <f>AM318*IF(H318="근접",AR318,1)*AY318*IF(F318="백어택",1.2,1)</f>
        <v>4907.9678012648774</v>
      </c>
      <c r="V318" s="174">
        <f>IF(AX318=1,0,AM318*IF(H318="근접",AR318,1)*AY318)*IF(F318="백어택",1.2,1)</f>
        <v>0</v>
      </c>
      <c r="W318" s="174"/>
      <c r="X318" s="175"/>
      <c r="Y318" s="173">
        <f>SUM(Z318:AD318)</f>
        <v>21883.887828373168</v>
      </c>
      <c r="Z318" s="174">
        <f>T318*IF(AY318=1,$D$58,$D$58+50)/100</f>
        <v>9613.9683252109753</v>
      </c>
      <c r="AA318" s="174">
        <f>U318*AI318/100</f>
        <v>12269.919503162193</v>
      </c>
      <c r="AB318" s="174">
        <f>V318*AI318/100</f>
        <v>0</v>
      </c>
      <c r="AC318" s="174"/>
      <c r="AD318" s="175"/>
      <c r="AE318" s="173">
        <f>AO318*(1-$D$20/100)*(1-$D$17/100)</f>
        <v>18.484776131615998</v>
      </c>
      <c r="AF318" s="174">
        <f>AP318</f>
        <v>36</v>
      </c>
      <c r="AG318" s="174">
        <f>IF($D$57+AU318&gt;100,100,$D$57+AU318)</f>
        <v>44.001300000000001</v>
      </c>
      <c r="AH318" s="174">
        <f>IF(AX318=1,AQ318,AQ318*1.4)</f>
        <v>521</v>
      </c>
      <c r="AI318" s="174">
        <f>IF(AY318=1,$D$58,$D$58+50)*AW318</f>
        <v>250</v>
      </c>
      <c r="AJ318" s="174">
        <f>10/6/AX318</f>
        <v>1.6666666666666667</v>
      </c>
      <c r="AK318" s="174">
        <f>SUM(AL318:AN318)</f>
        <v>7294.6292761243903</v>
      </c>
      <c r="AL318" s="174">
        <f>(IF(H318="근접",$D$61*(VLOOKUP(C318,$B$36:$AG$39,9,FALSE)+VLOOKUP(C318,$B$40:$AG$43,9,FALSE)*$D$54),$D$60*(VLOOKUP(C318,$B$36:$AG$39,9,FALSE)+VLOOKUP(C318,$B$40:$AG$43,9,FALSE)*$D$54)))*$D$59/100</f>
        <v>3204.6561084036589</v>
      </c>
      <c r="AM318" s="174">
        <f>(IF(H318="근접",$D$61*(VLOOKUP(C318,$B$36:$AG$39,10,FALSE)+VLOOKUP(C318,$B$40:$AG$43,10,FALSE)*$D$54),$D$60*(VLOOKUP(C318,$B$36:$AG$39,10,FALSE)+VLOOKUP(C318,$B$40:$AG$43,10,FALSE)*$D$54)))*$D$59/100</f>
        <v>4089.9731677207315</v>
      </c>
      <c r="AN318" s="174"/>
      <c r="AO318" s="176">
        <v>24</v>
      </c>
      <c r="AP318" s="174">
        <v>36</v>
      </c>
      <c r="AQ318" s="175">
        <f>VLOOKUP(C318,$B$45:$AA$48,9,FALSE)</f>
        <v>521</v>
      </c>
      <c r="AR318" s="31">
        <f>IF(LEFT(E318,1)*1=1,$S$58,$R$58)</f>
        <v>1</v>
      </c>
      <c r="AS318" s="2">
        <f>IF(LEFT(E318,1)*1=2,$U$58,$T$58)</f>
        <v>0</v>
      </c>
      <c r="AT318" s="33">
        <f>IF(LEFT(E318,1)*1=3,$W$58,$V$58)</f>
        <v>0</v>
      </c>
      <c r="AU318" s="31">
        <f>IF(MID(E318,3,1)*1=1,$Y$58,$X$58)</f>
        <v>25</v>
      </c>
      <c r="AV318" s="2">
        <f>IF(MID(E318,3,1)*1=2,$AA$58,$Z$58)</f>
        <v>0</v>
      </c>
      <c r="AW318" s="33">
        <f>IF(MID(E318,3,1)*1=3,$AC$58,$AB$58)</f>
        <v>1</v>
      </c>
      <c r="AX318" s="31">
        <f>IF(MID(E318,5,1)*1=1,$AE$58,$AD$58)</f>
        <v>1</v>
      </c>
      <c r="AY318" s="33">
        <f>IF(MID(E318,5,1)*1=2,$AG$58,$AF$58)</f>
        <v>1.2</v>
      </c>
      <c r="AZ318" s="2"/>
      <c r="BA318" s="101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</row>
    <row r="319" spans="1:71" ht="12" customHeight="1">
      <c r="A319" s="2"/>
      <c r="B319" s="107">
        <v>640</v>
      </c>
      <c r="C319" s="31">
        <v>10</v>
      </c>
      <c r="D319" s="111" t="s">
        <v>18</v>
      </c>
      <c r="E319" s="2" t="s">
        <v>169</v>
      </c>
      <c r="F319" s="2"/>
      <c r="G319" s="2"/>
      <c r="H319" s="33" t="s">
        <v>80</v>
      </c>
      <c r="I319" s="173">
        <f>M319/AE319</f>
        <v>785.86974733007889</v>
      </c>
      <c r="J319" s="174">
        <f>AH319/AE319</f>
        <v>28.185356224514496</v>
      </c>
      <c r="K319" s="207">
        <f>RANK(I319,$I$76:$I$977)</f>
        <v>244</v>
      </c>
      <c r="L319" s="208" t="e">
        <f>RANK(I319,$I$451:$I$866)</f>
        <v>#N/A</v>
      </c>
      <c r="M319" s="173">
        <f>SUM(N319:R319)</f>
        <v>14526.626348006137</v>
      </c>
      <c r="N319" s="174">
        <f>T319*(1+((AG319+IF(F319="백어택",8,0))/100)*(AI319/100-1))</f>
        <v>14526.626348006137</v>
      </c>
      <c r="O319" s="174">
        <f>U319*(1+(($D$57+IF(F319="백어택",8,0))/100)*(AI319/100-1))</f>
        <v>0</v>
      </c>
      <c r="P319" s="174"/>
      <c r="Q319" s="174"/>
      <c r="R319" s="175"/>
      <c r="S319" s="173">
        <f>SUM(T319:X319)</f>
        <v>9136.1682879360978</v>
      </c>
      <c r="T319" s="174">
        <f>AL319*IF(H319="근접",AT319,IF(AV319=1,AT319,1))*AX319*IF(F319="백어택",1.2,1)</f>
        <v>9136.1682879360978</v>
      </c>
      <c r="U319" s="174">
        <f>IF(AX319=1,AM319*IF(H319="근접",AT319,IF(AV319=1,AT319,1)),0)*AY319*IF(AX319=1,1,0)*IF(F319="백어택",1.2,1)</f>
        <v>0</v>
      </c>
      <c r="V319" s="174"/>
      <c r="W319" s="174"/>
      <c r="X319" s="175"/>
      <c r="Y319" s="173">
        <f>SUM(Z319:AD319)</f>
        <v>18272.336575872196</v>
      </c>
      <c r="Z319" s="174">
        <f>T319*$D$58/100</f>
        <v>18272.336575872196</v>
      </c>
      <c r="AA319" s="174">
        <f>U319*$D$58/100</f>
        <v>0</v>
      </c>
      <c r="AB319" s="174"/>
      <c r="AC319" s="174"/>
      <c r="AD319" s="175"/>
      <c r="AE319" s="173">
        <f>(AO319*(1-$D$20/100)*(1-$D$17/100)-AR319)*IF(AW319="보스대상",1,POWER(0.85,AW319))</f>
        <v>18.484776131615998</v>
      </c>
      <c r="AF319" s="174">
        <f>AP319</f>
        <v>36</v>
      </c>
      <c r="AG319" s="174">
        <f>IF($D$57+AU319&gt;100,100,$D$57+AU319)</f>
        <v>59.001300000000001</v>
      </c>
      <c r="AH319" s="174">
        <f>AQ319</f>
        <v>521</v>
      </c>
      <c r="AI319" s="174">
        <f>$D$58</f>
        <v>200</v>
      </c>
      <c r="AJ319" s="174">
        <f>10*AS319/IF(AX319=1,IF(AY319=1,4.5,4),4)</f>
        <v>2</v>
      </c>
      <c r="AK319" s="174">
        <f>SUM(AL319:AN319)</f>
        <v>5464.3340202024392</v>
      </c>
      <c r="AL319" s="174">
        <f>IF(AV319=1,$D$61*(VLOOKUP(C319,$B$36:$AG$39,25,FALSE)+VLOOKUP(C319,$B$40:$AG$43,25,FALSE)*$D$54),(IF(H319="근접",$D$61*(VLOOKUP(C319,$B$36:$AG$39,25,FALSE)+VLOOKUP(C319,$B$40:$AG$43,25,FALSE)*$D$54),$D$60*(VLOOKUP(C319,$B$36:$AG$39,25,FALSE)+VLOOKUP(C319,$B$40:$AG$43,25,FALSE)*$D$54))))*$D$59/100</f>
        <v>3262.9172456914639</v>
      </c>
      <c r="AM319" s="174">
        <f>(IF(AV319=1,$D$61*(VLOOKUP(C319,$B$36:$AG$39,26,FALSE)+VLOOKUP(C319,$B$40:$AG$43,26,FALSE)*$D$54),IF(H319="근접",$D$61*(VLOOKUP(C319,$B$36:$AG$39,26,FALSE)+VLOOKUP(C319,$B$40:$AG$43,26,FALSE)*$D$54),$D$60*(VLOOKUP(C319,$B$36:$AG$39,26,FALSE)+VLOOKUP(C319,$B$40:$AG$43,26,FALSE)*$D$54))))*$D$59/100</f>
        <v>2201.4167745109758</v>
      </c>
      <c r="AN319" s="174"/>
      <c r="AO319" s="176">
        <v>24</v>
      </c>
      <c r="AP319" s="174">
        <v>36</v>
      </c>
      <c r="AQ319" s="175">
        <f>VLOOKUP(C319,$B$45:$AA$48,25,FALSE)</f>
        <v>521</v>
      </c>
      <c r="AR319" s="31">
        <f>IF(LEFT(E319,1)*1=1,$S$68,$R$68)</f>
        <v>0</v>
      </c>
      <c r="AS319" s="2">
        <f>IF(LEFT(E319,1)*1=2,$U$68,$T$68)</f>
        <v>0.8</v>
      </c>
      <c r="AT319" s="33">
        <f>IF(LEFT(E319,1)*1=3,$W$68,$V$68)</f>
        <v>1</v>
      </c>
      <c r="AU319" s="31">
        <f>IF(MID(E319,3,1)*1=1,$Y$68,$X$68)</f>
        <v>40</v>
      </c>
      <c r="AV319" s="2">
        <f>IF(MID(E319,3,1)*1=2,$AA$68,$Z$68)</f>
        <v>0</v>
      </c>
      <c r="AW319" s="33" t="str">
        <f>IF(MID(E319,3,1)*1=3,$AC$68,$AB$68)</f>
        <v>보스대상</v>
      </c>
      <c r="AX319" s="31">
        <f>IF(MID(E319,5,1)*1=1,$AE$68,$AD$68)</f>
        <v>2.8</v>
      </c>
      <c r="AY319" s="33">
        <f>IF(MID(E319,5,1)*1=2,$AG$68,$AF$68)</f>
        <v>1</v>
      </c>
      <c r="AZ319" s="2"/>
      <c r="BA319" s="101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</row>
    <row r="320" spans="1:71" ht="12" customHeight="1">
      <c r="A320" s="2"/>
      <c r="B320" s="107">
        <v>643</v>
      </c>
      <c r="C320" s="31">
        <v>10</v>
      </c>
      <c r="D320" s="111" t="s">
        <v>18</v>
      </c>
      <c r="E320" s="2" t="s">
        <v>182</v>
      </c>
      <c r="F320" s="2"/>
      <c r="G320" s="2"/>
      <c r="H320" s="33" t="s">
        <v>80</v>
      </c>
      <c r="I320" s="173">
        <f>M320/AE320</f>
        <v>785.86974733007889</v>
      </c>
      <c r="J320" s="174">
        <f>AH320/AE320</f>
        <v>28.185356224514496</v>
      </c>
      <c r="K320" s="207">
        <f>RANK(I320,$I$76:$I$977)</f>
        <v>244</v>
      </c>
      <c r="L320" s="208" t="e">
        <f>RANK(I320,$I$451:$I$866)</f>
        <v>#N/A</v>
      </c>
      <c r="M320" s="173">
        <f>SUM(N320:R320)</f>
        <v>14526.626348006137</v>
      </c>
      <c r="N320" s="174">
        <f>T320*(1+((AG320+IF(F320="백어택",8,0))/100)*(AI320/100-1))</f>
        <v>14526.626348006137</v>
      </c>
      <c r="O320" s="174">
        <f>U320*(1+(($D$57+IF(F320="백어택",8,0))/100)*(AI320/100-1))</f>
        <v>0</v>
      </c>
      <c r="P320" s="174"/>
      <c r="Q320" s="174"/>
      <c r="R320" s="175"/>
      <c r="S320" s="173">
        <f>SUM(T320:X320)</f>
        <v>9136.1682879360978</v>
      </c>
      <c r="T320" s="174">
        <f>AL320*IF(H320="근접",AT320,IF(AV320=1,AT320,1))*AX320*IF(F320="백어택",1.2,1)</f>
        <v>9136.1682879360978</v>
      </c>
      <c r="U320" s="174">
        <f>IF(AX320=1,AM320*IF(H320="근접",AT320,IF(AV320=1,AT320,1)),0)*AY320*IF(AX320=1,1,0)*IF(F320="백어택",1.2,1)</f>
        <v>0</v>
      </c>
      <c r="V320" s="174"/>
      <c r="W320" s="174"/>
      <c r="X320" s="175"/>
      <c r="Y320" s="173">
        <f>SUM(Z320:AD320)</f>
        <v>18272.336575872196</v>
      </c>
      <c r="Z320" s="174">
        <f>T320*$D$58/100</f>
        <v>18272.336575872196</v>
      </c>
      <c r="AA320" s="174">
        <f>U320*$D$58/100</f>
        <v>0</v>
      </c>
      <c r="AB320" s="174"/>
      <c r="AC320" s="174"/>
      <c r="AD320" s="175"/>
      <c r="AE320" s="173">
        <f>(AO320*(1-$D$20/100)*(1-$D$17/100)-AR320)*IF(AW320="보스대상",1,POWER(0.85,AW320))</f>
        <v>18.484776131615998</v>
      </c>
      <c r="AF320" s="174">
        <f>AP320</f>
        <v>36</v>
      </c>
      <c r="AG320" s="174">
        <f>IF($D$57+AU320&gt;100,100,$D$57+AU320)</f>
        <v>59.001300000000001</v>
      </c>
      <c r="AH320" s="174">
        <f>AQ320</f>
        <v>521</v>
      </c>
      <c r="AI320" s="174">
        <f>$D$58</f>
        <v>200</v>
      </c>
      <c r="AJ320" s="174">
        <f>10*AS320/IF(AX320=1,IF(AY320=1,4.5,4),4)</f>
        <v>2.5</v>
      </c>
      <c r="AK320" s="174">
        <f>SUM(AL320:AN320)</f>
        <v>5464.3340202024392</v>
      </c>
      <c r="AL320" s="174">
        <f>IF(AV320=1,$D$61*(VLOOKUP(C320,$B$36:$AG$39,25,FALSE)+VLOOKUP(C320,$B$40:$AG$43,25,FALSE)*$D$54),(IF(H320="근접",$D$61*(VLOOKUP(C320,$B$36:$AG$39,25,FALSE)+VLOOKUP(C320,$B$40:$AG$43,25,FALSE)*$D$54),$D$60*(VLOOKUP(C320,$B$36:$AG$39,25,FALSE)+VLOOKUP(C320,$B$40:$AG$43,25,FALSE)*$D$54))))*$D$59/100</f>
        <v>3262.9172456914639</v>
      </c>
      <c r="AM320" s="174">
        <f>(IF(AV320=1,$D$61*(VLOOKUP(C320,$B$36:$AG$39,26,FALSE)+VLOOKUP(C320,$B$40:$AG$43,26,FALSE)*$D$54),IF(H320="근접",$D$61*(VLOOKUP(C320,$B$36:$AG$39,26,FALSE)+VLOOKUP(C320,$B$40:$AG$43,26,FALSE)*$D$54),$D$60*(VLOOKUP(C320,$B$36:$AG$39,26,FALSE)+VLOOKUP(C320,$B$40:$AG$43,26,FALSE)*$D$54))))*$D$59/100</f>
        <v>2201.4167745109758</v>
      </c>
      <c r="AN320" s="174"/>
      <c r="AO320" s="176">
        <v>24</v>
      </c>
      <c r="AP320" s="174">
        <v>36</v>
      </c>
      <c r="AQ320" s="175">
        <f>VLOOKUP(C320,$B$45:$AA$48,25,FALSE)</f>
        <v>521</v>
      </c>
      <c r="AR320" s="31">
        <f>IF(LEFT(E320,1)*1=1,$S$68,$R$68)</f>
        <v>0</v>
      </c>
      <c r="AS320" s="2">
        <f>IF(LEFT(E320,1)*1=2,$U$68,$T$68)</f>
        <v>1</v>
      </c>
      <c r="AT320" s="33">
        <f>IF(LEFT(E320,1)*1=3,$W$68,$V$68)</f>
        <v>1.2</v>
      </c>
      <c r="AU320" s="31">
        <f>IF(MID(E320,3,1)*1=1,$Y$68,$X$68)</f>
        <v>40</v>
      </c>
      <c r="AV320" s="2">
        <f>IF(MID(E320,3,1)*1=2,$AA$68,$Z$68)</f>
        <v>0</v>
      </c>
      <c r="AW320" s="33" t="str">
        <f>IF(MID(E320,3,1)*1=3,$AC$68,$AB$68)</f>
        <v>보스대상</v>
      </c>
      <c r="AX320" s="31">
        <f>IF(MID(E320,5,1)*1=1,$AE$68,$AD$68)</f>
        <v>2.8</v>
      </c>
      <c r="AY320" s="33">
        <f>IF(MID(E320,5,1)*1=2,$AG$68,$AF$68)</f>
        <v>1</v>
      </c>
      <c r="AZ320" s="2"/>
      <c r="BA320" s="101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</row>
    <row r="321" spans="1:71" ht="12" customHeight="1">
      <c r="A321" s="2"/>
      <c r="B321" s="107">
        <v>781</v>
      </c>
      <c r="C321" s="31">
        <v>7</v>
      </c>
      <c r="D321" s="111" t="s">
        <v>21</v>
      </c>
      <c r="E321" s="2" t="s">
        <v>91</v>
      </c>
      <c r="F321" s="2" t="s">
        <v>149</v>
      </c>
      <c r="G321" s="2" t="s">
        <v>177</v>
      </c>
      <c r="H321" s="33"/>
      <c r="I321" s="173">
        <f>M321/AE321</f>
        <v>783.04040870172298</v>
      </c>
      <c r="J321" s="174">
        <f>AH321/AE321</f>
        <v>16.518097441877977</v>
      </c>
      <c r="K321" s="207">
        <f>RANK(I321,$I$76:$I$977)</f>
        <v>246</v>
      </c>
      <c r="L321" s="208" t="e">
        <f>RANK(I321,$I$451:$I$866)</f>
        <v>#N/A</v>
      </c>
      <c r="M321" s="173">
        <f>SUM(N321:R321)</f>
        <v>21711.489985290671</v>
      </c>
      <c r="N321" s="174">
        <f>T321*(1+((AG321+IF(F321="백어택",8,0))/100)*(AI321/100-1))</f>
        <v>21711.489985290671</v>
      </c>
      <c r="O321" s="174"/>
      <c r="P321" s="174"/>
      <c r="Q321" s="174"/>
      <c r="R321" s="175">
        <f>X321*(1+(AG321/100)*(AI321/100-1))</f>
        <v>0</v>
      </c>
      <c r="S321" s="173">
        <f>SUM(T321:X321)</f>
        <v>17095.486412572682</v>
      </c>
      <c r="T321" s="174">
        <f>AL321*AW321*AX321*AY321*IF(F321="백어택",1.2,1)</f>
        <v>17095.486412572682</v>
      </c>
      <c r="U321" s="174"/>
      <c r="V321" s="174"/>
      <c r="W321" s="174"/>
      <c r="X321" s="175">
        <f>AL321*AS321+IF(AX321=1,AL321*AU321,AL321*AU321*2)</f>
        <v>0</v>
      </c>
      <c r="Y321" s="173">
        <f>SUM(Z321:AD321)</f>
        <v>34190.972825145363</v>
      </c>
      <c r="Z321" s="174">
        <f>T321*$D$58/100</f>
        <v>34190.972825145363</v>
      </c>
      <c r="AA321" s="174"/>
      <c r="AB321" s="174"/>
      <c r="AC321" s="174"/>
      <c r="AD321" s="175">
        <f>X321*$D$58/100</f>
        <v>0</v>
      </c>
      <c r="AE321" s="173">
        <f>AO321*(1-$D$20/100)*(1-$D$17/100)-AR321</f>
        <v>27.727164197424003</v>
      </c>
      <c r="AF321" s="174">
        <f>AP321</f>
        <v>36</v>
      </c>
      <c r="AG321" s="174">
        <f>IF($D$57&gt;100,100,$D$57)</f>
        <v>19.001300000000001</v>
      </c>
      <c r="AH321" s="174">
        <f>AQ321</f>
        <v>458</v>
      </c>
      <c r="AI321" s="174">
        <f>$D$58</f>
        <v>200</v>
      </c>
      <c r="AJ321" s="174">
        <f>10/6</f>
        <v>1.6666666666666667</v>
      </c>
      <c r="AK321" s="174">
        <f>SUM(AL321:AN321)</f>
        <v>9497.4924514292688</v>
      </c>
      <c r="AL321" s="174">
        <f>(VLOOKUP(C321,$B$36:$AG$39,31,FALSE)+VLOOKUP(C321,$B$40:$AG$43,31,FALSE)*$D$54)*$D$59/100</f>
        <v>9497.4924514292688</v>
      </c>
      <c r="AM321" s="174"/>
      <c r="AN321" s="174"/>
      <c r="AO321" s="176">
        <v>36</v>
      </c>
      <c r="AP321" s="174">
        <v>36</v>
      </c>
      <c r="AQ321" s="175">
        <f>VLOOKUP(C321,$B$45:$AG$48,31,FALSE)</f>
        <v>458</v>
      </c>
      <c r="AR321" s="31">
        <f>IF(LEFT(E321,1)*1=1,$S$71,$R$71)</f>
        <v>0</v>
      </c>
      <c r="AS321" s="2">
        <f>IF(LEFT(E321,1)*1=2,$U$71,$T$71)</f>
        <v>0</v>
      </c>
      <c r="AT321" s="33">
        <f>IF(LEFT(E321,1)*1=3,$W$71,$V$71)</f>
        <v>0</v>
      </c>
      <c r="AU321" s="31">
        <f>IF(MID(E321,3,1)*1=1,$Y$71,$X$71)</f>
        <v>0</v>
      </c>
      <c r="AV321" s="2">
        <f>IF(MID(E321,3,1)*1=2,$AA$71,$Z$71)</f>
        <v>0</v>
      </c>
      <c r="AW321" s="33">
        <f>IF(MID(E321,3,1)*1=3,$AC$71,$AB$71)</f>
        <v>1.5</v>
      </c>
      <c r="AX321" s="31">
        <f>IF(MID(E321,5,1)*1=1,$AE$71,$AD$71)</f>
        <v>1</v>
      </c>
      <c r="AY321" s="33">
        <f>IF(MID(E321,5,1)*1=2,$AG$71,$AF$71)</f>
        <v>1</v>
      </c>
      <c r="AZ321" s="2"/>
      <c r="BA321" s="101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</row>
    <row r="322" spans="1:71" ht="12" customHeight="1">
      <c r="A322" s="2"/>
      <c r="B322" s="107">
        <v>111</v>
      </c>
      <c r="C322" s="31">
        <v>10</v>
      </c>
      <c r="D322" s="106" t="s">
        <v>6</v>
      </c>
      <c r="E322" s="2" t="s">
        <v>135</v>
      </c>
      <c r="F322" s="2"/>
      <c r="G322" s="2" t="s">
        <v>86</v>
      </c>
      <c r="H322" s="33"/>
      <c r="I322" s="173">
        <f>M322/AE322</f>
        <v>782.38888853163485</v>
      </c>
      <c r="J322" s="174">
        <f>AH322/AE322</f>
        <v>23.505991271208018</v>
      </c>
      <c r="K322" s="207">
        <f>RANK(I322,$I$76:$I$977)</f>
        <v>247</v>
      </c>
      <c r="L322" s="208">
        <f>RANK(I322,$I$76:$I$450)</f>
        <v>247</v>
      </c>
      <c r="M322" s="173">
        <f>SUM(N322:R322)</f>
        <v>15610.504763983048</v>
      </c>
      <c r="N322" s="174">
        <f>T322*(1+((AG322+IF(F322="백어택",8,0))/100)*((AI322/100-1)))</f>
        <v>15610.504763983048</v>
      </c>
      <c r="O322" s="174"/>
      <c r="P322" s="174"/>
      <c r="Q322" s="174"/>
      <c r="R322" s="175"/>
      <c r="S322" s="173">
        <f>SUM(T322:X322)</f>
        <v>11822.714615190873</v>
      </c>
      <c r="T322" s="174">
        <f>AL322*AW322*AT322*AX322*AY322</f>
        <v>11822.714615190873</v>
      </c>
      <c r="U322" s="174"/>
      <c r="V322" s="174"/>
      <c r="W322" s="174"/>
      <c r="X322" s="175"/>
      <c r="Y322" s="173">
        <f>SUM(Z322:AD322)</f>
        <v>23645.429230381746</v>
      </c>
      <c r="Z322" s="174">
        <f>T322*$D$58/100</f>
        <v>23645.429230381746</v>
      </c>
      <c r="AA322" s="174"/>
      <c r="AB322" s="174"/>
      <c r="AC322" s="174"/>
      <c r="AD322" s="175"/>
      <c r="AE322" s="173">
        <f>AO322*(1-$D$17/100)</f>
        <v>19.952359999999999</v>
      </c>
      <c r="AF322" s="174">
        <f>AP322</f>
        <v>36</v>
      </c>
      <c r="AG322" s="174">
        <f>IF($D$57+AV322&gt;100,100,$D$57+AV322)</f>
        <v>19.001300000000001</v>
      </c>
      <c r="AH322" s="174">
        <f>AQ322*AR322</f>
        <v>469</v>
      </c>
      <c r="AI322" s="174">
        <f>$D$58+$D$19</f>
        <v>268.61079999999998</v>
      </c>
      <c r="AJ322" s="174">
        <f>10/IF(AX322=1,IF(AY322=1,5,6),4)</f>
        <v>1.6666666666666667</v>
      </c>
      <c r="AK322" s="174">
        <f>SUM(AL322:AN322)</f>
        <v>5675.2662323304885</v>
      </c>
      <c r="AL322" s="174">
        <f>(VLOOKUP(C322,$B$36:$AG$39,7,FALSE)+VLOOKUP(C322,$B$40:$AG$43,7,FALSE)*$D$54)*$D$59/100</f>
        <v>5675.2662323304885</v>
      </c>
      <c r="AM322" s="174"/>
      <c r="AN322" s="174"/>
      <c r="AO322" s="176">
        <v>20</v>
      </c>
      <c r="AP322" s="174">
        <v>36</v>
      </c>
      <c r="AQ322" s="175">
        <f>VLOOKUP(C322,$B$45:$AA$48,7,FALSE)</f>
        <v>469</v>
      </c>
      <c r="AR322" s="31">
        <f>IF(LEFT(E322,1)*1=1,$S$56,$R$56)</f>
        <v>1</v>
      </c>
      <c r="AS322" s="2">
        <f>IF(LEFT(E322,1)*1=2,$U$56,$T$56)</f>
        <v>0</v>
      </c>
      <c r="AT322" s="33">
        <f>IF(LEFT(E322,1)*1=3,$W$56,$V$56)</f>
        <v>1.2</v>
      </c>
      <c r="AU322" s="31">
        <f>IF(MID(E322,3,1)*1=1,$Y$56,$X$56)</f>
        <v>0</v>
      </c>
      <c r="AV322" s="2">
        <f>IF(MID(E322,3,1)*1=2,$AA$56,$Z$56)</f>
        <v>0</v>
      </c>
      <c r="AW322" s="33">
        <f>IF(MID(E322,3,1)*1=3,$AC$56,$AB$56)</f>
        <v>1.24</v>
      </c>
      <c r="AX322" s="31">
        <f>IF(MID(E322,5,1)*1=1,$AE$56,$AD$56)</f>
        <v>1</v>
      </c>
      <c r="AY322" s="33">
        <f>IF(MID(E322,5,1)*1=2,$AG$56,$AF$56)</f>
        <v>1.4</v>
      </c>
      <c r="AZ322" s="2"/>
      <c r="BA322" s="101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</row>
    <row r="323" spans="1:71" ht="12" customHeight="1">
      <c r="A323" s="2"/>
      <c r="B323" s="107">
        <v>317</v>
      </c>
      <c r="C323" s="31">
        <v>10</v>
      </c>
      <c r="D323" s="106" t="s">
        <v>20</v>
      </c>
      <c r="E323" s="2" t="s">
        <v>150</v>
      </c>
      <c r="F323" s="2" t="s">
        <v>149</v>
      </c>
      <c r="G323" s="2"/>
      <c r="H323" s="33"/>
      <c r="I323" s="173">
        <f>M323/AE323</f>
        <v>781.41925908656185</v>
      </c>
      <c r="J323" s="174">
        <f>AH323/AE323</f>
        <v>29.484277859834549</v>
      </c>
      <c r="K323" s="207">
        <f>RANK(I323,$I$76:$I$977)</f>
        <v>248</v>
      </c>
      <c r="L323" s="208">
        <f>RANK(I323,$I$76:$I$450)</f>
        <v>248</v>
      </c>
      <c r="M323" s="173">
        <f>SUM(N323:R323)</f>
        <v>11687.784754145832</v>
      </c>
      <c r="N323" s="174">
        <f>T323*(1+((AG323+IF(F323="백어택",8,0))/100)*((AI323/100-1)))</f>
        <v>4257.7169845901626</v>
      </c>
      <c r="O323" s="174">
        <f>U323*(1+(($D$57+IF(F323="백어택",8,0))/100)*($D$58/100-1))</f>
        <v>7430.0677695556687</v>
      </c>
      <c r="P323" s="174"/>
      <c r="Q323" s="174"/>
      <c r="R323" s="175"/>
      <c r="S323" s="173">
        <f>SUM(T323:X323)</f>
        <v>8776.1080578321944</v>
      </c>
      <c r="T323" s="174">
        <f>AL323*AV323*IF(F323="백어택",1.2,1)</f>
        <v>2925.720881042927</v>
      </c>
      <c r="U323" s="174">
        <f>AM323*AX323*AY323*IF(F323="백어택",1.2,1)</f>
        <v>5850.3871767892679</v>
      </c>
      <c r="V323" s="174"/>
      <c r="W323" s="174"/>
      <c r="X323" s="175"/>
      <c r="Y323" s="173">
        <f>SUM(Z323:AD323)</f>
        <v>17552.216115664389</v>
      </c>
      <c r="Z323" s="174">
        <f>T323*$D$58/100</f>
        <v>5851.441762085854</v>
      </c>
      <c r="AA323" s="174">
        <f>U323*$D$58/100</f>
        <v>11700.774353578536</v>
      </c>
      <c r="AB323" s="174"/>
      <c r="AC323" s="174"/>
      <c r="AD323" s="175"/>
      <c r="AE323" s="173">
        <f>AO323*(1-$D$17/100)-AR323</f>
        <v>14.957124</v>
      </c>
      <c r="AF323" s="174">
        <f>AP323</f>
        <v>36</v>
      </c>
      <c r="AG323" s="174">
        <f>IF($D$57+AU323&gt;100,100,$D$57+AU323)</f>
        <v>19.001300000000001</v>
      </c>
      <c r="AH323" s="174">
        <f>AQ323*AS323</f>
        <v>441</v>
      </c>
      <c r="AI323" s="174">
        <f>$D$58+$D$19</f>
        <v>268.61079999999998</v>
      </c>
      <c r="AJ323" s="174">
        <f>10*IF(AV323=1,1,5/4.5)/IF(AX323=1,5,3.5)</f>
        <v>2.8571428571428572</v>
      </c>
      <c r="AK323" s="174">
        <f>SUM(AL323:AN323)</f>
        <v>4875.7620578646347</v>
      </c>
      <c r="AL323" s="174">
        <f>(VLOOKUP(C323,$B$36:$AG$39,29,FALSE)+VLOOKUP(C323,$B$40:$AG$43,29,FALSE)*$D$54)*$D$59/100</f>
        <v>2438.1007342024391</v>
      </c>
      <c r="AM323" s="174">
        <f>(VLOOKUP(C323,$B$36:$AG$39,30,FALSE)+VLOOKUP(C323,$B$40:$AG$43,30,FALSE)*$D$54)*$D$59/100</f>
        <v>2437.6613236621952</v>
      </c>
      <c r="AN323" s="174"/>
      <c r="AO323" s="176">
        <v>18</v>
      </c>
      <c r="AP323" s="174">
        <v>36</v>
      </c>
      <c r="AQ323" s="175">
        <f>VLOOKUP(C323,$B$45:$AG$48,29,FALSE)</f>
        <v>441</v>
      </c>
      <c r="AR323" s="31">
        <f>IF(LEFT(E323,1)*1=1,$S$70,$R$70)</f>
        <v>3</v>
      </c>
      <c r="AS323" s="2">
        <f>IF(LEFT(E323,1)*1=2,$U$70,$T$70)</f>
        <v>1</v>
      </c>
      <c r="AT323" s="33">
        <f>IF(LEFT(E323,1)*1=3,$W$70,$V$70)</f>
        <v>0</v>
      </c>
      <c r="AU323" s="31">
        <f>IF(MID(E323,3,1)*1=1,$Y$70,$X$70)</f>
        <v>0</v>
      </c>
      <c r="AV323" s="2">
        <f>IF(MID(E323,3,1)*1=2,$AA$70,$Z$70)</f>
        <v>1</v>
      </c>
      <c r="AW323" s="33">
        <f>IF(MID(E323,3,1)*1=3,$AC$70,$AB$70)</f>
        <v>0</v>
      </c>
      <c r="AX323" s="31">
        <f>IF(MID(E323,5,1)*1=1,$AE$70,$AD$70)</f>
        <v>2</v>
      </c>
      <c r="AY323" s="33">
        <f>IF(MID(E323,5,1)*1=2,$AG$70,$AF$70)</f>
        <v>1</v>
      </c>
      <c r="AZ323" s="2"/>
      <c r="BA323" s="101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</row>
    <row r="324" spans="1:71" ht="12" customHeight="1">
      <c r="A324" s="2"/>
      <c r="B324" s="107">
        <v>326</v>
      </c>
      <c r="C324" s="31">
        <v>10</v>
      </c>
      <c r="D324" s="106" t="s">
        <v>20</v>
      </c>
      <c r="E324" s="2" t="s">
        <v>151</v>
      </c>
      <c r="F324" s="2" t="s">
        <v>149</v>
      </c>
      <c r="G324" s="2"/>
      <c r="H324" s="33"/>
      <c r="I324" s="173">
        <f>M324/AE324</f>
        <v>781.41925908656185</v>
      </c>
      <c r="J324" s="174">
        <f>AH324/AE324</f>
        <v>29.484277859834549</v>
      </c>
      <c r="K324" s="207">
        <f>RANK(I324,$I$76:$I$977)</f>
        <v>248</v>
      </c>
      <c r="L324" s="208">
        <f>RANK(I324,$I$76:$I$450)</f>
        <v>248</v>
      </c>
      <c r="M324" s="173">
        <f>SUM(N324:R324)</f>
        <v>11687.784754145832</v>
      </c>
      <c r="N324" s="174">
        <f>T324*(1+((AG324+IF(F324="백어택",8,0))/100)*((AI324/100-1)))</f>
        <v>4257.7169845901626</v>
      </c>
      <c r="O324" s="174">
        <f>U324*(1+(($D$57+IF(F324="백어택",8,0))/100)*($D$58/100-1))</f>
        <v>7430.0677695556687</v>
      </c>
      <c r="P324" s="174"/>
      <c r="Q324" s="174"/>
      <c r="R324" s="175"/>
      <c r="S324" s="173">
        <f>SUM(T324:X324)</f>
        <v>8776.1080578321944</v>
      </c>
      <c r="T324" s="174">
        <f>AL324*AV324*IF(F324="백어택",1.2,1)</f>
        <v>2925.720881042927</v>
      </c>
      <c r="U324" s="174">
        <f>AM324*AX324*AY324*IF(F324="백어택",1.2,1)</f>
        <v>5850.3871767892679</v>
      </c>
      <c r="V324" s="174"/>
      <c r="W324" s="174"/>
      <c r="X324" s="175"/>
      <c r="Y324" s="173">
        <f>SUM(Z324:AD324)</f>
        <v>17552.216115664389</v>
      </c>
      <c r="Z324" s="174">
        <f>T324*$D$58/100</f>
        <v>5851.441762085854</v>
      </c>
      <c r="AA324" s="174">
        <f>U324*$D$58/100</f>
        <v>11700.774353578536</v>
      </c>
      <c r="AB324" s="174"/>
      <c r="AC324" s="174"/>
      <c r="AD324" s="175"/>
      <c r="AE324" s="173">
        <f>AO324*(1-$D$17/100)-AR324</f>
        <v>14.957124</v>
      </c>
      <c r="AF324" s="174">
        <f>AP324</f>
        <v>36</v>
      </c>
      <c r="AG324" s="174">
        <f>IF($D$57+AU324&gt;100,100,$D$57+AU324)</f>
        <v>19.001300000000001</v>
      </c>
      <c r="AH324" s="174">
        <f>AQ324*AS324</f>
        <v>441</v>
      </c>
      <c r="AI324" s="174">
        <f>$D$58+$D$19</f>
        <v>268.61079999999998</v>
      </c>
      <c r="AJ324" s="174">
        <f>10*IF(AV324=1,1,5/4.5)/IF(AX324=1,5,3.5)</f>
        <v>2</v>
      </c>
      <c r="AK324" s="174">
        <f>SUM(AL324:AN324)</f>
        <v>4875.7620578646347</v>
      </c>
      <c r="AL324" s="174">
        <f>(VLOOKUP(C324,$B$36:$AG$39,29,FALSE)+VLOOKUP(C324,$B$40:$AG$43,29,FALSE)*$D$54)*$D$59/100</f>
        <v>2438.1007342024391</v>
      </c>
      <c r="AM324" s="174">
        <f>(VLOOKUP(C324,$B$36:$AG$39,30,FALSE)+VLOOKUP(C324,$B$40:$AG$43,30,FALSE)*$D$54)*$D$59/100</f>
        <v>2437.6613236621952</v>
      </c>
      <c r="AN324" s="174"/>
      <c r="AO324" s="176">
        <v>18</v>
      </c>
      <c r="AP324" s="174">
        <v>36</v>
      </c>
      <c r="AQ324" s="175">
        <f>VLOOKUP(C324,$B$45:$AG$48,29,FALSE)</f>
        <v>441</v>
      </c>
      <c r="AR324" s="31">
        <f>IF(LEFT(E324,1)*1=1,$S$70,$R$70)</f>
        <v>3</v>
      </c>
      <c r="AS324" s="2">
        <f>IF(LEFT(E324,1)*1=2,$U$70,$T$70)</f>
        <v>1</v>
      </c>
      <c r="AT324" s="33">
        <f>IF(LEFT(E324,1)*1=3,$W$70,$V$70)</f>
        <v>0</v>
      </c>
      <c r="AU324" s="31">
        <f>IF(MID(E324,3,1)*1=1,$Y$70,$X$70)</f>
        <v>0</v>
      </c>
      <c r="AV324" s="2">
        <f>IF(MID(E324,3,1)*1=2,$AA$70,$Z$70)</f>
        <v>1</v>
      </c>
      <c r="AW324" s="33">
        <f>IF(MID(E324,3,1)*1=3,$AC$70,$AB$70)</f>
        <v>0</v>
      </c>
      <c r="AX324" s="31">
        <f>IF(MID(E324,5,1)*1=1,$AE$70,$AD$70)</f>
        <v>1</v>
      </c>
      <c r="AY324" s="33">
        <f>IF(MID(E324,5,1)*1=2,$AG$70,$AF$70)</f>
        <v>2</v>
      </c>
      <c r="AZ324" s="2"/>
      <c r="BA324" s="101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</row>
    <row r="325" spans="1:71" ht="12" customHeight="1">
      <c r="A325" s="2"/>
      <c r="B325" s="107">
        <v>753</v>
      </c>
      <c r="C325" s="31">
        <v>7</v>
      </c>
      <c r="D325" s="111" t="s">
        <v>21</v>
      </c>
      <c r="E325" s="2" t="s">
        <v>155</v>
      </c>
      <c r="F325" s="2"/>
      <c r="G325" s="2" t="s">
        <v>177</v>
      </c>
      <c r="H325" s="33"/>
      <c r="I325" s="173">
        <f>M325/AE325</f>
        <v>780.2771255769328</v>
      </c>
      <c r="J325" s="174">
        <f>AH325/AE325</f>
        <v>21.079603202626</v>
      </c>
      <c r="K325" s="207">
        <f>RANK(I325,$I$76:$I$977)</f>
        <v>250</v>
      </c>
      <c r="L325" s="208" t="e">
        <f>RANK(I325,$I$451:$I$866)</f>
        <v>#N/A</v>
      </c>
      <c r="M325" s="173">
        <f>SUM(N325:R325)</f>
        <v>16953.209226904048</v>
      </c>
      <c r="N325" s="174">
        <f>T325*(1+((AG325+IF(F325="백어택",8,0))/100)*(AI325/100-1))</f>
        <v>16953.209226904048</v>
      </c>
      <c r="O325" s="174"/>
      <c r="P325" s="174"/>
      <c r="Q325" s="174"/>
      <c r="R325" s="175">
        <f>X325*(1+(AG325/100)*(AI325/100-1))</f>
        <v>0</v>
      </c>
      <c r="S325" s="173">
        <f>SUM(T325:X325)</f>
        <v>14246.238677143903</v>
      </c>
      <c r="T325" s="174">
        <f>AL325*AW325*AX325*AY325*IF(F325="백어택",1.2,1)</f>
        <v>14246.238677143903</v>
      </c>
      <c r="U325" s="174"/>
      <c r="V325" s="174"/>
      <c r="W325" s="174"/>
      <c r="X325" s="175">
        <f>AL325*AS325+IF(AX325=1,AL325*AU325,AL325*AU325*2)</f>
        <v>0</v>
      </c>
      <c r="Y325" s="173">
        <f>SUM(Z325:AD325)</f>
        <v>28492.477354287807</v>
      </c>
      <c r="Z325" s="174">
        <f>T325*$D$58/100</f>
        <v>28492.477354287807</v>
      </c>
      <c r="AA325" s="174"/>
      <c r="AB325" s="174"/>
      <c r="AC325" s="174"/>
      <c r="AD325" s="175">
        <f>X325*$D$58/100</f>
        <v>0</v>
      </c>
      <c r="AE325" s="173">
        <f>AO325*(1-$D$20/100)*(1-$D$17/100)-AR325</f>
        <v>21.727164197424003</v>
      </c>
      <c r="AF325" s="174">
        <f>AP325</f>
        <v>36</v>
      </c>
      <c r="AG325" s="174">
        <f>IF($D$57&gt;100,100,$D$57)</f>
        <v>19.001300000000001</v>
      </c>
      <c r="AH325" s="174">
        <f>AQ325</f>
        <v>458</v>
      </c>
      <c r="AI325" s="174">
        <f>$D$58</f>
        <v>200</v>
      </c>
      <c r="AJ325" s="174">
        <f>10/6</f>
        <v>1.6666666666666667</v>
      </c>
      <c r="AK325" s="174">
        <f>SUM(AL325:AN325)</f>
        <v>9497.4924514292688</v>
      </c>
      <c r="AL325" s="174">
        <f>(VLOOKUP(C325,$B$36:$AG$39,31,FALSE)+VLOOKUP(C325,$B$40:$AG$43,31,FALSE)*$D$54)*$D$59/100</f>
        <v>9497.4924514292688</v>
      </c>
      <c r="AM325" s="174"/>
      <c r="AN325" s="174"/>
      <c r="AO325" s="176">
        <v>36</v>
      </c>
      <c r="AP325" s="174">
        <v>36</v>
      </c>
      <c r="AQ325" s="175">
        <f>VLOOKUP(C325,$B$45:$AG$48,31,FALSE)</f>
        <v>458</v>
      </c>
      <c r="AR325" s="31">
        <f>IF(LEFT(E325,1)*1=1,$S$71,$R$71)</f>
        <v>6</v>
      </c>
      <c r="AS325" s="2">
        <f>IF(LEFT(E325,1)*1=2,$U$71,$T$71)</f>
        <v>0</v>
      </c>
      <c r="AT325" s="33">
        <f>IF(LEFT(E325,1)*1=3,$W$71,$V$71)</f>
        <v>0</v>
      </c>
      <c r="AU325" s="31">
        <f>IF(MID(E325,3,1)*1=1,$Y$71,$X$71)</f>
        <v>0</v>
      </c>
      <c r="AV325" s="2">
        <f>IF(MID(E325,3,1)*1=2,$AA$71,$Z$71)</f>
        <v>0</v>
      </c>
      <c r="AW325" s="33">
        <f>IF(MID(E325,3,1)*1=3,$AC$71,$AB$71)</f>
        <v>1.5</v>
      </c>
      <c r="AX325" s="31">
        <f>IF(MID(E325,5,1)*1=1,$AE$71,$AD$71)</f>
        <v>1</v>
      </c>
      <c r="AY325" s="33">
        <f>IF(MID(E325,5,1)*1=2,$AG$71,$AF$71)</f>
        <v>1</v>
      </c>
      <c r="AZ325" s="2"/>
      <c r="BA325" s="101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</row>
    <row r="326" spans="1:71" ht="12" customHeight="1">
      <c r="A326" s="2"/>
      <c r="B326" s="107">
        <v>872</v>
      </c>
      <c r="C326" s="31">
        <v>10</v>
      </c>
      <c r="D326" s="113" t="s">
        <v>19</v>
      </c>
      <c r="E326" s="2" t="s">
        <v>139</v>
      </c>
      <c r="F326" s="2"/>
      <c r="G326" s="2"/>
      <c r="H326" s="33">
        <f>IF(AY326=1,4,6)</f>
        <v>6</v>
      </c>
      <c r="I326" s="173">
        <f>M326/AE326</f>
        <v>776.99025612644391</v>
      </c>
      <c r="J326" s="174">
        <f>AH326/AE326</f>
        <v>21.760166048861723</v>
      </c>
      <c r="K326" s="207">
        <f>RANK(I326,$I$76:$I$977)</f>
        <v>251</v>
      </c>
      <c r="L326" s="208" t="e">
        <f>RANK(I326,$I$867:$I$977)</f>
        <v>#N/A</v>
      </c>
      <c r="M326" s="173">
        <f>SUM(N326:R326)*(1+$D$22/100)</f>
        <v>18603.347168072418</v>
      </c>
      <c r="N326" s="174">
        <f>T326*(1+($D$57/100)*($D$58/100-1))</f>
        <v>12533.676731390593</v>
      </c>
      <c r="O326" s="174">
        <f>U326*(1+(AG326/100)*(AI326/100-1))</f>
        <v>4227.9558823124898</v>
      </c>
      <c r="P326" s="174"/>
      <c r="Q326" s="174"/>
      <c r="R326" s="175"/>
      <c r="S326" s="173">
        <f>SUM(T326:X326)</f>
        <v>14085.251685236282</v>
      </c>
      <c r="T326" s="174">
        <f>AL326*AU326</f>
        <v>10532.386395266769</v>
      </c>
      <c r="U326" s="174">
        <f>AM326*AU326</f>
        <v>3552.8652899695126</v>
      </c>
      <c r="V326" s="174"/>
      <c r="W326" s="174"/>
      <c r="X326" s="175"/>
      <c r="Y326" s="173">
        <f>SUM(Z326:AD326)</f>
        <v>28170.503370472565</v>
      </c>
      <c r="Z326" s="174">
        <f>T326*$D$58/100</f>
        <v>21064.772790533538</v>
      </c>
      <c r="AA326" s="174">
        <f>U326*$D$58/100</f>
        <v>7105.7305799390251</v>
      </c>
      <c r="AB326" s="174"/>
      <c r="AC326" s="174"/>
      <c r="AD326" s="175"/>
      <c r="AE326" s="173">
        <f>AO326*(1-$D$17/100)</f>
        <v>23.942831999999999</v>
      </c>
      <c r="AF326" s="174">
        <f>AP326</f>
        <v>36</v>
      </c>
      <c r="AG326" s="174">
        <f>IF($D$57+AT326&gt;100,100,$D$57+AT326)</f>
        <v>19.001300000000001</v>
      </c>
      <c r="AH326" s="174">
        <f>AQ326</f>
        <v>521</v>
      </c>
      <c r="AI326" s="174">
        <f>$D$58</f>
        <v>200</v>
      </c>
      <c r="AJ326" s="174">
        <f>10/IF(AY326=1,(2.5+AX326),2)</f>
        <v>5</v>
      </c>
      <c r="AK326" s="174">
        <f>SUM(AL326:AN326)</f>
        <v>11268.201348189024</v>
      </c>
      <c r="AL326" s="174">
        <f>(H326-1)*(VLOOKUP(C326,$B$36:$AG$39,27,FALSE)+VLOOKUP(C326,$B$40:$AG$43,27,FALSE)*$D$54)*$D$59/100</f>
        <v>8425.9091162134155</v>
      </c>
      <c r="AM326" s="174">
        <f>(VLOOKUP(C326,$B$36:$AG$39,28,FALSE)+VLOOKUP(C326,$B$40:$AG$43,28,FALSE)*$D$54)*$D$59/100</f>
        <v>2842.2922319756099</v>
      </c>
      <c r="AN326" s="174"/>
      <c r="AO326" s="176">
        <v>24</v>
      </c>
      <c r="AP326" s="174">
        <v>36</v>
      </c>
      <c r="AQ326" s="175">
        <f>VLOOKUP(C326,$B$45:$AG$48,27,FALSE)</f>
        <v>521</v>
      </c>
      <c r="AR326" s="31">
        <f>IF(LEFT(E326,1)*1=1,$S$69,$R$69)</f>
        <v>0</v>
      </c>
      <c r="AS326" s="2">
        <f>IF(LEFT(E326,1)*1=2,$U$69,$T$69)</f>
        <v>0</v>
      </c>
      <c r="AT326" s="33">
        <f>IF(LEFT(E326,1)*1=3,$W$69,$V$69)</f>
        <v>0</v>
      </c>
      <c r="AU326" s="31">
        <f>IF(MID(E326,3,1)*1=1,$Y$69,$X$69)</f>
        <v>1.25</v>
      </c>
      <c r="AV326" s="2">
        <f>IF(MID(E326,3,1)*1=2,$AA$69,$Z$69)</f>
        <v>0</v>
      </c>
      <c r="AW326" s="33">
        <f>IF(MID(E326,3,1)*1=3,$AC$69,$AB$69)</f>
        <v>0</v>
      </c>
      <c r="AX326" s="31">
        <f>IF(MID(E326,5,1)*1=1,$AE$69,$AD$69)</f>
        <v>0</v>
      </c>
      <c r="AY326" s="33">
        <f>IF(MID(E326,5,1)*1=2,$AG$69,$AF$69)</f>
        <v>2</v>
      </c>
      <c r="AZ326" s="2"/>
      <c r="BA326" s="101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</row>
    <row r="327" spans="1:71" ht="12" customHeight="1">
      <c r="A327" s="2"/>
      <c r="B327" s="107">
        <v>693</v>
      </c>
      <c r="C327" s="31">
        <v>7</v>
      </c>
      <c r="D327" s="111" t="s">
        <v>18</v>
      </c>
      <c r="E327" s="2" t="s">
        <v>117</v>
      </c>
      <c r="F327" s="2" t="s">
        <v>149</v>
      </c>
      <c r="G327" s="2"/>
      <c r="H327" s="33" t="s">
        <v>81</v>
      </c>
      <c r="I327" s="173">
        <f>M327/AE327</f>
        <v>776.06032806774283</v>
      </c>
      <c r="J327" s="174">
        <f>AH327/AE327</f>
        <v>19.637781784066725</v>
      </c>
      <c r="K327" s="207">
        <f>RANK(I327,$I$76:$I$977)</f>
        <v>252</v>
      </c>
      <c r="L327" s="208" t="e">
        <f>RANK(I327,$I$451:$I$866)</f>
        <v>#N/A</v>
      </c>
      <c r="M327" s="173">
        <f>SUM(N327:R327)</f>
        <v>14345.301428960694</v>
      </c>
      <c r="N327" s="174">
        <f>T327*(1+((AG327+IF(F327="백어택",8,0))/100)*(AI327/100-1))</f>
        <v>8562.7983605236695</v>
      </c>
      <c r="O327" s="174">
        <f>U327*(1+(($D$57+IF(F327="백어택",8,0))/100)*(AI327/100-1))</f>
        <v>5782.5030684370258</v>
      </c>
      <c r="P327" s="174"/>
      <c r="Q327" s="174"/>
      <c r="R327" s="175"/>
      <c r="S327" s="173">
        <f>SUM(T327:X327)</f>
        <v>11295.397314012294</v>
      </c>
      <c r="T327" s="174">
        <f>AL327*IF(H327="근접",AT327,IF(AV327=1,AT327,1))*AX327*IF(F327="백어택",1.2,1)</f>
        <v>6742.2918982118053</v>
      </c>
      <c r="U327" s="174">
        <f>IF(AX327=1,AM327*IF(H327="근접",AT327,IF(AV327=1,AT327,1)),0)*AY327*IF(AX327=1,1,0)*IF(F327="백어택",1.2,1)</f>
        <v>4553.1054158004881</v>
      </c>
      <c r="V327" s="174"/>
      <c r="W327" s="174"/>
      <c r="X327" s="175"/>
      <c r="Y327" s="173">
        <f>SUM(Z327:AD327)</f>
        <v>22590.794628024589</v>
      </c>
      <c r="Z327" s="174">
        <f>T327*$D$58/100</f>
        <v>13484.583796423611</v>
      </c>
      <c r="AA327" s="174">
        <f>U327*$D$58/100</f>
        <v>9106.2108316009762</v>
      </c>
      <c r="AB327" s="174"/>
      <c r="AC327" s="174"/>
      <c r="AD327" s="175"/>
      <c r="AE327" s="173">
        <f>(AO327*(1-$D$20/100)*(1-$D$17/100)-AR327)*IF(AW327="보스대상",1,POWER(0.85,AW327))</f>
        <v>18.484776131615998</v>
      </c>
      <c r="AF327" s="174">
        <f>AP327</f>
        <v>36</v>
      </c>
      <c r="AG327" s="174">
        <f>IF($D$57+AU327&gt;100,100,$D$57+AU327)</f>
        <v>19.001300000000001</v>
      </c>
      <c r="AH327" s="174">
        <f>AQ327</f>
        <v>363</v>
      </c>
      <c r="AI327" s="174">
        <f>$D$58</f>
        <v>200</v>
      </c>
      <c r="AJ327" s="174">
        <f>10*AS327/IF(AX327=1,IF(AY327=1,4.5,4),4)</f>
        <v>2.2222222222222223</v>
      </c>
      <c r="AK327" s="174">
        <f>SUM(AL327:AN327)</f>
        <v>7844.0259125085377</v>
      </c>
      <c r="AL327" s="174">
        <f>IF(AV327=1,$D$61*(VLOOKUP(C327,$B$36:$AG$39,25,FALSE)+VLOOKUP(C327,$B$40:$AG$43,25,FALSE)*$D$54),(IF(H327="근접",$D$61*(VLOOKUP(C327,$B$36:$AG$39,25,FALSE)+VLOOKUP(C327,$B$40:$AG$43,25,FALSE)*$D$54),$D$60*(VLOOKUP(C327,$B$36:$AG$39,25,FALSE)+VLOOKUP(C327,$B$40:$AG$43,25,FALSE)*$D$54))))*$D$59/100</f>
        <v>4682.1471515359763</v>
      </c>
      <c r="AM327" s="174">
        <f>(IF(AV327=1,$D$61*(VLOOKUP(C327,$B$36:$AG$39,26,FALSE)+VLOOKUP(C327,$B$40:$AG$43,26,FALSE)*$D$54),IF(H327="근접",$D$61*(VLOOKUP(C327,$B$36:$AG$39,26,FALSE)+VLOOKUP(C327,$B$40:$AG$43,26,FALSE)*$D$54),$D$60*(VLOOKUP(C327,$B$36:$AG$39,26,FALSE)+VLOOKUP(C327,$B$40:$AG$43,26,FALSE)*$D$54))))*$D$59/100</f>
        <v>3161.8787609725614</v>
      </c>
      <c r="AN327" s="174"/>
      <c r="AO327" s="176">
        <v>24</v>
      </c>
      <c r="AP327" s="174">
        <v>36</v>
      </c>
      <c r="AQ327" s="175">
        <f>VLOOKUP(C327,$B$45:$AA$48,25,FALSE)</f>
        <v>363</v>
      </c>
      <c r="AR327" s="31">
        <f>IF(LEFT(E327,1)*1=1,$S$68,$R$68)</f>
        <v>0</v>
      </c>
      <c r="AS327" s="2">
        <f>IF(LEFT(E327,1)*1=2,$U$68,$T$68)</f>
        <v>1</v>
      </c>
      <c r="AT327" s="33">
        <f>IF(LEFT(E327,1)*1=3,$W$68,$V$68)</f>
        <v>1.2</v>
      </c>
      <c r="AU327" s="31">
        <f>IF(MID(E327,3,1)*1=1,$Y$68,$X$68)</f>
        <v>0</v>
      </c>
      <c r="AV327" s="2">
        <f>IF(MID(E327,3,1)*1=2,$AA$68,$Z$68)</f>
        <v>1</v>
      </c>
      <c r="AW327" s="33" t="str">
        <f>IF(MID(E327,3,1)*1=3,$AC$68,$AB$68)</f>
        <v>보스대상</v>
      </c>
      <c r="AX327" s="31">
        <f>IF(MID(E327,5,1)*1=1,$AE$68,$AD$68)</f>
        <v>1</v>
      </c>
      <c r="AY327" s="33">
        <f>IF(MID(E327,5,1)*1=2,$AG$68,$AF$68)</f>
        <v>1</v>
      </c>
      <c r="AZ327" s="2"/>
      <c r="BA327" s="101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</row>
    <row r="328" spans="1:71" ht="12" customHeight="1">
      <c r="A328" s="2"/>
      <c r="B328" s="107">
        <v>724</v>
      </c>
      <c r="C328" s="31">
        <v>7</v>
      </c>
      <c r="D328" s="111" t="s">
        <v>18</v>
      </c>
      <c r="E328" s="2" t="s">
        <v>117</v>
      </c>
      <c r="F328" s="2" t="s">
        <v>149</v>
      </c>
      <c r="G328" s="2"/>
      <c r="H328" s="33" t="s">
        <v>80</v>
      </c>
      <c r="I328" s="173">
        <f>M328/AE328</f>
        <v>776.06032806774283</v>
      </c>
      <c r="J328" s="174">
        <f>AH328/AE328</f>
        <v>19.637781784066725</v>
      </c>
      <c r="K328" s="207">
        <f>RANK(I328,$I$76:$I$977)</f>
        <v>252</v>
      </c>
      <c r="L328" s="208" t="e">
        <f>RANK(I328,$I$451:$I$866)</f>
        <v>#N/A</v>
      </c>
      <c r="M328" s="173">
        <f>SUM(N328:R328)</f>
        <v>14345.301428960694</v>
      </c>
      <c r="N328" s="174">
        <f>T328*(1+((AG328+IF(F328="백어택",8,0))/100)*(AI328/100-1))</f>
        <v>8562.7983605236695</v>
      </c>
      <c r="O328" s="174">
        <f>U328*(1+(($D$57+IF(F328="백어택",8,0))/100)*(AI328/100-1))</f>
        <v>5782.5030684370258</v>
      </c>
      <c r="P328" s="174"/>
      <c r="Q328" s="174"/>
      <c r="R328" s="175"/>
      <c r="S328" s="173">
        <f>SUM(T328:X328)</f>
        <v>11295.397314012294</v>
      </c>
      <c r="T328" s="174">
        <f>AL328*IF(H328="근접",AT328,IF(AV328=1,AT328,1))*AX328*IF(F328="백어택",1.2,1)</f>
        <v>6742.2918982118053</v>
      </c>
      <c r="U328" s="174">
        <f>IF(AX328=1,AM328*IF(H328="근접",AT328,IF(AV328=1,AT328,1)),0)*AY328*IF(AX328=1,1,0)*IF(F328="백어택",1.2,1)</f>
        <v>4553.1054158004881</v>
      </c>
      <c r="V328" s="174"/>
      <c r="W328" s="174"/>
      <c r="X328" s="175"/>
      <c r="Y328" s="173">
        <f>SUM(Z328:AD328)</f>
        <v>22590.794628024589</v>
      </c>
      <c r="Z328" s="174">
        <f>T328*$D$58/100</f>
        <v>13484.583796423611</v>
      </c>
      <c r="AA328" s="174">
        <f>U328*$D$58/100</f>
        <v>9106.2108316009762</v>
      </c>
      <c r="AB328" s="174"/>
      <c r="AC328" s="174"/>
      <c r="AD328" s="175"/>
      <c r="AE328" s="173">
        <f>(AO328*(1-$D$20/100)*(1-$D$17/100)-AR328)*IF(AW328="보스대상",1,POWER(0.85,AW328))</f>
        <v>18.484776131615998</v>
      </c>
      <c r="AF328" s="174">
        <f>AP328</f>
        <v>36</v>
      </c>
      <c r="AG328" s="174">
        <f>IF($D$57+AU328&gt;100,100,$D$57+AU328)</f>
        <v>19.001300000000001</v>
      </c>
      <c r="AH328" s="174">
        <f>AQ328</f>
        <v>363</v>
      </c>
      <c r="AI328" s="174">
        <f>$D$58</f>
        <v>200</v>
      </c>
      <c r="AJ328" s="174">
        <f>10*AS328/IF(AX328=1,IF(AY328=1,4.5,4),4)</f>
        <v>2.2222222222222223</v>
      </c>
      <c r="AK328" s="174">
        <f>SUM(AL328:AN328)</f>
        <v>7844.0259125085377</v>
      </c>
      <c r="AL328" s="174">
        <f>IF(AV328=1,$D$61*(VLOOKUP(C328,$B$36:$AG$39,25,FALSE)+VLOOKUP(C328,$B$40:$AG$43,25,FALSE)*$D$54),(IF(H328="근접",$D$61*(VLOOKUP(C328,$B$36:$AG$39,25,FALSE)+VLOOKUP(C328,$B$40:$AG$43,25,FALSE)*$D$54),$D$60*(VLOOKUP(C328,$B$36:$AG$39,25,FALSE)+VLOOKUP(C328,$B$40:$AG$43,25,FALSE)*$D$54))))*$D$59/100</f>
        <v>4682.1471515359763</v>
      </c>
      <c r="AM328" s="174">
        <f>(IF(AV328=1,$D$61*(VLOOKUP(C328,$B$36:$AG$39,26,FALSE)+VLOOKUP(C328,$B$40:$AG$43,26,FALSE)*$D$54),IF(H328="근접",$D$61*(VLOOKUP(C328,$B$36:$AG$39,26,FALSE)+VLOOKUP(C328,$B$40:$AG$43,26,FALSE)*$D$54),$D$60*(VLOOKUP(C328,$B$36:$AG$39,26,FALSE)+VLOOKUP(C328,$B$40:$AG$43,26,FALSE)*$D$54))))*$D$59/100</f>
        <v>3161.8787609725614</v>
      </c>
      <c r="AN328" s="174"/>
      <c r="AO328" s="176">
        <v>24</v>
      </c>
      <c r="AP328" s="174">
        <v>36</v>
      </c>
      <c r="AQ328" s="175">
        <f>VLOOKUP(C328,$B$45:$AA$48,25,FALSE)</f>
        <v>363</v>
      </c>
      <c r="AR328" s="31">
        <f>IF(LEFT(E328,1)*1=1,$S$68,$R$68)</f>
        <v>0</v>
      </c>
      <c r="AS328" s="2">
        <f>IF(LEFT(E328,1)*1=2,$U$68,$T$68)</f>
        <v>1</v>
      </c>
      <c r="AT328" s="33">
        <f>IF(LEFT(E328,1)*1=3,$W$68,$V$68)</f>
        <v>1.2</v>
      </c>
      <c r="AU328" s="31">
        <f>IF(MID(E328,3,1)*1=1,$Y$68,$X$68)</f>
        <v>0</v>
      </c>
      <c r="AV328" s="2">
        <f>IF(MID(E328,3,1)*1=2,$AA$68,$Z$68)</f>
        <v>1</v>
      </c>
      <c r="AW328" s="33" t="str">
        <f>IF(MID(E328,3,1)*1=3,$AC$68,$AB$68)</f>
        <v>보스대상</v>
      </c>
      <c r="AX328" s="31">
        <f>IF(MID(E328,5,1)*1=1,$AE$68,$AD$68)</f>
        <v>1</v>
      </c>
      <c r="AY328" s="33">
        <f>IF(MID(E328,5,1)*1=2,$AG$68,$AF$68)</f>
        <v>1</v>
      </c>
      <c r="AZ328" s="2"/>
      <c r="BA328" s="101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</row>
    <row r="329" spans="1:71" ht="12" customHeight="1">
      <c r="A329" s="2"/>
      <c r="B329" s="107">
        <v>624</v>
      </c>
      <c r="C329" s="31">
        <v>7</v>
      </c>
      <c r="D329" s="111" t="s">
        <v>18</v>
      </c>
      <c r="E329" s="2" t="s">
        <v>163</v>
      </c>
      <c r="F329" s="2"/>
      <c r="G329" s="2"/>
      <c r="H329" s="33" t="s">
        <v>81</v>
      </c>
      <c r="I329" s="173">
        <f>M329/AE329</f>
        <v>773.73316418567674</v>
      </c>
      <c r="J329" s="174">
        <f>AH329/AE329</f>
        <v>25.060794637183101</v>
      </c>
      <c r="K329" s="207">
        <f>RANK(I329,$I$76:$I$977)</f>
        <v>254</v>
      </c>
      <c r="L329" s="208" t="e">
        <f>RANK(I329,$I$451:$I$866)</f>
        <v>#N/A</v>
      </c>
      <c r="M329" s="173">
        <f>SUM(N329:R329)</f>
        <v>11207.351668836413</v>
      </c>
      <c r="N329" s="174">
        <f>T329*(1+((AG329+IF(F329="백어택",8,0))/100)*(AI329/100-1))</f>
        <v>7444.6748388551714</v>
      </c>
      <c r="O329" s="174">
        <f>U329*(1+(($D$57+IF(F329="백어택",8,0))/100)*(AI329/100-1))</f>
        <v>3762.6768299812406</v>
      </c>
      <c r="P329" s="174"/>
      <c r="Q329" s="174"/>
      <c r="R329" s="175"/>
      <c r="S329" s="173">
        <f>SUM(T329:X329)</f>
        <v>7844.0259125085377</v>
      </c>
      <c r="T329" s="174">
        <f>AL329*IF(H329="근접",AT329,IF(AV329=1,AT329,1))*AX329*IF(F329="백어택",1.2,1)</f>
        <v>4682.1471515359763</v>
      </c>
      <c r="U329" s="174">
        <f>IF(AX329=1,AM329*IF(H329="근접",AT329,IF(AV329=1,AT329,1)),0)*AY329*IF(AX329=1,1,0)*IF(F329="백어택",1.2,1)</f>
        <v>3161.8787609725614</v>
      </c>
      <c r="V329" s="174"/>
      <c r="W329" s="174"/>
      <c r="X329" s="175"/>
      <c r="Y329" s="173">
        <f>SUM(Z329:AD329)</f>
        <v>15688.051825017075</v>
      </c>
      <c r="Z329" s="174">
        <f>T329*$D$58/100</f>
        <v>9364.2943030719525</v>
      </c>
      <c r="AA329" s="174">
        <f>U329*$D$58/100</f>
        <v>6323.7575219451228</v>
      </c>
      <c r="AB329" s="174"/>
      <c r="AC329" s="174"/>
      <c r="AD329" s="175"/>
      <c r="AE329" s="173">
        <f>(AO329*(1-$D$20/100)*(1-$D$17/100)-AR329)*IF(AW329="보스대상",1,POWER(0.85,AW329))</f>
        <v>14.484776131615998</v>
      </c>
      <c r="AF329" s="174">
        <f>AP329</f>
        <v>36</v>
      </c>
      <c r="AG329" s="174">
        <f>IF($D$57+AU329&gt;100,100,$D$57+AU329)</f>
        <v>59.001300000000001</v>
      </c>
      <c r="AH329" s="174">
        <f>AQ329</f>
        <v>363</v>
      </c>
      <c r="AI329" s="174">
        <f>$D$58</f>
        <v>200</v>
      </c>
      <c r="AJ329" s="174">
        <f>10*AS329/IF(AX329=1,IF(AY329=1,4.5,4),4)</f>
        <v>2.2222222222222223</v>
      </c>
      <c r="AK329" s="174">
        <f>SUM(AL329:AN329)</f>
        <v>7844.0259125085377</v>
      </c>
      <c r="AL329" s="174">
        <f>IF(AV329=1,$D$61*(VLOOKUP(C329,$B$36:$AG$39,25,FALSE)+VLOOKUP(C329,$B$40:$AG$43,25,FALSE)*$D$54),(IF(H329="근접",$D$61*(VLOOKUP(C329,$B$36:$AG$39,25,FALSE)+VLOOKUP(C329,$B$40:$AG$43,25,FALSE)*$D$54),$D$60*(VLOOKUP(C329,$B$36:$AG$39,25,FALSE)+VLOOKUP(C329,$B$40:$AG$43,25,FALSE)*$D$54))))*$D$59/100</f>
        <v>4682.1471515359763</v>
      </c>
      <c r="AM329" s="174">
        <f>(IF(AV329=1,$D$61*(VLOOKUP(C329,$B$36:$AG$39,26,FALSE)+VLOOKUP(C329,$B$40:$AG$43,26,FALSE)*$D$54),IF(H329="근접",$D$61*(VLOOKUP(C329,$B$36:$AG$39,26,FALSE)+VLOOKUP(C329,$B$40:$AG$43,26,FALSE)*$D$54),$D$60*(VLOOKUP(C329,$B$36:$AG$39,26,FALSE)+VLOOKUP(C329,$B$40:$AG$43,26,FALSE)*$D$54))))*$D$59/100</f>
        <v>3161.8787609725614</v>
      </c>
      <c r="AN329" s="174"/>
      <c r="AO329" s="176">
        <v>24</v>
      </c>
      <c r="AP329" s="174">
        <v>36</v>
      </c>
      <c r="AQ329" s="175">
        <f>VLOOKUP(C329,$B$45:$AA$48,25,FALSE)</f>
        <v>363</v>
      </c>
      <c r="AR329" s="31">
        <f>IF(LEFT(E329,1)*1=1,$S$68,$R$68)</f>
        <v>4</v>
      </c>
      <c r="AS329" s="2">
        <f>IF(LEFT(E329,1)*1=2,$U$68,$T$68)</f>
        <v>1</v>
      </c>
      <c r="AT329" s="33">
        <f>IF(LEFT(E329,1)*1=3,$W$68,$V$68)</f>
        <v>1</v>
      </c>
      <c r="AU329" s="31">
        <f>IF(MID(E329,3,1)*1=1,$Y$68,$X$68)</f>
        <v>40</v>
      </c>
      <c r="AV329" s="2">
        <f>IF(MID(E329,3,1)*1=2,$AA$68,$Z$68)</f>
        <v>0</v>
      </c>
      <c r="AW329" s="33" t="str">
        <f>IF(MID(E329,3,1)*1=3,$AC$68,$AB$68)</f>
        <v>보스대상</v>
      </c>
      <c r="AX329" s="31">
        <f>IF(MID(E329,5,1)*1=1,$AE$68,$AD$68)</f>
        <v>1</v>
      </c>
      <c r="AY329" s="33">
        <f>IF(MID(E329,5,1)*1=2,$AG$68,$AF$68)</f>
        <v>1</v>
      </c>
      <c r="AZ329" s="2"/>
      <c r="BA329" s="101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</row>
    <row r="330" spans="1:71" ht="12" customHeight="1">
      <c r="A330" s="2"/>
      <c r="B330" s="107">
        <v>378</v>
      </c>
      <c r="C330" s="31">
        <v>10</v>
      </c>
      <c r="D330" s="111" t="s">
        <v>8</v>
      </c>
      <c r="E330" s="2" t="s">
        <v>141</v>
      </c>
      <c r="F330" s="2"/>
      <c r="G330" s="2"/>
      <c r="H330" s="33" t="s">
        <v>81</v>
      </c>
      <c r="I330" s="173">
        <f>M330/AE330</f>
        <v>773.27888392528996</v>
      </c>
      <c r="J330" s="174">
        <f>AH330/AE330</f>
        <v>39.459498714320297</v>
      </c>
      <c r="K330" s="207">
        <f>RANK(I330,$I$76:$I$977)</f>
        <v>255</v>
      </c>
      <c r="L330" s="208" t="e">
        <f>RANK(I330,$I$451:$I$866)</f>
        <v>#N/A</v>
      </c>
      <c r="M330" s="173">
        <f>SUM(N330:R330)</f>
        <v>14293.887056664858</v>
      </c>
      <c r="N330" s="174">
        <f>T330*(1+((AG330+IF(F330="백어택",8,0))/100)*(IF(AY330=1,$D$58,$D$58+50)/100-1))</f>
        <v>3813.5824295297634</v>
      </c>
      <c r="O330" s="174">
        <f>U330*(1+((AG330+IF(F330="백어택",8,0))/100)*(AI330/100-1))</f>
        <v>5240.1523135675479</v>
      </c>
      <c r="P330" s="174">
        <f>V330*(1+((AG330+IF(F330="백어택",8,0))/100)*(AI330/100-1))</f>
        <v>5240.1523135675479</v>
      </c>
      <c r="Q330" s="174"/>
      <c r="R330" s="175"/>
      <c r="S330" s="173">
        <f>SUM(T330:X330)</f>
        <v>11384.602443845122</v>
      </c>
      <c r="T330" s="174">
        <f>AL330*IF(H330="근접",AR330,1)*AY330*IF(F330="백어택",1.2,1)</f>
        <v>3204.6561084036589</v>
      </c>
      <c r="U330" s="174">
        <f>AM330*IF(H330="근접",AR330,1)*AY330*IF(F330="백어택",1.2,1)</f>
        <v>4089.9731677207315</v>
      </c>
      <c r="V330" s="174">
        <f>IF(AX330=1,0,AM330*IF(H330="근접",AR330,1)*AY330)*IF(F330="백어택",1.2,1)</f>
        <v>4089.9731677207315</v>
      </c>
      <c r="W330" s="174"/>
      <c r="X330" s="175"/>
      <c r="Y330" s="173">
        <f>SUM(Z330:AD330)</f>
        <v>26695.579128702149</v>
      </c>
      <c r="Z330" s="174">
        <f>T330*IF(AY330=1,$D$58,$D$58+50)/100</f>
        <v>6409.3122168073178</v>
      </c>
      <c r="AA330" s="174">
        <f>U330*AI330/100</f>
        <v>10143.133455947414</v>
      </c>
      <c r="AB330" s="174">
        <f>V330*AI330/100</f>
        <v>10143.133455947414</v>
      </c>
      <c r="AC330" s="174"/>
      <c r="AD330" s="175"/>
      <c r="AE330" s="173">
        <f>AO330*(1-$D$20/100)*(1-$D$17/100)</f>
        <v>18.484776131615998</v>
      </c>
      <c r="AF330" s="174">
        <f>AP330</f>
        <v>36</v>
      </c>
      <c r="AG330" s="174">
        <f>IF($D$57+AU330&gt;100,100,$D$57+AU330)</f>
        <v>19.001300000000001</v>
      </c>
      <c r="AH330" s="174">
        <f>IF(AX330=1,AQ330,AQ330*1.4)</f>
        <v>729.4</v>
      </c>
      <c r="AI330" s="174">
        <f>IF(AY330=1,$D$58,$D$58+50)*AW330</f>
        <v>248</v>
      </c>
      <c r="AJ330" s="174">
        <f>10/6/AX330</f>
        <v>1.1111111111111112</v>
      </c>
      <c r="AK330" s="174">
        <f>SUM(AL330:AN330)</f>
        <v>7294.6292761243903</v>
      </c>
      <c r="AL330" s="174">
        <f>(IF(H330="근접",$D$61*(VLOOKUP(C330,$B$36:$AG$39,9,FALSE)+VLOOKUP(C330,$B$40:$AG$43,9,FALSE)*$D$54),$D$60*(VLOOKUP(C330,$B$36:$AG$39,9,FALSE)+VLOOKUP(C330,$B$40:$AG$43,9,FALSE)*$D$54)))*$D$59/100</f>
        <v>3204.6561084036589</v>
      </c>
      <c r="AM330" s="174">
        <f>(IF(H330="근접",$D$61*(VLOOKUP(C330,$B$36:$AG$39,10,FALSE)+VLOOKUP(C330,$B$40:$AG$43,10,FALSE)*$D$54),$D$60*(VLOOKUP(C330,$B$36:$AG$39,10,FALSE)+VLOOKUP(C330,$B$40:$AG$43,10,FALSE)*$D$54)))*$D$59/100</f>
        <v>4089.9731677207315</v>
      </c>
      <c r="AN330" s="174"/>
      <c r="AO330" s="176">
        <v>24</v>
      </c>
      <c r="AP330" s="174">
        <v>36</v>
      </c>
      <c r="AQ330" s="175">
        <f>VLOOKUP(C330,$B$45:$AA$48,9,FALSE)</f>
        <v>521</v>
      </c>
      <c r="AR330" s="31">
        <f>IF(LEFT(E330,1)*1=1,$S$58,$R$58)</f>
        <v>1</v>
      </c>
      <c r="AS330" s="2">
        <f>IF(LEFT(E330,1)*1=2,$U$58,$T$58)</f>
        <v>0</v>
      </c>
      <c r="AT330" s="33">
        <f>IF(LEFT(E330,1)*1=3,$W$58,$V$58)</f>
        <v>0</v>
      </c>
      <c r="AU330" s="31">
        <f>IF(MID(E330,3,1)*1=1,$Y$58,$X$58)</f>
        <v>0</v>
      </c>
      <c r="AV330" s="2">
        <f>IF(MID(E330,3,1)*1=2,$AA$58,$Z$58)</f>
        <v>0</v>
      </c>
      <c r="AW330" s="33">
        <f>IF(MID(E330,3,1)*1=3,$AC$58,$AB$58)</f>
        <v>1.24</v>
      </c>
      <c r="AX330" s="31">
        <f>IF(MID(E330,5,1)*1=1,$AE$58,$AD$58)</f>
        <v>1.5</v>
      </c>
      <c r="AY330" s="33">
        <f>IF(MID(E330,5,1)*1=2,$AG$58,$AF$58)</f>
        <v>1</v>
      </c>
      <c r="AZ330" s="2"/>
      <c r="BA330" s="101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</row>
    <row r="331" spans="1:71" ht="12" customHeight="1">
      <c r="A331" s="2"/>
      <c r="B331" s="107">
        <v>888</v>
      </c>
      <c r="C331" s="31">
        <v>10</v>
      </c>
      <c r="D331" s="113" t="s">
        <v>22</v>
      </c>
      <c r="E331" s="2" t="s">
        <v>92</v>
      </c>
      <c r="F331" s="2"/>
      <c r="G331" s="2"/>
      <c r="H331" s="33"/>
      <c r="I331" s="173">
        <f>M331/AE331</f>
        <v>773.0629747372094</v>
      </c>
      <c r="J331" s="174">
        <f>AH331/AE331</f>
        <v>19.780450366105395</v>
      </c>
      <c r="K331" s="207">
        <f>RANK(I331,$I$76:$I$977)</f>
        <v>256</v>
      </c>
      <c r="L331" s="208" t="e">
        <f>RANK(I331,$I$867:$I$977)</f>
        <v>#N/A</v>
      </c>
      <c r="M331" s="173">
        <f>SUM(N331:R331)*(1+$D$22/100)</f>
        <v>23136.646161941564</v>
      </c>
      <c r="N331" s="174">
        <f>T331*(1+((AG331+IF(F331="백어택",8,0))/100)*(AI331/100-1))</f>
        <v>20846.139104756097</v>
      </c>
      <c r="O331" s="174"/>
      <c r="P331" s="174"/>
      <c r="Q331" s="174"/>
      <c r="R331" s="175">
        <f>X331*(1+($D$57/100)*(AI331/100-1))</f>
        <v>0</v>
      </c>
      <c r="S331" s="173">
        <f>SUM(T331:X331)</f>
        <v>10423.069552378049</v>
      </c>
      <c r="T331" s="174">
        <f>AL331*AU331</f>
        <v>10423.069552378049</v>
      </c>
      <c r="U331" s="174"/>
      <c r="V331" s="174"/>
      <c r="W331" s="174"/>
      <c r="X331" s="175">
        <f>AL331*AW331</f>
        <v>0</v>
      </c>
      <c r="Y331" s="173">
        <f>SUM(Z331:AD331)</f>
        <v>20846.139104756097</v>
      </c>
      <c r="Z331" s="174">
        <f>T331*$D$58/100</f>
        <v>20846.139104756097</v>
      </c>
      <c r="AA331" s="174"/>
      <c r="AB331" s="174"/>
      <c r="AC331" s="174"/>
      <c r="AD331" s="175"/>
      <c r="AE331" s="173">
        <f>AO331*(1-$D$17/100)</f>
        <v>29.928540000000002</v>
      </c>
      <c r="AF331" s="174">
        <f>AP331+AV331</f>
        <v>36</v>
      </c>
      <c r="AG331" s="174">
        <f>IF($D$57+AY331&gt;100,100,$D$57+AY331)</f>
        <v>100</v>
      </c>
      <c r="AH331" s="174">
        <f>AQ331*AR331</f>
        <v>592</v>
      </c>
      <c r="AI331" s="174">
        <f>$D$58</f>
        <v>200</v>
      </c>
      <c r="AJ331" s="174">
        <f>10/5</f>
        <v>2</v>
      </c>
      <c r="AK331" s="174">
        <f>SUM(AL331:AN331)</f>
        <v>10423.069552378049</v>
      </c>
      <c r="AL331" s="174">
        <f>(VLOOKUP(C331,$B$36:$AG$39,32,FALSE)+VLOOKUP(C331,$B$40:$AG$43,32,FALSE)*$D$54)*$D$59/100</f>
        <v>10423.069552378049</v>
      </c>
      <c r="AM331" s="174"/>
      <c r="AN331" s="174"/>
      <c r="AO331" s="176">
        <v>30</v>
      </c>
      <c r="AP331" s="174">
        <v>36</v>
      </c>
      <c r="AQ331" s="175">
        <f>VLOOKUP(C331,$B$45:$AG$48,32,FALSE)</f>
        <v>592</v>
      </c>
      <c r="AR331" s="31">
        <f>IF(LEFT(E331,1)*1=1,$S$72,$R$72)</f>
        <v>1</v>
      </c>
      <c r="AS331" s="2">
        <f>IF(LEFT(E331,1)*1=2,$U$72,$T$72)</f>
        <v>0</v>
      </c>
      <c r="AT331" s="33">
        <f>IF(LEFT(E331,1)*1=3,$W$72,$V$72)</f>
        <v>0</v>
      </c>
      <c r="AU331" s="31">
        <f>IF(MID(E331,3,1)*1=1,$Y$72,$X$72)</f>
        <v>1</v>
      </c>
      <c r="AV331" s="2">
        <f>IF(MID(E331,3,1)*1=2,$AA$72,$Z$72)</f>
        <v>0</v>
      </c>
      <c r="AW331" s="33">
        <f>IF(MID(E331,3,1)*1=3,$AC$72,$AB$72)</f>
        <v>0</v>
      </c>
      <c r="AX331" s="31">
        <f>IF(MID(E331,5,1)*1=1,$AE$72,$AD$72)</f>
        <v>0</v>
      </c>
      <c r="AY331" s="33">
        <f>IF(MID(E331,5,1)*1=2,$AG$72,$AF$72)</f>
        <v>100</v>
      </c>
      <c r="AZ331" s="2"/>
      <c r="BA331" s="101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</row>
    <row r="332" spans="1:71" ht="12" customHeight="1">
      <c r="A332" s="2"/>
      <c r="B332" s="107">
        <v>891</v>
      </c>
      <c r="C332" s="31">
        <v>10</v>
      </c>
      <c r="D332" s="113" t="s">
        <v>22</v>
      </c>
      <c r="E332" s="2" t="s">
        <v>151</v>
      </c>
      <c r="F332" s="2"/>
      <c r="G332" s="2"/>
      <c r="H332" s="33"/>
      <c r="I332" s="173">
        <f>M332/AE332</f>
        <v>773.0629747372094</v>
      </c>
      <c r="J332" s="174">
        <f>AH332/AE332</f>
        <v>9.8902251830526975</v>
      </c>
      <c r="K332" s="207">
        <f>RANK(I332,$I$76:$I$977)</f>
        <v>256</v>
      </c>
      <c r="L332" s="208" t="e">
        <f>RANK(I332,$I$867:$I$977)</f>
        <v>#N/A</v>
      </c>
      <c r="M332" s="173">
        <f>SUM(N332:R332)*(1+$D$22/100)</f>
        <v>23136.646161941564</v>
      </c>
      <c r="N332" s="174">
        <f>T332*(1+((AG332+IF(F332="백어택",8,0))/100)*(AI332/100-1))</f>
        <v>20846.139104756097</v>
      </c>
      <c r="O332" s="174"/>
      <c r="P332" s="174"/>
      <c r="Q332" s="174"/>
      <c r="R332" s="175">
        <f>X332*(1+($D$57/100)*(AI332/100-1))</f>
        <v>0</v>
      </c>
      <c r="S332" s="173">
        <f>SUM(T332:X332)</f>
        <v>10423.069552378049</v>
      </c>
      <c r="T332" s="174">
        <f>AL332*AU332</f>
        <v>10423.069552378049</v>
      </c>
      <c r="U332" s="174"/>
      <c r="V332" s="174"/>
      <c r="W332" s="174"/>
      <c r="X332" s="175">
        <f>AL332*AW332</f>
        <v>0</v>
      </c>
      <c r="Y332" s="173">
        <f>SUM(Z332:AD332)</f>
        <v>20846.139104756097</v>
      </c>
      <c r="Z332" s="174">
        <f>T332*$D$58/100</f>
        <v>20846.139104756097</v>
      </c>
      <c r="AA332" s="174"/>
      <c r="AB332" s="174"/>
      <c r="AC332" s="174"/>
      <c r="AD332" s="175"/>
      <c r="AE332" s="173">
        <f>AO332*(1-$D$17/100)</f>
        <v>29.928540000000002</v>
      </c>
      <c r="AF332" s="174">
        <f>AP332+AV332</f>
        <v>36</v>
      </c>
      <c r="AG332" s="174">
        <f>IF($D$57+AY332&gt;100,100,$D$57+AY332)</f>
        <v>100</v>
      </c>
      <c r="AH332" s="174">
        <f>AQ332*AR332</f>
        <v>296</v>
      </c>
      <c r="AI332" s="174">
        <f>$D$58</f>
        <v>200</v>
      </c>
      <c r="AJ332" s="174">
        <f>10/5</f>
        <v>2</v>
      </c>
      <c r="AK332" s="174">
        <f>SUM(AL332:AN332)</f>
        <v>10423.069552378049</v>
      </c>
      <c r="AL332" s="174">
        <f>(VLOOKUP(C332,$B$36:$AG$39,32,FALSE)+VLOOKUP(C332,$B$40:$AG$43,32,FALSE)*$D$54)*$D$59/100</f>
        <v>10423.069552378049</v>
      </c>
      <c r="AM332" s="174"/>
      <c r="AN332" s="174"/>
      <c r="AO332" s="176">
        <v>30</v>
      </c>
      <c r="AP332" s="174">
        <v>36</v>
      </c>
      <c r="AQ332" s="175">
        <f>VLOOKUP(C332,$B$45:$AG$48,32,FALSE)</f>
        <v>592</v>
      </c>
      <c r="AR332" s="31">
        <f>IF(LEFT(E332,1)*1=1,$S$72,$R$72)</f>
        <v>0.5</v>
      </c>
      <c r="AS332" s="2">
        <f>IF(LEFT(E332,1)*1=2,$U$72,$T$72)</f>
        <v>0</v>
      </c>
      <c r="AT332" s="33">
        <f>IF(LEFT(E332,1)*1=3,$W$72,$V$72)</f>
        <v>0</v>
      </c>
      <c r="AU332" s="31">
        <f>IF(MID(E332,3,1)*1=1,$Y$72,$X$72)</f>
        <v>1</v>
      </c>
      <c r="AV332" s="2">
        <f>IF(MID(E332,3,1)*1=2,$AA$72,$Z$72)</f>
        <v>0</v>
      </c>
      <c r="AW332" s="33">
        <f>IF(MID(E332,3,1)*1=3,$AC$72,$AB$72)</f>
        <v>0</v>
      </c>
      <c r="AX332" s="31">
        <f>IF(MID(E332,5,1)*1=1,$AE$72,$AD$72)</f>
        <v>0</v>
      </c>
      <c r="AY332" s="33">
        <f>IF(MID(E332,5,1)*1=2,$AG$72,$AF$72)</f>
        <v>100</v>
      </c>
      <c r="AZ332" s="2"/>
      <c r="BA332" s="101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</row>
    <row r="333" spans="1:71" ht="12" customHeight="1">
      <c r="A333" s="2"/>
      <c r="B333" s="107">
        <v>61</v>
      </c>
      <c r="C333" s="31">
        <v>10</v>
      </c>
      <c r="D333" s="106" t="s">
        <v>4</v>
      </c>
      <c r="E333" s="2" t="s">
        <v>147</v>
      </c>
      <c r="F333" s="2"/>
      <c r="G333" s="2" t="s">
        <v>172</v>
      </c>
      <c r="H333" s="33"/>
      <c r="I333" s="173">
        <f>M333/AE333</f>
        <v>769.8443856256747</v>
      </c>
      <c r="J333" s="174">
        <f>AH333/AE333</f>
        <v>29.152775243964456</v>
      </c>
      <c r="K333" s="207">
        <f>RANK(I333,$I$76:$I$977)</f>
        <v>258</v>
      </c>
      <c r="L333" s="208">
        <f>RANK(I333,$I$76:$I$450)</f>
        <v>258</v>
      </c>
      <c r="M333" s="173">
        <f>SUM(N333:R333)</f>
        <v>9216.1273955893721</v>
      </c>
      <c r="N333" s="174">
        <f>T333*(1+((AG333+IF(F333="백어택",8,0))/100)*((AI333/100-1)))</f>
        <v>1089.6013904763372</v>
      </c>
      <c r="O333" s="174">
        <f>U333*(1+((AG333+IF(F333="백어택",8,0))/100)*(AI333/100-1))</f>
        <v>8126.5260051130344</v>
      </c>
      <c r="P333" s="174"/>
      <c r="Q333" s="174"/>
      <c r="R333" s="175"/>
      <c r="S333" s="173">
        <f>SUM(T333:X333)</f>
        <v>6979.8924315817076</v>
      </c>
      <c r="T333" s="174">
        <f>AT333*AL333*IF(F333="백어택",1.2,1)</f>
        <v>825.21651148902447</v>
      </c>
      <c r="U333" s="174">
        <f>AM333*AW333*AX333*AY333*IF(F333="백어택",1.2,1)</f>
        <v>6154.6759200926826</v>
      </c>
      <c r="V333" s="174"/>
      <c r="W333" s="174"/>
      <c r="X333" s="175"/>
      <c r="Y333" s="173">
        <f>SUM(Z333:AD333)</f>
        <v>13959.784863163415</v>
      </c>
      <c r="Z333" s="174">
        <f>T333*$D$58/100</f>
        <v>1650.4330229780489</v>
      </c>
      <c r="AA333" s="174">
        <f>U333*$D$58/100</f>
        <v>12309.351840185365</v>
      </c>
      <c r="AB333" s="174"/>
      <c r="AC333" s="174"/>
      <c r="AD333" s="175"/>
      <c r="AE333" s="173">
        <f>AO333*(1-$D$17/100)</f>
        <v>11.971416</v>
      </c>
      <c r="AF333" s="174">
        <f>AP333</f>
        <v>36</v>
      </c>
      <c r="AG333" s="174">
        <f>IF($D$57&gt;100,100,$D$57)</f>
        <v>19.001300000000001</v>
      </c>
      <c r="AH333" s="174">
        <f>AQ333</f>
        <v>349</v>
      </c>
      <c r="AI333" s="174">
        <f>$D$58+$D$19</f>
        <v>268.61079999999998</v>
      </c>
      <c r="AJ333" s="174">
        <f>10/IF(AY333=1,5,4)</f>
        <v>2</v>
      </c>
      <c r="AK333" s="174">
        <f>SUM(AL333:AN333)</f>
        <v>2748.2428838829269</v>
      </c>
      <c r="AL333" s="174">
        <f>(VLOOKUP(C333,$B$36:$AG$39,4,FALSE)+VLOOKUP(C333,$B$40:$AG$43,4,FALSE)*$D$54)*$D$59/100</f>
        <v>550.14434099268294</v>
      </c>
      <c r="AM333" s="174">
        <f>(VLOOKUP(C333,$B$36:$AG$39,5,FALSE)+VLOOKUP(C333,$B$40:$AG$43,5,FALSE)*$D$54)*$D$59/100</f>
        <v>2198.0985428902441</v>
      </c>
      <c r="AN333" s="174"/>
      <c r="AO333" s="176">
        <v>12</v>
      </c>
      <c r="AP333" s="174">
        <v>36</v>
      </c>
      <c r="AQ333" s="175">
        <f>VLOOKUP(C333,$B$45:$AA$48,4,FALSE)</f>
        <v>349</v>
      </c>
      <c r="AR333" s="31">
        <f>IF(LEFT(E333,1)*1=1,$S$54,$R$54)</f>
        <v>0</v>
      </c>
      <c r="AS333" s="2">
        <f>IF(LEFT(E333,1)*1=2,$U$54,$T$54)</f>
        <v>0</v>
      </c>
      <c r="AT333" s="33">
        <f>IF(LEFT(E333,1)*1=3,$W$54,$V$54)</f>
        <v>1.5</v>
      </c>
      <c r="AU333" s="31">
        <f>IF(MID(E333,3,1)*1=1,$Y$54,$X$54)</f>
        <v>0</v>
      </c>
      <c r="AV333" s="2">
        <f>IF(MID(E333,3,1)*1=2,$AA$54,$Z$54)</f>
        <v>0</v>
      </c>
      <c r="AW333" s="33">
        <f>IF(MID(E333,3,1)*1=3,$AC$54,$AB$54)</f>
        <v>1.4</v>
      </c>
      <c r="AX333" s="31">
        <f>IF(MID(E333,5,1)*1=1,$AE$54,$AD$54)</f>
        <v>2</v>
      </c>
      <c r="AY333" s="33">
        <f>IF(MID(E333,5,1)*1=2,$AG$54,$AF$54)</f>
        <v>1</v>
      </c>
      <c r="AZ333" s="2"/>
      <c r="BA333" s="101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</row>
    <row r="334" spans="1:71" ht="12" customHeight="1">
      <c r="A334" s="2"/>
      <c r="B334" s="107">
        <v>316</v>
      </c>
      <c r="C334" s="31">
        <v>10</v>
      </c>
      <c r="D334" s="106" t="s">
        <v>20</v>
      </c>
      <c r="E334" s="2" t="s">
        <v>140</v>
      </c>
      <c r="F334" s="2" t="s">
        <v>149</v>
      </c>
      <c r="G334" s="2"/>
      <c r="H334" s="33"/>
      <c r="I334" s="173">
        <f>M334/AE334</f>
        <v>769.42405957885637</v>
      </c>
      <c r="J334" s="174">
        <f>AH334/AE334</f>
        <v>24.558498343053152</v>
      </c>
      <c r="K334" s="207">
        <f>RANK(I334,$I$76:$I$977)</f>
        <v>259</v>
      </c>
      <c r="L334" s="208">
        <f>RANK(I334,$I$76:$I$450)</f>
        <v>259</v>
      </c>
      <c r="M334" s="173">
        <f>SUM(N334:R334)</f>
        <v>13816.643246440912</v>
      </c>
      <c r="N334" s="174">
        <f>T334*(1+((AG334+IF(F334="백어택",8,0))/100)*((AI334/100-1)))</f>
        <v>6386.575476885243</v>
      </c>
      <c r="O334" s="174">
        <f>U334*(1+(($D$57+IF(F334="백어택",8,0))/100)*($D$58/100-1))</f>
        <v>7430.0677695556687</v>
      </c>
      <c r="P334" s="174"/>
      <c r="Q334" s="174"/>
      <c r="R334" s="175"/>
      <c r="S334" s="173">
        <f>SUM(T334:X334)</f>
        <v>10238.968498353657</v>
      </c>
      <c r="T334" s="174">
        <f>AL334*AV334*IF(F334="백어택",1.2,1)</f>
        <v>4388.5813215643902</v>
      </c>
      <c r="U334" s="174">
        <f>AM334*AX334*AY334*IF(F334="백어택",1.2,1)</f>
        <v>5850.3871767892679</v>
      </c>
      <c r="V334" s="174"/>
      <c r="W334" s="174"/>
      <c r="X334" s="175"/>
      <c r="Y334" s="173">
        <f>SUM(Z334:AD334)</f>
        <v>20477.936996707314</v>
      </c>
      <c r="Z334" s="174">
        <f>T334*$D$58/100</f>
        <v>8777.1626431287805</v>
      </c>
      <c r="AA334" s="174">
        <f>U334*$D$58/100</f>
        <v>11700.774353578536</v>
      </c>
      <c r="AB334" s="174"/>
      <c r="AC334" s="174"/>
      <c r="AD334" s="175"/>
      <c r="AE334" s="173">
        <f>AO334*(1-$D$17/100)-AR334</f>
        <v>17.957124</v>
      </c>
      <c r="AF334" s="174">
        <f>AP334</f>
        <v>36</v>
      </c>
      <c r="AG334" s="174">
        <f>IF($D$57+AU334&gt;100,100,$D$57+AU334)</f>
        <v>19.001300000000001</v>
      </c>
      <c r="AH334" s="174">
        <f>AQ334*AS334</f>
        <v>441</v>
      </c>
      <c r="AI334" s="174">
        <f>$D$58+$D$19</f>
        <v>268.61079999999998</v>
      </c>
      <c r="AJ334" s="174">
        <f>10*IF(AV334=1,1,5/4.5)/IF(AX334=1,5,3.5)</f>
        <v>3.1746031746031744</v>
      </c>
      <c r="AK334" s="174">
        <f>SUM(AL334:AN334)</f>
        <v>4875.7620578646347</v>
      </c>
      <c r="AL334" s="174">
        <f>(VLOOKUP(C334,$B$36:$AG$39,29,FALSE)+VLOOKUP(C334,$B$40:$AG$43,29,FALSE)*$D$54)*$D$59/100</f>
        <v>2438.1007342024391</v>
      </c>
      <c r="AM334" s="174">
        <f>(VLOOKUP(C334,$B$36:$AG$39,30,FALSE)+VLOOKUP(C334,$B$40:$AG$43,30,FALSE)*$D$54)*$D$59/100</f>
        <v>2437.6613236621952</v>
      </c>
      <c r="AN334" s="174"/>
      <c r="AO334" s="176">
        <v>18</v>
      </c>
      <c r="AP334" s="174">
        <v>36</v>
      </c>
      <c r="AQ334" s="175">
        <f>VLOOKUP(C334,$B$45:$AG$48,29,FALSE)</f>
        <v>441</v>
      </c>
      <c r="AR334" s="31">
        <f>IF(LEFT(E334,1)*1=1,$S$70,$R$70)</f>
        <v>0</v>
      </c>
      <c r="AS334" s="2">
        <f>IF(LEFT(E334,1)*1=2,$U$70,$T$70)</f>
        <v>1</v>
      </c>
      <c r="AT334" s="33">
        <f>IF(LEFT(E334,1)*1=3,$W$70,$V$70)</f>
        <v>0</v>
      </c>
      <c r="AU334" s="31">
        <f>IF(MID(E334,3,1)*1=1,$Y$70,$X$70)</f>
        <v>0</v>
      </c>
      <c r="AV334" s="2">
        <f>IF(MID(E334,3,1)*1=2,$AA$70,$Z$70)</f>
        <v>1.5</v>
      </c>
      <c r="AW334" s="33">
        <f>IF(MID(E334,3,1)*1=3,$AC$70,$AB$70)</f>
        <v>0</v>
      </c>
      <c r="AX334" s="31">
        <f>IF(MID(E334,5,1)*1=1,$AE$70,$AD$70)</f>
        <v>2</v>
      </c>
      <c r="AY334" s="33">
        <f>IF(MID(E334,5,1)*1=2,$AG$70,$AF$70)</f>
        <v>1</v>
      </c>
      <c r="AZ334" s="2"/>
      <c r="BA334" s="101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</row>
    <row r="335" spans="1:71" ht="12" customHeight="1">
      <c r="A335" s="2"/>
      <c r="B335" s="107">
        <v>322</v>
      </c>
      <c r="C335" s="31">
        <v>10</v>
      </c>
      <c r="D335" s="106" t="s">
        <v>20</v>
      </c>
      <c r="E335" s="2" t="s">
        <v>162</v>
      </c>
      <c r="F335" s="2" t="s">
        <v>149</v>
      </c>
      <c r="G335" s="2"/>
      <c r="H335" s="33"/>
      <c r="I335" s="173">
        <f>M335/AE335</f>
        <v>769.42405957885637</v>
      </c>
      <c r="J335" s="174">
        <f>AH335/AE335</f>
        <v>12.279249171526576</v>
      </c>
      <c r="K335" s="207">
        <f>RANK(I335,$I$76:$I$977)</f>
        <v>259</v>
      </c>
      <c r="L335" s="208">
        <f>RANK(I335,$I$76:$I$450)</f>
        <v>259</v>
      </c>
      <c r="M335" s="173">
        <f>SUM(N335:R335)</f>
        <v>13816.643246440912</v>
      </c>
      <c r="N335" s="174">
        <f>T335*(1+((AG335+IF(F335="백어택",8,0))/100)*((AI335/100-1)))</f>
        <v>6386.575476885243</v>
      </c>
      <c r="O335" s="174">
        <f>U335*(1+(($D$57+IF(F335="백어택",8,0))/100)*($D$58/100-1))</f>
        <v>7430.0677695556687</v>
      </c>
      <c r="P335" s="174"/>
      <c r="Q335" s="174"/>
      <c r="R335" s="175"/>
      <c r="S335" s="173">
        <f>SUM(T335:X335)</f>
        <v>10238.968498353657</v>
      </c>
      <c r="T335" s="174">
        <f>AL335*AV335*IF(F335="백어택",1.2,1)</f>
        <v>4388.5813215643902</v>
      </c>
      <c r="U335" s="174">
        <f>AM335*AX335*AY335*IF(F335="백어택",1.2,1)</f>
        <v>5850.3871767892679</v>
      </c>
      <c r="V335" s="174"/>
      <c r="W335" s="174"/>
      <c r="X335" s="175"/>
      <c r="Y335" s="173">
        <f>SUM(Z335:AD335)</f>
        <v>20477.936996707314</v>
      </c>
      <c r="Z335" s="174">
        <f>T335*$D$58/100</f>
        <v>8777.1626431287805</v>
      </c>
      <c r="AA335" s="174">
        <f>U335*$D$58/100</f>
        <v>11700.774353578536</v>
      </c>
      <c r="AB335" s="174"/>
      <c r="AC335" s="174"/>
      <c r="AD335" s="175"/>
      <c r="AE335" s="173">
        <f>AO335*(1-$D$17/100)-AR335</f>
        <v>17.957124</v>
      </c>
      <c r="AF335" s="174">
        <f>AP335</f>
        <v>36</v>
      </c>
      <c r="AG335" s="174">
        <f>IF($D$57+AU335&gt;100,100,$D$57+AU335)</f>
        <v>19.001300000000001</v>
      </c>
      <c r="AH335" s="174">
        <f>AQ335*AS335</f>
        <v>220.5</v>
      </c>
      <c r="AI335" s="174">
        <f>$D$58+$D$19</f>
        <v>268.61079999999998</v>
      </c>
      <c r="AJ335" s="174">
        <f>10*IF(AV335=1,1,5/4.5)/IF(AX335=1,5,3.5)</f>
        <v>3.1746031746031744</v>
      </c>
      <c r="AK335" s="174">
        <f>SUM(AL335:AN335)</f>
        <v>4875.7620578646347</v>
      </c>
      <c r="AL335" s="174">
        <f>(VLOOKUP(C335,$B$36:$AG$39,29,FALSE)+VLOOKUP(C335,$B$40:$AG$43,29,FALSE)*$D$54)*$D$59/100</f>
        <v>2438.1007342024391</v>
      </c>
      <c r="AM335" s="174">
        <f>(VLOOKUP(C335,$B$36:$AG$39,30,FALSE)+VLOOKUP(C335,$B$40:$AG$43,30,FALSE)*$D$54)*$D$59/100</f>
        <v>2437.6613236621952</v>
      </c>
      <c r="AN335" s="174"/>
      <c r="AO335" s="176">
        <v>18</v>
      </c>
      <c r="AP335" s="174">
        <v>36</v>
      </c>
      <c r="AQ335" s="175">
        <f>VLOOKUP(C335,$B$45:$AG$48,29,FALSE)</f>
        <v>441</v>
      </c>
      <c r="AR335" s="31">
        <f>IF(LEFT(E335,1)*1=1,$S$70,$R$70)</f>
        <v>0</v>
      </c>
      <c r="AS335" s="2">
        <f>IF(LEFT(E335,1)*1=2,$U$70,$T$70)</f>
        <v>0.5</v>
      </c>
      <c r="AT335" s="33">
        <f>IF(LEFT(E335,1)*1=3,$W$70,$V$70)</f>
        <v>0</v>
      </c>
      <c r="AU335" s="31">
        <f>IF(MID(E335,3,1)*1=1,$Y$70,$X$70)</f>
        <v>0</v>
      </c>
      <c r="AV335" s="2">
        <f>IF(MID(E335,3,1)*1=2,$AA$70,$Z$70)</f>
        <v>1.5</v>
      </c>
      <c r="AW335" s="33">
        <f>IF(MID(E335,3,1)*1=3,$AC$70,$AB$70)</f>
        <v>0</v>
      </c>
      <c r="AX335" s="31">
        <f>IF(MID(E335,5,1)*1=1,$AE$70,$AD$70)</f>
        <v>2</v>
      </c>
      <c r="AY335" s="33">
        <f>IF(MID(E335,5,1)*1=2,$AG$70,$AF$70)</f>
        <v>1</v>
      </c>
      <c r="AZ335" s="2"/>
      <c r="BA335" s="101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</row>
    <row r="336" spans="1:71" ht="12" customHeight="1">
      <c r="A336" s="2"/>
      <c r="B336" s="107">
        <v>325</v>
      </c>
      <c r="C336" s="31">
        <v>10</v>
      </c>
      <c r="D336" s="106" t="s">
        <v>20</v>
      </c>
      <c r="E336" s="2" t="s">
        <v>95</v>
      </c>
      <c r="F336" s="2" t="s">
        <v>149</v>
      </c>
      <c r="G336" s="2"/>
      <c r="H336" s="33"/>
      <c r="I336" s="173">
        <f>M336/AE336</f>
        <v>769.42405957885637</v>
      </c>
      <c r="J336" s="174">
        <f>AH336/AE336</f>
        <v>24.558498343053152</v>
      </c>
      <c r="K336" s="207">
        <f>RANK(I336,$I$76:$I$977)</f>
        <v>259</v>
      </c>
      <c r="L336" s="208">
        <f>RANK(I336,$I$76:$I$450)</f>
        <v>259</v>
      </c>
      <c r="M336" s="173">
        <f>SUM(N336:R336)</f>
        <v>13816.643246440912</v>
      </c>
      <c r="N336" s="174">
        <f>T336*(1+((AG336+IF(F336="백어택",8,0))/100)*((AI336/100-1)))</f>
        <v>6386.575476885243</v>
      </c>
      <c r="O336" s="174">
        <f>U336*(1+(($D$57+IF(F336="백어택",8,0))/100)*($D$58/100-1))</f>
        <v>7430.0677695556687</v>
      </c>
      <c r="P336" s="174"/>
      <c r="Q336" s="174"/>
      <c r="R336" s="175"/>
      <c r="S336" s="173">
        <f>SUM(T336:X336)</f>
        <v>10238.968498353657</v>
      </c>
      <c r="T336" s="174">
        <f>AL336*AV336*IF(F336="백어택",1.2,1)</f>
        <v>4388.5813215643902</v>
      </c>
      <c r="U336" s="174">
        <f>AM336*AX336*AY336*IF(F336="백어택",1.2,1)</f>
        <v>5850.3871767892679</v>
      </c>
      <c r="V336" s="174"/>
      <c r="W336" s="174"/>
      <c r="X336" s="175"/>
      <c r="Y336" s="173">
        <f>SUM(Z336:AD336)</f>
        <v>20477.936996707314</v>
      </c>
      <c r="Z336" s="174">
        <f>T336*$D$58/100</f>
        <v>8777.1626431287805</v>
      </c>
      <c r="AA336" s="174">
        <f>U336*$D$58/100</f>
        <v>11700.774353578536</v>
      </c>
      <c r="AB336" s="174"/>
      <c r="AC336" s="174"/>
      <c r="AD336" s="175"/>
      <c r="AE336" s="173">
        <f>AO336*(1-$D$17/100)-AR336</f>
        <v>17.957124</v>
      </c>
      <c r="AF336" s="174">
        <f>AP336</f>
        <v>36</v>
      </c>
      <c r="AG336" s="174">
        <f>IF($D$57+AU336&gt;100,100,$D$57+AU336)</f>
        <v>19.001300000000001</v>
      </c>
      <c r="AH336" s="174">
        <f>AQ336*AS336</f>
        <v>441</v>
      </c>
      <c r="AI336" s="174">
        <f>$D$58+$D$19</f>
        <v>268.61079999999998</v>
      </c>
      <c r="AJ336" s="174">
        <f>10*IF(AV336=1,1,5/4.5)/IF(AX336=1,5,3.5)</f>
        <v>2.2222222222222223</v>
      </c>
      <c r="AK336" s="174">
        <f>SUM(AL336:AN336)</f>
        <v>4875.7620578646347</v>
      </c>
      <c r="AL336" s="174">
        <f>(VLOOKUP(C336,$B$36:$AG$39,29,FALSE)+VLOOKUP(C336,$B$40:$AG$43,29,FALSE)*$D$54)*$D$59/100</f>
        <v>2438.1007342024391</v>
      </c>
      <c r="AM336" s="174">
        <f>(VLOOKUP(C336,$B$36:$AG$39,30,FALSE)+VLOOKUP(C336,$B$40:$AG$43,30,FALSE)*$D$54)*$D$59/100</f>
        <v>2437.6613236621952</v>
      </c>
      <c r="AN336" s="174"/>
      <c r="AO336" s="176">
        <v>18</v>
      </c>
      <c r="AP336" s="174">
        <v>36</v>
      </c>
      <c r="AQ336" s="175">
        <f>VLOOKUP(C336,$B$45:$AG$48,29,FALSE)</f>
        <v>441</v>
      </c>
      <c r="AR336" s="31">
        <f>IF(LEFT(E336,1)*1=1,$S$70,$R$70)</f>
        <v>0</v>
      </c>
      <c r="AS336" s="2">
        <f>IF(LEFT(E336,1)*1=2,$U$70,$T$70)</f>
        <v>1</v>
      </c>
      <c r="AT336" s="33">
        <f>IF(LEFT(E336,1)*1=3,$W$70,$V$70)</f>
        <v>0</v>
      </c>
      <c r="AU336" s="31">
        <f>IF(MID(E336,3,1)*1=1,$Y$70,$X$70)</f>
        <v>0</v>
      </c>
      <c r="AV336" s="2">
        <f>IF(MID(E336,3,1)*1=2,$AA$70,$Z$70)</f>
        <v>1.5</v>
      </c>
      <c r="AW336" s="33">
        <f>IF(MID(E336,3,1)*1=3,$AC$70,$AB$70)</f>
        <v>0</v>
      </c>
      <c r="AX336" s="31">
        <f>IF(MID(E336,5,1)*1=1,$AE$70,$AD$70)</f>
        <v>1</v>
      </c>
      <c r="AY336" s="33">
        <f>IF(MID(E336,5,1)*1=2,$AG$70,$AF$70)</f>
        <v>2</v>
      </c>
      <c r="AZ336" s="2"/>
      <c r="BA336" s="101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</row>
    <row r="337" spans="1:71" ht="12" customHeight="1">
      <c r="A337" s="2"/>
      <c r="B337" s="107">
        <v>331</v>
      </c>
      <c r="C337" s="31">
        <v>10</v>
      </c>
      <c r="D337" s="106" t="s">
        <v>20</v>
      </c>
      <c r="E337" s="2" t="s">
        <v>102</v>
      </c>
      <c r="F337" s="2" t="s">
        <v>149</v>
      </c>
      <c r="G337" s="2"/>
      <c r="H337" s="33"/>
      <c r="I337" s="173">
        <f>M337/AE337</f>
        <v>769.42405957885637</v>
      </c>
      <c r="J337" s="174">
        <f>AH337/AE337</f>
        <v>12.279249171526576</v>
      </c>
      <c r="K337" s="207">
        <f>RANK(I337,$I$76:$I$977)</f>
        <v>259</v>
      </c>
      <c r="L337" s="208">
        <f>RANK(I337,$I$76:$I$450)</f>
        <v>259</v>
      </c>
      <c r="M337" s="173">
        <f>SUM(N337:R337)</f>
        <v>13816.643246440912</v>
      </c>
      <c r="N337" s="174">
        <f>T337*(1+((AG337+IF(F337="백어택",8,0))/100)*((AI337/100-1)))</f>
        <v>6386.575476885243</v>
      </c>
      <c r="O337" s="174">
        <f>U337*(1+(($D$57+IF(F337="백어택",8,0))/100)*($D$58/100-1))</f>
        <v>7430.0677695556687</v>
      </c>
      <c r="P337" s="174"/>
      <c r="Q337" s="174"/>
      <c r="R337" s="175"/>
      <c r="S337" s="173">
        <f>SUM(T337:X337)</f>
        <v>10238.968498353657</v>
      </c>
      <c r="T337" s="174">
        <f>AL337*AV337*IF(F337="백어택",1.2,1)</f>
        <v>4388.5813215643902</v>
      </c>
      <c r="U337" s="174">
        <f>AM337*AX337*AY337*IF(F337="백어택",1.2,1)</f>
        <v>5850.3871767892679</v>
      </c>
      <c r="V337" s="174"/>
      <c r="W337" s="174"/>
      <c r="X337" s="175"/>
      <c r="Y337" s="173">
        <f>SUM(Z337:AD337)</f>
        <v>20477.936996707314</v>
      </c>
      <c r="Z337" s="174">
        <f>T337*$D$58/100</f>
        <v>8777.1626431287805</v>
      </c>
      <c r="AA337" s="174">
        <f>U337*$D$58/100</f>
        <v>11700.774353578536</v>
      </c>
      <c r="AB337" s="174"/>
      <c r="AC337" s="174"/>
      <c r="AD337" s="175"/>
      <c r="AE337" s="173">
        <f>AO337*(1-$D$17/100)-AR337</f>
        <v>17.957124</v>
      </c>
      <c r="AF337" s="174">
        <f>AP337</f>
        <v>36</v>
      </c>
      <c r="AG337" s="174">
        <f>IF($D$57+AU337&gt;100,100,$D$57+AU337)</f>
        <v>19.001300000000001</v>
      </c>
      <c r="AH337" s="174">
        <f>AQ337*AS337</f>
        <v>220.5</v>
      </c>
      <c r="AI337" s="174">
        <f>$D$58+$D$19</f>
        <v>268.61079999999998</v>
      </c>
      <c r="AJ337" s="174">
        <f>10*IF(AV337=1,1,5/4.5)/IF(AX337=1,5,3.5)</f>
        <v>2.2222222222222223</v>
      </c>
      <c r="AK337" s="174">
        <f>SUM(AL337:AN337)</f>
        <v>4875.7620578646347</v>
      </c>
      <c r="AL337" s="174">
        <f>(VLOOKUP(C337,$B$36:$AG$39,29,FALSE)+VLOOKUP(C337,$B$40:$AG$43,29,FALSE)*$D$54)*$D$59/100</f>
        <v>2438.1007342024391</v>
      </c>
      <c r="AM337" s="174">
        <f>(VLOOKUP(C337,$B$36:$AG$39,30,FALSE)+VLOOKUP(C337,$B$40:$AG$43,30,FALSE)*$D$54)*$D$59/100</f>
        <v>2437.6613236621952</v>
      </c>
      <c r="AN337" s="174"/>
      <c r="AO337" s="176">
        <v>18</v>
      </c>
      <c r="AP337" s="174">
        <v>36</v>
      </c>
      <c r="AQ337" s="175">
        <f>VLOOKUP(C337,$B$45:$AG$48,29,FALSE)</f>
        <v>441</v>
      </c>
      <c r="AR337" s="31">
        <f>IF(LEFT(E337,1)*1=1,$S$70,$R$70)</f>
        <v>0</v>
      </c>
      <c r="AS337" s="2">
        <f>IF(LEFT(E337,1)*1=2,$U$70,$T$70)</f>
        <v>0.5</v>
      </c>
      <c r="AT337" s="33">
        <f>IF(LEFT(E337,1)*1=3,$W$70,$V$70)</f>
        <v>0</v>
      </c>
      <c r="AU337" s="31">
        <f>IF(MID(E337,3,1)*1=1,$Y$70,$X$70)</f>
        <v>0</v>
      </c>
      <c r="AV337" s="2">
        <f>IF(MID(E337,3,1)*1=2,$AA$70,$Z$70)</f>
        <v>1.5</v>
      </c>
      <c r="AW337" s="33">
        <f>IF(MID(E337,3,1)*1=3,$AC$70,$AB$70)</f>
        <v>0</v>
      </c>
      <c r="AX337" s="31">
        <f>IF(MID(E337,5,1)*1=1,$AE$70,$AD$70)</f>
        <v>1</v>
      </c>
      <c r="AY337" s="33">
        <f>IF(MID(E337,5,1)*1=2,$AG$70,$AF$70)</f>
        <v>2</v>
      </c>
      <c r="AZ337" s="2"/>
      <c r="BA337" s="101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</row>
    <row r="338" spans="1:71" ht="12" customHeight="1">
      <c r="A338" s="2"/>
      <c r="B338" s="107">
        <v>689</v>
      </c>
      <c r="C338" s="31">
        <v>7</v>
      </c>
      <c r="D338" s="111" t="s">
        <v>18</v>
      </c>
      <c r="E338" s="2" t="s">
        <v>168</v>
      </c>
      <c r="F338" s="2" t="s">
        <v>149</v>
      </c>
      <c r="G338" s="2"/>
      <c r="H338" s="33" t="s">
        <v>81</v>
      </c>
      <c r="I338" s="173">
        <f>M338/AE338</f>
        <v>768.29972887331587</v>
      </c>
      <c r="J338" s="174">
        <f>AH338/AE338</f>
        <v>19.637781784066725</v>
      </c>
      <c r="K338" s="207">
        <f>RANK(I338,$I$76:$I$977)</f>
        <v>263</v>
      </c>
      <c r="L338" s="208" t="e">
        <f>RANK(I338,$I$451:$I$866)</f>
        <v>#N/A</v>
      </c>
      <c r="M338" s="173">
        <f>SUM(N338:R338)</f>
        <v>14201.848490204513</v>
      </c>
      <c r="N338" s="174">
        <f>T338*(1+((AG338+IF(F338="백어택",8,0))/100)*(AI338/100-1))</f>
        <v>9383.0959331736594</v>
      </c>
      <c r="O338" s="174">
        <f>U338*(1+(($D$57+IF(F338="백어택",8,0))/100)*(AI338/100-1))</f>
        <v>4818.7525570308544</v>
      </c>
      <c r="P338" s="174"/>
      <c r="Q338" s="174"/>
      <c r="R338" s="175"/>
      <c r="S338" s="173">
        <f>SUM(T338:X338)</f>
        <v>9412.8310950102441</v>
      </c>
      <c r="T338" s="174">
        <f>AL338*IF(H338="근접",AT338,IF(AV338=1,AT338,1))*AX338*IF(F338="백어택",1.2,1)</f>
        <v>5618.576581843171</v>
      </c>
      <c r="U338" s="174">
        <f>IF(AX338=1,AM338*IF(H338="근접",AT338,IF(AV338=1,AT338,1)),0)*AY338*IF(AX338=1,1,0)*IF(F338="백어택",1.2,1)</f>
        <v>3794.2545131670736</v>
      </c>
      <c r="V338" s="174"/>
      <c r="W338" s="174"/>
      <c r="X338" s="175"/>
      <c r="Y338" s="173">
        <f>SUM(Z338:AD338)</f>
        <v>18825.662190020488</v>
      </c>
      <c r="Z338" s="174">
        <f>T338*$D$58/100</f>
        <v>11237.153163686342</v>
      </c>
      <c r="AA338" s="174">
        <f>U338*$D$58/100</f>
        <v>7588.5090263341472</v>
      </c>
      <c r="AB338" s="174"/>
      <c r="AC338" s="174"/>
      <c r="AD338" s="175"/>
      <c r="AE338" s="173">
        <f>(AO338*(1-$D$20/100)*(1-$D$17/100)-AR338)*IF(AW338="보스대상",1,POWER(0.85,AW338))</f>
        <v>18.484776131615998</v>
      </c>
      <c r="AF338" s="174">
        <f>AP338</f>
        <v>36</v>
      </c>
      <c r="AG338" s="174">
        <f>IF($D$57+AU338&gt;100,100,$D$57+AU338)</f>
        <v>59.001300000000001</v>
      </c>
      <c r="AH338" s="174">
        <f>AQ338</f>
        <v>363</v>
      </c>
      <c r="AI338" s="174">
        <f>$D$58</f>
        <v>200</v>
      </c>
      <c r="AJ338" s="174">
        <f>10*AS338/IF(AX338=1,IF(AY338=1,4.5,4),4)</f>
        <v>1.7777777777777777</v>
      </c>
      <c r="AK338" s="174">
        <f>SUM(AL338:AN338)</f>
        <v>7844.0259125085377</v>
      </c>
      <c r="AL338" s="174">
        <f>IF(AV338=1,$D$61*(VLOOKUP(C338,$B$36:$AG$39,25,FALSE)+VLOOKUP(C338,$B$40:$AG$43,25,FALSE)*$D$54),(IF(H338="근접",$D$61*(VLOOKUP(C338,$B$36:$AG$39,25,FALSE)+VLOOKUP(C338,$B$40:$AG$43,25,FALSE)*$D$54),$D$60*(VLOOKUP(C338,$B$36:$AG$39,25,FALSE)+VLOOKUP(C338,$B$40:$AG$43,25,FALSE)*$D$54))))*$D$59/100</f>
        <v>4682.1471515359763</v>
      </c>
      <c r="AM338" s="174">
        <f>(IF(AV338=1,$D$61*(VLOOKUP(C338,$B$36:$AG$39,26,FALSE)+VLOOKUP(C338,$B$40:$AG$43,26,FALSE)*$D$54),IF(H338="근접",$D$61*(VLOOKUP(C338,$B$36:$AG$39,26,FALSE)+VLOOKUP(C338,$B$40:$AG$43,26,FALSE)*$D$54),$D$60*(VLOOKUP(C338,$B$36:$AG$39,26,FALSE)+VLOOKUP(C338,$B$40:$AG$43,26,FALSE)*$D$54))))*$D$59/100</f>
        <v>3161.8787609725614</v>
      </c>
      <c r="AN338" s="174"/>
      <c r="AO338" s="176">
        <v>24</v>
      </c>
      <c r="AP338" s="174">
        <v>36</v>
      </c>
      <c r="AQ338" s="175">
        <f>VLOOKUP(C338,$B$45:$AA$48,25,FALSE)</f>
        <v>363</v>
      </c>
      <c r="AR338" s="31">
        <f>IF(LEFT(E338,1)*1=1,$S$68,$R$68)</f>
        <v>0</v>
      </c>
      <c r="AS338" s="2">
        <f>IF(LEFT(E338,1)*1=2,$U$68,$T$68)</f>
        <v>0.8</v>
      </c>
      <c r="AT338" s="33">
        <f>IF(LEFT(E338,1)*1=3,$W$68,$V$68)</f>
        <v>1</v>
      </c>
      <c r="AU338" s="31">
        <f>IF(MID(E338,3,1)*1=1,$Y$68,$X$68)</f>
        <v>40</v>
      </c>
      <c r="AV338" s="2">
        <f>IF(MID(E338,3,1)*1=2,$AA$68,$Z$68)</f>
        <v>0</v>
      </c>
      <c r="AW338" s="33" t="str">
        <f>IF(MID(E338,3,1)*1=3,$AC$68,$AB$68)</f>
        <v>보스대상</v>
      </c>
      <c r="AX338" s="31">
        <f>IF(MID(E338,5,1)*1=1,$AE$68,$AD$68)</f>
        <v>1</v>
      </c>
      <c r="AY338" s="33">
        <f>IF(MID(E338,5,1)*1=2,$AG$68,$AF$68)</f>
        <v>1</v>
      </c>
      <c r="AZ338" s="2"/>
      <c r="BA338" s="101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</row>
    <row r="339" spans="1:71" ht="12" customHeight="1">
      <c r="A339" s="2"/>
      <c r="B339" s="107">
        <v>349</v>
      </c>
      <c r="C339" s="31">
        <v>10</v>
      </c>
      <c r="D339" s="106" t="s">
        <v>20</v>
      </c>
      <c r="E339" s="2" t="s">
        <v>164</v>
      </c>
      <c r="F339" s="2"/>
      <c r="G339" s="2"/>
      <c r="H339" s="33"/>
      <c r="I339" s="173">
        <f>M339/AE339</f>
        <v>768.02622055524193</v>
      </c>
      <c r="J339" s="174">
        <f>AH339/AE339</f>
        <v>29.484277859834549</v>
      </c>
      <c r="K339" s="207">
        <f>RANK(I339,$I$76:$I$977)</f>
        <v>264</v>
      </c>
      <c r="L339" s="208">
        <f>RANK(I339,$I$76:$I$450)</f>
        <v>264</v>
      </c>
      <c r="M339" s="173">
        <f>SUM(N339:R339)</f>
        <v>11487.463416096103</v>
      </c>
      <c r="N339" s="174">
        <f>T339*(1+((AG339+IF(F339="백어택",8,0))/100)*((AI339/100-1)))</f>
        <v>5685.7660865856633</v>
      </c>
      <c r="O339" s="174">
        <f>U339*(1+(($D$57+IF(F339="백어택",8,0))/100)*($D$58/100-1))</f>
        <v>5801.6973295104399</v>
      </c>
      <c r="P339" s="174"/>
      <c r="Q339" s="174"/>
      <c r="R339" s="175"/>
      <c r="S339" s="173">
        <f>SUM(T339:X339)</f>
        <v>7313.423381526829</v>
      </c>
      <c r="T339" s="174">
        <f>AL339*AV339*IF(F339="백어택",1.2,1)</f>
        <v>2438.1007342024391</v>
      </c>
      <c r="U339" s="174">
        <f>AM339*AX339*AY339*IF(F339="백어택",1.2,1)</f>
        <v>4875.3226473243903</v>
      </c>
      <c r="V339" s="174"/>
      <c r="W339" s="174"/>
      <c r="X339" s="175"/>
      <c r="Y339" s="173">
        <f>SUM(Z339:AD339)</f>
        <v>14626.846763053658</v>
      </c>
      <c r="Z339" s="174">
        <f>T339*$D$58/100</f>
        <v>4876.2014684048781</v>
      </c>
      <c r="AA339" s="174">
        <f>U339*$D$58/100</f>
        <v>9750.6452946487807</v>
      </c>
      <c r="AB339" s="174"/>
      <c r="AC339" s="174"/>
      <c r="AD339" s="175"/>
      <c r="AE339" s="173">
        <f>AO339*(1-$D$17/100)-AR339</f>
        <v>14.957124</v>
      </c>
      <c r="AF339" s="174">
        <f>AP339</f>
        <v>36</v>
      </c>
      <c r="AG339" s="174">
        <f>IF($D$57+AU339&gt;100,100,$D$57+AU339)</f>
        <v>79.001300000000001</v>
      </c>
      <c r="AH339" s="174">
        <f>AQ339*AS339</f>
        <v>441</v>
      </c>
      <c r="AI339" s="174">
        <f>$D$58+$D$19</f>
        <v>268.61079999999998</v>
      </c>
      <c r="AJ339" s="174">
        <f>10*IF(AV339=1,1,5/4.5)/IF(AX339=1,5,3.5)</f>
        <v>2.8571428571428572</v>
      </c>
      <c r="AK339" s="174">
        <f>SUM(AL339:AN339)</f>
        <v>4875.7620578646347</v>
      </c>
      <c r="AL339" s="174">
        <f>(VLOOKUP(C339,$B$36:$AG$39,29,FALSE)+VLOOKUP(C339,$B$40:$AG$43,29,FALSE)*$D$54)*$D$59/100</f>
        <v>2438.1007342024391</v>
      </c>
      <c r="AM339" s="174">
        <f>(VLOOKUP(C339,$B$36:$AG$39,30,FALSE)+VLOOKUP(C339,$B$40:$AG$43,30,FALSE)*$D$54)*$D$59/100</f>
        <v>2437.6613236621952</v>
      </c>
      <c r="AN339" s="174"/>
      <c r="AO339" s="176">
        <v>18</v>
      </c>
      <c r="AP339" s="174">
        <v>36</v>
      </c>
      <c r="AQ339" s="175">
        <f>VLOOKUP(C339,$B$45:$AG$48,29,FALSE)</f>
        <v>441</v>
      </c>
      <c r="AR339" s="31">
        <f>IF(LEFT(E339,1)*1=1,$S$70,$R$70)</f>
        <v>3</v>
      </c>
      <c r="AS339" s="2">
        <f>IF(LEFT(E339,1)*1=2,$U$70,$T$70)</f>
        <v>1</v>
      </c>
      <c r="AT339" s="33">
        <f>IF(LEFT(E339,1)*1=3,$W$70,$V$70)</f>
        <v>0</v>
      </c>
      <c r="AU339" s="31">
        <f>IF(MID(E339,3,1)*1=1,$Y$70,$X$70)</f>
        <v>60</v>
      </c>
      <c r="AV339" s="2">
        <f>IF(MID(E339,3,1)*1=2,$AA$70,$Z$70)</f>
        <v>1</v>
      </c>
      <c r="AW339" s="33">
        <f>IF(MID(E339,3,1)*1=3,$AC$70,$AB$70)</f>
        <v>0</v>
      </c>
      <c r="AX339" s="31">
        <f>IF(MID(E339,5,1)*1=1,$AE$70,$AD$70)</f>
        <v>2</v>
      </c>
      <c r="AY339" s="33">
        <f>IF(MID(E339,5,1)*1=2,$AG$70,$AF$70)</f>
        <v>1</v>
      </c>
      <c r="AZ339" s="2"/>
      <c r="BA339" s="101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</row>
    <row r="340" spans="1:71" ht="12" customHeight="1">
      <c r="A340" s="2"/>
      <c r="B340" s="107">
        <v>358</v>
      </c>
      <c r="C340" s="31">
        <v>10</v>
      </c>
      <c r="D340" s="106" t="s">
        <v>20</v>
      </c>
      <c r="E340" s="2" t="s">
        <v>165</v>
      </c>
      <c r="F340" s="2"/>
      <c r="G340" s="2"/>
      <c r="H340" s="33"/>
      <c r="I340" s="173">
        <f>M340/AE340</f>
        <v>768.02622055524193</v>
      </c>
      <c r="J340" s="174">
        <f>AH340/AE340</f>
        <v>29.484277859834549</v>
      </c>
      <c r="K340" s="207">
        <f>RANK(I340,$I$76:$I$977)</f>
        <v>264</v>
      </c>
      <c r="L340" s="208">
        <f>RANK(I340,$I$76:$I$450)</f>
        <v>264</v>
      </c>
      <c r="M340" s="173">
        <f>SUM(N340:R340)</f>
        <v>11487.463416096103</v>
      </c>
      <c r="N340" s="174">
        <f>T340*(1+((AG340+IF(F340="백어택",8,0))/100)*((AI340/100-1)))</f>
        <v>5685.7660865856633</v>
      </c>
      <c r="O340" s="174">
        <f>U340*(1+(($D$57+IF(F340="백어택",8,0))/100)*($D$58/100-1))</f>
        <v>5801.6973295104399</v>
      </c>
      <c r="P340" s="174"/>
      <c r="Q340" s="174"/>
      <c r="R340" s="175"/>
      <c r="S340" s="173">
        <f>SUM(T340:X340)</f>
        <v>7313.423381526829</v>
      </c>
      <c r="T340" s="174">
        <f>AL340*AV340*IF(F340="백어택",1.2,1)</f>
        <v>2438.1007342024391</v>
      </c>
      <c r="U340" s="174">
        <f>AM340*AX340*AY340*IF(F340="백어택",1.2,1)</f>
        <v>4875.3226473243903</v>
      </c>
      <c r="V340" s="174"/>
      <c r="W340" s="174"/>
      <c r="X340" s="175"/>
      <c r="Y340" s="173">
        <f>SUM(Z340:AD340)</f>
        <v>14626.846763053658</v>
      </c>
      <c r="Z340" s="174">
        <f>T340*$D$58/100</f>
        <v>4876.2014684048781</v>
      </c>
      <c r="AA340" s="174">
        <f>U340*$D$58/100</f>
        <v>9750.6452946487807</v>
      </c>
      <c r="AB340" s="174"/>
      <c r="AC340" s="174"/>
      <c r="AD340" s="175"/>
      <c r="AE340" s="173">
        <f>AO340*(1-$D$17/100)-AR340</f>
        <v>14.957124</v>
      </c>
      <c r="AF340" s="174">
        <f>AP340</f>
        <v>36</v>
      </c>
      <c r="AG340" s="174">
        <f>IF($D$57+AU340&gt;100,100,$D$57+AU340)</f>
        <v>79.001300000000001</v>
      </c>
      <c r="AH340" s="174">
        <f>AQ340*AS340</f>
        <v>441</v>
      </c>
      <c r="AI340" s="174">
        <f>$D$58+$D$19</f>
        <v>268.61079999999998</v>
      </c>
      <c r="AJ340" s="174">
        <f>10*IF(AV340=1,1,5/4.5)/IF(AX340=1,5,3.5)</f>
        <v>2</v>
      </c>
      <c r="AK340" s="174">
        <f>SUM(AL340:AN340)</f>
        <v>4875.7620578646347</v>
      </c>
      <c r="AL340" s="174">
        <f>(VLOOKUP(C340,$B$36:$AG$39,29,FALSE)+VLOOKUP(C340,$B$40:$AG$43,29,FALSE)*$D$54)*$D$59/100</f>
        <v>2438.1007342024391</v>
      </c>
      <c r="AM340" s="174">
        <f>(VLOOKUP(C340,$B$36:$AG$39,30,FALSE)+VLOOKUP(C340,$B$40:$AG$43,30,FALSE)*$D$54)*$D$59/100</f>
        <v>2437.6613236621952</v>
      </c>
      <c r="AN340" s="174"/>
      <c r="AO340" s="176">
        <v>18</v>
      </c>
      <c r="AP340" s="174">
        <v>36</v>
      </c>
      <c r="AQ340" s="175">
        <f>VLOOKUP(C340,$B$45:$AG$48,29,FALSE)</f>
        <v>441</v>
      </c>
      <c r="AR340" s="31">
        <f>IF(LEFT(E340,1)*1=1,$S$70,$R$70)</f>
        <v>3</v>
      </c>
      <c r="AS340" s="2">
        <f>IF(LEFT(E340,1)*1=2,$U$70,$T$70)</f>
        <v>1</v>
      </c>
      <c r="AT340" s="33">
        <f>IF(LEFT(E340,1)*1=3,$W$70,$V$70)</f>
        <v>0</v>
      </c>
      <c r="AU340" s="31">
        <f>IF(MID(E340,3,1)*1=1,$Y$70,$X$70)</f>
        <v>60</v>
      </c>
      <c r="AV340" s="2">
        <f>IF(MID(E340,3,1)*1=2,$AA$70,$Z$70)</f>
        <v>1</v>
      </c>
      <c r="AW340" s="33">
        <f>IF(MID(E340,3,1)*1=3,$AC$70,$AB$70)</f>
        <v>0</v>
      </c>
      <c r="AX340" s="31">
        <f>IF(MID(E340,5,1)*1=1,$AE$70,$AD$70)</f>
        <v>1</v>
      </c>
      <c r="AY340" s="33">
        <f>IF(MID(E340,5,1)*1=2,$AG$70,$AF$70)</f>
        <v>2</v>
      </c>
      <c r="AZ340" s="2"/>
      <c r="BA340" s="101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</row>
    <row r="341" spans="1:71" ht="12" customHeight="1">
      <c r="A341" s="2"/>
      <c r="B341" s="107">
        <v>222</v>
      </c>
      <c r="C341" s="31">
        <v>10</v>
      </c>
      <c r="D341" s="106" t="s">
        <v>13</v>
      </c>
      <c r="E341" s="2" t="s">
        <v>179</v>
      </c>
      <c r="F341" s="2"/>
      <c r="G341" s="2"/>
      <c r="H341" s="33"/>
      <c r="I341" s="173">
        <f>M341/AE341</f>
        <v>767.60873836199391</v>
      </c>
      <c r="J341" s="174">
        <f>AH341/AE341</f>
        <v>21.760166048861723</v>
      </c>
      <c r="K341" s="207">
        <f>RANK(I341,$I$76:$I$977)</f>
        <v>266</v>
      </c>
      <c r="L341" s="208">
        <f>RANK(I341,$I$76:$I$450)</f>
        <v>266</v>
      </c>
      <c r="M341" s="173">
        <f>SUM(N341:R341)</f>
        <v>18378.727064333176</v>
      </c>
      <c r="N341" s="174">
        <f>T341*(1+((AG341+IF(F341="백어택",8,0))/100)*((AI341/100-1)))</f>
        <v>10766.950436364143</v>
      </c>
      <c r="O341" s="174">
        <f>U341*(1+($D$57/100)*($D$58/100-1))</f>
        <v>4684.1702325963288</v>
      </c>
      <c r="P341" s="174"/>
      <c r="Q341" s="174"/>
      <c r="R341" s="175">
        <f>X341*(1+($D$57/100)*($D$58/100-1))</f>
        <v>2927.6063953727057</v>
      </c>
      <c r="S341" s="173">
        <f>SUM(T341:X341)</f>
        <v>11793.820438413217</v>
      </c>
      <c r="T341" s="174">
        <f>AL341*AY341</f>
        <v>5397.4393669719502</v>
      </c>
      <c r="U341" s="174">
        <f>AM341*AU341*AW341</f>
        <v>3936.234505502317</v>
      </c>
      <c r="V341" s="174"/>
      <c r="W341" s="174"/>
      <c r="X341" s="175">
        <f>IF(AU341=1,0,U341*0.625)</f>
        <v>2460.1465659389482</v>
      </c>
      <c r="Y341" s="173">
        <f>SUM(Z341:AD341)</f>
        <v>23587.64087682643</v>
      </c>
      <c r="Z341" s="174">
        <f>T341*$D$58/100</f>
        <v>10794.8787339439</v>
      </c>
      <c r="AA341" s="174">
        <f>U341*$D$58/100</f>
        <v>7872.4690110046331</v>
      </c>
      <c r="AB341" s="174"/>
      <c r="AC341" s="174"/>
      <c r="AD341" s="175">
        <f>X341*$D$58/100</f>
        <v>4920.2931318778965</v>
      </c>
      <c r="AE341" s="173">
        <f>AO341*(1-$D$17/100)</f>
        <v>23.942831999999999</v>
      </c>
      <c r="AF341" s="174">
        <f>AP341</f>
        <v>36</v>
      </c>
      <c r="AG341" s="174">
        <f>IF($D$57+AT341&gt;100,100,$D$57+AT341)</f>
        <v>59.001300000000001</v>
      </c>
      <c r="AH341" s="174">
        <f>AQ341</f>
        <v>521</v>
      </c>
      <c r="AI341" s="174">
        <f>$D$58+$D$19</f>
        <v>268.61079999999998</v>
      </c>
      <c r="AJ341" s="174">
        <f>10/IF(AY341=1,2.5,2)</f>
        <v>4</v>
      </c>
      <c r="AK341" s="174">
        <f>SUM(AL341:AN341)</f>
        <v>8425.3120635121941</v>
      </c>
      <c r="AL341" s="174">
        <f>(VLOOKUP(C341,$B$36:$AG$39,17,FALSE)+VLOOKUP(C341,$B$40:$AG$43,17,FALSE)*$D$54)*$D$59/100</f>
        <v>5397.4393669719502</v>
      </c>
      <c r="AM341" s="174">
        <f>(VLOOKUP(C341,$B$36:$AG$39,18,FALSE)+VLOOKUP(C341,$B$40:$AG$43,18,FALSE)*$D$54)*$D$59/100</f>
        <v>3027.8726965402439</v>
      </c>
      <c r="AN341" s="174"/>
      <c r="AO341" s="176">
        <v>24</v>
      </c>
      <c r="AP341" s="174">
        <v>36</v>
      </c>
      <c r="AQ341" s="175">
        <f>VLOOKUP(C341,$B$45:$AA$48,17,FALSE)</f>
        <v>521</v>
      </c>
      <c r="AR341" s="31">
        <f>IF(LEFT(E341,1)*1=1,$S$63,$R$63)</f>
        <v>0</v>
      </c>
      <c r="AS341" s="2">
        <f>IF(LEFT(E341,1)*1=2,$U$63,$T$63)</f>
        <v>0</v>
      </c>
      <c r="AT341" s="33">
        <f>IF(LEFT(E341,1)*1=3,$W$63,$V$63)</f>
        <v>40</v>
      </c>
      <c r="AU341" s="31">
        <f>IF(MID(E341,3,1)*1=1,$Y$63,$X$63)</f>
        <v>1.3</v>
      </c>
      <c r="AV341" s="2">
        <f>IF(MID(E341,3,1)*1=2,$AA$63,$Z$63)</f>
        <v>0</v>
      </c>
      <c r="AW341" s="33">
        <f>IF(MID(E341,3,1)*1=3,$AC$63,$AB$63)</f>
        <v>1</v>
      </c>
      <c r="AX341" s="31">
        <f>IF(MID(E341,5,1)*1=1,$AE$63,$AD$63)</f>
        <v>0</v>
      </c>
      <c r="AY341" s="33">
        <f>IF(MID(E341,5,1)*1=2,$AG$63,$AF$63)</f>
        <v>1</v>
      </c>
      <c r="AZ341" s="2"/>
      <c r="BA341" s="101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</row>
    <row r="342" spans="1:71" ht="12" customHeight="1">
      <c r="A342" s="2"/>
      <c r="B342" s="107">
        <v>496</v>
      </c>
      <c r="C342" s="31">
        <v>10</v>
      </c>
      <c r="D342" s="111" t="s">
        <v>14</v>
      </c>
      <c r="E342" s="2" t="s">
        <v>157</v>
      </c>
      <c r="F342" s="2"/>
      <c r="G342" s="2"/>
      <c r="H342" s="33" t="s">
        <v>81</v>
      </c>
      <c r="I342" s="173">
        <f>M342/AE342</f>
        <v>767.1887456459159</v>
      </c>
      <c r="J342" s="174">
        <f>AH342/AE342</f>
        <v>23.695174714659018</v>
      </c>
      <c r="K342" s="207">
        <f>RANK(I342,$I$76:$I$977)</f>
        <v>267</v>
      </c>
      <c r="L342" s="208" t="e">
        <f>RANK(I342,$I$451:$I$866)</f>
        <v>#N/A</v>
      </c>
      <c r="M342" s="173">
        <f>SUM(N342:R342)</f>
        <v>21271.968320940068</v>
      </c>
      <c r="N342" s="174">
        <f>T342*(1+((AG342+IF(F342="백어택",8,0))/100)*(AI342/100-1))</f>
        <v>5988.3154082375322</v>
      </c>
      <c r="O342" s="174">
        <f>U342*(1+((AG342+IF(F342="백어택",8,0))/100)*(AI342/100-1))</f>
        <v>5988.3154082375322</v>
      </c>
      <c r="P342" s="174">
        <f>V342*(1+((AG342+IF(F342="백어택",8,0))/100)*(AI342*IF(AX342=1,AW342,1)/100-1))</f>
        <v>9295.3375044650056</v>
      </c>
      <c r="Q342" s="174">
        <f>W342*(1+((AG342+IF(F342="백어택",8,0))/100)*(AI342*AW342/100-1))</f>
        <v>0</v>
      </c>
      <c r="R342" s="175"/>
      <c r="S342" s="173">
        <f>SUM(T342:X342)</f>
        <v>14542.232699282926</v>
      </c>
      <c r="T342" s="174">
        <f>AL342*AY342*IF(F342="백어택",1.2,1)</f>
        <v>4339.2772369778049</v>
      </c>
      <c r="U342" s="174">
        <f>AM342*AY342*IF(F342="백어택",1.2,1)</f>
        <v>4339.2772369778049</v>
      </c>
      <c r="V342" s="174">
        <f>AN342*AY342*IF(F342="백어택",1.2,1)</f>
        <v>5863.6782253273168</v>
      </c>
      <c r="W342" s="174">
        <f>(T342+U342+V342)*IF(AX342=1,0,0.6)*IF(F342="백어택",1.2,1)</f>
        <v>0</v>
      </c>
      <c r="X342" s="175"/>
      <c r="Y342" s="173">
        <f>SUM(Z342:AD342)</f>
        <v>49959.470581202288</v>
      </c>
      <c r="Z342" s="174">
        <f>T342*AI342/100</f>
        <v>13017.831710933415</v>
      </c>
      <c r="AA342" s="174">
        <f>U342*AI342/100</f>
        <v>13017.831710933415</v>
      </c>
      <c r="AB342" s="174">
        <f>V342*AI342*IF(AX342=1,AW342,1)/100</f>
        <v>23923.807159335454</v>
      </c>
      <c r="AC342" s="174">
        <f>W342*AI342*AW342/100</f>
        <v>0</v>
      </c>
      <c r="AD342" s="175"/>
      <c r="AE342" s="173">
        <f>AO342*(1-$D$20/100)*(1-$D$17/100)</f>
        <v>27.727164197424003</v>
      </c>
      <c r="AF342" s="174">
        <f>AP342</f>
        <v>36</v>
      </c>
      <c r="AG342" s="174">
        <f>IF($D$57+AU342&gt;100,100,$D$57+AU342)</f>
        <v>19.001300000000001</v>
      </c>
      <c r="AH342" s="174">
        <f>AQ342*AS342</f>
        <v>657</v>
      </c>
      <c r="AI342" s="174">
        <f>$D$58+IF(H342="근접",AR342,0)+IF(AY342=1,0,50)</f>
        <v>300</v>
      </c>
      <c r="AJ342" s="174">
        <f>10/3</f>
        <v>3.3333333333333335</v>
      </c>
      <c r="AK342" s="174">
        <f>SUM(AL342:AN342)</f>
        <v>12118.527249402439</v>
      </c>
      <c r="AL342" s="174">
        <f>(IF(H342="근접",$D$61*(VLOOKUP(C342,$B$36:$AG$39,19,FALSE)+VLOOKUP(C342,$B$40:$AG$43,19,FALSE)*$D$54),$D$60*(VLOOKUP(C342,$B$36:$AG$39,19,FALSE)+VLOOKUP(C342,$B$40:$AG$43,19,FALSE)*$D$54)))*$D$59/100</f>
        <v>3616.0643641481706</v>
      </c>
      <c r="AM342" s="174">
        <f>(IF(H342="근접",$D$61*(VLOOKUP(C342,$B$36:$AG$39,20,FALSE)+VLOOKUP(C342,$B$40:$AG$43,20,FALSE)*$D$54),$D$60*(VLOOKUP(C342,$B$36:$AG$39,20,FALSE)+VLOOKUP(C342,$B$40:$AG$43,20,FALSE)*$D$54)))*$D$59/100</f>
        <v>3616.0643641481706</v>
      </c>
      <c r="AN342" s="174">
        <f>(IF(H342="근접",$D$61*(VLOOKUP(C342,$B$36:$AG$39,21,FALSE)+VLOOKUP(C342,$B$40:$AG$43,21,FALSE)*$D$54),$D$60*(VLOOKUP(C342,$B$36:$AG$39,21,FALSE)+VLOOKUP(C342,$B$40:$AG$43,21,FALSE)*$D$54)))*$D$59/100</f>
        <v>4886.3985211060972</v>
      </c>
      <c r="AO342" s="176">
        <v>36</v>
      </c>
      <c r="AP342" s="174">
        <v>36</v>
      </c>
      <c r="AQ342" s="175">
        <f>VLOOKUP(C342,$B$45:$AA$48,19,FALSE)</f>
        <v>657</v>
      </c>
      <c r="AR342" s="31">
        <f>IF(LEFT(E342,1)*1=1,$S$64,$R$64)</f>
        <v>50</v>
      </c>
      <c r="AS342" s="2">
        <f>IF(LEFT(E342,1)*1=2,$U$64,$T$64)</f>
        <v>1</v>
      </c>
      <c r="AT342" s="33">
        <f>IF(LEFT(E342,1)*1=3,$W$64,$V$64)</f>
        <v>0</v>
      </c>
      <c r="AU342" s="31">
        <f>IF(MID(E342,3,1)*1=1,$Y$64,$X$64)</f>
        <v>0</v>
      </c>
      <c r="AV342" s="2">
        <f>IF(MID(E342,3,1)*1=2,$AA$64,$Z$64)</f>
        <v>0</v>
      </c>
      <c r="AW342" s="33">
        <f>IF(MID(E342,3,1)*1=3,$AC$64,$AB$64)</f>
        <v>1.36</v>
      </c>
      <c r="AX342" s="31">
        <f>IF(MID(E342,5,1)*1=1,$AE$64,$AD$64)</f>
        <v>1</v>
      </c>
      <c r="AY342" s="33">
        <f>IF(MID(E342,5,1)*1=2,$AG$64,$AF$64)</f>
        <v>1.2</v>
      </c>
      <c r="AZ342" s="2"/>
      <c r="BA342" s="101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</row>
    <row r="343" spans="1:71" ht="12" customHeight="1">
      <c r="A343" s="2"/>
      <c r="B343" s="107">
        <v>387</v>
      </c>
      <c r="C343" s="31">
        <v>10</v>
      </c>
      <c r="D343" s="111" t="s">
        <v>8</v>
      </c>
      <c r="E343" s="2" t="s">
        <v>157</v>
      </c>
      <c r="F343" s="2"/>
      <c r="G343" s="2"/>
      <c r="H343" s="33" t="s">
        <v>81</v>
      </c>
      <c r="I343" s="173">
        <f>M343/AE343</f>
        <v>766.55744590202642</v>
      </c>
      <c r="J343" s="174">
        <f>AH343/AE343</f>
        <v>28.185356224514496</v>
      </c>
      <c r="K343" s="207">
        <f>RANK(I343,$I$76:$I$977)</f>
        <v>268</v>
      </c>
      <c r="L343" s="208" t="e">
        <f>RANK(I343,$I$451:$I$866)</f>
        <v>#N/A</v>
      </c>
      <c r="M343" s="173">
        <f>SUM(N343:R343)</f>
        <v>14169.642779522299</v>
      </c>
      <c r="N343" s="174">
        <f>T343*(1+((AG343+IF(F343="백어택",8,0))/100)*(IF(AY343=1,$D$58,$D$58+50)/100-1))</f>
        <v>5929.9856497336541</v>
      </c>
      <c r="O343" s="174">
        <f>U343*(1+((AG343+IF(F343="백어택",8,0))/100)*(AI343/100-1))</f>
        <v>8239.6571297886458</v>
      </c>
      <c r="P343" s="174">
        <f>V343*(1+((AG343+IF(F343="백어택",8,0))/100)*(AI343/100-1))</f>
        <v>0</v>
      </c>
      <c r="Q343" s="174"/>
      <c r="R343" s="175"/>
      <c r="S343" s="173">
        <f>SUM(T343:X343)</f>
        <v>10504.26615761912</v>
      </c>
      <c r="T343" s="174">
        <f>AL343*IF(H343="근접",AR343,1)*AY343*IF(F343="백어택",1.2,1)</f>
        <v>4614.7047961012686</v>
      </c>
      <c r="U343" s="174">
        <f>AM343*IF(H343="근접",AR343,1)*AY343*IF(F343="백어택",1.2,1)</f>
        <v>5889.5613615178527</v>
      </c>
      <c r="V343" s="174">
        <f>IF(AX343=1,0,AM343*IF(H343="근접",AR343,1)*AY343)*IF(F343="백어택",1.2,1)</f>
        <v>0</v>
      </c>
      <c r="W343" s="174"/>
      <c r="X343" s="175"/>
      <c r="Y343" s="173">
        <f>SUM(Z343:AD343)</f>
        <v>29794.402210958513</v>
      </c>
      <c r="Z343" s="174">
        <f>T343*IF(AY343=1,$D$58,$D$58+50)/100</f>
        <v>11536.761990253171</v>
      </c>
      <c r="AA343" s="174">
        <f>U343*AI343/100</f>
        <v>18257.640220705343</v>
      </c>
      <c r="AB343" s="174">
        <f>V343*AI343/100</f>
        <v>0</v>
      </c>
      <c r="AC343" s="174"/>
      <c r="AD343" s="175"/>
      <c r="AE343" s="173">
        <f>AO343*(1-$D$20/100)*(1-$D$17/100)</f>
        <v>18.484776131615998</v>
      </c>
      <c r="AF343" s="174">
        <f>AP343</f>
        <v>36</v>
      </c>
      <c r="AG343" s="174">
        <f>IF($D$57+AU343&gt;100,100,$D$57+AU343)</f>
        <v>19.001300000000001</v>
      </c>
      <c r="AH343" s="174">
        <f>IF(AX343=1,AQ343,AQ343*1.4)</f>
        <v>521</v>
      </c>
      <c r="AI343" s="174">
        <f>IF(AY343=1,$D$58,$D$58+50)*AW343</f>
        <v>310</v>
      </c>
      <c r="AJ343" s="174">
        <f>10/6/AX343</f>
        <v>1.6666666666666667</v>
      </c>
      <c r="AK343" s="174">
        <f>SUM(AL343:AN343)</f>
        <v>7294.6292761243903</v>
      </c>
      <c r="AL343" s="174">
        <f>(IF(H343="근접",$D$61*(VLOOKUP(C343,$B$36:$AG$39,9,FALSE)+VLOOKUP(C343,$B$40:$AG$43,9,FALSE)*$D$54),$D$60*(VLOOKUP(C343,$B$36:$AG$39,9,FALSE)+VLOOKUP(C343,$B$40:$AG$43,9,FALSE)*$D$54)))*$D$59/100</f>
        <v>3204.6561084036589</v>
      </c>
      <c r="AM343" s="174">
        <f>(IF(H343="근접",$D$61*(VLOOKUP(C343,$B$36:$AG$39,10,FALSE)+VLOOKUP(C343,$B$40:$AG$43,10,FALSE)*$D$54),$D$60*(VLOOKUP(C343,$B$36:$AG$39,10,FALSE)+VLOOKUP(C343,$B$40:$AG$43,10,FALSE)*$D$54)))*$D$59/100</f>
        <v>4089.9731677207315</v>
      </c>
      <c r="AN343" s="174"/>
      <c r="AO343" s="176">
        <v>24</v>
      </c>
      <c r="AP343" s="174">
        <v>36</v>
      </c>
      <c r="AQ343" s="175">
        <f>VLOOKUP(C343,$B$45:$AA$48,9,FALSE)</f>
        <v>521</v>
      </c>
      <c r="AR343" s="31">
        <f>IF(LEFT(E343,1)*1=1,$S$58,$R$58)</f>
        <v>1.2</v>
      </c>
      <c r="AS343" s="2">
        <f>IF(LEFT(E343,1)*1=2,$U$58,$T$58)</f>
        <v>0</v>
      </c>
      <c r="AT343" s="33">
        <f>IF(LEFT(E343,1)*1=3,$W$58,$V$58)</f>
        <v>0</v>
      </c>
      <c r="AU343" s="31">
        <f>IF(MID(E343,3,1)*1=1,$Y$58,$X$58)</f>
        <v>0</v>
      </c>
      <c r="AV343" s="2">
        <f>IF(MID(E343,3,1)*1=2,$AA$58,$Z$58)</f>
        <v>0</v>
      </c>
      <c r="AW343" s="33">
        <f>IF(MID(E343,3,1)*1=3,$AC$58,$AB$58)</f>
        <v>1.24</v>
      </c>
      <c r="AX343" s="31">
        <f>IF(MID(E343,5,1)*1=1,$AE$58,$AD$58)</f>
        <v>1</v>
      </c>
      <c r="AY343" s="33">
        <f>IF(MID(E343,5,1)*1=2,$AG$58,$AF$58)</f>
        <v>1.2</v>
      </c>
      <c r="AZ343" s="2"/>
      <c r="BA343" s="101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</row>
    <row r="344" spans="1:71" ht="12" customHeight="1">
      <c r="A344" s="2"/>
      <c r="B344" s="107">
        <v>745</v>
      </c>
      <c r="C344" s="31">
        <v>10</v>
      </c>
      <c r="D344" s="111" t="s">
        <v>21</v>
      </c>
      <c r="E344" s="2" t="s">
        <v>99</v>
      </c>
      <c r="F344" s="2"/>
      <c r="G344" s="2"/>
      <c r="H344" s="33"/>
      <c r="I344" s="173">
        <f>M344/AE344</f>
        <v>766.31794735563562</v>
      </c>
      <c r="J344" s="174">
        <f>AH344/AE344</f>
        <v>23.695174714659018</v>
      </c>
      <c r="K344" s="207">
        <f>RANK(I344,$I$76:$I$977)</f>
        <v>269</v>
      </c>
      <c r="L344" s="208" t="e">
        <f>RANK(I344,$I$451:$I$866)</f>
        <v>#N/A</v>
      </c>
      <c r="M344" s="173">
        <f>SUM(N344:R344)</f>
        <v>21247.823553762631</v>
      </c>
      <c r="N344" s="174">
        <f>T344*(1+((AG344+IF(F344="백어택",8,0))/100)*(AI344/100-1))</f>
        <v>18886.954270011229</v>
      </c>
      <c r="O344" s="174"/>
      <c r="P344" s="174"/>
      <c r="Q344" s="174"/>
      <c r="R344" s="175">
        <f>X344*(1+(AG344/100)*(AI344/100-1))</f>
        <v>2360.8692837514036</v>
      </c>
      <c r="S344" s="173">
        <f>SUM(T344:X344)</f>
        <v>17855.118854804638</v>
      </c>
      <c r="T344" s="174">
        <f>AL344*AW344*AX344*AY344*IF(F344="백어택",1.2,1)</f>
        <v>15871.216759826346</v>
      </c>
      <c r="U344" s="174"/>
      <c r="V344" s="174"/>
      <c r="W344" s="174"/>
      <c r="X344" s="175">
        <f>AL344*AS344+IF(AX344=1,AL344*AU344,AL344*AU344*2)</f>
        <v>1983.9020949782932</v>
      </c>
      <c r="Y344" s="173">
        <f>SUM(Z344:AD344)</f>
        <v>35710.237709609275</v>
      </c>
      <c r="Z344" s="174">
        <f>T344*$D$58/100</f>
        <v>31742.433519652692</v>
      </c>
      <c r="AA344" s="174"/>
      <c r="AB344" s="174"/>
      <c r="AC344" s="174"/>
      <c r="AD344" s="175">
        <f>X344*$D$58/100</f>
        <v>3967.8041899565865</v>
      </c>
      <c r="AE344" s="173">
        <f>AO344*(1-$D$20/100)*(1-$D$17/100)-AR344</f>
        <v>27.727164197424003</v>
      </c>
      <c r="AF344" s="174">
        <f>AP344</f>
        <v>36</v>
      </c>
      <c r="AG344" s="174">
        <f>IF($D$57&gt;100,100,$D$57)</f>
        <v>19.001300000000001</v>
      </c>
      <c r="AH344" s="174">
        <f>AQ344</f>
        <v>657</v>
      </c>
      <c r="AI344" s="174">
        <f>$D$58</f>
        <v>200</v>
      </c>
      <c r="AJ344" s="174">
        <f>10/6</f>
        <v>1.6666666666666667</v>
      </c>
      <c r="AK344" s="174">
        <f>SUM(AL344:AN344)</f>
        <v>9919.5104748914655</v>
      </c>
      <c r="AL344" s="174">
        <f>(VLOOKUP(C344,$B$36:$AG$39,31,FALSE)+VLOOKUP(C344,$B$40:$AG$43,31,FALSE)*$D$54)*$D$59/100</f>
        <v>9919.5104748914655</v>
      </c>
      <c r="AM344" s="174"/>
      <c r="AN344" s="174"/>
      <c r="AO344" s="176">
        <v>36</v>
      </c>
      <c r="AP344" s="174">
        <v>36</v>
      </c>
      <c r="AQ344" s="175">
        <f>VLOOKUP(C344,$B$45:$AG$48,31,FALSE)</f>
        <v>657</v>
      </c>
      <c r="AR344" s="31">
        <f>IF(LEFT(E344,1)*1=1,$S$71,$R$71)</f>
        <v>0</v>
      </c>
      <c r="AS344" s="2">
        <f>IF(LEFT(E344,1)*1=2,$U$71,$T$71)</f>
        <v>0.2</v>
      </c>
      <c r="AT344" s="33">
        <f>IF(LEFT(E344,1)*1=3,$W$71,$V$71)</f>
        <v>0</v>
      </c>
      <c r="AU344" s="31">
        <f>IF(MID(E344,3,1)*1=1,$Y$71,$X$71)</f>
        <v>0</v>
      </c>
      <c r="AV344" s="2">
        <f>IF(MID(E344,3,1)*1=2,$AA$71,$Z$71)</f>
        <v>0</v>
      </c>
      <c r="AW344" s="33">
        <f>IF(MID(E344,3,1)*1=3,$AC$71,$AB$71)</f>
        <v>1</v>
      </c>
      <c r="AX344" s="31">
        <f>IF(MID(E344,5,1)*1=1,$AE$71,$AD$71)</f>
        <v>1</v>
      </c>
      <c r="AY344" s="33">
        <f>IF(MID(E344,5,1)*1=2,$AG$71,$AF$71)</f>
        <v>1.6</v>
      </c>
      <c r="AZ344" s="2"/>
      <c r="BA344" s="101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</row>
    <row r="345" spans="1:71" ht="12" customHeight="1">
      <c r="A345" s="2"/>
      <c r="B345" s="107">
        <v>695</v>
      </c>
      <c r="C345" s="31">
        <v>4</v>
      </c>
      <c r="D345" s="111" t="s">
        <v>18</v>
      </c>
      <c r="E345" s="2" t="s">
        <v>148</v>
      </c>
      <c r="F345" s="2" t="s">
        <v>149</v>
      </c>
      <c r="G345" s="2"/>
      <c r="H345" s="33" t="s">
        <v>81</v>
      </c>
      <c r="I345" s="173">
        <f>M345/AE345</f>
        <v>764.45521490878627</v>
      </c>
      <c r="J345" s="174">
        <f>AH345/AE345</f>
        <v>13.738562349309744</v>
      </c>
      <c r="K345" s="207">
        <f>RANK(I345,$I$76:$I$977)</f>
        <v>270</v>
      </c>
      <c r="L345" s="208" t="e">
        <f>RANK(I345,$I$451:$I$866)</f>
        <v>#N/A</v>
      </c>
      <c r="M345" s="173">
        <f>SUM(N345:R345)</f>
        <v>11072.962650600166</v>
      </c>
      <c r="N345" s="174">
        <f>T345*(1+((AG345+IF(F345="백어택",8,0))/100)*(AI345/100-1))</f>
        <v>6609.3705412075833</v>
      </c>
      <c r="O345" s="174">
        <f>U345*(1+(($D$57+IF(F345="백어택",8,0))/100)*(AI345/100-1))</f>
        <v>4463.5921093925817</v>
      </c>
      <c r="P345" s="174"/>
      <c r="Q345" s="174"/>
      <c r="R345" s="175"/>
      <c r="S345" s="173">
        <f>SUM(T345:X345)</f>
        <v>8718.7789814751231</v>
      </c>
      <c r="T345" s="174">
        <f>AL345*IF(H345="근접",AT345,IF(AV345=1,AT345,1))*AX345*IF(F345="백어택",1.2,1)</f>
        <v>5204.1755015165854</v>
      </c>
      <c r="U345" s="174">
        <f>IF(AX345=1,AM345*IF(H345="근접",AT345,IF(AV345=1,AT345,1)),0)*AY345*IF(AX345=1,1,0)*IF(F345="백어택",1.2,1)</f>
        <v>3514.6034799585368</v>
      </c>
      <c r="V345" s="174"/>
      <c r="W345" s="174"/>
      <c r="X345" s="175"/>
      <c r="Y345" s="173">
        <f>SUM(Z345:AD345)</f>
        <v>17437.557962950246</v>
      </c>
      <c r="Z345" s="174">
        <f>T345*$D$58/100</f>
        <v>10408.351003033171</v>
      </c>
      <c r="AA345" s="174">
        <f>U345*$D$58/100</f>
        <v>7029.2069599170736</v>
      </c>
      <c r="AB345" s="174"/>
      <c r="AC345" s="174"/>
      <c r="AD345" s="175"/>
      <c r="AE345" s="173">
        <f>(AO345*(1-$D$20/100)*(1-$D$17/100)-AR345)*IF(AW345="보스대상",1,POWER(0.85,AW345))</f>
        <v>14.484776131615998</v>
      </c>
      <c r="AF345" s="174">
        <f>AP345</f>
        <v>36</v>
      </c>
      <c r="AG345" s="174">
        <f>IF($D$57+AU345&gt;100,100,$D$57+AU345)</f>
        <v>19.001300000000001</v>
      </c>
      <c r="AH345" s="174">
        <f>AQ345</f>
        <v>199</v>
      </c>
      <c r="AI345" s="174">
        <f>$D$58</f>
        <v>200</v>
      </c>
      <c r="AJ345" s="174">
        <f>10*AS345/IF(AX345=1,IF(AY345=1,4.5,4),4)</f>
        <v>2.2222222222222223</v>
      </c>
      <c r="AK345" s="174">
        <f>SUM(AL345:AN345)</f>
        <v>7265.6491512292687</v>
      </c>
      <c r="AL345" s="174">
        <f>IF(AV345=1,$D$61*(VLOOKUP(C345,$B$36:$AG$39,25,FALSE)+VLOOKUP(C345,$B$40:$AG$43,25,FALSE)*$D$54),(IF(H345="근접",$D$61*(VLOOKUP(C345,$B$36:$AG$39,25,FALSE)+VLOOKUP(C345,$B$40:$AG$43,25,FALSE)*$D$54),$D$60*(VLOOKUP(C345,$B$36:$AG$39,25,FALSE)+VLOOKUP(C345,$B$40:$AG$43,25,FALSE)*$D$54))))*$D$59/100</f>
        <v>4336.8129179304879</v>
      </c>
      <c r="AM345" s="174">
        <f>(IF(AV345=1,$D$61*(VLOOKUP(C345,$B$36:$AG$39,26,FALSE)+VLOOKUP(C345,$B$40:$AG$43,26,FALSE)*$D$54),IF(H345="근접",$D$61*(VLOOKUP(C345,$B$36:$AG$39,26,FALSE)+VLOOKUP(C345,$B$40:$AG$43,26,FALSE)*$D$54),$D$60*(VLOOKUP(C345,$B$36:$AG$39,26,FALSE)+VLOOKUP(C345,$B$40:$AG$43,26,FALSE)*$D$54))))*$D$59/100</f>
        <v>2928.8362332987808</v>
      </c>
      <c r="AN345" s="174"/>
      <c r="AO345" s="176">
        <v>24</v>
      </c>
      <c r="AP345" s="174">
        <v>36</v>
      </c>
      <c r="AQ345" s="175">
        <f>VLOOKUP(C345,$B$45:$AA$48,25,FALSE)</f>
        <v>199</v>
      </c>
      <c r="AR345" s="31">
        <f>IF(LEFT(E345,1)*1=1,$S$68,$R$68)</f>
        <v>4</v>
      </c>
      <c r="AS345" s="2">
        <f>IF(LEFT(E345,1)*1=2,$U$68,$T$68)</f>
        <v>1</v>
      </c>
      <c r="AT345" s="33">
        <f>IF(LEFT(E345,1)*1=3,$W$68,$V$68)</f>
        <v>1</v>
      </c>
      <c r="AU345" s="31">
        <f>IF(MID(E345,3,1)*1=1,$Y$68,$X$68)</f>
        <v>0</v>
      </c>
      <c r="AV345" s="2">
        <f>IF(MID(E345,3,1)*1=2,$AA$68,$Z$68)</f>
        <v>0</v>
      </c>
      <c r="AW345" s="33" t="str">
        <f>IF(MID(E345,3,1)*1=3,$AC$68,$AB$68)</f>
        <v>보스대상</v>
      </c>
      <c r="AX345" s="31">
        <f>IF(MID(E345,5,1)*1=1,$AE$68,$AD$68)</f>
        <v>1</v>
      </c>
      <c r="AY345" s="33">
        <f>IF(MID(E345,5,1)*1=2,$AG$68,$AF$68)</f>
        <v>1</v>
      </c>
      <c r="AZ345" s="2"/>
      <c r="BA345" s="101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</row>
    <row r="346" spans="1:71" ht="12" customHeight="1">
      <c r="A346" s="2"/>
      <c r="B346" s="107">
        <v>575</v>
      </c>
      <c r="C346" s="31">
        <v>10</v>
      </c>
      <c r="D346" s="111" t="s">
        <v>14</v>
      </c>
      <c r="E346" s="2" t="s">
        <v>144</v>
      </c>
      <c r="F346" s="2" t="s">
        <v>149</v>
      </c>
      <c r="G346" s="2"/>
      <c r="H346" s="33" t="s">
        <v>80</v>
      </c>
      <c r="I346" s="173">
        <f>M346/AE346</f>
        <v>763.78476227506508</v>
      </c>
      <c r="J346" s="174">
        <f>AH346/AE346</f>
        <v>23.695174714659018</v>
      </c>
      <c r="K346" s="207">
        <f>RANK(I346,$I$76:$I$977)</f>
        <v>271</v>
      </c>
      <c r="L346" s="208" t="e">
        <f>RANK(I346,$I$451:$I$866)</f>
        <v>#N/A</v>
      </c>
      <c r="M346" s="173">
        <f>SUM(N346:R346)</f>
        <v>21177.585515091188</v>
      </c>
      <c r="N346" s="174">
        <f>T346*(1+((AG346+IF(F346="백어택",8,0))/100)*(AI346/100-1))</f>
        <v>3673.9590010439292</v>
      </c>
      <c r="O346" s="174">
        <f>U346*(1+((AG346+IF(F346="백어택",8,0))/100)*(AI346/100-1))</f>
        <v>3673.9590010439292</v>
      </c>
      <c r="P346" s="174">
        <f>V346*(1+((AG346+IF(F346="백어택",8,0))/100)*(AI346*IF(AX346=1,AW346,1)/100-1))</f>
        <v>4964.6317159884147</v>
      </c>
      <c r="Q346" s="174">
        <f>W346*(1+((AG346+IF(F346="백어택",8,0))/100)*(AI346*AW346/100-1))</f>
        <v>8865.0357970149162</v>
      </c>
      <c r="R346" s="175"/>
      <c r="S346" s="173">
        <f>SUM(T346:X346)</f>
        <v>16675.093495177756</v>
      </c>
      <c r="T346" s="174">
        <f>AL346*AY346*IF(F346="백어택",1.2,1)</f>
        <v>2892.8514913185368</v>
      </c>
      <c r="U346" s="174">
        <f>AM346*AY346*IF(F346="백어택",1.2,1)</f>
        <v>2892.8514913185368</v>
      </c>
      <c r="V346" s="174">
        <f>AN346*AY346*IF(F346="백어택",1.2,1)</f>
        <v>3909.118816884878</v>
      </c>
      <c r="W346" s="174">
        <f>(T346+U346+V346)*IF(AX346=1,0,0.6)*IF(F346="백어택",1.2,1)</f>
        <v>6980.2716956558043</v>
      </c>
      <c r="X346" s="175"/>
      <c r="Y346" s="173">
        <f>SUM(Z346:AD346)</f>
        <v>33350.186990355513</v>
      </c>
      <c r="Z346" s="174">
        <f>T346*AI346/100</f>
        <v>5785.7029826370735</v>
      </c>
      <c r="AA346" s="174">
        <f>U346*AI346/100</f>
        <v>5785.7029826370735</v>
      </c>
      <c r="AB346" s="174">
        <f>V346*AI346*IF(AX346=1,AW346,1)/100</f>
        <v>7818.2376337697551</v>
      </c>
      <c r="AC346" s="174">
        <f>W346*AI346*AW346/100</f>
        <v>13960.543391311609</v>
      </c>
      <c r="AD346" s="175"/>
      <c r="AE346" s="173">
        <f>AO346*(1-$D$20/100)*(1-$D$17/100)</f>
        <v>27.727164197424003</v>
      </c>
      <c r="AF346" s="174">
        <f>AP346</f>
        <v>36</v>
      </c>
      <c r="AG346" s="174">
        <f>IF($D$57+AU346&gt;100,100,$D$57+AU346)</f>
        <v>19.001300000000001</v>
      </c>
      <c r="AH346" s="174">
        <f>AQ346*AS346</f>
        <v>657</v>
      </c>
      <c r="AI346" s="174">
        <f>$D$58+IF(H346="근접",AR346,0)+IF(AY346=1,0,50)</f>
        <v>200</v>
      </c>
      <c r="AJ346" s="174">
        <f>10/3</f>
        <v>3.3333333333333335</v>
      </c>
      <c r="AK346" s="174">
        <f>SUM(AL346:AN346)</f>
        <v>8079.0181662682935</v>
      </c>
      <c r="AL346" s="174">
        <f>(IF(H346="근접",$D$61*(VLOOKUP(C346,$B$36:$AG$39,19,FALSE)+VLOOKUP(C346,$B$40:$AG$43,19,FALSE)*$D$54),$D$60*(VLOOKUP(C346,$B$36:$AG$39,19,FALSE)+VLOOKUP(C346,$B$40:$AG$43,19,FALSE)*$D$54)))*$D$59/100</f>
        <v>2410.7095760987809</v>
      </c>
      <c r="AM346" s="174">
        <f>(IF(H346="근접",$D$61*(VLOOKUP(C346,$B$36:$AG$39,20,FALSE)+VLOOKUP(C346,$B$40:$AG$43,20,FALSE)*$D$54),$D$60*(VLOOKUP(C346,$B$36:$AG$39,20,FALSE)+VLOOKUP(C346,$B$40:$AG$43,20,FALSE)*$D$54)))*$D$59/100</f>
        <v>2410.7095760987809</v>
      </c>
      <c r="AN346" s="174">
        <f>(IF(H346="근접",$D$61*(VLOOKUP(C346,$B$36:$AG$39,21,FALSE)+VLOOKUP(C346,$B$40:$AG$43,21,FALSE)*$D$54),$D$60*(VLOOKUP(C346,$B$36:$AG$39,21,FALSE)+VLOOKUP(C346,$B$40:$AG$43,21,FALSE)*$D$54)))*$D$59/100</f>
        <v>3257.5990140707318</v>
      </c>
      <c r="AO346" s="176">
        <v>36</v>
      </c>
      <c r="AP346" s="174">
        <v>36</v>
      </c>
      <c r="AQ346" s="175">
        <f>VLOOKUP(C346,$B$45:$AA$48,19,FALSE)</f>
        <v>657</v>
      </c>
      <c r="AR346" s="31">
        <f>IF(LEFT(E346,1)*1=1,$S$64,$R$64)</f>
        <v>0</v>
      </c>
      <c r="AS346" s="2">
        <f>IF(LEFT(E346,1)*1=2,$U$64,$T$64)</f>
        <v>1</v>
      </c>
      <c r="AT346" s="33">
        <f>IF(LEFT(E346,1)*1=3,$W$64,$V$64)</f>
        <v>0</v>
      </c>
      <c r="AU346" s="31">
        <f>IF(MID(E346,3,1)*1=1,$Y$64,$X$64)</f>
        <v>0</v>
      </c>
      <c r="AV346" s="2">
        <f>IF(MID(E346,3,1)*1=2,$AA$64,$Z$64)</f>
        <v>0</v>
      </c>
      <c r="AW346" s="33">
        <f>IF(MID(E346,3,1)*1=3,$AC$64,$AB$64)</f>
        <v>1</v>
      </c>
      <c r="AX346" s="31">
        <f>IF(MID(E346,5,1)*1=1,$AE$64,$AD$64)</f>
        <v>0.6</v>
      </c>
      <c r="AY346" s="33">
        <f>IF(MID(E346,5,1)*1=2,$AG$64,$AF$64)</f>
        <v>1</v>
      </c>
      <c r="AZ346" s="2"/>
      <c r="BA346" s="101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</row>
    <row r="347" spans="1:71" ht="12" customHeight="1">
      <c r="A347" s="2"/>
      <c r="B347" s="107">
        <v>578</v>
      </c>
      <c r="C347" s="31">
        <v>10</v>
      </c>
      <c r="D347" s="111" t="s">
        <v>14</v>
      </c>
      <c r="E347" s="2" t="s">
        <v>150</v>
      </c>
      <c r="F347" s="2" t="s">
        <v>149</v>
      </c>
      <c r="G347" s="2"/>
      <c r="H347" s="33" t="s">
        <v>80</v>
      </c>
      <c r="I347" s="173">
        <f>M347/AE347</f>
        <v>763.78476227506508</v>
      </c>
      <c r="J347" s="174">
        <f>AH347/AE347</f>
        <v>23.695174714659018</v>
      </c>
      <c r="K347" s="207">
        <f>RANK(I347,$I$76:$I$977)</f>
        <v>271</v>
      </c>
      <c r="L347" s="208" t="e">
        <f>RANK(I347,$I$451:$I$866)</f>
        <v>#N/A</v>
      </c>
      <c r="M347" s="173">
        <f>SUM(N347:R347)</f>
        <v>21177.585515091188</v>
      </c>
      <c r="N347" s="174">
        <f>T347*(1+((AG347+IF(F347="백어택",8,0))/100)*(AI347/100-1))</f>
        <v>3673.9590010439292</v>
      </c>
      <c r="O347" s="174">
        <f>U347*(1+((AG347+IF(F347="백어택",8,0))/100)*(AI347/100-1))</f>
        <v>3673.9590010439292</v>
      </c>
      <c r="P347" s="174">
        <f>V347*(1+((AG347+IF(F347="백어택",8,0))/100)*(AI347*IF(AX347=1,AW347,1)/100-1))</f>
        <v>4964.6317159884147</v>
      </c>
      <c r="Q347" s="174">
        <f>W347*(1+((AG347+IF(F347="백어택",8,0))/100)*(AI347*AW347/100-1))</f>
        <v>8865.0357970149162</v>
      </c>
      <c r="R347" s="175"/>
      <c r="S347" s="173">
        <f>SUM(T347:X347)</f>
        <v>16675.093495177756</v>
      </c>
      <c r="T347" s="174">
        <f>AL347*AY347*IF(F347="백어택",1.2,1)</f>
        <v>2892.8514913185368</v>
      </c>
      <c r="U347" s="174">
        <f>AM347*AY347*IF(F347="백어택",1.2,1)</f>
        <v>2892.8514913185368</v>
      </c>
      <c r="V347" s="174">
        <f>AN347*AY347*IF(F347="백어택",1.2,1)</f>
        <v>3909.118816884878</v>
      </c>
      <c r="W347" s="174">
        <f>(T347+U347+V347)*IF(AX347=1,0,0.6)*IF(F347="백어택",1.2,1)</f>
        <v>6980.2716956558043</v>
      </c>
      <c r="X347" s="175"/>
      <c r="Y347" s="173">
        <f>SUM(Z347:AD347)</f>
        <v>33350.186990355513</v>
      </c>
      <c r="Z347" s="174">
        <f>T347*AI347/100</f>
        <v>5785.7029826370735</v>
      </c>
      <c r="AA347" s="174">
        <f>U347*AI347/100</f>
        <v>5785.7029826370735</v>
      </c>
      <c r="AB347" s="174">
        <f>V347*AI347*IF(AX347=1,AW347,1)/100</f>
        <v>7818.2376337697551</v>
      </c>
      <c r="AC347" s="174">
        <f>W347*AI347*AW347/100</f>
        <v>13960.543391311609</v>
      </c>
      <c r="AD347" s="175"/>
      <c r="AE347" s="173">
        <f>AO347*(1-$D$20/100)*(1-$D$17/100)</f>
        <v>27.727164197424003</v>
      </c>
      <c r="AF347" s="174">
        <f>AP347</f>
        <v>36</v>
      </c>
      <c r="AG347" s="174">
        <f>IF($D$57+AU347&gt;100,100,$D$57+AU347)</f>
        <v>19.001300000000001</v>
      </c>
      <c r="AH347" s="174">
        <f>AQ347*AS347</f>
        <v>657</v>
      </c>
      <c r="AI347" s="174">
        <f>$D$58+IF(H347="근접",AR347,0)+IF(AY347=1,0,50)</f>
        <v>200</v>
      </c>
      <c r="AJ347" s="174">
        <f>10/3</f>
        <v>3.3333333333333335</v>
      </c>
      <c r="AK347" s="174">
        <f>SUM(AL347:AN347)</f>
        <v>8079.0181662682935</v>
      </c>
      <c r="AL347" s="174">
        <f>(IF(H347="근접",$D$61*(VLOOKUP(C347,$B$36:$AG$39,19,FALSE)+VLOOKUP(C347,$B$40:$AG$43,19,FALSE)*$D$54),$D$60*(VLOOKUP(C347,$B$36:$AG$39,19,FALSE)+VLOOKUP(C347,$B$40:$AG$43,19,FALSE)*$D$54)))*$D$59/100</f>
        <v>2410.7095760987809</v>
      </c>
      <c r="AM347" s="174">
        <f>(IF(H347="근접",$D$61*(VLOOKUP(C347,$B$36:$AG$39,20,FALSE)+VLOOKUP(C347,$B$40:$AG$43,20,FALSE)*$D$54),$D$60*(VLOOKUP(C347,$B$36:$AG$39,20,FALSE)+VLOOKUP(C347,$B$40:$AG$43,20,FALSE)*$D$54)))*$D$59/100</f>
        <v>2410.7095760987809</v>
      </c>
      <c r="AN347" s="174">
        <f>(IF(H347="근접",$D$61*(VLOOKUP(C347,$B$36:$AG$39,21,FALSE)+VLOOKUP(C347,$B$40:$AG$43,21,FALSE)*$D$54),$D$60*(VLOOKUP(C347,$B$36:$AG$39,21,FALSE)+VLOOKUP(C347,$B$40:$AG$43,21,FALSE)*$D$54)))*$D$59/100</f>
        <v>3257.5990140707318</v>
      </c>
      <c r="AO347" s="176">
        <v>36</v>
      </c>
      <c r="AP347" s="174">
        <v>36</v>
      </c>
      <c r="AQ347" s="175">
        <f>VLOOKUP(C347,$B$45:$AA$48,19,FALSE)</f>
        <v>657</v>
      </c>
      <c r="AR347" s="31">
        <f>IF(LEFT(E347,1)*1=1,$S$64,$R$64)</f>
        <v>50</v>
      </c>
      <c r="AS347" s="2">
        <f>IF(LEFT(E347,1)*1=2,$U$64,$T$64)</f>
        <v>1</v>
      </c>
      <c r="AT347" s="33">
        <f>IF(LEFT(E347,1)*1=3,$W$64,$V$64)</f>
        <v>0</v>
      </c>
      <c r="AU347" s="31">
        <f>IF(MID(E347,3,1)*1=1,$Y$64,$X$64)</f>
        <v>0</v>
      </c>
      <c r="AV347" s="2">
        <f>IF(MID(E347,3,1)*1=2,$AA$64,$Z$64)</f>
        <v>0</v>
      </c>
      <c r="AW347" s="33">
        <f>IF(MID(E347,3,1)*1=3,$AC$64,$AB$64)</f>
        <v>1</v>
      </c>
      <c r="AX347" s="31">
        <f>IF(MID(E347,5,1)*1=1,$AE$64,$AD$64)</f>
        <v>0.6</v>
      </c>
      <c r="AY347" s="33">
        <f>IF(MID(E347,5,1)*1=2,$AG$64,$AF$64)</f>
        <v>1</v>
      </c>
      <c r="AZ347" s="2"/>
      <c r="BA347" s="101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</row>
    <row r="348" spans="1:71" ht="12" customHeight="1">
      <c r="A348" s="2"/>
      <c r="B348" s="107">
        <v>581</v>
      </c>
      <c r="C348" s="31">
        <v>10</v>
      </c>
      <c r="D348" s="111" t="s">
        <v>14</v>
      </c>
      <c r="E348" s="2" t="s">
        <v>161</v>
      </c>
      <c r="F348" s="2" t="s">
        <v>149</v>
      </c>
      <c r="G348" s="2"/>
      <c r="H348" s="33" t="s">
        <v>80</v>
      </c>
      <c r="I348" s="173">
        <f>M348/AE348</f>
        <v>763.78476227506508</v>
      </c>
      <c r="J348" s="174">
        <f>AH348/AE348</f>
        <v>11.847587357329509</v>
      </c>
      <c r="K348" s="207">
        <f>RANK(I348,$I$76:$I$977)</f>
        <v>271</v>
      </c>
      <c r="L348" s="208" t="e">
        <f>RANK(I348,$I$451:$I$866)</f>
        <v>#N/A</v>
      </c>
      <c r="M348" s="173">
        <f>SUM(N348:R348)</f>
        <v>21177.585515091188</v>
      </c>
      <c r="N348" s="174">
        <f>T348*(1+((AG348+IF(F348="백어택",8,0))/100)*(AI348/100-1))</f>
        <v>3673.9590010439292</v>
      </c>
      <c r="O348" s="174">
        <f>U348*(1+((AG348+IF(F348="백어택",8,0))/100)*(AI348/100-1))</f>
        <v>3673.9590010439292</v>
      </c>
      <c r="P348" s="174">
        <f>V348*(1+((AG348+IF(F348="백어택",8,0))/100)*(AI348*IF(AX348=1,AW348,1)/100-1))</f>
        <v>4964.6317159884147</v>
      </c>
      <c r="Q348" s="174">
        <f>W348*(1+((AG348+IF(F348="백어택",8,0))/100)*(AI348*AW348/100-1))</f>
        <v>8865.0357970149162</v>
      </c>
      <c r="R348" s="175"/>
      <c r="S348" s="173">
        <f>SUM(T348:X348)</f>
        <v>16675.093495177756</v>
      </c>
      <c r="T348" s="174">
        <f>AL348*AY348*IF(F348="백어택",1.2,1)</f>
        <v>2892.8514913185368</v>
      </c>
      <c r="U348" s="174">
        <f>AM348*AY348*IF(F348="백어택",1.2,1)</f>
        <v>2892.8514913185368</v>
      </c>
      <c r="V348" s="174">
        <f>AN348*AY348*IF(F348="백어택",1.2,1)</f>
        <v>3909.118816884878</v>
      </c>
      <c r="W348" s="174">
        <f>(T348+U348+V348)*IF(AX348=1,0,0.6)*IF(F348="백어택",1.2,1)</f>
        <v>6980.2716956558043</v>
      </c>
      <c r="X348" s="175"/>
      <c r="Y348" s="173">
        <f>SUM(Z348:AD348)</f>
        <v>33350.186990355513</v>
      </c>
      <c r="Z348" s="174">
        <f>T348*AI348/100</f>
        <v>5785.7029826370735</v>
      </c>
      <c r="AA348" s="174">
        <f>U348*AI348/100</f>
        <v>5785.7029826370735</v>
      </c>
      <c r="AB348" s="174">
        <f>V348*AI348*IF(AX348=1,AW348,1)/100</f>
        <v>7818.2376337697551</v>
      </c>
      <c r="AC348" s="174">
        <f>W348*AI348*AW348/100</f>
        <v>13960.543391311609</v>
      </c>
      <c r="AD348" s="175"/>
      <c r="AE348" s="173">
        <f>AO348*(1-$D$20/100)*(1-$D$17/100)</f>
        <v>27.727164197424003</v>
      </c>
      <c r="AF348" s="174">
        <f>AP348</f>
        <v>36</v>
      </c>
      <c r="AG348" s="174">
        <f>IF($D$57+AU348&gt;100,100,$D$57+AU348)</f>
        <v>19.001300000000001</v>
      </c>
      <c r="AH348" s="174">
        <f>AQ348*AS348</f>
        <v>328.5</v>
      </c>
      <c r="AI348" s="174">
        <f>$D$58+IF(H348="근접",AR348,0)+IF(AY348=1,0,50)</f>
        <v>200</v>
      </c>
      <c r="AJ348" s="174">
        <f>10/3</f>
        <v>3.3333333333333335</v>
      </c>
      <c r="AK348" s="174">
        <f>SUM(AL348:AN348)</f>
        <v>8079.0181662682935</v>
      </c>
      <c r="AL348" s="174">
        <f>(IF(H348="근접",$D$61*(VLOOKUP(C348,$B$36:$AG$39,19,FALSE)+VLOOKUP(C348,$B$40:$AG$43,19,FALSE)*$D$54),$D$60*(VLOOKUP(C348,$B$36:$AG$39,19,FALSE)+VLOOKUP(C348,$B$40:$AG$43,19,FALSE)*$D$54)))*$D$59/100</f>
        <v>2410.7095760987809</v>
      </c>
      <c r="AM348" s="174">
        <f>(IF(H348="근접",$D$61*(VLOOKUP(C348,$B$36:$AG$39,20,FALSE)+VLOOKUP(C348,$B$40:$AG$43,20,FALSE)*$D$54),$D$60*(VLOOKUP(C348,$B$36:$AG$39,20,FALSE)+VLOOKUP(C348,$B$40:$AG$43,20,FALSE)*$D$54)))*$D$59/100</f>
        <v>2410.7095760987809</v>
      </c>
      <c r="AN348" s="174">
        <f>(IF(H348="근접",$D$61*(VLOOKUP(C348,$B$36:$AG$39,21,FALSE)+VLOOKUP(C348,$B$40:$AG$43,21,FALSE)*$D$54),$D$60*(VLOOKUP(C348,$B$36:$AG$39,21,FALSE)+VLOOKUP(C348,$B$40:$AG$43,21,FALSE)*$D$54)))*$D$59/100</f>
        <v>3257.5990140707318</v>
      </c>
      <c r="AO348" s="176">
        <v>36</v>
      </c>
      <c r="AP348" s="174">
        <v>36</v>
      </c>
      <c r="AQ348" s="175">
        <f>VLOOKUP(C348,$B$45:$AA$48,19,FALSE)</f>
        <v>657</v>
      </c>
      <c r="AR348" s="31">
        <f>IF(LEFT(E348,1)*1=1,$S$64,$R$64)</f>
        <v>0</v>
      </c>
      <c r="AS348" s="2">
        <f>IF(LEFT(E348,1)*1=2,$U$64,$T$64)</f>
        <v>0.5</v>
      </c>
      <c r="AT348" s="33">
        <f>IF(LEFT(E348,1)*1=3,$W$64,$V$64)</f>
        <v>0</v>
      </c>
      <c r="AU348" s="31">
        <f>IF(MID(E348,3,1)*1=1,$Y$64,$X$64)</f>
        <v>0</v>
      </c>
      <c r="AV348" s="2">
        <f>IF(MID(E348,3,1)*1=2,$AA$64,$Z$64)</f>
        <v>0</v>
      </c>
      <c r="AW348" s="33">
        <f>IF(MID(E348,3,1)*1=3,$AC$64,$AB$64)</f>
        <v>1</v>
      </c>
      <c r="AX348" s="31">
        <f>IF(MID(E348,5,1)*1=1,$AE$64,$AD$64)</f>
        <v>0.6</v>
      </c>
      <c r="AY348" s="33">
        <f>IF(MID(E348,5,1)*1=2,$AG$64,$AF$64)</f>
        <v>1</v>
      </c>
      <c r="AZ348" s="2"/>
      <c r="BA348" s="101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</row>
    <row r="349" spans="1:71" ht="12" customHeight="1">
      <c r="A349" s="2"/>
      <c r="B349" s="107">
        <v>761</v>
      </c>
      <c r="C349" s="31">
        <v>10</v>
      </c>
      <c r="D349" s="111" t="s">
        <v>21</v>
      </c>
      <c r="E349" s="2" t="s">
        <v>144</v>
      </c>
      <c r="F349" s="2" t="s">
        <v>149</v>
      </c>
      <c r="G349" s="2"/>
      <c r="H349" s="33"/>
      <c r="I349" s="173">
        <f>M349/AE349</f>
        <v>763.31225366723561</v>
      </c>
      <c r="J349" s="174">
        <f>AH349/AE349</f>
        <v>23.695174714659018</v>
      </c>
      <c r="K349" s="207">
        <f>RANK(I349,$I$76:$I$977)</f>
        <v>274</v>
      </c>
      <c r="L349" s="208" t="e">
        <f>RANK(I349,$I$451:$I$866)</f>
        <v>#N/A</v>
      </c>
      <c r="M349" s="173">
        <f>SUM(N349:R349)</f>
        <v>21164.484191337204</v>
      </c>
      <c r="N349" s="174">
        <f>T349*(1+((AG349+IF(F349="백어택",8,0))/100)*(AI349/100-1))</f>
        <v>21164.484191337204</v>
      </c>
      <c r="O349" s="174"/>
      <c r="P349" s="174"/>
      <c r="Q349" s="174"/>
      <c r="R349" s="175">
        <f>X349*(1+(AG349/100)*(AI349/100-1))</f>
        <v>0</v>
      </c>
      <c r="S349" s="173">
        <f>SUM(T349:X349)</f>
        <v>16664.777597817661</v>
      </c>
      <c r="T349" s="174">
        <f>AL349*AW349*AX349*AY349*IF(F349="백어택",1.2,1)</f>
        <v>16664.777597817661</v>
      </c>
      <c r="U349" s="174"/>
      <c r="V349" s="174"/>
      <c r="W349" s="174"/>
      <c r="X349" s="175">
        <f>AL349*AS349+IF(AX349=1,AL349*AU349,AL349*AU349*2)</f>
        <v>0</v>
      </c>
      <c r="Y349" s="173">
        <f>SUM(Z349:AD349)</f>
        <v>33329.555195635323</v>
      </c>
      <c r="Z349" s="174">
        <f>T349*$D$58/100</f>
        <v>33329.555195635323</v>
      </c>
      <c r="AA349" s="174"/>
      <c r="AB349" s="174"/>
      <c r="AC349" s="174"/>
      <c r="AD349" s="175">
        <f>X349*$D$58/100</f>
        <v>0</v>
      </c>
      <c r="AE349" s="173">
        <f>AO349*(1-$D$20/100)*(1-$D$17/100)-AR349</f>
        <v>27.727164197424003</v>
      </c>
      <c r="AF349" s="174">
        <f>AP349</f>
        <v>36</v>
      </c>
      <c r="AG349" s="174">
        <f>IF($D$57&gt;100,100,$D$57)</f>
        <v>19.001300000000001</v>
      </c>
      <c r="AH349" s="174">
        <f>AQ349</f>
        <v>657</v>
      </c>
      <c r="AI349" s="174">
        <f>$D$58</f>
        <v>200</v>
      </c>
      <c r="AJ349" s="174">
        <f>10/6</f>
        <v>1.6666666666666667</v>
      </c>
      <c r="AK349" s="174">
        <f>SUM(AL349:AN349)</f>
        <v>9919.5104748914655</v>
      </c>
      <c r="AL349" s="174">
        <f>(VLOOKUP(C349,$B$36:$AG$39,31,FALSE)+VLOOKUP(C349,$B$40:$AG$43,31,FALSE)*$D$54)*$D$59/100</f>
        <v>9919.5104748914655</v>
      </c>
      <c r="AM349" s="174"/>
      <c r="AN349" s="174"/>
      <c r="AO349" s="176">
        <v>36</v>
      </c>
      <c r="AP349" s="174">
        <v>36</v>
      </c>
      <c r="AQ349" s="175">
        <f>VLOOKUP(C349,$B$45:$AG$48,31,FALSE)</f>
        <v>657</v>
      </c>
      <c r="AR349" s="31">
        <f>IF(LEFT(E349,1)*1=1,$S$71,$R$71)</f>
        <v>0</v>
      </c>
      <c r="AS349" s="2">
        <f>IF(LEFT(E349,1)*1=2,$U$71,$T$71)</f>
        <v>0</v>
      </c>
      <c r="AT349" s="33">
        <f>IF(LEFT(E349,1)*1=3,$W$71,$V$71)</f>
        <v>0</v>
      </c>
      <c r="AU349" s="31">
        <f>IF(MID(E349,3,1)*1=1,$Y$71,$X$71)</f>
        <v>0</v>
      </c>
      <c r="AV349" s="2">
        <f>IF(MID(E349,3,1)*1=2,$AA$71,$Z$71)</f>
        <v>0</v>
      </c>
      <c r="AW349" s="33">
        <f>IF(MID(E349,3,1)*1=3,$AC$71,$AB$71)</f>
        <v>1</v>
      </c>
      <c r="AX349" s="31">
        <f>IF(MID(E349,5,1)*1=1,$AE$71,$AD$71)</f>
        <v>1.4</v>
      </c>
      <c r="AY349" s="33">
        <f>IF(MID(E349,5,1)*1=2,$AG$71,$AF$71)</f>
        <v>1</v>
      </c>
      <c r="AZ349" s="2"/>
      <c r="BA349" s="101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</row>
    <row r="350" spans="1:71" ht="12" customHeight="1">
      <c r="A350" s="2"/>
      <c r="B350" s="107">
        <v>563</v>
      </c>
      <c r="C350" s="31">
        <v>7</v>
      </c>
      <c r="D350" s="111" t="s">
        <v>14</v>
      </c>
      <c r="E350" s="2" t="s">
        <v>136</v>
      </c>
      <c r="F350" s="2" t="s">
        <v>149</v>
      </c>
      <c r="G350" s="2"/>
      <c r="H350" s="33" t="s">
        <v>81</v>
      </c>
      <c r="I350" s="173">
        <f>M350/AE350</f>
        <v>763.02914455334451</v>
      </c>
      <c r="J350" s="174">
        <f>AH350/AE350</f>
        <v>16.518097441877977</v>
      </c>
      <c r="K350" s="207">
        <f>RANK(I350,$I$76:$I$977)</f>
        <v>275</v>
      </c>
      <c r="L350" s="208" t="e">
        <f>RANK(I350,$I$451:$I$866)</f>
        <v>#N/A</v>
      </c>
      <c r="M350" s="173">
        <f>SUM(N350:R350)</f>
        <v>21156.634378450559</v>
      </c>
      <c r="N350" s="174">
        <f>T350*(1+((AG350+IF(F350="백어택",8,0))/100)*(AI350/100-1))</f>
        <v>6314.3434599971597</v>
      </c>
      <c r="O350" s="174">
        <f>U350*(1+((AG350+IF(F350="백어택",8,0))/100)*(AI350/100-1))</f>
        <v>6314.3434599971597</v>
      </c>
      <c r="P350" s="174">
        <f>V350*(1+((AG350+IF(F350="백어택",8,0))/100)*(AI350*IF(AX350=1,AW350,1)/100-1))</f>
        <v>8527.9474584562413</v>
      </c>
      <c r="Q350" s="174">
        <f>W350*(1+((AG350+IF(F350="백어택",8,0))/100)*(AI350*AW350/100-1))</f>
        <v>0</v>
      </c>
      <c r="R350" s="175"/>
      <c r="S350" s="173">
        <f>SUM(T350:X350)</f>
        <v>13918.719365196586</v>
      </c>
      <c r="T350" s="174">
        <f>AL350*AY350*IF(F350="백어택",1.2,1)</f>
        <v>4154.1378001353669</v>
      </c>
      <c r="U350" s="174">
        <f>AM350*AY350*IF(F350="백어택",1.2,1)</f>
        <v>4154.1378001353669</v>
      </c>
      <c r="V350" s="174">
        <f>AN350*AY350*IF(F350="백어택",1.2,1)</f>
        <v>5610.4437649258534</v>
      </c>
      <c r="W350" s="174">
        <f>(T350+U350+V350)*IF(AX350=1,0,0.6)*IF(F350="백어택",1.2,1)</f>
        <v>0</v>
      </c>
      <c r="X350" s="175"/>
      <c r="Y350" s="173">
        <f>SUM(Z350:AD350)</f>
        <v>27837.438730393173</v>
      </c>
      <c r="Z350" s="174">
        <f>T350*AI350/100</f>
        <v>8308.2756002707338</v>
      </c>
      <c r="AA350" s="174">
        <f>U350*AI350/100</f>
        <v>8308.2756002707338</v>
      </c>
      <c r="AB350" s="174">
        <f>V350*AI350*IF(AX350=1,AW350,1)/100</f>
        <v>11220.887529851705</v>
      </c>
      <c r="AC350" s="174">
        <f>W350*AI350*AW350/100</f>
        <v>0</v>
      </c>
      <c r="AD350" s="175"/>
      <c r="AE350" s="173">
        <f>AO350*(1-$D$20/100)*(1-$D$17/100)</f>
        <v>27.727164197424003</v>
      </c>
      <c r="AF350" s="174">
        <f>AP350</f>
        <v>36</v>
      </c>
      <c r="AG350" s="174">
        <f>IF($D$57+AU350&gt;100,100,$D$57+AU350)</f>
        <v>44.001300000000001</v>
      </c>
      <c r="AH350" s="174">
        <f>AQ350*AS350</f>
        <v>458</v>
      </c>
      <c r="AI350" s="174">
        <f>$D$58+IF(H350="근접",AR350,0)+IF(AY350=1,0,50)</f>
        <v>200</v>
      </c>
      <c r="AJ350" s="174">
        <f>10/3</f>
        <v>3.3333333333333335</v>
      </c>
      <c r="AK350" s="174">
        <f>SUM(AL350:AN350)</f>
        <v>11598.932804330489</v>
      </c>
      <c r="AL350" s="174">
        <f>(IF(H350="근접",$D$61*(VLOOKUP(C350,$B$36:$AG$39,19,FALSE)+VLOOKUP(C350,$B$40:$AG$43,19,FALSE)*$D$54),$D$60*(VLOOKUP(C350,$B$36:$AG$39,19,FALSE)+VLOOKUP(C350,$B$40:$AG$43,19,FALSE)*$D$54)))*$D$59/100</f>
        <v>3461.7815001128056</v>
      </c>
      <c r="AM350" s="174">
        <f>(IF(H350="근접",$D$61*(VLOOKUP(C350,$B$36:$AG$39,20,FALSE)+VLOOKUP(C350,$B$40:$AG$43,20,FALSE)*$D$54),$D$60*(VLOOKUP(C350,$B$36:$AG$39,20,FALSE)+VLOOKUP(C350,$B$40:$AG$43,20,FALSE)*$D$54)))*$D$59/100</f>
        <v>3461.7815001128056</v>
      </c>
      <c r="AN350" s="174">
        <f>(IF(H350="근접",$D$61*(VLOOKUP(C350,$B$36:$AG$39,21,FALSE)+VLOOKUP(C350,$B$40:$AG$43,21,FALSE)*$D$54),$D$60*(VLOOKUP(C350,$B$36:$AG$39,21,FALSE)+VLOOKUP(C350,$B$40:$AG$43,21,FALSE)*$D$54)))*$D$59/100</f>
        <v>4675.3698041048783</v>
      </c>
      <c r="AO350" s="176">
        <v>36</v>
      </c>
      <c r="AP350" s="174">
        <v>36</v>
      </c>
      <c r="AQ350" s="175">
        <f>VLOOKUP(C350,$B$45:$AA$48,19,FALSE)</f>
        <v>458</v>
      </c>
      <c r="AR350" s="31">
        <f>IF(LEFT(E350,1)*1=1,$S$64,$R$64)</f>
        <v>0</v>
      </c>
      <c r="AS350" s="2">
        <f>IF(LEFT(E350,1)*1=2,$U$64,$T$64)</f>
        <v>1</v>
      </c>
      <c r="AT350" s="33">
        <f>IF(LEFT(E350,1)*1=3,$W$64,$V$64)</f>
        <v>0</v>
      </c>
      <c r="AU350" s="31">
        <f>IF(MID(E350,3,1)*1=1,$Y$64,$X$64)</f>
        <v>25</v>
      </c>
      <c r="AV350" s="2">
        <f>IF(MID(E350,3,1)*1=2,$AA$64,$Z$64)</f>
        <v>0</v>
      </c>
      <c r="AW350" s="33">
        <f>IF(MID(E350,3,1)*1=3,$AC$64,$AB$64)</f>
        <v>1</v>
      </c>
      <c r="AX350" s="31">
        <f>IF(MID(E350,5,1)*1=1,$AE$64,$AD$64)</f>
        <v>1</v>
      </c>
      <c r="AY350" s="33">
        <f>IF(MID(E350,5,1)*1=2,$AG$64,$AF$64)</f>
        <v>1</v>
      </c>
      <c r="AZ350" s="2"/>
      <c r="BA350" s="101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</row>
    <row r="351" spans="1:71" ht="12" customHeight="1">
      <c r="A351" s="2"/>
      <c r="B351" s="107">
        <v>569</v>
      </c>
      <c r="C351" s="31">
        <v>7</v>
      </c>
      <c r="D351" s="111" t="s">
        <v>14</v>
      </c>
      <c r="E351" s="2" t="s">
        <v>168</v>
      </c>
      <c r="F351" s="2" t="s">
        <v>149</v>
      </c>
      <c r="G351" s="2"/>
      <c r="H351" s="33" t="s">
        <v>81</v>
      </c>
      <c r="I351" s="173">
        <f>M351/AE351</f>
        <v>763.02914455334451</v>
      </c>
      <c r="J351" s="174">
        <f>AH351/AE351</f>
        <v>8.2590487209389885</v>
      </c>
      <c r="K351" s="207">
        <f>RANK(I351,$I$76:$I$977)</f>
        <v>275</v>
      </c>
      <c r="L351" s="208" t="e">
        <f>RANK(I351,$I$451:$I$866)</f>
        <v>#N/A</v>
      </c>
      <c r="M351" s="173">
        <f>SUM(N351:R351)</f>
        <v>21156.634378450559</v>
      </c>
      <c r="N351" s="174">
        <f>T351*(1+((AG351+IF(F351="백어택",8,0))/100)*(AI351/100-1))</f>
        <v>6314.3434599971597</v>
      </c>
      <c r="O351" s="174">
        <f>U351*(1+((AG351+IF(F351="백어택",8,0))/100)*(AI351/100-1))</f>
        <v>6314.3434599971597</v>
      </c>
      <c r="P351" s="174">
        <f>V351*(1+((AG351+IF(F351="백어택",8,0))/100)*(AI351*IF(AX351=1,AW351,1)/100-1))</f>
        <v>8527.9474584562413</v>
      </c>
      <c r="Q351" s="174">
        <f>W351*(1+((AG351+IF(F351="백어택",8,0))/100)*(AI351*AW351/100-1))</f>
        <v>0</v>
      </c>
      <c r="R351" s="175"/>
      <c r="S351" s="173">
        <f>SUM(T351:X351)</f>
        <v>13918.719365196586</v>
      </c>
      <c r="T351" s="174">
        <f>AL351*AY351*IF(F351="백어택",1.2,1)</f>
        <v>4154.1378001353669</v>
      </c>
      <c r="U351" s="174">
        <f>AM351*AY351*IF(F351="백어택",1.2,1)</f>
        <v>4154.1378001353669</v>
      </c>
      <c r="V351" s="174">
        <f>AN351*AY351*IF(F351="백어택",1.2,1)</f>
        <v>5610.4437649258534</v>
      </c>
      <c r="W351" s="174">
        <f>(T351+U351+V351)*IF(AX351=1,0,0.6)*IF(F351="백어택",1.2,1)</f>
        <v>0</v>
      </c>
      <c r="X351" s="175"/>
      <c r="Y351" s="173">
        <f>SUM(Z351:AD351)</f>
        <v>27837.438730393173</v>
      </c>
      <c r="Z351" s="174">
        <f>T351*AI351/100</f>
        <v>8308.2756002707338</v>
      </c>
      <c r="AA351" s="174">
        <f>U351*AI351/100</f>
        <v>8308.2756002707338</v>
      </c>
      <c r="AB351" s="174">
        <f>V351*AI351*IF(AX351=1,AW351,1)/100</f>
        <v>11220.887529851705</v>
      </c>
      <c r="AC351" s="174">
        <f>W351*AI351*AW351/100</f>
        <v>0</v>
      </c>
      <c r="AD351" s="175"/>
      <c r="AE351" s="173">
        <f>AO351*(1-$D$20/100)*(1-$D$17/100)</f>
        <v>27.727164197424003</v>
      </c>
      <c r="AF351" s="174">
        <f>AP351</f>
        <v>36</v>
      </c>
      <c r="AG351" s="174">
        <f>IF($D$57+AU351&gt;100,100,$D$57+AU351)</f>
        <v>44.001300000000001</v>
      </c>
      <c r="AH351" s="174">
        <f>AQ351*AS351</f>
        <v>229</v>
      </c>
      <c r="AI351" s="174">
        <f>$D$58+IF(H351="근접",AR351,0)+IF(AY351=1,0,50)</f>
        <v>200</v>
      </c>
      <c r="AJ351" s="174">
        <f>10/3</f>
        <v>3.3333333333333335</v>
      </c>
      <c r="AK351" s="174">
        <f>SUM(AL351:AN351)</f>
        <v>11598.932804330489</v>
      </c>
      <c r="AL351" s="174">
        <f>(IF(H351="근접",$D$61*(VLOOKUP(C351,$B$36:$AG$39,19,FALSE)+VLOOKUP(C351,$B$40:$AG$43,19,FALSE)*$D$54),$D$60*(VLOOKUP(C351,$B$36:$AG$39,19,FALSE)+VLOOKUP(C351,$B$40:$AG$43,19,FALSE)*$D$54)))*$D$59/100</f>
        <v>3461.7815001128056</v>
      </c>
      <c r="AM351" s="174">
        <f>(IF(H351="근접",$D$61*(VLOOKUP(C351,$B$36:$AG$39,20,FALSE)+VLOOKUP(C351,$B$40:$AG$43,20,FALSE)*$D$54),$D$60*(VLOOKUP(C351,$B$36:$AG$39,20,FALSE)+VLOOKUP(C351,$B$40:$AG$43,20,FALSE)*$D$54)))*$D$59/100</f>
        <v>3461.7815001128056</v>
      </c>
      <c r="AN351" s="174">
        <f>(IF(H351="근접",$D$61*(VLOOKUP(C351,$B$36:$AG$39,21,FALSE)+VLOOKUP(C351,$B$40:$AG$43,21,FALSE)*$D$54),$D$60*(VLOOKUP(C351,$B$36:$AG$39,21,FALSE)+VLOOKUP(C351,$B$40:$AG$43,21,FALSE)*$D$54)))*$D$59/100</f>
        <v>4675.3698041048783</v>
      </c>
      <c r="AO351" s="176">
        <v>36</v>
      </c>
      <c r="AP351" s="174">
        <v>36</v>
      </c>
      <c r="AQ351" s="175">
        <f>VLOOKUP(C351,$B$45:$AA$48,19,FALSE)</f>
        <v>458</v>
      </c>
      <c r="AR351" s="31">
        <f>IF(LEFT(E351,1)*1=1,$S$64,$R$64)</f>
        <v>0</v>
      </c>
      <c r="AS351" s="2">
        <f>IF(LEFT(E351,1)*1=2,$U$64,$T$64)</f>
        <v>0.5</v>
      </c>
      <c r="AT351" s="33">
        <f>IF(LEFT(E351,1)*1=3,$W$64,$V$64)</f>
        <v>0</v>
      </c>
      <c r="AU351" s="31">
        <f>IF(MID(E351,3,1)*1=1,$Y$64,$X$64)</f>
        <v>25</v>
      </c>
      <c r="AV351" s="2">
        <f>IF(MID(E351,3,1)*1=2,$AA$64,$Z$64)</f>
        <v>0</v>
      </c>
      <c r="AW351" s="33">
        <f>IF(MID(E351,3,1)*1=3,$AC$64,$AB$64)</f>
        <v>1</v>
      </c>
      <c r="AX351" s="31">
        <f>IF(MID(E351,5,1)*1=1,$AE$64,$AD$64)</f>
        <v>1</v>
      </c>
      <c r="AY351" s="33">
        <f>IF(MID(E351,5,1)*1=2,$AG$64,$AF$64)</f>
        <v>1</v>
      </c>
      <c r="AZ351" s="2"/>
      <c r="BA351" s="101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</row>
    <row r="352" spans="1:71" ht="12" customHeight="1">
      <c r="A352" s="2"/>
      <c r="B352" s="107">
        <v>830</v>
      </c>
      <c r="C352" s="31">
        <v>10</v>
      </c>
      <c r="D352" s="113" t="s">
        <v>12</v>
      </c>
      <c r="E352" s="2" t="s">
        <v>98</v>
      </c>
      <c r="F352" s="2"/>
      <c r="G352" s="2" t="s">
        <v>183</v>
      </c>
      <c r="H352" s="33"/>
      <c r="I352" s="173">
        <f>M352/AE352</f>
        <v>762.85572506587357</v>
      </c>
      <c r="J352" s="174">
        <f>AH352/AE352</f>
        <v>21.760166048861723</v>
      </c>
      <c r="K352" s="207">
        <f>RANK(I352,$I$76:$I$977)</f>
        <v>277</v>
      </c>
      <c r="L352" s="208" t="e">
        <f>RANK(I352,$I$867:$I$977)</f>
        <v>#N/A</v>
      </c>
      <c r="M352" s="173">
        <f>SUM(N352:R352)*(1+$D$22/100)</f>
        <v>18264.9264654904</v>
      </c>
      <c r="N352" s="174">
        <f>T352*(1+((AG352+IF(F352="백어택",8,0))/100)*(AI352/100-1))</f>
        <v>11519.700678348516</v>
      </c>
      <c r="O352" s="174">
        <f>U352*(1+($D$57/100)*(AI352/100-1))</f>
        <v>0</v>
      </c>
      <c r="P352" s="174"/>
      <c r="Q352" s="174"/>
      <c r="R352" s="175">
        <f>X352*(1+($D$57/100)*(AI352/100-1))</f>
        <v>4937.0145764350782</v>
      </c>
      <c r="S352" s="173">
        <f>SUM(T352:X352)</f>
        <v>13829.021409668294</v>
      </c>
      <c r="T352" s="174">
        <f>AL352*AU352*AW352</f>
        <v>9680.3149867678057</v>
      </c>
      <c r="U352" s="174">
        <f>AL352*AU352*AW352*AX352</f>
        <v>0</v>
      </c>
      <c r="V352" s="174"/>
      <c r="W352" s="174"/>
      <c r="X352" s="175">
        <f>AL352*AY352</f>
        <v>4148.7064229004882</v>
      </c>
      <c r="Y352" s="173">
        <f>SUM(Z352:AD352)</f>
        <v>27658.042819336588</v>
      </c>
      <c r="Z352" s="174">
        <f>T352*$D$58/100</f>
        <v>19360.629973535611</v>
      </c>
      <c r="AA352" s="174">
        <f>U352*$D$58/100</f>
        <v>0</v>
      </c>
      <c r="AB352" s="174"/>
      <c r="AC352" s="174"/>
      <c r="AD352" s="175">
        <f>X352*$D$58/100</f>
        <v>8297.4128458009764</v>
      </c>
      <c r="AE352" s="173">
        <f>AO352*(1-$D$17/100)</f>
        <v>23.942831999999999</v>
      </c>
      <c r="AF352" s="174">
        <f>AP352</f>
        <v>36</v>
      </c>
      <c r="AG352" s="174">
        <f>IF($D$57+AV352&gt;100,100,$D$57+AV352)</f>
        <v>19.001300000000001</v>
      </c>
      <c r="AH352" s="174">
        <f>AQ352</f>
        <v>521</v>
      </c>
      <c r="AI352" s="174">
        <f>$D$58</f>
        <v>200</v>
      </c>
      <c r="AJ352" s="174">
        <f>10/7</f>
        <v>1.4285714285714286</v>
      </c>
      <c r="AK352" s="174">
        <f>SUM(AL352:AN352)</f>
        <v>6914.5107048341479</v>
      </c>
      <c r="AL352" s="174">
        <f>(VLOOKUP(C352,$B$36:$AG$39,16,FALSE)+VLOOKUP(C352,$B$40:$AG$43,16,FALSE)*$D$54)*$D$59/100</f>
        <v>6914.5107048341479</v>
      </c>
      <c r="AM352" s="174"/>
      <c r="AN352" s="174"/>
      <c r="AO352" s="176">
        <v>24</v>
      </c>
      <c r="AP352" s="174">
        <v>36</v>
      </c>
      <c r="AQ352" s="175">
        <f>VLOOKUP(C352,$B$45:$AA$48,16,FALSE)</f>
        <v>521</v>
      </c>
      <c r="AR352" s="31">
        <f>IF(LEFT(E352,1)*1=1,$S$62,$R$62)</f>
        <v>0</v>
      </c>
      <c r="AS352" s="2">
        <f>IF(LEFT(E352,1)*1=2,$U$62,$T$62)</f>
        <v>0</v>
      </c>
      <c r="AT352" s="33">
        <f>IF(LEFT(E352,1)*1=3,$W$62,$V$62)</f>
        <v>0</v>
      </c>
      <c r="AU352" s="31">
        <f>IF(MID(E352,3,1)*1=1,$Y$62,$X$62)</f>
        <v>1</v>
      </c>
      <c r="AV352" s="2">
        <f>IF(MID(E352,3,1)*1=2,$AA$62,$Z$62)</f>
        <v>0</v>
      </c>
      <c r="AW352" s="33">
        <f>IF(MID(E352,3,1)*1=3,$AC$62,$AB$62)</f>
        <v>1.4</v>
      </c>
      <c r="AX352" s="31">
        <f>IF(MID(E352,5,1)*1=1,$AE$62,$AD$62)</f>
        <v>0</v>
      </c>
      <c r="AY352" s="33">
        <f>IF(MID(E352,5,1)*1=2,$AG$62,$AF$62)</f>
        <v>0.6</v>
      </c>
      <c r="AZ352" s="2"/>
      <c r="BA352" s="101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</row>
    <row r="353" spans="1:71" ht="12" customHeight="1">
      <c r="A353" s="2"/>
      <c r="B353" s="107">
        <v>45</v>
      </c>
      <c r="C353" s="31">
        <v>10</v>
      </c>
      <c r="D353" s="106" t="s">
        <v>4</v>
      </c>
      <c r="E353" s="2" t="s">
        <v>146</v>
      </c>
      <c r="F353" s="2" t="s">
        <v>149</v>
      </c>
      <c r="G353" s="2" t="s">
        <v>167</v>
      </c>
      <c r="H353" s="33"/>
      <c r="I353" s="173">
        <f>M353/AE353</f>
        <v>761.67152173608793</v>
      </c>
      <c r="J353" s="174">
        <f>AH353/AE353</f>
        <v>29.152775243964456</v>
      </c>
      <c r="K353" s="207">
        <f>RANK(I353,$I$76:$I$977)</f>
        <v>278</v>
      </c>
      <c r="L353" s="208">
        <f>RANK(I353,$I$76:$I$450)</f>
        <v>278</v>
      </c>
      <c r="M353" s="173">
        <f>SUM(N353:R353)</f>
        <v>9118.2866420557511</v>
      </c>
      <c r="N353" s="174">
        <f>T353*(1+((AG353+IF(F353="백어택",8,0))/100)*((AI353/100-1)))</f>
        <v>1441.0964680999632</v>
      </c>
      <c r="O353" s="174">
        <f>U353*(1+((AG353+IF(F353="백어택",8,0))/100)*(AI353/100-1))</f>
        <v>7677.1901739557879</v>
      </c>
      <c r="P353" s="174"/>
      <c r="Q353" s="174"/>
      <c r="R353" s="175"/>
      <c r="S353" s="173">
        <f>SUM(T353:X353)</f>
        <v>6265.6963167234144</v>
      </c>
      <c r="T353" s="174">
        <f>AT353*AL353*IF(F353="백어택",1.2,1)</f>
        <v>990.25981378682934</v>
      </c>
      <c r="U353" s="174">
        <f>AM353*AW353*AX353*AY353*IF(F353="백어택",1.2,1)</f>
        <v>5275.4365029365854</v>
      </c>
      <c r="V353" s="174"/>
      <c r="W353" s="174"/>
      <c r="X353" s="175"/>
      <c r="Y353" s="173">
        <f>SUM(Z353:AD353)</f>
        <v>12531.392633446827</v>
      </c>
      <c r="Z353" s="174">
        <f>T353*$D$58/100</f>
        <v>1980.5196275736587</v>
      </c>
      <c r="AA353" s="174">
        <f>U353*$D$58/100</f>
        <v>10550.873005873169</v>
      </c>
      <c r="AB353" s="174"/>
      <c r="AC353" s="174"/>
      <c r="AD353" s="175"/>
      <c r="AE353" s="173">
        <f>AO353*(1-$D$17/100)</f>
        <v>11.971416</v>
      </c>
      <c r="AF353" s="174">
        <f>AP353</f>
        <v>36</v>
      </c>
      <c r="AG353" s="174">
        <f>IF($D$57&gt;100,100,$D$57)</f>
        <v>19.001300000000001</v>
      </c>
      <c r="AH353" s="174">
        <f>AQ353</f>
        <v>349</v>
      </c>
      <c r="AI353" s="174">
        <f>$D$58+$D$19</f>
        <v>268.61079999999998</v>
      </c>
      <c r="AJ353" s="174">
        <f>10/IF(AY353=1,5,4)</f>
        <v>2</v>
      </c>
      <c r="AK353" s="174">
        <f>SUM(AL353:AN353)</f>
        <v>2748.2428838829269</v>
      </c>
      <c r="AL353" s="174">
        <f>(VLOOKUP(C353,$B$36:$AG$39,4,FALSE)+VLOOKUP(C353,$B$40:$AG$43,4,FALSE)*$D$54)*$D$59/100</f>
        <v>550.14434099268294</v>
      </c>
      <c r="AM353" s="174">
        <f>(VLOOKUP(C353,$B$36:$AG$39,5,FALSE)+VLOOKUP(C353,$B$40:$AG$43,5,FALSE)*$D$54)*$D$59/100</f>
        <v>2198.0985428902441</v>
      </c>
      <c r="AN353" s="174"/>
      <c r="AO353" s="176">
        <v>12</v>
      </c>
      <c r="AP353" s="174">
        <v>36</v>
      </c>
      <c r="AQ353" s="175">
        <f>VLOOKUP(C353,$B$45:$AA$48,4,FALSE)</f>
        <v>349</v>
      </c>
      <c r="AR353" s="31">
        <f>IF(LEFT(E353,1)*1=1,$S$54,$R$54)</f>
        <v>0</v>
      </c>
      <c r="AS353" s="2">
        <f>IF(LEFT(E353,1)*1=2,$U$54,$T$54)</f>
        <v>0</v>
      </c>
      <c r="AT353" s="33">
        <f>IF(LEFT(E353,1)*1=3,$W$54,$V$54)</f>
        <v>1.5</v>
      </c>
      <c r="AU353" s="31">
        <f>IF(MID(E353,3,1)*1=1,$Y$54,$X$54)</f>
        <v>0</v>
      </c>
      <c r="AV353" s="2">
        <f>IF(MID(E353,3,1)*1=2,$AA$54,$Z$54)</f>
        <v>0</v>
      </c>
      <c r="AW353" s="33">
        <f>IF(MID(E353,3,1)*1=3,$AC$54,$AB$54)</f>
        <v>1</v>
      </c>
      <c r="AX353" s="31">
        <f>IF(MID(E353,5,1)*1=1,$AE$54,$AD$54)</f>
        <v>2</v>
      </c>
      <c r="AY353" s="33">
        <f>IF(MID(E353,5,1)*1=2,$AG$54,$AF$54)</f>
        <v>1</v>
      </c>
      <c r="AZ353" s="2"/>
      <c r="BA353" s="101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</row>
    <row r="354" spans="1:71" ht="12" customHeight="1">
      <c r="A354" s="2"/>
      <c r="B354" s="107">
        <v>733</v>
      </c>
      <c r="C354" s="31">
        <v>10</v>
      </c>
      <c r="D354" s="111" t="s">
        <v>21</v>
      </c>
      <c r="E354" s="2" t="s">
        <v>150</v>
      </c>
      <c r="F354" s="2"/>
      <c r="G354" s="2"/>
      <c r="H354" s="33"/>
      <c r="I354" s="173">
        <f>M354/AE354</f>
        <v>760.61858952670752</v>
      </c>
      <c r="J354" s="174">
        <f>AH354/AE354</f>
        <v>30.238644768832497</v>
      </c>
      <c r="K354" s="207">
        <f>RANK(I354,$I$76:$I$977)</f>
        <v>279</v>
      </c>
      <c r="L354" s="208" t="e">
        <f>RANK(I354,$I$451:$I$866)</f>
        <v>#N/A</v>
      </c>
      <c r="M354" s="173">
        <f>SUM(N354:R354)</f>
        <v>16526.084986259822</v>
      </c>
      <c r="N354" s="174">
        <f>T354*(1+((AG354+IF(F354="백어택",8,0))/100)*(AI354/100-1))</f>
        <v>16526.084986259822</v>
      </c>
      <c r="O354" s="174"/>
      <c r="P354" s="174"/>
      <c r="Q354" s="174"/>
      <c r="R354" s="175">
        <f>X354*(1+(AG354/100)*(AI354/100-1))</f>
        <v>0</v>
      </c>
      <c r="S354" s="173">
        <f>SUM(T354:X354)</f>
        <v>13887.314664848051</v>
      </c>
      <c r="T354" s="174">
        <f>AL354*AW354*AX354*AY354*IF(F354="백어택",1.2,1)</f>
        <v>13887.314664848051</v>
      </c>
      <c r="U354" s="174"/>
      <c r="V354" s="174"/>
      <c r="W354" s="174"/>
      <c r="X354" s="175">
        <f>AL354*AS354+IF(AX354=1,AL354*AU354,AL354*AU354*2)</f>
        <v>0</v>
      </c>
      <c r="Y354" s="173">
        <f>SUM(Z354:AD354)</f>
        <v>27774.629329696101</v>
      </c>
      <c r="Z354" s="174">
        <f>T354*$D$58/100</f>
        <v>27774.629329696101</v>
      </c>
      <c r="AA354" s="174"/>
      <c r="AB354" s="174"/>
      <c r="AC354" s="174"/>
      <c r="AD354" s="175">
        <f>X354*$D$58/100</f>
        <v>0</v>
      </c>
      <c r="AE354" s="173">
        <f>AO354*(1-$D$20/100)*(1-$D$17/100)-AR354</f>
        <v>21.727164197424003</v>
      </c>
      <c r="AF354" s="174">
        <f>AP354</f>
        <v>36</v>
      </c>
      <c r="AG354" s="174">
        <f>IF($D$57&gt;100,100,$D$57)</f>
        <v>19.001300000000001</v>
      </c>
      <c r="AH354" s="174">
        <f>AQ354</f>
        <v>657</v>
      </c>
      <c r="AI354" s="174">
        <f>$D$58</f>
        <v>200</v>
      </c>
      <c r="AJ354" s="174">
        <f>10/6</f>
        <v>1.6666666666666667</v>
      </c>
      <c r="AK354" s="174">
        <f>SUM(AL354:AN354)</f>
        <v>9919.5104748914655</v>
      </c>
      <c r="AL354" s="174">
        <f>(VLOOKUP(C354,$B$36:$AG$39,31,FALSE)+VLOOKUP(C354,$B$40:$AG$43,31,FALSE)*$D$54)*$D$59/100</f>
        <v>9919.5104748914655</v>
      </c>
      <c r="AM354" s="174"/>
      <c r="AN354" s="174"/>
      <c r="AO354" s="176">
        <v>36</v>
      </c>
      <c r="AP354" s="174">
        <v>36</v>
      </c>
      <c r="AQ354" s="175">
        <f>VLOOKUP(C354,$B$45:$AG$48,31,FALSE)</f>
        <v>657</v>
      </c>
      <c r="AR354" s="31">
        <f>IF(LEFT(E354,1)*1=1,$S$71,$R$71)</f>
        <v>6</v>
      </c>
      <c r="AS354" s="2">
        <f>IF(LEFT(E354,1)*1=2,$U$71,$T$71)</f>
        <v>0</v>
      </c>
      <c r="AT354" s="33">
        <f>IF(LEFT(E354,1)*1=3,$W$71,$V$71)</f>
        <v>0</v>
      </c>
      <c r="AU354" s="31">
        <f>IF(MID(E354,3,1)*1=1,$Y$71,$X$71)</f>
        <v>0</v>
      </c>
      <c r="AV354" s="2">
        <f>IF(MID(E354,3,1)*1=2,$AA$71,$Z$71)</f>
        <v>0</v>
      </c>
      <c r="AW354" s="33">
        <f>IF(MID(E354,3,1)*1=3,$AC$71,$AB$71)</f>
        <v>1</v>
      </c>
      <c r="AX354" s="31">
        <f>IF(MID(E354,5,1)*1=1,$AE$71,$AD$71)</f>
        <v>1.4</v>
      </c>
      <c r="AY354" s="33">
        <f>IF(MID(E354,5,1)*1=2,$AG$71,$AF$71)</f>
        <v>1</v>
      </c>
      <c r="AZ354" s="2"/>
      <c r="BA354" s="101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</row>
    <row r="355" spans="1:71" ht="12" hidden="1" customHeight="1">
      <c r="A355" s="2"/>
      <c r="B355" s="107">
        <v>660</v>
      </c>
      <c r="C355" s="31">
        <v>7</v>
      </c>
      <c r="D355" s="111" t="s">
        <v>18</v>
      </c>
      <c r="E355" s="2" t="s">
        <v>103</v>
      </c>
      <c r="F355" s="2"/>
      <c r="G355" s="2" t="s">
        <v>186</v>
      </c>
      <c r="H355" s="33" t="s">
        <v>80</v>
      </c>
      <c r="I355" s="173">
        <f>M355/AE355</f>
        <v>758.73591600896304</v>
      </c>
      <c r="J355" s="174">
        <f>AH355/AE355</f>
        <v>44.258613162461806</v>
      </c>
      <c r="K355" s="207">
        <f>RANK(I355,$I$76:$I$977)</f>
        <v>280</v>
      </c>
      <c r="L355" s="208" t="e">
        <f>RANK(I355,$I$451:$I$866)</f>
        <v>#N/A</v>
      </c>
      <c r="M355" s="173">
        <f>SUM(N355:R355)</f>
        <v>6222.9952054813493</v>
      </c>
      <c r="N355" s="174">
        <f>T355*(1+((AG355+IF(F355="백어택",8,0))/100)*(AI355/100-1))</f>
        <v>3714.543985493855</v>
      </c>
      <c r="O355" s="174">
        <f>U355*(1+(($D$57+IF(F355="백어택",8,0))/100)*(AI355/100-1))</f>
        <v>2508.4512199874939</v>
      </c>
      <c r="P355" s="174"/>
      <c r="Q355" s="174"/>
      <c r="R355" s="175"/>
      <c r="S355" s="173">
        <f>SUM(T355:X355)</f>
        <v>5229.3506083390257</v>
      </c>
      <c r="T355" s="174">
        <f>AL355*IF(H355="근접",AT355,IF(AV355=1,AT355,1))*AX355*IF(F355="백어택",1.2,1)</f>
        <v>3121.4314343573178</v>
      </c>
      <c r="U355" s="174">
        <f>IF(AX355=1,AM355*IF(H355="근접",AT355,IF(AV355=1,AT355,1)),0)*AY355*IF(AX355=1,1,0)*IF(F355="백어택",1.2,1)</f>
        <v>2107.9191739817079</v>
      </c>
      <c r="V355" s="174"/>
      <c r="W355" s="174"/>
      <c r="X355" s="175"/>
      <c r="Y355" s="173">
        <f>SUM(Z355:AD355)</f>
        <v>10458.701216678051</v>
      </c>
      <c r="Z355" s="174">
        <f>T355*$D$58/100</f>
        <v>6242.8628687146356</v>
      </c>
      <c r="AA355" s="174">
        <f>U355*$D$58/100</f>
        <v>4215.8383479634158</v>
      </c>
      <c r="AB355" s="174"/>
      <c r="AC355" s="174"/>
      <c r="AD355" s="175"/>
      <c r="AE355" s="173">
        <f>(AO355*(1-$D$20/100)*(1-$D$17/100)-AR355)*IF(AW355="보스대상",1,POWER(0.85,AW355))</f>
        <v>8.2017933699712149</v>
      </c>
      <c r="AF355" s="174">
        <f>AP355</f>
        <v>36</v>
      </c>
      <c r="AG355" s="174">
        <f>IF($D$57+AU355&gt;100,100,$D$57+AU355)</f>
        <v>19.001300000000001</v>
      </c>
      <c r="AH355" s="174">
        <f>AQ355</f>
        <v>363</v>
      </c>
      <c r="AI355" s="174">
        <f>$D$58</f>
        <v>200</v>
      </c>
      <c r="AJ355" s="174">
        <f>10*AS355/IF(AX355=1,IF(AY355=1,4.5,4),4)</f>
        <v>1.7777777777777777</v>
      </c>
      <c r="AK355" s="174">
        <f>SUM(AL355:AN355)</f>
        <v>5229.3506083390257</v>
      </c>
      <c r="AL355" s="174">
        <f>IF(AV355=1,$D$61*(VLOOKUP(C355,$B$36:$AG$39,25,FALSE)+VLOOKUP(C355,$B$40:$AG$43,25,FALSE)*$D$54),(IF(H355="근접",$D$61*(VLOOKUP(C355,$B$36:$AG$39,25,FALSE)+VLOOKUP(C355,$B$40:$AG$43,25,FALSE)*$D$54),$D$60*(VLOOKUP(C355,$B$36:$AG$39,25,FALSE)+VLOOKUP(C355,$B$40:$AG$43,25,FALSE)*$D$54))))*$D$59/100</f>
        <v>3121.4314343573178</v>
      </c>
      <c r="AM355" s="174">
        <f>(IF(AV355=1,$D$61*(VLOOKUP(C355,$B$36:$AG$39,26,FALSE)+VLOOKUP(C355,$B$40:$AG$43,26,FALSE)*$D$54),IF(H355="근접",$D$61*(VLOOKUP(C355,$B$36:$AG$39,26,FALSE)+VLOOKUP(C355,$B$40:$AG$43,26,FALSE)*$D$54),$D$60*(VLOOKUP(C355,$B$36:$AG$39,26,FALSE)+VLOOKUP(C355,$B$40:$AG$43,26,FALSE)*$D$54))))*$D$59/100</f>
        <v>2107.9191739817079</v>
      </c>
      <c r="AN355" s="174"/>
      <c r="AO355" s="176">
        <v>24</v>
      </c>
      <c r="AP355" s="174">
        <v>36</v>
      </c>
      <c r="AQ355" s="175">
        <f>VLOOKUP(C355,$B$45:$AA$48,25,FALSE)</f>
        <v>363</v>
      </c>
      <c r="AR355" s="31">
        <f>IF(LEFT(E355,1)*1=1,$S$68,$R$68)</f>
        <v>0</v>
      </c>
      <c r="AS355" s="2">
        <f>IF(LEFT(E355,1)*1=2,$U$68,$T$68)</f>
        <v>0.8</v>
      </c>
      <c r="AT355" s="33">
        <f>IF(LEFT(E355,1)*1=3,$W$68,$V$68)</f>
        <v>1</v>
      </c>
      <c r="AU355" s="31">
        <f>IF(MID(E355,3,1)*1=1,$Y$68,$X$68)</f>
        <v>0</v>
      </c>
      <c r="AV355" s="2">
        <f>IF(MID(E355,3,1)*1=2,$AA$68,$Z$68)</f>
        <v>0</v>
      </c>
      <c r="AW355" s="33">
        <f>IF(MID(E355,3,1)*1=3,$AC$68,$AB$68)</f>
        <v>5</v>
      </c>
      <c r="AX355" s="31">
        <f>IF(MID(E355,5,1)*1=1,$AE$68,$AD$68)</f>
        <v>1</v>
      </c>
      <c r="AY355" s="33">
        <f>IF(MID(E355,5,1)*1=2,$AG$68,$AF$68)</f>
        <v>1</v>
      </c>
      <c r="AZ355" s="2"/>
      <c r="BA355" s="101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</row>
    <row r="356" spans="1:71" ht="12" hidden="1" customHeight="1">
      <c r="A356" s="2"/>
      <c r="B356" s="107">
        <v>663</v>
      </c>
      <c r="C356" s="31">
        <v>7</v>
      </c>
      <c r="D356" s="111" t="s">
        <v>18</v>
      </c>
      <c r="E356" s="2" t="s">
        <v>134</v>
      </c>
      <c r="F356" s="2"/>
      <c r="G356" s="2" t="s">
        <v>186</v>
      </c>
      <c r="H356" s="33" t="s">
        <v>80</v>
      </c>
      <c r="I356" s="173">
        <f>M356/AE356</f>
        <v>758.73591600896304</v>
      </c>
      <c r="J356" s="174">
        <f>AH356/AE356</f>
        <v>44.258613162461806</v>
      </c>
      <c r="K356" s="207">
        <f>RANK(I356,$I$76:$I$977)</f>
        <v>280</v>
      </c>
      <c r="L356" s="208" t="e">
        <f>RANK(I356,$I$451:$I$866)</f>
        <v>#N/A</v>
      </c>
      <c r="M356" s="173">
        <f>SUM(N356:R356)</f>
        <v>6222.9952054813493</v>
      </c>
      <c r="N356" s="174">
        <f>T356*(1+((AG356+IF(F356="백어택",8,0))/100)*(AI356/100-1))</f>
        <v>3714.543985493855</v>
      </c>
      <c r="O356" s="174">
        <f>U356*(1+(($D$57+IF(F356="백어택",8,0))/100)*(AI356/100-1))</f>
        <v>2508.4512199874939</v>
      </c>
      <c r="P356" s="174"/>
      <c r="Q356" s="174"/>
      <c r="R356" s="175"/>
      <c r="S356" s="173">
        <f>SUM(T356:X356)</f>
        <v>5229.3506083390257</v>
      </c>
      <c r="T356" s="174">
        <f>AL356*IF(H356="근접",AT356,IF(AV356=1,AT356,1))*AX356*IF(F356="백어택",1.2,1)</f>
        <v>3121.4314343573178</v>
      </c>
      <c r="U356" s="174">
        <f>IF(AX356=1,AM356*IF(H356="근접",AT356,IF(AV356=1,AT356,1)),0)*AY356*IF(AX356=1,1,0)*IF(F356="백어택",1.2,1)</f>
        <v>2107.9191739817079</v>
      </c>
      <c r="V356" s="174"/>
      <c r="W356" s="174"/>
      <c r="X356" s="175"/>
      <c r="Y356" s="173">
        <f>SUM(Z356:AD356)</f>
        <v>10458.701216678051</v>
      </c>
      <c r="Z356" s="174">
        <f>T356*$D$58/100</f>
        <v>6242.8628687146356</v>
      </c>
      <c r="AA356" s="174">
        <f>U356*$D$58/100</f>
        <v>4215.8383479634158</v>
      </c>
      <c r="AB356" s="174"/>
      <c r="AC356" s="174"/>
      <c r="AD356" s="175"/>
      <c r="AE356" s="173">
        <f>(AO356*(1-$D$20/100)*(1-$D$17/100)-AR356)*IF(AW356="보스대상",1,POWER(0.85,AW356))</f>
        <v>8.2017933699712149</v>
      </c>
      <c r="AF356" s="174">
        <f>AP356</f>
        <v>36</v>
      </c>
      <c r="AG356" s="174">
        <f>IF($D$57+AU356&gt;100,100,$D$57+AU356)</f>
        <v>19.001300000000001</v>
      </c>
      <c r="AH356" s="174">
        <f>AQ356</f>
        <v>363</v>
      </c>
      <c r="AI356" s="174">
        <f>$D$58</f>
        <v>200</v>
      </c>
      <c r="AJ356" s="174">
        <f>10*AS356/IF(AX356=1,IF(AY356=1,4.5,4),4)</f>
        <v>2.2222222222222223</v>
      </c>
      <c r="AK356" s="174">
        <f>SUM(AL356:AN356)</f>
        <v>5229.3506083390257</v>
      </c>
      <c r="AL356" s="174">
        <f>IF(AV356=1,$D$61*(VLOOKUP(C356,$B$36:$AG$39,25,FALSE)+VLOOKUP(C356,$B$40:$AG$43,25,FALSE)*$D$54),(IF(H356="근접",$D$61*(VLOOKUP(C356,$B$36:$AG$39,25,FALSE)+VLOOKUP(C356,$B$40:$AG$43,25,FALSE)*$D$54),$D$60*(VLOOKUP(C356,$B$36:$AG$39,25,FALSE)+VLOOKUP(C356,$B$40:$AG$43,25,FALSE)*$D$54))))*$D$59/100</f>
        <v>3121.4314343573178</v>
      </c>
      <c r="AM356" s="174">
        <f>(IF(AV356=1,$D$61*(VLOOKUP(C356,$B$36:$AG$39,26,FALSE)+VLOOKUP(C356,$B$40:$AG$43,26,FALSE)*$D$54),IF(H356="근접",$D$61*(VLOOKUP(C356,$B$36:$AG$39,26,FALSE)+VLOOKUP(C356,$B$40:$AG$43,26,FALSE)*$D$54),$D$60*(VLOOKUP(C356,$B$36:$AG$39,26,FALSE)+VLOOKUP(C356,$B$40:$AG$43,26,FALSE)*$D$54))))*$D$59/100</f>
        <v>2107.9191739817079</v>
      </c>
      <c r="AN356" s="174"/>
      <c r="AO356" s="176">
        <v>24</v>
      </c>
      <c r="AP356" s="174">
        <v>36</v>
      </c>
      <c r="AQ356" s="175">
        <f>VLOOKUP(C356,$B$45:$AA$48,25,FALSE)</f>
        <v>363</v>
      </c>
      <c r="AR356" s="31">
        <f>IF(LEFT(E356,1)*1=1,$S$68,$R$68)</f>
        <v>0</v>
      </c>
      <c r="AS356" s="2">
        <f>IF(LEFT(E356,1)*1=2,$U$68,$T$68)</f>
        <v>1</v>
      </c>
      <c r="AT356" s="33">
        <f>IF(LEFT(E356,1)*1=3,$W$68,$V$68)</f>
        <v>1.2</v>
      </c>
      <c r="AU356" s="31">
        <f>IF(MID(E356,3,1)*1=1,$Y$68,$X$68)</f>
        <v>0</v>
      </c>
      <c r="AV356" s="2">
        <f>IF(MID(E356,3,1)*1=2,$AA$68,$Z$68)</f>
        <v>0</v>
      </c>
      <c r="AW356" s="33">
        <f>IF(MID(E356,3,1)*1=3,$AC$68,$AB$68)</f>
        <v>5</v>
      </c>
      <c r="AX356" s="31">
        <f>IF(MID(E356,5,1)*1=1,$AE$68,$AD$68)</f>
        <v>1</v>
      </c>
      <c r="AY356" s="33">
        <f>IF(MID(E356,5,1)*1=2,$AG$68,$AF$68)</f>
        <v>1</v>
      </c>
      <c r="AZ356" s="2"/>
      <c r="BA356" s="101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</row>
    <row r="357" spans="1:71" ht="12" hidden="1" customHeight="1">
      <c r="A357" s="2"/>
      <c r="B357" s="107">
        <v>211</v>
      </c>
      <c r="C357" s="31">
        <v>7</v>
      </c>
      <c r="D357" s="106" t="s">
        <v>10</v>
      </c>
      <c r="E357" s="2" t="s">
        <v>79</v>
      </c>
      <c r="F357" s="2"/>
      <c r="G357" s="2" t="s">
        <v>184</v>
      </c>
      <c r="H357" s="33"/>
      <c r="I357" s="173">
        <f>M357/AE357</f>
        <v>756.82416013584771</v>
      </c>
      <c r="J357" s="174">
        <f>AH357/AE357</f>
        <v>17.980329144021059</v>
      </c>
      <c r="K357" s="207">
        <f>RANK(I357,$I$76:$I$977)</f>
        <v>282</v>
      </c>
      <c r="L357" s="208">
        <f>RANK(I357,$I$76:$I$450)</f>
        <v>282</v>
      </c>
      <c r="M357" s="173">
        <f>SUM(N357:R357)</f>
        <v>12080.342479782466</v>
      </c>
      <c r="N357" s="174">
        <f>T357*(1+((AG357+IF(F357="백어택",8,0))/100)*((AI357/100-1)))</f>
        <v>12080.342479782466</v>
      </c>
      <c r="O357" s="174"/>
      <c r="P357" s="174"/>
      <c r="Q357" s="174"/>
      <c r="R357" s="175"/>
      <c r="S357" s="173">
        <f>SUM(T357:X357)</f>
        <v>9149.1238593231701</v>
      </c>
      <c r="T357" s="174">
        <f>AL357*AS357*AU357*AX357*IF(AY357=0,1,0.5)*IF(F357="백어택",1.2,1)</f>
        <v>9149.1238593231701</v>
      </c>
      <c r="U357" s="174"/>
      <c r="V357" s="174"/>
      <c r="W357" s="174"/>
      <c r="X357" s="175"/>
      <c r="Y357" s="173">
        <f>SUM(Z357:AD357)</f>
        <v>24575.534791518839</v>
      </c>
      <c r="Z357" s="174">
        <f>T357*AI357/100</f>
        <v>24575.534791518839</v>
      </c>
      <c r="AA357" s="174"/>
      <c r="AB357" s="174"/>
      <c r="AC357" s="174"/>
      <c r="AD357" s="175"/>
      <c r="AE357" s="173">
        <f>AO357*(1-$D$17/100)</f>
        <v>15.961888</v>
      </c>
      <c r="AF357" s="174">
        <f>AP357</f>
        <v>36</v>
      </c>
      <c r="AG357" s="174">
        <f>IF($D$57+AV357&gt;100,100,$D$57+AV357)</f>
        <v>19.001300000000001</v>
      </c>
      <c r="AH357" s="174">
        <f>AQ357</f>
        <v>287</v>
      </c>
      <c r="AI357" s="174">
        <f>$D$58+$D$19</f>
        <v>268.61079999999998</v>
      </c>
      <c r="AJ357" s="174">
        <f>10*AR357/(7-IF(AX357=1,0,3))</f>
        <v>1.4285714285714286</v>
      </c>
      <c r="AK357" s="174">
        <f>SUM(AL357:AN357)</f>
        <v>7753.4947960365853</v>
      </c>
      <c r="AL357" s="174">
        <f>(VLOOKUP(C357,$B$36:$AG$39,13,FALSE)+VLOOKUP(C357,$B$40:$AG$43,13,FALSE)*$D$54)*$D$59/100</f>
        <v>7753.4947960365853</v>
      </c>
      <c r="AM357" s="174"/>
      <c r="AN357" s="174"/>
      <c r="AO357" s="176">
        <v>16</v>
      </c>
      <c r="AP357" s="174">
        <v>36</v>
      </c>
      <c r="AQ357" s="175">
        <f>VLOOKUP(C357,$B$45:$AA$48,13,FALSE)</f>
        <v>287</v>
      </c>
      <c r="AR357" s="31">
        <f>IF(LEFT(E357,1)*1=1,$S$60,$R$60)</f>
        <v>1</v>
      </c>
      <c r="AS357" s="2">
        <f>IF(LEFT(E357,1)*1=2,$U$60,$T$60)</f>
        <v>1.18</v>
      </c>
      <c r="AT357" s="33">
        <f>IF(LEFT(E357,1)*1=3,$W$60,$V$60)</f>
        <v>0</v>
      </c>
      <c r="AU357" s="31">
        <f>IF(MID(E357,3,1)*1=1,$Y$60,$X$60)</f>
        <v>1</v>
      </c>
      <c r="AV357" s="2">
        <f>IF(MID(E357,3,1)*1=2,$AA$60,$Z$60)</f>
        <v>0</v>
      </c>
      <c r="AW357" s="33">
        <f>IF(MID(E357,3,1)*1=3,$AC$60,$AB$60)</f>
        <v>0</v>
      </c>
      <c r="AX357" s="31">
        <f>IF(MID(E357,5,1)*1=1,$AE$60,$AD$60)</f>
        <v>1</v>
      </c>
      <c r="AY357" s="33">
        <f>IF(MID(E357,5,1)*1=2,$AG$60,$AF$60)</f>
        <v>0</v>
      </c>
      <c r="AZ357" s="2"/>
      <c r="BA357" s="101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</row>
    <row r="358" spans="1:71" ht="12" customHeight="1">
      <c r="A358" s="2"/>
      <c r="B358" s="107">
        <v>567</v>
      </c>
      <c r="C358" s="31">
        <v>7</v>
      </c>
      <c r="D358" s="111" t="s">
        <v>14</v>
      </c>
      <c r="E358" s="2" t="s">
        <v>155</v>
      </c>
      <c r="F358" s="2" t="s">
        <v>149</v>
      </c>
      <c r="G358" s="2"/>
      <c r="H358" s="33" t="s">
        <v>81</v>
      </c>
      <c r="I358" s="173">
        <f>M358/AE358</f>
        <v>754.47584366169644</v>
      </c>
      <c r="J358" s="174">
        <f>AH358/AE358</f>
        <v>16.518097441877977</v>
      </c>
      <c r="K358" s="207">
        <f>RANK(I358,$I$76:$I$977)</f>
        <v>283</v>
      </c>
      <c r="L358" s="208" t="e">
        <f>RANK(I358,$I$451:$I$866)</f>
        <v>#N/A</v>
      </c>
      <c r="M358" s="173">
        <f>SUM(N358:R358)</f>
        <v>20919.47560019786</v>
      </c>
      <c r="N358" s="174">
        <f>T358*(1+((AG358+IF(F358="백어택",8,0))/100)*(AI358/100-1))</f>
        <v>5836.644614877293</v>
      </c>
      <c r="O358" s="174">
        <f>U358*(1+((AG358+IF(F358="백어택",8,0))/100)*(AI358/100-1))</f>
        <v>5836.644614877293</v>
      </c>
      <c r="P358" s="174">
        <f>V358*(1+((AG358+IF(F358="백어택",8,0))/100)*(AI358*IF(AX358=1,AW358,1)/100-1))</f>
        <v>9246.1863704432726</v>
      </c>
      <c r="Q358" s="174">
        <f>W358*(1+((AG358+IF(F358="백어택",8,0))/100)*(AI358*AW358/100-1))</f>
        <v>0</v>
      </c>
      <c r="R358" s="175"/>
      <c r="S358" s="173">
        <f>SUM(T358:X358)</f>
        <v>13918.719365196586</v>
      </c>
      <c r="T358" s="174">
        <f>AL358*AY358*IF(F358="백어택",1.2,1)</f>
        <v>4154.1378001353669</v>
      </c>
      <c r="U358" s="174">
        <f>AM358*AY358*IF(F358="백어택",1.2,1)</f>
        <v>4154.1378001353669</v>
      </c>
      <c r="V358" s="174">
        <f>AN358*AY358*IF(F358="백어택",1.2,1)</f>
        <v>5610.4437649258534</v>
      </c>
      <c r="W358" s="174">
        <f>(T358+U358+V358)*IF(AX358=1,0,0.6)*IF(F358="백어택",1.2,1)</f>
        <v>0</v>
      </c>
      <c r="X358" s="175"/>
      <c r="Y358" s="173">
        <f>SUM(Z358:AD358)</f>
        <v>39846.197801424743</v>
      </c>
      <c r="Z358" s="174">
        <f>T358*AI358/100</f>
        <v>10385.344500338419</v>
      </c>
      <c r="AA358" s="174">
        <f>U358*AI358/100</f>
        <v>10385.344500338419</v>
      </c>
      <c r="AB358" s="174">
        <f>V358*AI358*IF(AX358=1,AW358,1)/100</f>
        <v>19075.508800747903</v>
      </c>
      <c r="AC358" s="174">
        <f>W358*AI358*AW358/100</f>
        <v>0</v>
      </c>
      <c r="AD358" s="175"/>
      <c r="AE358" s="173">
        <f>AO358*(1-$D$20/100)*(1-$D$17/100)</f>
        <v>27.727164197424003</v>
      </c>
      <c r="AF358" s="174">
        <f>AP358</f>
        <v>36</v>
      </c>
      <c r="AG358" s="174">
        <f>IF($D$57+AU358&gt;100,100,$D$57+AU358)</f>
        <v>19.001300000000001</v>
      </c>
      <c r="AH358" s="174">
        <f>AQ358*AS358</f>
        <v>458</v>
      </c>
      <c r="AI358" s="174">
        <f>$D$58+IF(H358="근접",AR358,0)+IF(AY358=1,0,50)</f>
        <v>250</v>
      </c>
      <c r="AJ358" s="174">
        <f>10/3</f>
        <v>3.3333333333333335</v>
      </c>
      <c r="AK358" s="174">
        <f>SUM(AL358:AN358)</f>
        <v>11598.932804330489</v>
      </c>
      <c r="AL358" s="174">
        <f>(IF(H358="근접",$D$61*(VLOOKUP(C358,$B$36:$AG$39,19,FALSE)+VLOOKUP(C358,$B$40:$AG$43,19,FALSE)*$D$54),$D$60*(VLOOKUP(C358,$B$36:$AG$39,19,FALSE)+VLOOKUP(C358,$B$40:$AG$43,19,FALSE)*$D$54)))*$D$59/100</f>
        <v>3461.7815001128056</v>
      </c>
      <c r="AM358" s="174">
        <f>(IF(H358="근접",$D$61*(VLOOKUP(C358,$B$36:$AG$39,20,FALSE)+VLOOKUP(C358,$B$40:$AG$43,20,FALSE)*$D$54),$D$60*(VLOOKUP(C358,$B$36:$AG$39,20,FALSE)+VLOOKUP(C358,$B$40:$AG$43,20,FALSE)*$D$54)))*$D$59/100</f>
        <v>3461.7815001128056</v>
      </c>
      <c r="AN358" s="174">
        <f>(IF(H358="근접",$D$61*(VLOOKUP(C358,$B$36:$AG$39,21,FALSE)+VLOOKUP(C358,$B$40:$AG$43,21,FALSE)*$D$54),$D$60*(VLOOKUP(C358,$B$36:$AG$39,21,FALSE)+VLOOKUP(C358,$B$40:$AG$43,21,FALSE)*$D$54)))*$D$59/100</f>
        <v>4675.3698041048783</v>
      </c>
      <c r="AO358" s="176">
        <v>36</v>
      </c>
      <c r="AP358" s="174">
        <v>36</v>
      </c>
      <c r="AQ358" s="175">
        <f>VLOOKUP(C358,$B$45:$AA$48,19,FALSE)</f>
        <v>458</v>
      </c>
      <c r="AR358" s="31">
        <f>IF(LEFT(E358,1)*1=1,$S$64,$R$64)</f>
        <v>50</v>
      </c>
      <c r="AS358" s="2">
        <f>IF(LEFT(E358,1)*1=2,$U$64,$T$64)</f>
        <v>1</v>
      </c>
      <c r="AT358" s="33">
        <f>IF(LEFT(E358,1)*1=3,$W$64,$V$64)</f>
        <v>0</v>
      </c>
      <c r="AU358" s="31">
        <f>IF(MID(E358,3,1)*1=1,$Y$64,$X$64)</f>
        <v>0</v>
      </c>
      <c r="AV358" s="2">
        <f>IF(MID(E358,3,1)*1=2,$AA$64,$Z$64)</f>
        <v>0</v>
      </c>
      <c r="AW358" s="33">
        <f>IF(MID(E358,3,1)*1=3,$AC$64,$AB$64)</f>
        <v>1.36</v>
      </c>
      <c r="AX358" s="31">
        <f>IF(MID(E358,5,1)*1=1,$AE$64,$AD$64)</f>
        <v>1</v>
      </c>
      <c r="AY358" s="33">
        <f>IF(MID(E358,5,1)*1=2,$AG$64,$AF$64)</f>
        <v>1</v>
      </c>
      <c r="AZ358" s="2"/>
      <c r="BA358" s="101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</row>
    <row r="359" spans="1:71" ht="12" customHeight="1">
      <c r="A359" s="2"/>
      <c r="B359" s="107">
        <v>9</v>
      </c>
      <c r="C359" s="31">
        <v>10</v>
      </c>
      <c r="D359" s="106" t="s">
        <v>2</v>
      </c>
      <c r="E359" s="2" t="s">
        <v>134</v>
      </c>
      <c r="F359" s="2"/>
      <c r="G359" s="2" t="s">
        <v>133</v>
      </c>
      <c r="H359" s="33"/>
      <c r="I359" s="173">
        <f>M359/AE359</f>
        <v>750.68722136122324</v>
      </c>
      <c r="J359" s="174">
        <f>AH359/AE359</f>
        <v>34.707673678702669</v>
      </c>
      <c r="K359" s="207">
        <f>RANK(I359,$I$76:$I$977)</f>
        <v>284</v>
      </c>
      <c r="L359" s="208">
        <f>RANK(I359,$I$76:$I$450)</f>
        <v>284</v>
      </c>
      <c r="M359" s="173">
        <f>SUM(N359:R359)</f>
        <v>5991.1926751995261</v>
      </c>
      <c r="N359" s="174">
        <f>T359*(1+((AG359+IF(F359="백어택",8,0))/100)*((AI359/100-1)))</f>
        <v>5991.1926751995261</v>
      </c>
      <c r="O359" s="174"/>
      <c r="P359" s="174"/>
      <c r="Q359" s="174"/>
      <c r="R359" s="175"/>
      <c r="S359" s="173">
        <f>SUM(T359:X359)</f>
        <v>3808.0454181725613</v>
      </c>
      <c r="T359" s="174">
        <f>AL359*AV359*AW359*AY359</f>
        <v>3808.0454181725613</v>
      </c>
      <c r="U359" s="174"/>
      <c r="V359" s="174"/>
      <c r="W359" s="174"/>
      <c r="X359" s="175"/>
      <c r="Y359" s="173">
        <f>SUM(Z359:AD359)</f>
        <v>7616.0908363451226</v>
      </c>
      <c r="Z359" s="174">
        <f>T359*$D$58/100</f>
        <v>7616.0908363451226</v>
      </c>
      <c r="AA359" s="174"/>
      <c r="AB359" s="174"/>
      <c r="AC359" s="174"/>
      <c r="AD359" s="175"/>
      <c r="AE359" s="173">
        <f>AO359*(1-$D$17/100)-AS359</f>
        <v>7.980944</v>
      </c>
      <c r="AF359" s="174"/>
      <c r="AG359" s="174">
        <f>IF($D$57+AT359&gt;100,100,$D$57+AT359)</f>
        <v>34.001300000000001</v>
      </c>
      <c r="AH359" s="174">
        <f>AQ359</f>
        <v>277</v>
      </c>
      <c r="AI359" s="174">
        <f>$D$58+$D$19</f>
        <v>268.61079999999998</v>
      </c>
      <c r="AJ359" s="174">
        <f>10*AY359/12</f>
        <v>0.83333333333333337</v>
      </c>
      <c r="AK359" s="174">
        <f>SUM(AL359:AN359)</f>
        <v>2929.2657062865856</v>
      </c>
      <c r="AL359" s="174">
        <f>(VLOOKUP(C359,$B$36:$AA$39,2,FALSE)+VLOOKUP(C359,$B$40:$AA$43,2,FALSE)*$D$54)*$D$59/100</f>
        <v>2929.2657062865856</v>
      </c>
      <c r="AM359" s="174"/>
      <c r="AN359" s="174"/>
      <c r="AO359" s="176">
        <v>8</v>
      </c>
      <c r="AP359" s="174">
        <v>15</v>
      </c>
      <c r="AQ359" s="175">
        <f>VLOOKUP(C359,$B$45:$AA$48,2,FALSE)</f>
        <v>277</v>
      </c>
      <c r="AR359" s="31">
        <f>IF(LEFT(E359,1)*1=1,$S$52,$R$52)</f>
        <v>0</v>
      </c>
      <c r="AS359" s="2">
        <f>IF(LEFT(E359,1)*1=2,$U$52,$T$52)</f>
        <v>0</v>
      </c>
      <c r="AT359" s="33">
        <f>IF(LEFT(E359,1)*1=3,$W$52,$V$52)</f>
        <v>15</v>
      </c>
      <c r="AU359" s="31">
        <f>IF(MID(E359,3,1)*1=1,$Y$52,$X$52)</f>
        <v>0</v>
      </c>
      <c r="AV359" s="2">
        <f>IF(MID(E359,3,1)*1=2,$AA$52,$Z$52)</f>
        <v>1</v>
      </c>
      <c r="AW359" s="33">
        <f>IF(MID(E359,3,1)*1=3,$AC$52,$AB$52)</f>
        <v>1.3</v>
      </c>
      <c r="AX359" s="31">
        <f>IF(MID(E359,5,1)*1=1,$AE$52,$AD$52)</f>
        <v>0</v>
      </c>
      <c r="AY359" s="33">
        <f>IF(MID(E359,5,1)*1=2,$AG$52,$AF$52)</f>
        <v>1</v>
      </c>
      <c r="AZ359" s="2"/>
      <c r="BA359" s="101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</row>
    <row r="360" spans="1:71" ht="12" customHeight="1">
      <c r="A360" s="2"/>
      <c r="B360" s="107">
        <v>18</v>
      </c>
      <c r="C360" s="31">
        <v>10</v>
      </c>
      <c r="D360" s="106" t="s">
        <v>2</v>
      </c>
      <c r="E360" s="2" t="s">
        <v>135</v>
      </c>
      <c r="F360" s="2"/>
      <c r="G360" s="2" t="s">
        <v>133</v>
      </c>
      <c r="H360" s="33"/>
      <c r="I360" s="173">
        <f>M360/AE360</f>
        <v>750.68722136122324</v>
      </c>
      <c r="J360" s="174">
        <f>AH360/AE360</f>
        <v>34.707673678702669</v>
      </c>
      <c r="K360" s="207">
        <f>RANK(I360,$I$76:$I$977)</f>
        <v>284</v>
      </c>
      <c r="L360" s="208">
        <f>RANK(I360,$I$76:$I$450)</f>
        <v>284</v>
      </c>
      <c r="M360" s="173">
        <f>SUM(N360:R360)</f>
        <v>5991.1926751995261</v>
      </c>
      <c r="N360" s="174">
        <f>T360*(1+((AG360+IF(F360="백어택",8,0))/100)*((AI360/100-1)))</f>
        <v>5991.1926751995261</v>
      </c>
      <c r="O360" s="174"/>
      <c r="P360" s="174"/>
      <c r="Q360" s="174"/>
      <c r="R360" s="175"/>
      <c r="S360" s="173">
        <f>SUM(T360:X360)</f>
        <v>3808.0454181725613</v>
      </c>
      <c r="T360" s="174">
        <f>AL360*AV360*AW360*AY360</f>
        <v>3808.0454181725613</v>
      </c>
      <c r="U360" s="174"/>
      <c r="V360" s="174"/>
      <c r="W360" s="174"/>
      <c r="X360" s="175"/>
      <c r="Y360" s="173">
        <f>SUM(Z360:AD360)</f>
        <v>7616.0908363451226</v>
      </c>
      <c r="Z360" s="174">
        <f>T360*$D$58/100</f>
        <v>7616.0908363451226</v>
      </c>
      <c r="AA360" s="174"/>
      <c r="AB360" s="174"/>
      <c r="AC360" s="174"/>
      <c r="AD360" s="175"/>
      <c r="AE360" s="173">
        <f>AO360*(1-$D$17/100)-AS360</f>
        <v>7.980944</v>
      </c>
      <c r="AF360" s="174"/>
      <c r="AG360" s="174">
        <f>IF($D$57+AT360&gt;100,100,$D$57+AT360)</f>
        <v>34.001300000000001</v>
      </c>
      <c r="AH360" s="174">
        <f>AQ360</f>
        <v>277</v>
      </c>
      <c r="AI360" s="174">
        <f>$D$58+$D$19</f>
        <v>268.61079999999998</v>
      </c>
      <c r="AJ360" s="174">
        <f>10*AY360/12</f>
        <v>0.83333333333333337</v>
      </c>
      <c r="AK360" s="174">
        <f>SUM(AL360:AN360)</f>
        <v>2929.2657062865856</v>
      </c>
      <c r="AL360" s="174">
        <f>(VLOOKUP(C360,$B$36:$AA$39,2,FALSE)+VLOOKUP(C360,$B$40:$AA$43,2,FALSE)*$D$54)*$D$59/100</f>
        <v>2929.2657062865856</v>
      </c>
      <c r="AM360" s="174"/>
      <c r="AN360" s="174"/>
      <c r="AO360" s="176">
        <v>8</v>
      </c>
      <c r="AP360" s="174">
        <v>15</v>
      </c>
      <c r="AQ360" s="175">
        <f>VLOOKUP(C360,$B$45:$AA$48,2,FALSE)</f>
        <v>277</v>
      </c>
      <c r="AR360" s="31">
        <f>IF(LEFT(E360,1)*1=1,$S$52,$R$52)</f>
        <v>0</v>
      </c>
      <c r="AS360" s="2">
        <f>IF(LEFT(E360,1)*1=2,$U$52,$T$52)</f>
        <v>0</v>
      </c>
      <c r="AT360" s="33">
        <f>IF(LEFT(E360,1)*1=3,$W$52,$V$52)</f>
        <v>15</v>
      </c>
      <c r="AU360" s="31">
        <f>IF(MID(E360,3,1)*1=1,$Y$52,$X$52)</f>
        <v>0</v>
      </c>
      <c r="AV360" s="2">
        <f>IF(MID(E360,3,1)*1=2,$AA$52,$Z$52)</f>
        <v>1</v>
      </c>
      <c r="AW360" s="33">
        <f>IF(MID(E360,3,1)*1=3,$AC$52,$AB$52)</f>
        <v>1.3</v>
      </c>
      <c r="AX360" s="31">
        <f>IF(MID(E360,5,1)*1=1,$AE$52,$AD$52)</f>
        <v>0</v>
      </c>
      <c r="AY360" s="33">
        <f>IF(MID(E360,5,1)*1=2,$AG$52,$AF$52)</f>
        <v>1</v>
      </c>
      <c r="AZ360" s="2"/>
      <c r="BA360" s="101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</row>
    <row r="361" spans="1:71" ht="12" customHeight="1">
      <c r="A361" s="2"/>
      <c r="B361" s="107">
        <v>223</v>
      </c>
      <c r="C361" s="31">
        <v>10</v>
      </c>
      <c r="D361" s="106" t="s">
        <v>13</v>
      </c>
      <c r="E361" s="2" t="s">
        <v>134</v>
      </c>
      <c r="F361" s="2"/>
      <c r="G361" s="2"/>
      <c r="H361" s="33"/>
      <c r="I361" s="173">
        <f>M361/AE361</f>
        <v>750.67837333612135</v>
      </c>
      <c r="J361" s="174">
        <f>AH361/AE361</f>
        <v>21.760166048861723</v>
      </c>
      <c r="K361" s="207">
        <f>RANK(I361,$I$76:$I$977)</f>
        <v>286</v>
      </c>
      <c r="L361" s="208">
        <f>RANK(I361,$I$76:$I$450)</f>
        <v>286</v>
      </c>
      <c r="M361" s="173">
        <f>SUM(N361:R361)</f>
        <v>17973.366178820033</v>
      </c>
      <c r="N361" s="174">
        <f>T361*(1+((AG361+IF(F361="백어택",8,0))/100)*((AI361/100-1)))</f>
        <v>10766.950436364143</v>
      </c>
      <c r="O361" s="174">
        <f>U361*(1+($D$57/100)*($D$58/100-1))</f>
        <v>7206.4157424558907</v>
      </c>
      <c r="P361" s="174"/>
      <c r="Q361" s="174"/>
      <c r="R361" s="175">
        <f>X361*(1+($D$57/100)*($D$58/100-1))</f>
        <v>0</v>
      </c>
      <c r="S361" s="173">
        <f>SUM(T361:X361)</f>
        <v>11453.184760052438</v>
      </c>
      <c r="T361" s="174">
        <f>AL361*AY361</f>
        <v>5397.4393669719502</v>
      </c>
      <c r="U361" s="174">
        <f>AM361*AU361*AW361</f>
        <v>6055.7453930804877</v>
      </c>
      <c r="V361" s="174"/>
      <c r="W361" s="174"/>
      <c r="X361" s="175">
        <f>IF(AU361=1,0,U361*0.625)</f>
        <v>0</v>
      </c>
      <c r="Y361" s="173">
        <f>SUM(Z361:AD361)</f>
        <v>22906.369520104876</v>
      </c>
      <c r="Z361" s="174">
        <f>T361*$D$58/100</f>
        <v>10794.8787339439</v>
      </c>
      <c r="AA361" s="174">
        <f>U361*$D$58/100</f>
        <v>12111.490786160975</v>
      </c>
      <c r="AB361" s="174"/>
      <c r="AC361" s="174"/>
      <c r="AD361" s="175">
        <f>X361*$D$58/100</f>
        <v>0</v>
      </c>
      <c r="AE361" s="173">
        <f>AO361*(1-$D$17/100)</f>
        <v>23.942831999999999</v>
      </c>
      <c r="AF361" s="174">
        <f>AP361</f>
        <v>36</v>
      </c>
      <c r="AG361" s="174">
        <f>IF($D$57+AT361&gt;100,100,$D$57+AT361)</f>
        <v>59.001300000000001</v>
      </c>
      <c r="AH361" s="174">
        <f>AQ361</f>
        <v>521</v>
      </c>
      <c r="AI361" s="174">
        <f>$D$58+$D$19</f>
        <v>268.61079999999998</v>
      </c>
      <c r="AJ361" s="174">
        <f>10/IF(AY361=1,2.5,2)</f>
        <v>4</v>
      </c>
      <c r="AK361" s="174">
        <f>SUM(AL361:AN361)</f>
        <v>8425.3120635121941</v>
      </c>
      <c r="AL361" s="174">
        <f>(VLOOKUP(C361,$B$36:$AG$39,17,FALSE)+VLOOKUP(C361,$B$40:$AG$43,17,FALSE)*$D$54)*$D$59/100</f>
        <v>5397.4393669719502</v>
      </c>
      <c r="AM361" s="174">
        <f>(VLOOKUP(C361,$B$36:$AG$39,18,FALSE)+VLOOKUP(C361,$B$40:$AG$43,18,FALSE)*$D$54)*$D$59/100</f>
        <v>3027.8726965402439</v>
      </c>
      <c r="AN361" s="174"/>
      <c r="AO361" s="176">
        <v>24</v>
      </c>
      <c r="AP361" s="174">
        <v>36</v>
      </c>
      <c r="AQ361" s="175">
        <f>VLOOKUP(C361,$B$45:$AA$48,17,FALSE)</f>
        <v>521</v>
      </c>
      <c r="AR361" s="31">
        <f>IF(LEFT(E361,1)*1=1,$S$63,$R$63)</f>
        <v>0</v>
      </c>
      <c r="AS361" s="2">
        <f>IF(LEFT(E361,1)*1=2,$U$63,$T$63)</f>
        <v>0</v>
      </c>
      <c r="AT361" s="33">
        <f>IF(LEFT(E361,1)*1=3,$W$63,$V$63)</f>
        <v>40</v>
      </c>
      <c r="AU361" s="31">
        <f>IF(MID(E361,3,1)*1=1,$Y$63,$X$63)</f>
        <v>1</v>
      </c>
      <c r="AV361" s="2">
        <f>IF(MID(E361,3,1)*1=2,$AA$63,$Z$63)</f>
        <v>0</v>
      </c>
      <c r="AW361" s="33">
        <f>IF(MID(E361,3,1)*1=3,$AC$63,$AB$63)</f>
        <v>2</v>
      </c>
      <c r="AX361" s="31">
        <f>IF(MID(E361,5,1)*1=1,$AE$63,$AD$63)</f>
        <v>0</v>
      </c>
      <c r="AY361" s="33">
        <f>IF(MID(E361,5,1)*1=2,$AG$63,$AF$63)</f>
        <v>1</v>
      </c>
      <c r="AZ361" s="2"/>
      <c r="BA361" s="101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</row>
    <row r="362" spans="1:71" ht="12" customHeight="1">
      <c r="A362" s="2"/>
      <c r="B362" s="107">
        <v>440</v>
      </c>
      <c r="C362" s="31">
        <v>10</v>
      </c>
      <c r="D362" s="111" t="s">
        <v>8</v>
      </c>
      <c r="E362" s="2" t="s">
        <v>138</v>
      </c>
      <c r="F362" s="2" t="s">
        <v>149</v>
      </c>
      <c r="G362" s="2"/>
      <c r="H362" s="33" t="s">
        <v>80</v>
      </c>
      <c r="I362" s="173">
        <f>M362/AE362</f>
        <v>748.92954467016409</v>
      </c>
      <c r="J362" s="174">
        <f>AH362/AE362</f>
        <v>39.459498714320297</v>
      </c>
      <c r="K362" s="207">
        <f>RANK(I362,$I$76:$I$977)</f>
        <v>287</v>
      </c>
      <c r="L362" s="208" t="e">
        <f>RANK(I362,$I$451:$I$866)</f>
        <v>#N/A</v>
      </c>
      <c r="M362" s="173">
        <f>SUM(N362:R362)</f>
        <v>13843.794971581086</v>
      </c>
      <c r="N362" s="174">
        <f>T362*(1+((AG362+IF(F362="백어택",8,0))/100)*(IF(AY362=1,$D$58,$D$58+50)/100-1))</f>
        <v>3896.8951562423763</v>
      </c>
      <c r="O362" s="174">
        <f>U362*(1+((AG362+IF(F362="백어택",8,0))/100)*(AI362/100-1))</f>
        <v>4973.4499076693546</v>
      </c>
      <c r="P362" s="174">
        <f>V362*(1+((AG362+IF(F362="백어택",8,0))/100)*(AI362/100-1))</f>
        <v>4973.4499076693546</v>
      </c>
      <c r="Q362" s="174"/>
      <c r="R362" s="175"/>
      <c r="S362" s="173">
        <f>SUM(T362:X362)</f>
        <v>9107.6819550760974</v>
      </c>
      <c r="T362" s="174">
        <f>AL362*IF(H362="근접",AR362,1)*AY362*IF(F362="백어택",1.2,1)</f>
        <v>2563.7248867229268</v>
      </c>
      <c r="U362" s="174">
        <f>AM362*IF(H362="근접",AR362,1)*AY362*IF(F362="백어택",1.2,1)</f>
        <v>3271.9785341765855</v>
      </c>
      <c r="V362" s="174">
        <f>IF(AX362=1,0,AM362*IF(H362="근접",AR362,1)*AY362)*IF(F362="백어택",1.2,1)</f>
        <v>3271.9785341765855</v>
      </c>
      <c r="W362" s="174"/>
      <c r="X362" s="175"/>
      <c r="Y362" s="173">
        <f>SUM(Z362:AD362)</f>
        <v>18215.363910152195</v>
      </c>
      <c r="Z362" s="174">
        <f>T362*IF(AY362=1,$D$58,$D$58+50)/100</f>
        <v>5127.4497734458537</v>
      </c>
      <c r="AA362" s="174">
        <f>U362*AI362/100</f>
        <v>6543.9570683531711</v>
      </c>
      <c r="AB362" s="174">
        <f>V362*AI362/100</f>
        <v>6543.9570683531711</v>
      </c>
      <c r="AC362" s="174"/>
      <c r="AD362" s="175"/>
      <c r="AE362" s="173">
        <f>AO362*(1-$D$20/100)*(1-$D$17/100)</f>
        <v>18.484776131615998</v>
      </c>
      <c r="AF362" s="174">
        <f>AP362</f>
        <v>36</v>
      </c>
      <c r="AG362" s="174">
        <f>IF($D$57+AU362&gt;100,100,$D$57+AU362)</f>
        <v>44.001300000000001</v>
      </c>
      <c r="AH362" s="174">
        <f>IF(AX362=1,AQ362,AQ362*1.4)</f>
        <v>729.4</v>
      </c>
      <c r="AI362" s="174">
        <f>IF(AY362=1,$D$58,$D$58+50)*AW362</f>
        <v>200</v>
      </c>
      <c r="AJ362" s="174">
        <f>10/6/AX362</f>
        <v>1.1111111111111112</v>
      </c>
      <c r="AK362" s="174">
        <f>SUM(AL362:AN362)</f>
        <v>4863.0861840829275</v>
      </c>
      <c r="AL362" s="174">
        <f>(IF(H362="근접",$D$61*(VLOOKUP(C362,$B$36:$AG$39,9,FALSE)+VLOOKUP(C362,$B$40:$AG$43,9,FALSE)*$D$54),$D$60*(VLOOKUP(C362,$B$36:$AG$39,9,FALSE)+VLOOKUP(C362,$B$40:$AG$43,9,FALSE)*$D$54)))*$D$59/100</f>
        <v>2136.437405602439</v>
      </c>
      <c r="AM362" s="174">
        <f>(IF(H362="근접",$D$61*(VLOOKUP(C362,$B$36:$AG$39,10,FALSE)+VLOOKUP(C362,$B$40:$AG$43,10,FALSE)*$D$54),$D$60*(VLOOKUP(C362,$B$36:$AG$39,10,FALSE)+VLOOKUP(C362,$B$40:$AG$43,10,FALSE)*$D$54)))*$D$59/100</f>
        <v>2726.6487784804881</v>
      </c>
      <c r="AN362" s="174"/>
      <c r="AO362" s="176">
        <v>24</v>
      </c>
      <c r="AP362" s="174">
        <v>36</v>
      </c>
      <c r="AQ362" s="175">
        <f>VLOOKUP(C362,$B$45:$AA$48,9,FALSE)</f>
        <v>521</v>
      </c>
      <c r="AR362" s="31">
        <f>IF(LEFT(E362,1)*1=1,$S$58,$R$58)</f>
        <v>1</v>
      </c>
      <c r="AS362" s="2">
        <f>IF(LEFT(E362,1)*1=2,$U$58,$T$58)</f>
        <v>0</v>
      </c>
      <c r="AT362" s="33">
        <f>IF(LEFT(E362,1)*1=3,$W$58,$V$58)</f>
        <v>0</v>
      </c>
      <c r="AU362" s="31">
        <f>IF(MID(E362,3,1)*1=1,$Y$58,$X$58)</f>
        <v>25</v>
      </c>
      <c r="AV362" s="2">
        <f>IF(MID(E362,3,1)*1=2,$AA$58,$Z$58)</f>
        <v>0</v>
      </c>
      <c r="AW362" s="33">
        <f>IF(MID(E362,3,1)*1=3,$AC$58,$AB$58)</f>
        <v>1</v>
      </c>
      <c r="AX362" s="31">
        <f>IF(MID(E362,5,1)*1=1,$AE$58,$AD$58)</f>
        <v>1.5</v>
      </c>
      <c r="AY362" s="33">
        <f>IF(MID(E362,5,1)*1=2,$AG$58,$AF$58)</f>
        <v>1</v>
      </c>
      <c r="AZ362" s="2"/>
      <c r="BA362" s="101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</row>
    <row r="363" spans="1:71" ht="12" customHeight="1">
      <c r="A363" s="2"/>
      <c r="B363" s="107">
        <v>443</v>
      </c>
      <c r="C363" s="31">
        <v>10</v>
      </c>
      <c r="D363" s="111" t="s">
        <v>8</v>
      </c>
      <c r="E363" s="2" t="s">
        <v>164</v>
      </c>
      <c r="F363" s="2" t="s">
        <v>149</v>
      </c>
      <c r="G363" s="2"/>
      <c r="H363" s="33" t="s">
        <v>80</v>
      </c>
      <c r="I363" s="173">
        <f>M363/AE363</f>
        <v>748.92954467016409</v>
      </c>
      <c r="J363" s="174">
        <f>AH363/AE363</f>
        <v>39.459498714320297</v>
      </c>
      <c r="K363" s="207">
        <f>RANK(I363,$I$76:$I$977)</f>
        <v>287</v>
      </c>
      <c r="L363" s="208" t="e">
        <f>RANK(I363,$I$451:$I$866)</f>
        <v>#N/A</v>
      </c>
      <c r="M363" s="173">
        <f>SUM(N363:R363)</f>
        <v>13843.794971581086</v>
      </c>
      <c r="N363" s="174">
        <f>T363*(1+((AG363+IF(F363="백어택",8,0))/100)*(IF(AY363=1,$D$58,$D$58+50)/100-1))</f>
        <v>3896.8951562423763</v>
      </c>
      <c r="O363" s="174">
        <f>U363*(1+((AG363+IF(F363="백어택",8,0))/100)*(AI363/100-1))</f>
        <v>4973.4499076693546</v>
      </c>
      <c r="P363" s="174">
        <f>V363*(1+((AG363+IF(F363="백어택",8,0))/100)*(AI363/100-1))</f>
        <v>4973.4499076693546</v>
      </c>
      <c r="Q363" s="174"/>
      <c r="R363" s="175"/>
      <c r="S363" s="173">
        <f>SUM(T363:X363)</f>
        <v>9107.6819550760974</v>
      </c>
      <c r="T363" s="174">
        <f>AL363*IF(H363="근접",AR363,1)*AY363*IF(F363="백어택",1.2,1)</f>
        <v>2563.7248867229268</v>
      </c>
      <c r="U363" s="174">
        <f>AM363*IF(H363="근접",AR363,1)*AY363*IF(F363="백어택",1.2,1)</f>
        <v>3271.9785341765855</v>
      </c>
      <c r="V363" s="174">
        <f>IF(AX363=1,0,AM363*IF(H363="근접",AR363,1)*AY363)*IF(F363="백어택",1.2,1)</f>
        <v>3271.9785341765855</v>
      </c>
      <c r="W363" s="174"/>
      <c r="X363" s="175"/>
      <c r="Y363" s="173">
        <f>SUM(Z363:AD363)</f>
        <v>18215.363910152195</v>
      </c>
      <c r="Z363" s="174">
        <f>T363*IF(AY363=1,$D$58,$D$58+50)/100</f>
        <v>5127.4497734458537</v>
      </c>
      <c r="AA363" s="174">
        <f>U363*AI363/100</f>
        <v>6543.9570683531711</v>
      </c>
      <c r="AB363" s="174">
        <f>V363*AI363/100</f>
        <v>6543.9570683531711</v>
      </c>
      <c r="AC363" s="174"/>
      <c r="AD363" s="175"/>
      <c r="AE363" s="173">
        <f>AO363*(1-$D$20/100)*(1-$D$17/100)</f>
        <v>18.484776131615998</v>
      </c>
      <c r="AF363" s="174">
        <f>AP363</f>
        <v>36</v>
      </c>
      <c r="AG363" s="174">
        <f>IF($D$57+AU363&gt;100,100,$D$57+AU363)</f>
        <v>44.001300000000001</v>
      </c>
      <c r="AH363" s="174">
        <f>IF(AX363=1,AQ363,AQ363*1.4)</f>
        <v>729.4</v>
      </c>
      <c r="AI363" s="174">
        <f>IF(AY363=1,$D$58,$D$58+50)*AW363</f>
        <v>200</v>
      </c>
      <c r="AJ363" s="174">
        <f>10/6/AX363</f>
        <v>1.1111111111111112</v>
      </c>
      <c r="AK363" s="174">
        <f>SUM(AL363:AN363)</f>
        <v>4863.0861840829275</v>
      </c>
      <c r="AL363" s="174">
        <f>(IF(H363="근접",$D$61*(VLOOKUP(C363,$B$36:$AG$39,9,FALSE)+VLOOKUP(C363,$B$40:$AG$43,9,FALSE)*$D$54),$D$60*(VLOOKUP(C363,$B$36:$AG$39,9,FALSE)+VLOOKUP(C363,$B$40:$AG$43,9,FALSE)*$D$54)))*$D$59/100</f>
        <v>2136.437405602439</v>
      </c>
      <c r="AM363" s="174">
        <f>(IF(H363="근접",$D$61*(VLOOKUP(C363,$B$36:$AG$39,10,FALSE)+VLOOKUP(C363,$B$40:$AG$43,10,FALSE)*$D$54),$D$60*(VLOOKUP(C363,$B$36:$AG$39,10,FALSE)+VLOOKUP(C363,$B$40:$AG$43,10,FALSE)*$D$54)))*$D$59/100</f>
        <v>2726.6487784804881</v>
      </c>
      <c r="AN363" s="174"/>
      <c r="AO363" s="176">
        <v>24</v>
      </c>
      <c r="AP363" s="174">
        <v>36</v>
      </c>
      <c r="AQ363" s="175">
        <f>VLOOKUP(C363,$B$45:$AA$48,9,FALSE)</f>
        <v>521</v>
      </c>
      <c r="AR363" s="31">
        <f>IF(LEFT(E363,1)*1=1,$S$58,$R$58)</f>
        <v>1.2</v>
      </c>
      <c r="AS363" s="2">
        <f>IF(LEFT(E363,1)*1=2,$U$58,$T$58)</f>
        <v>0</v>
      </c>
      <c r="AT363" s="33">
        <f>IF(LEFT(E363,1)*1=3,$W$58,$V$58)</f>
        <v>0</v>
      </c>
      <c r="AU363" s="31">
        <f>IF(MID(E363,3,1)*1=1,$Y$58,$X$58)</f>
        <v>25</v>
      </c>
      <c r="AV363" s="2">
        <f>IF(MID(E363,3,1)*1=2,$AA$58,$Z$58)</f>
        <v>0</v>
      </c>
      <c r="AW363" s="33">
        <f>IF(MID(E363,3,1)*1=3,$AC$58,$AB$58)</f>
        <v>1</v>
      </c>
      <c r="AX363" s="31">
        <f>IF(MID(E363,5,1)*1=1,$AE$58,$AD$58)</f>
        <v>1.5</v>
      </c>
      <c r="AY363" s="33">
        <f>IF(MID(E363,5,1)*1=2,$AG$58,$AF$58)</f>
        <v>1</v>
      </c>
      <c r="AZ363" s="2"/>
      <c r="BA363" s="101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</row>
    <row r="364" spans="1:71" ht="12" customHeight="1">
      <c r="A364" s="2"/>
      <c r="B364" s="107">
        <v>227</v>
      </c>
      <c r="C364" s="31">
        <v>10</v>
      </c>
      <c r="D364" s="106" t="s">
        <v>13</v>
      </c>
      <c r="E364" s="2" t="s">
        <v>111</v>
      </c>
      <c r="F364" s="2"/>
      <c r="G364" s="2"/>
      <c r="H364" s="33"/>
      <c r="I364" s="173">
        <f>M364/AE364</f>
        <v>748.58529482194319</v>
      </c>
      <c r="J364" s="174">
        <f>AH364/AE364</f>
        <v>21.760166048861723</v>
      </c>
      <c r="K364" s="207">
        <f>RANK(I364,$I$76:$I$977)</f>
        <v>289</v>
      </c>
      <c r="L364" s="208">
        <f>RANK(I364,$I$76:$I$450)</f>
        <v>289</v>
      </c>
      <c r="M364" s="173">
        <f>SUM(N364:R364)</f>
        <v>17923.251951592254</v>
      </c>
      <c r="N364" s="174">
        <f>T364*(1+((AG364+IF(F364="백어택",8,0))/100)*((AI364/100-1)))</f>
        <v>14320.044080364311</v>
      </c>
      <c r="O364" s="174">
        <f>U364*(1+($D$57/100)*($D$58/100-1))</f>
        <v>3603.2078712279454</v>
      </c>
      <c r="P364" s="174"/>
      <c r="Q364" s="174"/>
      <c r="R364" s="175">
        <f>X364*(1+($D$57/100)*($D$58/100-1))</f>
        <v>0</v>
      </c>
      <c r="S364" s="173">
        <f>SUM(T364:X364)</f>
        <v>10206.467054612938</v>
      </c>
      <c r="T364" s="174">
        <f>AL364*AY364</f>
        <v>7178.5943580726944</v>
      </c>
      <c r="U364" s="174">
        <f>AM364*AU364*AW364</f>
        <v>3027.8726965402439</v>
      </c>
      <c r="V364" s="174"/>
      <c r="W364" s="174"/>
      <c r="X364" s="175">
        <f>IF(AU364=1,0,U364*0.625)</f>
        <v>0</v>
      </c>
      <c r="Y364" s="173">
        <f>SUM(Z364:AD364)</f>
        <v>20412.934109225876</v>
      </c>
      <c r="Z364" s="174">
        <f>T364*$D$58/100</f>
        <v>14357.188716145389</v>
      </c>
      <c r="AA364" s="174">
        <f>U364*$D$58/100</f>
        <v>6055.7453930804877</v>
      </c>
      <c r="AB364" s="174"/>
      <c r="AC364" s="174"/>
      <c r="AD364" s="175">
        <f>X364*$D$58/100</f>
        <v>0</v>
      </c>
      <c r="AE364" s="173">
        <f>AO364*(1-$D$17/100)</f>
        <v>23.942831999999999</v>
      </c>
      <c r="AF364" s="174">
        <f>AP364</f>
        <v>36</v>
      </c>
      <c r="AG364" s="174">
        <f>IF($D$57+AT364&gt;100,100,$D$57+AT364)</f>
        <v>59.001300000000001</v>
      </c>
      <c r="AH364" s="174">
        <f>AQ364</f>
        <v>521</v>
      </c>
      <c r="AI364" s="174">
        <f>$D$58+$D$19</f>
        <v>268.61079999999998</v>
      </c>
      <c r="AJ364" s="174">
        <f>10/IF(AY364=1,2.5,2)</f>
        <v>5</v>
      </c>
      <c r="AK364" s="174">
        <f>SUM(AL364:AN364)</f>
        <v>8425.3120635121941</v>
      </c>
      <c r="AL364" s="174">
        <f>(VLOOKUP(C364,$B$36:$AG$39,17,FALSE)+VLOOKUP(C364,$B$40:$AG$43,17,FALSE)*$D$54)*$D$59/100</f>
        <v>5397.4393669719502</v>
      </c>
      <c r="AM364" s="174">
        <f>(VLOOKUP(C364,$B$36:$AG$39,18,FALSE)+VLOOKUP(C364,$B$40:$AG$43,18,FALSE)*$D$54)*$D$59/100</f>
        <v>3027.8726965402439</v>
      </c>
      <c r="AN364" s="174"/>
      <c r="AO364" s="176">
        <v>24</v>
      </c>
      <c r="AP364" s="174">
        <v>36</v>
      </c>
      <c r="AQ364" s="175">
        <f>VLOOKUP(C364,$B$45:$AA$48,17,FALSE)</f>
        <v>521</v>
      </c>
      <c r="AR364" s="31">
        <f>IF(LEFT(E364,1)*1=1,$S$63,$R$63)</f>
        <v>0</v>
      </c>
      <c r="AS364" s="2">
        <f>IF(LEFT(E364,1)*1=2,$U$63,$T$63)</f>
        <v>0</v>
      </c>
      <c r="AT364" s="33">
        <f>IF(LEFT(E364,1)*1=3,$W$63,$V$63)</f>
        <v>40</v>
      </c>
      <c r="AU364" s="31">
        <f>IF(MID(E364,3,1)*1=1,$Y$63,$X$63)</f>
        <v>1</v>
      </c>
      <c r="AV364" s="2">
        <f>IF(MID(E364,3,1)*1=2,$AA$63,$Z$63)</f>
        <v>0</v>
      </c>
      <c r="AW364" s="33">
        <f>IF(MID(E364,3,1)*1=3,$AC$63,$AB$63)</f>
        <v>1</v>
      </c>
      <c r="AX364" s="31">
        <f>IF(MID(E364,5,1)*1=1,$AE$63,$AD$63)</f>
        <v>0</v>
      </c>
      <c r="AY364" s="33">
        <f>IF(MID(E364,5,1)*1=2,$AG$63,$AF$63)</f>
        <v>1.33</v>
      </c>
      <c r="AZ364" s="2"/>
      <c r="BA364" s="101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</row>
    <row r="365" spans="1:71" ht="12" customHeight="1">
      <c r="A365" s="2"/>
      <c r="B365" s="107">
        <v>585</v>
      </c>
      <c r="C365" s="31">
        <v>10</v>
      </c>
      <c r="D365" s="111" t="s">
        <v>14</v>
      </c>
      <c r="E365" s="2" t="s">
        <v>139</v>
      </c>
      <c r="F365" s="2" t="s">
        <v>149</v>
      </c>
      <c r="G365" s="2"/>
      <c r="H365" s="33" t="s">
        <v>80</v>
      </c>
      <c r="I365" s="173">
        <f>M365/AE365</f>
        <v>746.86203302871172</v>
      </c>
      <c r="J365" s="174">
        <f>AH365/AE365</f>
        <v>23.695174714659018</v>
      </c>
      <c r="K365" s="207">
        <f>RANK(I365,$I$76:$I$977)</f>
        <v>290</v>
      </c>
      <c r="L365" s="208" t="e">
        <f>RANK(I365,$I$451:$I$866)</f>
        <v>#N/A</v>
      </c>
      <c r="M365" s="173">
        <f>SUM(N365:R365)</f>
        <v>20708.366222608998</v>
      </c>
      <c r="N365" s="174">
        <f>T365*(1+((AG365+IF(F365="백어택",8,0))/100)*(AI365/100-1))</f>
        <v>6179.1984781812916</v>
      </c>
      <c r="O365" s="174">
        <f>U365*(1+((AG365+IF(F365="백어택",8,0))/100)*(AI365/100-1))</f>
        <v>6179.1984781812916</v>
      </c>
      <c r="P365" s="174">
        <f>V365*(1+((AG365+IF(F365="백어택",8,0))/100)*(AI365*IF(AX365=1,AW365,1)/100-1))</f>
        <v>8349.9692662464149</v>
      </c>
      <c r="Q365" s="174">
        <f>W365*(1+((AG365+IF(F365="백어택",8,0))/100)*(AI365*AW365/100-1))</f>
        <v>0</v>
      </c>
      <c r="R365" s="175"/>
      <c r="S365" s="173">
        <f>SUM(T365:X365)</f>
        <v>11633.786159426341</v>
      </c>
      <c r="T365" s="174">
        <f>AL365*AY365*IF(F365="백어택",1.2,1)</f>
        <v>3471.4217895822439</v>
      </c>
      <c r="U365" s="174">
        <f>AM365*AY365*IF(F365="백어택",1.2,1)</f>
        <v>3471.4217895822439</v>
      </c>
      <c r="V365" s="174">
        <f>AN365*AY365*IF(F365="백어택",1.2,1)</f>
        <v>4690.9425802618534</v>
      </c>
      <c r="W365" s="174">
        <f>(T365+U365+V365)*IF(AX365=1,0,0.6)*IF(F365="백어택",1.2,1)</f>
        <v>0</v>
      </c>
      <c r="X365" s="175"/>
      <c r="Y365" s="173">
        <f>SUM(Z365:AD365)</f>
        <v>29084.465398565852</v>
      </c>
      <c r="Z365" s="174">
        <f>T365*AI365/100</f>
        <v>8678.5544739556099</v>
      </c>
      <c r="AA365" s="174">
        <f>U365*AI365/100</f>
        <v>8678.5544739556099</v>
      </c>
      <c r="AB365" s="174">
        <f>V365*AI365*IF(AX365=1,AW365,1)/100</f>
        <v>11727.356450654634</v>
      </c>
      <c r="AC365" s="174">
        <f>W365*AI365*AW365/100</f>
        <v>0</v>
      </c>
      <c r="AD365" s="175"/>
      <c r="AE365" s="173">
        <f>AO365*(1-$D$20/100)*(1-$D$17/100)</f>
        <v>27.727164197424003</v>
      </c>
      <c r="AF365" s="174">
        <f>AP365</f>
        <v>36</v>
      </c>
      <c r="AG365" s="174">
        <f>IF($D$57+AU365&gt;100,100,$D$57+AU365)</f>
        <v>44.001300000000001</v>
      </c>
      <c r="AH365" s="174">
        <f>AQ365*AS365</f>
        <v>657</v>
      </c>
      <c r="AI365" s="174">
        <f>$D$58+IF(H365="근접",AR365,0)+IF(AY365=1,0,50)</f>
        <v>250</v>
      </c>
      <c r="AJ365" s="174">
        <f>10/3</f>
        <v>3.3333333333333335</v>
      </c>
      <c r="AK365" s="174">
        <f>SUM(AL365:AN365)</f>
        <v>8079.0181662682935</v>
      </c>
      <c r="AL365" s="174">
        <f>(IF(H365="근접",$D$61*(VLOOKUP(C365,$B$36:$AG$39,19,FALSE)+VLOOKUP(C365,$B$40:$AG$43,19,FALSE)*$D$54),$D$60*(VLOOKUP(C365,$B$36:$AG$39,19,FALSE)+VLOOKUP(C365,$B$40:$AG$43,19,FALSE)*$D$54)))*$D$59/100</f>
        <v>2410.7095760987809</v>
      </c>
      <c r="AM365" s="174">
        <f>(IF(H365="근접",$D$61*(VLOOKUP(C365,$B$36:$AG$39,20,FALSE)+VLOOKUP(C365,$B$40:$AG$43,20,FALSE)*$D$54),$D$60*(VLOOKUP(C365,$B$36:$AG$39,20,FALSE)+VLOOKUP(C365,$B$40:$AG$43,20,FALSE)*$D$54)))*$D$59/100</f>
        <v>2410.7095760987809</v>
      </c>
      <c r="AN365" s="174">
        <f>(IF(H365="근접",$D$61*(VLOOKUP(C365,$B$36:$AG$39,21,FALSE)+VLOOKUP(C365,$B$40:$AG$43,21,FALSE)*$D$54),$D$60*(VLOOKUP(C365,$B$36:$AG$39,21,FALSE)+VLOOKUP(C365,$B$40:$AG$43,21,FALSE)*$D$54)))*$D$59/100</f>
        <v>3257.5990140707318</v>
      </c>
      <c r="AO365" s="176">
        <v>36</v>
      </c>
      <c r="AP365" s="174">
        <v>36</v>
      </c>
      <c r="AQ365" s="175">
        <f>VLOOKUP(C365,$B$45:$AA$48,19,FALSE)</f>
        <v>657</v>
      </c>
      <c r="AR365" s="31">
        <f>IF(LEFT(E365,1)*1=1,$S$64,$R$64)</f>
        <v>0</v>
      </c>
      <c r="AS365" s="2">
        <f>IF(LEFT(E365,1)*1=2,$U$64,$T$64)</f>
        <v>1</v>
      </c>
      <c r="AT365" s="33">
        <f>IF(LEFT(E365,1)*1=3,$W$64,$V$64)</f>
        <v>0</v>
      </c>
      <c r="AU365" s="31">
        <f>IF(MID(E365,3,1)*1=1,$Y$64,$X$64)</f>
        <v>25</v>
      </c>
      <c r="AV365" s="2">
        <f>IF(MID(E365,3,1)*1=2,$AA$64,$Z$64)</f>
        <v>0</v>
      </c>
      <c r="AW365" s="33">
        <f>IF(MID(E365,3,1)*1=3,$AC$64,$AB$64)</f>
        <v>1</v>
      </c>
      <c r="AX365" s="31">
        <f>IF(MID(E365,5,1)*1=1,$AE$64,$AD$64)</f>
        <v>1</v>
      </c>
      <c r="AY365" s="33">
        <f>IF(MID(E365,5,1)*1=2,$AG$64,$AF$64)</f>
        <v>1.2</v>
      </c>
      <c r="AZ365" s="2"/>
      <c r="BA365" s="101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</row>
    <row r="366" spans="1:71" ht="12" customHeight="1">
      <c r="A366" s="2"/>
      <c r="B366" s="107">
        <v>588</v>
      </c>
      <c r="C366" s="31">
        <v>10</v>
      </c>
      <c r="D366" s="111" t="s">
        <v>14</v>
      </c>
      <c r="E366" s="2" t="s">
        <v>165</v>
      </c>
      <c r="F366" s="2" t="s">
        <v>149</v>
      </c>
      <c r="G366" s="2"/>
      <c r="H366" s="33" t="s">
        <v>80</v>
      </c>
      <c r="I366" s="173">
        <f>M366/AE366</f>
        <v>746.86203302871172</v>
      </c>
      <c r="J366" s="174">
        <f>AH366/AE366</f>
        <v>23.695174714659018</v>
      </c>
      <c r="K366" s="207">
        <f>RANK(I366,$I$76:$I$977)</f>
        <v>290</v>
      </c>
      <c r="L366" s="208" t="e">
        <f>RANK(I366,$I$451:$I$866)</f>
        <v>#N/A</v>
      </c>
      <c r="M366" s="173">
        <f>SUM(N366:R366)</f>
        <v>20708.366222608998</v>
      </c>
      <c r="N366" s="174">
        <f>T366*(1+((AG366+IF(F366="백어택",8,0))/100)*(AI366/100-1))</f>
        <v>6179.1984781812916</v>
      </c>
      <c r="O366" s="174">
        <f>U366*(1+((AG366+IF(F366="백어택",8,0))/100)*(AI366/100-1))</f>
        <v>6179.1984781812916</v>
      </c>
      <c r="P366" s="174">
        <f>V366*(1+((AG366+IF(F366="백어택",8,0))/100)*(AI366*IF(AX366=1,AW366,1)/100-1))</f>
        <v>8349.9692662464149</v>
      </c>
      <c r="Q366" s="174">
        <f>W366*(1+((AG366+IF(F366="백어택",8,0))/100)*(AI366*AW366/100-1))</f>
        <v>0</v>
      </c>
      <c r="R366" s="175"/>
      <c r="S366" s="173">
        <f>SUM(T366:X366)</f>
        <v>11633.786159426341</v>
      </c>
      <c r="T366" s="174">
        <f>AL366*AY366*IF(F366="백어택",1.2,1)</f>
        <v>3471.4217895822439</v>
      </c>
      <c r="U366" s="174">
        <f>AM366*AY366*IF(F366="백어택",1.2,1)</f>
        <v>3471.4217895822439</v>
      </c>
      <c r="V366" s="174">
        <f>AN366*AY366*IF(F366="백어택",1.2,1)</f>
        <v>4690.9425802618534</v>
      </c>
      <c r="W366" s="174">
        <f>(T366+U366+V366)*IF(AX366=1,0,0.6)*IF(F366="백어택",1.2,1)</f>
        <v>0</v>
      </c>
      <c r="X366" s="175"/>
      <c r="Y366" s="173">
        <f>SUM(Z366:AD366)</f>
        <v>29084.465398565852</v>
      </c>
      <c r="Z366" s="174">
        <f>T366*AI366/100</f>
        <v>8678.5544739556099</v>
      </c>
      <c r="AA366" s="174">
        <f>U366*AI366/100</f>
        <v>8678.5544739556099</v>
      </c>
      <c r="AB366" s="174">
        <f>V366*AI366*IF(AX366=1,AW366,1)/100</f>
        <v>11727.356450654634</v>
      </c>
      <c r="AC366" s="174">
        <f>W366*AI366*AW366/100</f>
        <v>0</v>
      </c>
      <c r="AD366" s="175"/>
      <c r="AE366" s="173">
        <f>AO366*(1-$D$20/100)*(1-$D$17/100)</f>
        <v>27.727164197424003</v>
      </c>
      <c r="AF366" s="174">
        <f>AP366</f>
        <v>36</v>
      </c>
      <c r="AG366" s="174">
        <f>IF($D$57+AU366&gt;100,100,$D$57+AU366)</f>
        <v>44.001300000000001</v>
      </c>
      <c r="AH366" s="174">
        <f>AQ366*AS366</f>
        <v>657</v>
      </c>
      <c r="AI366" s="174">
        <f>$D$58+IF(H366="근접",AR366,0)+IF(AY366=1,0,50)</f>
        <v>250</v>
      </c>
      <c r="AJ366" s="174">
        <f>10/3</f>
        <v>3.3333333333333335</v>
      </c>
      <c r="AK366" s="174">
        <f>SUM(AL366:AN366)</f>
        <v>8079.0181662682935</v>
      </c>
      <c r="AL366" s="174">
        <f>(IF(H366="근접",$D$61*(VLOOKUP(C366,$B$36:$AG$39,19,FALSE)+VLOOKUP(C366,$B$40:$AG$43,19,FALSE)*$D$54),$D$60*(VLOOKUP(C366,$B$36:$AG$39,19,FALSE)+VLOOKUP(C366,$B$40:$AG$43,19,FALSE)*$D$54)))*$D$59/100</f>
        <v>2410.7095760987809</v>
      </c>
      <c r="AM366" s="174">
        <f>(IF(H366="근접",$D$61*(VLOOKUP(C366,$B$36:$AG$39,20,FALSE)+VLOOKUP(C366,$B$40:$AG$43,20,FALSE)*$D$54),$D$60*(VLOOKUP(C366,$B$36:$AG$39,20,FALSE)+VLOOKUP(C366,$B$40:$AG$43,20,FALSE)*$D$54)))*$D$59/100</f>
        <v>2410.7095760987809</v>
      </c>
      <c r="AN366" s="174">
        <f>(IF(H366="근접",$D$61*(VLOOKUP(C366,$B$36:$AG$39,21,FALSE)+VLOOKUP(C366,$B$40:$AG$43,21,FALSE)*$D$54),$D$60*(VLOOKUP(C366,$B$36:$AG$39,21,FALSE)+VLOOKUP(C366,$B$40:$AG$43,21,FALSE)*$D$54)))*$D$59/100</f>
        <v>3257.5990140707318</v>
      </c>
      <c r="AO366" s="176">
        <v>36</v>
      </c>
      <c r="AP366" s="174">
        <v>36</v>
      </c>
      <c r="AQ366" s="175">
        <f>VLOOKUP(C366,$B$45:$AA$48,19,FALSE)</f>
        <v>657</v>
      </c>
      <c r="AR366" s="31">
        <f>IF(LEFT(E366,1)*1=1,$S$64,$R$64)</f>
        <v>50</v>
      </c>
      <c r="AS366" s="2">
        <f>IF(LEFT(E366,1)*1=2,$U$64,$T$64)</f>
        <v>1</v>
      </c>
      <c r="AT366" s="33">
        <f>IF(LEFT(E366,1)*1=3,$W$64,$V$64)</f>
        <v>0</v>
      </c>
      <c r="AU366" s="31">
        <f>IF(MID(E366,3,1)*1=1,$Y$64,$X$64)</f>
        <v>25</v>
      </c>
      <c r="AV366" s="2">
        <f>IF(MID(E366,3,1)*1=2,$AA$64,$Z$64)</f>
        <v>0</v>
      </c>
      <c r="AW366" s="33">
        <f>IF(MID(E366,3,1)*1=3,$AC$64,$AB$64)</f>
        <v>1</v>
      </c>
      <c r="AX366" s="31">
        <f>IF(MID(E366,5,1)*1=1,$AE$64,$AD$64)</f>
        <v>1</v>
      </c>
      <c r="AY366" s="33">
        <f>IF(MID(E366,5,1)*1=2,$AG$64,$AF$64)</f>
        <v>1.2</v>
      </c>
      <c r="AZ366" s="2"/>
      <c r="BA366" s="101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</row>
    <row r="367" spans="1:71" ht="12" customHeight="1">
      <c r="A367" s="2"/>
      <c r="B367" s="107">
        <v>591</v>
      </c>
      <c r="C367" s="31">
        <v>10</v>
      </c>
      <c r="D367" s="111" t="s">
        <v>14</v>
      </c>
      <c r="E367" s="2" t="s">
        <v>170</v>
      </c>
      <c r="F367" s="2" t="s">
        <v>149</v>
      </c>
      <c r="G367" s="2"/>
      <c r="H367" s="33" t="s">
        <v>80</v>
      </c>
      <c r="I367" s="173">
        <f>M367/AE367</f>
        <v>746.86203302871172</v>
      </c>
      <c r="J367" s="174">
        <f>AH367/AE367</f>
        <v>11.847587357329509</v>
      </c>
      <c r="K367" s="207">
        <f>RANK(I367,$I$76:$I$977)</f>
        <v>290</v>
      </c>
      <c r="L367" s="208" t="e">
        <f>RANK(I367,$I$451:$I$866)</f>
        <v>#N/A</v>
      </c>
      <c r="M367" s="173">
        <f>SUM(N367:R367)</f>
        <v>20708.366222608998</v>
      </c>
      <c r="N367" s="174">
        <f>T367*(1+((AG367+IF(F367="백어택",8,0))/100)*(AI367/100-1))</f>
        <v>6179.1984781812916</v>
      </c>
      <c r="O367" s="174">
        <f>U367*(1+((AG367+IF(F367="백어택",8,0))/100)*(AI367/100-1))</f>
        <v>6179.1984781812916</v>
      </c>
      <c r="P367" s="174">
        <f>V367*(1+((AG367+IF(F367="백어택",8,0))/100)*(AI367*IF(AX367=1,AW367,1)/100-1))</f>
        <v>8349.9692662464149</v>
      </c>
      <c r="Q367" s="174">
        <f>W367*(1+((AG367+IF(F367="백어택",8,0))/100)*(AI367*AW367/100-1))</f>
        <v>0</v>
      </c>
      <c r="R367" s="175"/>
      <c r="S367" s="173">
        <f>SUM(T367:X367)</f>
        <v>11633.786159426341</v>
      </c>
      <c r="T367" s="174">
        <f>AL367*AY367*IF(F367="백어택",1.2,1)</f>
        <v>3471.4217895822439</v>
      </c>
      <c r="U367" s="174">
        <f>AM367*AY367*IF(F367="백어택",1.2,1)</f>
        <v>3471.4217895822439</v>
      </c>
      <c r="V367" s="174">
        <f>AN367*AY367*IF(F367="백어택",1.2,1)</f>
        <v>4690.9425802618534</v>
      </c>
      <c r="W367" s="174">
        <f>(T367+U367+V367)*IF(AX367=1,0,0.6)*IF(F367="백어택",1.2,1)</f>
        <v>0</v>
      </c>
      <c r="X367" s="175"/>
      <c r="Y367" s="173">
        <f>SUM(Z367:AD367)</f>
        <v>29084.465398565852</v>
      </c>
      <c r="Z367" s="174">
        <f>T367*AI367/100</f>
        <v>8678.5544739556099</v>
      </c>
      <c r="AA367" s="174">
        <f>U367*AI367/100</f>
        <v>8678.5544739556099</v>
      </c>
      <c r="AB367" s="174">
        <f>V367*AI367*IF(AX367=1,AW367,1)/100</f>
        <v>11727.356450654634</v>
      </c>
      <c r="AC367" s="174">
        <f>W367*AI367*AW367/100</f>
        <v>0</v>
      </c>
      <c r="AD367" s="175"/>
      <c r="AE367" s="173">
        <f>AO367*(1-$D$20/100)*(1-$D$17/100)</f>
        <v>27.727164197424003</v>
      </c>
      <c r="AF367" s="174">
        <f>AP367</f>
        <v>36</v>
      </c>
      <c r="AG367" s="174">
        <f>IF($D$57+AU367&gt;100,100,$D$57+AU367)</f>
        <v>44.001300000000001</v>
      </c>
      <c r="AH367" s="174">
        <f>AQ367*AS367</f>
        <v>328.5</v>
      </c>
      <c r="AI367" s="174">
        <f>$D$58+IF(H367="근접",AR367,0)+IF(AY367=1,0,50)</f>
        <v>250</v>
      </c>
      <c r="AJ367" s="174">
        <f>10/3</f>
        <v>3.3333333333333335</v>
      </c>
      <c r="AK367" s="174">
        <f>SUM(AL367:AN367)</f>
        <v>8079.0181662682935</v>
      </c>
      <c r="AL367" s="174">
        <f>(IF(H367="근접",$D$61*(VLOOKUP(C367,$B$36:$AG$39,19,FALSE)+VLOOKUP(C367,$B$40:$AG$43,19,FALSE)*$D$54),$D$60*(VLOOKUP(C367,$B$36:$AG$39,19,FALSE)+VLOOKUP(C367,$B$40:$AG$43,19,FALSE)*$D$54)))*$D$59/100</f>
        <v>2410.7095760987809</v>
      </c>
      <c r="AM367" s="174">
        <f>(IF(H367="근접",$D$61*(VLOOKUP(C367,$B$36:$AG$39,20,FALSE)+VLOOKUP(C367,$B$40:$AG$43,20,FALSE)*$D$54),$D$60*(VLOOKUP(C367,$B$36:$AG$39,20,FALSE)+VLOOKUP(C367,$B$40:$AG$43,20,FALSE)*$D$54)))*$D$59/100</f>
        <v>2410.7095760987809</v>
      </c>
      <c r="AN367" s="174">
        <f>(IF(H367="근접",$D$61*(VLOOKUP(C367,$B$36:$AG$39,21,FALSE)+VLOOKUP(C367,$B$40:$AG$43,21,FALSE)*$D$54),$D$60*(VLOOKUP(C367,$B$36:$AG$39,21,FALSE)+VLOOKUP(C367,$B$40:$AG$43,21,FALSE)*$D$54)))*$D$59/100</f>
        <v>3257.5990140707318</v>
      </c>
      <c r="AO367" s="176">
        <v>36</v>
      </c>
      <c r="AP367" s="174">
        <v>36</v>
      </c>
      <c r="AQ367" s="175">
        <f>VLOOKUP(C367,$B$45:$AA$48,19,FALSE)</f>
        <v>657</v>
      </c>
      <c r="AR367" s="31">
        <f>IF(LEFT(E367,1)*1=1,$S$64,$R$64)</f>
        <v>0</v>
      </c>
      <c r="AS367" s="2">
        <f>IF(LEFT(E367,1)*1=2,$U$64,$T$64)</f>
        <v>0.5</v>
      </c>
      <c r="AT367" s="33">
        <f>IF(LEFT(E367,1)*1=3,$W$64,$V$64)</f>
        <v>0</v>
      </c>
      <c r="AU367" s="31">
        <f>IF(MID(E367,3,1)*1=1,$Y$64,$X$64)</f>
        <v>25</v>
      </c>
      <c r="AV367" s="2">
        <f>IF(MID(E367,3,1)*1=2,$AA$64,$Z$64)</f>
        <v>0</v>
      </c>
      <c r="AW367" s="33">
        <f>IF(MID(E367,3,1)*1=3,$AC$64,$AB$64)</f>
        <v>1</v>
      </c>
      <c r="AX367" s="31">
        <f>IF(MID(E367,5,1)*1=1,$AE$64,$AD$64)</f>
        <v>1</v>
      </c>
      <c r="AY367" s="33">
        <f>IF(MID(E367,5,1)*1=2,$AG$64,$AF$64)</f>
        <v>1.2</v>
      </c>
      <c r="AZ367" s="2"/>
      <c r="BA367" s="101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</row>
    <row r="368" spans="1:71" ht="12" customHeight="1">
      <c r="A368" s="2"/>
      <c r="B368" s="107">
        <v>96</v>
      </c>
      <c r="C368" s="31">
        <v>10</v>
      </c>
      <c r="D368" s="106" t="s">
        <v>6</v>
      </c>
      <c r="E368" s="2" t="s">
        <v>141</v>
      </c>
      <c r="F368" s="2"/>
      <c r="G368" s="2" t="s">
        <v>86</v>
      </c>
      <c r="H368" s="33"/>
      <c r="I368" s="173">
        <f>M368/AE368</f>
        <v>745.13227479203329</v>
      </c>
      <c r="J368" s="174">
        <f>AH368/AE368</f>
        <v>23.505991271208018</v>
      </c>
      <c r="K368" s="207">
        <f>RANK(I368,$I$76:$I$977)</f>
        <v>293</v>
      </c>
      <c r="L368" s="208">
        <f>RANK(I368,$I$76:$I$450)</f>
        <v>293</v>
      </c>
      <c r="M368" s="173">
        <f>SUM(N368:R368)</f>
        <v>14867.147394269572</v>
      </c>
      <c r="N368" s="174">
        <f>T368*(1+((AG368+IF(F368="백어택",8,0))/100)*((AI368/100-1)))</f>
        <v>14867.147394269572</v>
      </c>
      <c r="O368" s="174"/>
      <c r="P368" s="174"/>
      <c r="Q368" s="174"/>
      <c r="R368" s="175"/>
      <c r="S368" s="173">
        <f>SUM(T368:X368)</f>
        <v>11259.728204943691</v>
      </c>
      <c r="T368" s="174">
        <f>AL368*AW368*AT368*AX368*AY368</f>
        <v>11259.728204943691</v>
      </c>
      <c r="U368" s="174"/>
      <c r="V368" s="174"/>
      <c r="W368" s="174"/>
      <c r="X368" s="175"/>
      <c r="Y368" s="173">
        <f>SUM(Z368:AD368)</f>
        <v>22519.456409887382</v>
      </c>
      <c r="Z368" s="174">
        <f>T368*$D$58/100</f>
        <v>22519.456409887382</v>
      </c>
      <c r="AA368" s="174"/>
      <c r="AB368" s="174"/>
      <c r="AC368" s="174"/>
      <c r="AD368" s="175"/>
      <c r="AE368" s="173">
        <f>AO368*(1-$D$17/100)</f>
        <v>19.952359999999999</v>
      </c>
      <c r="AF368" s="174">
        <f>AP368</f>
        <v>36</v>
      </c>
      <c r="AG368" s="174">
        <f>IF($D$57+AV368&gt;100,100,$D$57+AV368)</f>
        <v>19.001300000000001</v>
      </c>
      <c r="AH368" s="174">
        <f>AQ368*AR368</f>
        <v>469</v>
      </c>
      <c r="AI368" s="174">
        <f>$D$58+$D$19</f>
        <v>268.61079999999998</v>
      </c>
      <c r="AJ368" s="174">
        <f>10/IF(AX368=1,IF(AY368=1,5,6),4)</f>
        <v>2.5</v>
      </c>
      <c r="AK368" s="174">
        <f>SUM(AL368:AN368)</f>
        <v>5675.2662323304885</v>
      </c>
      <c r="AL368" s="174">
        <f>(VLOOKUP(C368,$B$36:$AG$39,7,FALSE)+VLOOKUP(C368,$B$40:$AG$43,7,FALSE)*$D$54)*$D$59/100</f>
        <v>5675.2662323304885</v>
      </c>
      <c r="AM368" s="174"/>
      <c r="AN368" s="174"/>
      <c r="AO368" s="176">
        <v>20</v>
      </c>
      <c r="AP368" s="174">
        <v>36</v>
      </c>
      <c r="AQ368" s="175">
        <f>VLOOKUP(C368,$B$45:$AA$48,7,FALSE)</f>
        <v>469</v>
      </c>
      <c r="AR368" s="31">
        <f>IF(LEFT(E368,1)*1=1,$S$56,$R$56)</f>
        <v>1</v>
      </c>
      <c r="AS368" s="2">
        <f>IF(LEFT(E368,1)*1=2,$U$56,$T$56)</f>
        <v>0</v>
      </c>
      <c r="AT368" s="33">
        <f>IF(LEFT(E368,1)*1=3,$W$56,$V$56)</f>
        <v>1</v>
      </c>
      <c r="AU368" s="31">
        <f>IF(MID(E368,3,1)*1=1,$Y$56,$X$56)</f>
        <v>0</v>
      </c>
      <c r="AV368" s="2">
        <f>IF(MID(E368,3,1)*1=2,$AA$56,$Z$56)</f>
        <v>0</v>
      </c>
      <c r="AW368" s="33">
        <f>IF(MID(E368,3,1)*1=3,$AC$56,$AB$56)</f>
        <v>1.24</v>
      </c>
      <c r="AX368" s="31">
        <f>IF(MID(E368,5,1)*1=1,$AE$56,$AD$56)</f>
        <v>1.6</v>
      </c>
      <c r="AY368" s="33">
        <f>IF(MID(E368,5,1)*1=2,$AG$56,$AF$56)</f>
        <v>1</v>
      </c>
      <c r="AZ368" s="2"/>
      <c r="BA368" s="101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</row>
    <row r="369" spans="1:71" ht="12" customHeight="1">
      <c r="A369" s="2"/>
      <c r="B369" s="107">
        <v>99</v>
      </c>
      <c r="C369" s="31">
        <v>10</v>
      </c>
      <c r="D369" s="106" t="s">
        <v>6</v>
      </c>
      <c r="E369" s="2" t="s">
        <v>156</v>
      </c>
      <c r="F369" s="2"/>
      <c r="G369" s="2" t="s">
        <v>86</v>
      </c>
      <c r="H369" s="33"/>
      <c r="I369" s="173">
        <f>M369/AE369</f>
        <v>745.13227479203329</v>
      </c>
      <c r="J369" s="174">
        <f>AH369/AE369</f>
        <v>11.752995635604009</v>
      </c>
      <c r="K369" s="207">
        <f>RANK(I369,$I$76:$I$977)</f>
        <v>293</v>
      </c>
      <c r="L369" s="208">
        <f>RANK(I369,$I$76:$I$450)</f>
        <v>293</v>
      </c>
      <c r="M369" s="173">
        <f>SUM(N369:R369)</f>
        <v>14867.147394269572</v>
      </c>
      <c r="N369" s="174">
        <f>T369*(1+((AG369+IF(F369="백어택",8,0))/100)*((AI369/100-1)))</f>
        <v>14867.147394269572</v>
      </c>
      <c r="O369" s="174"/>
      <c r="P369" s="174"/>
      <c r="Q369" s="174"/>
      <c r="R369" s="175"/>
      <c r="S369" s="173">
        <f>SUM(T369:X369)</f>
        <v>11259.728204943691</v>
      </c>
      <c r="T369" s="174">
        <f>AL369*AW369*AT369*AX369*AY369</f>
        <v>11259.728204943691</v>
      </c>
      <c r="U369" s="174"/>
      <c r="V369" s="174"/>
      <c r="W369" s="174"/>
      <c r="X369" s="175"/>
      <c r="Y369" s="173">
        <f>SUM(Z369:AD369)</f>
        <v>22519.456409887382</v>
      </c>
      <c r="Z369" s="174">
        <f>T369*$D$58/100</f>
        <v>22519.456409887382</v>
      </c>
      <c r="AA369" s="174"/>
      <c r="AB369" s="174"/>
      <c r="AC369" s="174"/>
      <c r="AD369" s="175"/>
      <c r="AE369" s="173">
        <f>AO369*(1-$D$17/100)</f>
        <v>19.952359999999999</v>
      </c>
      <c r="AF369" s="174">
        <f>AP369</f>
        <v>36</v>
      </c>
      <c r="AG369" s="174">
        <f>IF($D$57+AV369&gt;100,100,$D$57+AV369)</f>
        <v>19.001300000000001</v>
      </c>
      <c r="AH369" s="174">
        <f>AQ369*AR369</f>
        <v>234.5</v>
      </c>
      <c r="AI369" s="174">
        <f>$D$58+$D$19</f>
        <v>268.61079999999998</v>
      </c>
      <c r="AJ369" s="174">
        <f>10/IF(AX369=1,IF(AY369=1,5,6),4)</f>
        <v>2.5</v>
      </c>
      <c r="AK369" s="174">
        <f>SUM(AL369:AN369)</f>
        <v>5675.2662323304885</v>
      </c>
      <c r="AL369" s="174">
        <f>(VLOOKUP(C369,$B$36:$AG$39,7,FALSE)+VLOOKUP(C369,$B$40:$AG$43,7,FALSE)*$D$54)*$D$59/100</f>
        <v>5675.2662323304885</v>
      </c>
      <c r="AM369" s="174"/>
      <c r="AN369" s="174"/>
      <c r="AO369" s="176">
        <v>20</v>
      </c>
      <c r="AP369" s="174">
        <v>36</v>
      </c>
      <c r="AQ369" s="175">
        <f>VLOOKUP(C369,$B$45:$AA$48,7,FALSE)</f>
        <v>469</v>
      </c>
      <c r="AR369" s="31">
        <f>IF(LEFT(E369,1)*1=1,$S$56,$R$56)</f>
        <v>0.5</v>
      </c>
      <c r="AS369" s="2">
        <f>IF(LEFT(E369,1)*1=2,$U$56,$T$56)</f>
        <v>0</v>
      </c>
      <c r="AT369" s="33">
        <f>IF(LEFT(E369,1)*1=3,$W$56,$V$56)</f>
        <v>1</v>
      </c>
      <c r="AU369" s="31">
        <f>IF(MID(E369,3,1)*1=1,$Y$56,$X$56)</f>
        <v>0</v>
      </c>
      <c r="AV369" s="2">
        <f>IF(MID(E369,3,1)*1=2,$AA$56,$Z$56)</f>
        <v>0</v>
      </c>
      <c r="AW369" s="33">
        <f>IF(MID(E369,3,1)*1=3,$AC$56,$AB$56)</f>
        <v>1.24</v>
      </c>
      <c r="AX369" s="31">
        <f>IF(MID(E369,5,1)*1=1,$AE$56,$AD$56)</f>
        <v>1.6</v>
      </c>
      <c r="AY369" s="33">
        <f>IF(MID(E369,5,1)*1=2,$AG$56,$AF$56)</f>
        <v>1</v>
      </c>
      <c r="AZ369" s="2"/>
      <c r="BA369" s="101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</row>
    <row r="370" spans="1:71" ht="12" customHeight="1">
      <c r="A370" s="2"/>
      <c r="B370" s="107">
        <v>825</v>
      </c>
      <c r="C370" s="31">
        <v>10</v>
      </c>
      <c r="D370" s="113" t="s">
        <v>12</v>
      </c>
      <c r="E370" s="2" t="s">
        <v>138</v>
      </c>
      <c r="F370" s="2"/>
      <c r="G370" s="2" t="s">
        <v>174</v>
      </c>
      <c r="H370" s="33"/>
      <c r="I370" s="173">
        <f>M370/AE370</f>
        <v>743.78433193922683</v>
      </c>
      <c r="J370" s="174">
        <f>AH370/AE370</f>
        <v>21.760166048861723</v>
      </c>
      <c r="K370" s="207">
        <f>RANK(I370,$I$76:$I$977)</f>
        <v>295</v>
      </c>
      <c r="L370" s="208" t="e">
        <f>RANK(I370,$I$867:$I$977)</f>
        <v>#N/A</v>
      </c>
      <c r="M370" s="173">
        <f>SUM(N370:R370)*(1+$D$22/100)</f>
        <v>17808.303303853143</v>
      </c>
      <c r="N370" s="174">
        <f>T370*(1+((AG370+IF(F370="백어택",8,0))/100)*(AI370/100-1))</f>
        <v>10696.864915609338</v>
      </c>
      <c r="O370" s="174">
        <f>U370*(1+($D$57/100)*(AI370/100-1))</f>
        <v>5348.432457804669</v>
      </c>
      <c r="P370" s="174"/>
      <c r="Q370" s="174"/>
      <c r="R370" s="175">
        <f>X370*(1+($D$57/100)*(AI370/100-1))</f>
        <v>0</v>
      </c>
      <c r="S370" s="173">
        <f>SUM(T370:X370)</f>
        <v>13483.295874426589</v>
      </c>
      <c r="T370" s="174">
        <f>AL370*AU370*AW370</f>
        <v>8988.863916284392</v>
      </c>
      <c r="U370" s="174">
        <f>AL370*AU370*AW370*AX370</f>
        <v>4494.431958142196</v>
      </c>
      <c r="V370" s="174"/>
      <c r="W370" s="174"/>
      <c r="X370" s="175">
        <f>AL370*AY370</f>
        <v>0</v>
      </c>
      <c r="Y370" s="173">
        <f>SUM(Z370:AD370)</f>
        <v>26966.591748853178</v>
      </c>
      <c r="Z370" s="174">
        <f>T370*$D$58/100</f>
        <v>17977.727832568784</v>
      </c>
      <c r="AA370" s="174">
        <f>U370*$D$58/100</f>
        <v>8988.863916284392</v>
      </c>
      <c r="AB370" s="174"/>
      <c r="AC370" s="174"/>
      <c r="AD370" s="175">
        <f>X370*$D$58/100</f>
        <v>0</v>
      </c>
      <c r="AE370" s="173">
        <f>AO370*(1-$D$17/100)</f>
        <v>23.942831999999999</v>
      </c>
      <c r="AF370" s="174">
        <f>AP370</f>
        <v>36</v>
      </c>
      <c r="AG370" s="174">
        <f>IF($D$57+AV370&gt;100,100,$D$57+AV370)</f>
        <v>19.001300000000001</v>
      </c>
      <c r="AH370" s="174">
        <f>AQ370</f>
        <v>521</v>
      </c>
      <c r="AI370" s="174">
        <f>$D$58</f>
        <v>200</v>
      </c>
      <c r="AJ370" s="174">
        <f>10/7</f>
        <v>1.4285714285714286</v>
      </c>
      <c r="AK370" s="174">
        <f>SUM(AL370:AN370)</f>
        <v>6914.5107048341479</v>
      </c>
      <c r="AL370" s="174">
        <f>(VLOOKUP(C370,$B$36:$AG$39,16,FALSE)+VLOOKUP(C370,$B$40:$AG$43,16,FALSE)*$D$54)*$D$59/100</f>
        <v>6914.5107048341479</v>
      </c>
      <c r="AM370" s="174"/>
      <c r="AN370" s="174"/>
      <c r="AO370" s="176">
        <v>24</v>
      </c>
      <c r="AP370" s="174">
        <v>36</v>
      </c>
      <c r="AQ370" s="175">
        <f>VLOOKUP(C370,$B$45:$AA$48,16,FALSE)</f>
        <v>521</v>
      </c>
      <c r="AR370" s="31">
        <f>IF(LEFT(E370,1)*1=1,$S$62,$R$62)</f>
        <v>0</v>
      </c>
      <c r="AS370" s="2">
        <f>IF(LEFT(E370,1)*1=2,$U$62,$T$62)</f>
        <v>0</v>
      </c>
      <c r="AT370" s="33">
        <f>IF(LEFT(E370,1)*1=3,$W$62,$V$62)</f>
        <v>0</v>
      </c>
      <c r="AU370" s="31">
        <f>IF(MID(E370,3,1)*1=1,$Y$62,$X$62)</f>
        <v>1.3</v>
      </c>
      <c r="AV370" s="2">
        <f>IF(MID(E370,3,1)*1=2,$AA$62,$Z$62)</f>
        <v>0</v>
      </c>
      <c r="AW370" s="33">
        <f>IF(MID(E370,3,1)*1=3,$AC$62,$AB$62)</f>
        <v>1</v>
      </c>
      <c r="AX370" s="31">
        <f>IF(MID(E370,5,1)*1=1,$AE$62,$AD$62)</f>
        <v>0.5</v>
      </c>
      <c r="AY370" s="33">
        <f>IF(MID(E370,5,1)*1=2,$AG$62,$AF$62)</f>
        <v>0</v>
      </c>
      <c r="AZ370" s="2"/>
      <c r="BA370" s="101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</row>
    <row r="371" spans="1:71" ht="12" customHeight="1">
      <c r="A371" s="2"/>
      <c r="B371" s="107">
        <v>59</v>
      </c>
      <c r="C371" s="31">
        <v>10</v>
      </c>
      <c r="D371" s="106" t="s">
        <v>4</v>
      </c>
      <c r="E371" s="2" t="s">
        <v>141</v>
      </c>
      <c r="F371" s="2"/>
      <c r="G371" s="2" t="s">
        <v>172</v>
      </c>
      <c r="H371" s="33"/>
      <c r="I371" s="173">
        <f>M371/AE371</f>
        <v>739.50541290163676</v>
      </c>
      <c r="J371" s="174">
        <f>AH371/AE371</f>
        <v>29.152775243964456</v>
      </c>
      <c r="K371" s="207">
        <f>RANK(I371,$I$76:$I$977)</f>
        <v>296</v>
      </c>
      <c r="L371" s="208">
        <f>RANK(I371,$I$76:$I$450)</f>
        <v>296</v>
      </c>
      <c r="M371" s="173">
        <f>SUM(N371:R371)</f>
        <v>8852.9269320972599</v>
      </c>
      <c r="N371" s="174">
        <f>T371*(1+((AG371+IF(F371="백어택",8,0))/100)*((AI371/100-1)))</f>
        <v>726.40092698422472</v>
      </c>
      <c r="O371" s="174">
        <f>U371*(1+((AG371+IF(F371="백어택",8,0))/100)*(AI371/100-1))</f>
        <v>8126.5260051130344</v>
      </c>
      <c r="P371" s="174"/>
      <c r="Q371" s="174"/>
      <c r="R371" s="175"/>
      <c r="S371" s="173">
        <f>SUM(T371:X371)</f>
        <v>6704.8202610853659</v>
      </c>
      <c r="T371" s="174">
        <f>AT371*AL371*IF(F371="백어택",1.2,1)</f>
        <v>550.14434099268294</v>
      </c>
      <c r="U371" s="174">
        <f>AM371*AW371*AX371*AY371*IF(F371="백어택",1.2,1)</f>
        <v>6154.6759200926826</v>
      </c>
      <c r="V371" s="174"/>
      <c r="W371" s="174"/>
      <c r="X371" s="175"/>
      <c r="Y371" s="173">
        <f>SUM(Z371:AD371)</f>
        <v>13409.640522170732</v>
      </c>
      <c r="Z371" s="174">
        <f>T371*$D$58/100</f>
        <v>1100.2886819853659</v>
      </c>
      <c r="AA371" s="174">
        <f>U371*$D$58/100</f>
        <v>12309.351840185365</v>
      </c>
      <c r="AB371" s="174"/>
      <c r="AC371" s="174"/>
      <c r="AD371" s="175"/>
      <c r="AE371" s="173">
        <f>AO371*(1-$D$17/100)</f>
        <v>11.971416</v>
      </c>
      <c r="AF371" s="174">
        <f>AP371</f>
        <v>36</v>
      </c>
      <c r="AG371" s="174">
        <f>IF($D$57&gt;100,100,$D$57)</f>
        <v>19.001300000000001</v>
      </c>
      <c r="AH371" s="174">
        <f>AQ371</f>
        <v>349</v>
      </c>
      <c r="AI371" s="174">
        <f>$D$58+$D$19</f>
        <v>268.61079999999998</v>
      </c>
      <c r="AJ371" s="174">
        <f>10/IF(AY371=1,5,4)</f>
        <v>2</v>
      </c>
      <c r="AK371" s="174">
        <f>SUM(AL371:AN371)</f>
        <v>2748.2428838829269</v>
      </c>
      <c r="AL371" s="174">
        <f>(VLOOKUP(C371,$B$36:$AG$39,4,FALSE)+VLOOKUP(C371,$B$40:$AG$43,4,FALSE)*$D$54)*$D$59/100</f>
        <v>550.14434099268294</v>
      </c>
      <c r="AM371" s="174">
        <f>(VLOOKUP(C371,$B$36:$AG$39,5,FALSE)+VLOOKUP(C371,$B$40:$AG$43,5,FALSE)*$D$54)*$D$59/100</f>
        <v>2198.0985428902441</v>
      </c>
      <c r="AN371" s="174"/>
      <c r="AO371" s="176">
        <v>12</v>
      </c>
      <c r="AP371" s="174">
        <v>36</v>
      </c>
      <c r="AQ371" s="175">
        <f>VLOOKUP(C371,$B$45:$AA$48,4,FALSE)</f>
        <v>349</v>
      </c>
      <c r="AR371" s="31">
        <f>IF(LEFT(E371,1)*1=1,$S$54,$R$54)</f>
        <v>0</v>
      </c>
      <c r="AS371" s="2">
        <f>IF(LEFT(E371,1)*1=2,$U$54,$T$54)</f>
        <v>0</v>
      </c>
      <c r="AT371" s="33">
        <f>IF(LEFT(E371,1)*1=3,$W$54,$V$54)</f>
        <v>1</v>
      </c>
      <c r="AU371" s="31">
        <f>IF(MID(E371,3,1)*1=1,$Y$54,$X$54)</f>
        <v>0</v>
      </c>
      <c r="AV371" s="2">
        <f>IF(MID(E371,3,1)*1=2,$AA$54,$Z$54)</f>
        <v>0</v>
      </c>
      <c r="AW371" s="33">
        <f>IF(MID(E371,3,1)*1=3,$AC$54,$AB$54)</f>
        <v>1.4</v>
      </c>
      <c r="AX371" s="31">
        <f>IF(MID(E371,5,1)*1=1,$AE$54,$AD$54)</f>
        <v>2</v>
      </c>
      <c r="AY371" s="33">
        <f>IF(MID(E371,5,1)*1=2,$AG$54,$AF$54)</f>
        <v>1</v>
      </c>
      <c r="AZ371" s="2"/>
      <c r="BA371" s="101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</row>
    <row r="372" spans="1:71" ht="12" customHeight="1">
      <c r="A372" s="2"/>
      <c r="B372" s="107">
        <v>119</v>
      </c>
      <c r="C372" s="31">
        <v>7</v>
      </c>
      <c r="D372" s="106" t="s">
        <v>6</v>
      </c>
      <c r="E372" s="2" t="s">
        <v>117</v>
      </c>
      <c r="F372" s="2"/>
      <c r="G372" s="2" t="s">
        <v>183</v>
      </c>
      <c r="H372" s="33"/>
      <c r="I372" s="173">
        <f>M372/AE372</f>
        <v>738.95541555578768</v>
      </c>
      <c r="J372" s="174">
        <f>AH372/AE372</f>
        <v>16.338919305786384</v>
      </c>
      <c r="K372" s="207">
        <f>RANK(I372,$I$76:$I$977)</f>
        <v>297</v>
      </c>
      <c r="L372" s="208">
        <f>RANK(I372,$I$76:$I$450)</f>
        <v>297</v>
      </c>
      <c r="M372" s="173">
        <f>SUM(N372:R372)</f>
        <v>14743.904475118676</v>
      </c>
      <c r="N372" s="174">
        <f>T372*(1+((AG372+IF(F372="백어택",8,0))/100)*((AI372/100-1)))</f>
        <v>14743.904475118676</v>
      </c>
      <c r="O372" s="174"/>
      <c r="P372" s="174"/>
      <c r="Q372" s="174"/>
      <c r="R372" s="175"/>
      <c r="S372" s="173">
        <f>SUM(T372:X372)</f>
        <v>6322.300949138049</v>
      </c>
      <c r="T372" s="174">
        <f>AL372*AW372*AT372*AX372*AY372</f>
        <v>6322.300949138049</v>
      </c>
      <c r="U372" s="174"/>
      <c r="V372" s="174"/>
      <c r="W372" s="174"/>
      <c r="X372" s="175"/>
      <c r="Y372" s="173">
        <f>SUM(Z372:AD372)</f>
        <v>12644.601898276098</v>
      </c>
      <c r="Z372" s="174">
        <f>T372*$D$58/100</f>
        <v>12644.601898276098</v>
      </c>
      <c r="AA372" s="174"/>
      <c r="AB372" s="174"/>
      <c r="AC372" s="174"/>
      <c r="AD372" s="175"/>
      <c r="AE372" s="173">
        <f>AO372*(1-$D$17/100)</f>
        <v>19.952359999999999</v>
      </c>
      <c r="AF372" s="174">
        <f>AP372</f>
        <v>36</v>
      </c>
      <c r="AG372" s="174">
        <f>IF($D$57+AV372&gt;100,100,$D$57+AV372)</f>
        <v>79.001300000000001</v>
      </c>
      <c r="AH372" s="174">
        <f>AQ372*AR372</f>
        <v>326</v>
      </c>
      <c r="AI372" s="174">
        <f>$D$58+$D$19</f>
        <v>268.61079999999998</v>
      </c>
      <c r="AJ372" s="174">
        <f>10/IF(AX372=1,IF(AY372=1,5,6),4)</f>
        <v>2</v>
      </c>
      <c r="AK372" s="174">
        <f>SUM(AL372:AN372)</f>
        <v>5268.5841242817078</v>
      </c>
      <c r="AL372" s="174">
        <f>(VLOOKUP(C372,$B$36:$AG$39,7,FALSE)+VLOOKUP(C372,$B$40:$AG$43,7,FALSE)*$D$54)*$D$59/100</f>
        <v>5268.5841242817078</v>
      </c>
      <c r="AM372" s="174"/>
      <c r="AN372" s="174"/>
      <c r="AO372" s="176">
        <v>20</v>
      </c>
      <c r="AP372" s="174">
        <v>36</v>
      </c>
      <c r="AQ372" s="175">
        <f>VLOOKUP(C372,$B$45:$AA$48,7,FALSE)</f>
        <v>326</v>
      </c>
      <c r="AR372" s="31">
        <f>IF(LEFT(E372,1)*1=1,$S$56,$R$56)</f>
        <v>1</v>
      </c>
      <c r="AS372" s="2">
        <f>IF(LEFT(E372,1)*1=2,$U$56,$T$56)</f>
        <v>0</v>
      </c>
      <c r="AT372" s="33">
        <f>IF(LEFT(E372,1)*1=3,$W$56,$V$56)</f>
        <v>1.2</v>
      </c>
      <c r="AU372" s="31">
        <f>IF(MID(E372,3,1)*1=1,$Y$56,$X$56)</f>
        <v>0</v>
      </c>
      <c r="AV372" s="2">
        <f>IF(MID(E372,3,1)*1=2,$AA$56,$Z$56)</f>
        <v>60</v>
      </c>
      <c r="AW372" s="33">
        <f>IF(MID(E372,3,1)*1=3,$AC$56,$AB$56)</f>
        <v>1</v>
      </c>
      <c r="AX372" s="31">
        <f>IF(MID(E372,5,1)*1=1,$AE$56,$AD$56)</f>
        <v>1</v>
      </c>
      <c r="AY372" s="33">
        <f>IF(MID(E372,5,1)*1=2,$AG$56,$AF$56)</f>
        <v>1</v>
      </c>
      <c r="AZ372" s="2"/>
      <c r="BA372" s="101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</row>
    <row r="373" spans="1:71" ht="12" customHeight="1">
      <c r="A373" s="2"/>
      <c r="B373" s="107">
        <v>829</v>
      </c>
      <c r="C373" s="31">
        <v>10</v>
      </c>
      <c r="D373" s="113" t="s">
        <v>12</v>
      </c>
      <c r="E373" s="2" t="s">
        <v>95</v>
      </c>
      <c r="F373" s="2"/>
      <c r="G373" s="2" t="s">
        <v>167</v>
      </c>
      <c r="H373" s="33"/>
      <c r="I373" s="173">
        <f>M373/AE373</f>
        <v>738.49422567268357</v>
      </c>
      <c r="J373" s="174">
        <f>AH373/AE373</f>
        <v>21.760166048861723</v>
      </c>
      <c r="K373" s="207">
        <f>RANK(I373,$I$76:$I$977)</f>
        <v>298</v>
      </c>
      <c r="L373" s="208" t="e">
        <f>RANK(I373,$I$867:$I$977)</f>
        <v>#N/A</v>
      </c>
      <c r="M373" s="173">
        <f>SUM(N373:R373)*(1+$D$22/100)</f>
        <v>17681.64317825115</v>
      </c>
      <c r="N373" s="174">
        <f>T373*(1+((AG373+IF(F373="백어택",8,0))/100)*(AI373/100-1))</f>
        <v>10994.161909325458</v>
      </c>
      <c r="O373" s="174">
        <f>U373*(1+($D$57/100)*(AI373/100-1))</f>
        <v>0</v>
      </c>
      <c r="P373" s="174"/>
      <c r="Q373" s="174"/>
      <c r="R373" s="175">
        <f>X373*(1+($D$57/100)*(AI373/100-1))</f>
        <v>4937.0145764350782</v>
      </c>
      <c r="S373" s="173">
        <f>SUM(T373:X373)</f>
        <v>11063.217127734635</v>
      </c>
      <c r="T373" s="174">
        <f>AL373*AU373*AW373</f>
        <v>6914.5107048341479</v>
      </c>
      <c r="U373" s="174">
        <f>AL373*AU373*AW373*AX373</f>
        <v>0</v>
      </c>
      <c r="V373" s="174"/>
      <c r="W373" s="174"/>
      <c r="X373" s="175">
        <f>AL373*AY373</f>
        <v>4148.7064229004882</v>
      </c>
      <c r="Y373" s="173">
        <f>SUM(Z373:AD373)</f>
        <v>22126.43425546927</v>
      </c>
      <c r="Z373" s="174">
        <f>T373*$D$58/100</f>
        <v>13829.021409668296</v>
      </c>
      <c r="AA373" s="174">
        <f>U373*$D$58/100</f>
        <v>0</v>
      </c>
      <c r="AB373" s="174"/>
      <c r="AC373" s="174"/>
      <c r="AD373" s="175">
        <f>X373*$D$58/100</f>
        <v>8297.4128458009764</v>
      </c>
      <c r="AE373" s="173">
        <f>AO373*(1-$D$17/100)</f>
        <v>23.942831999999999</v>
      </c>
      <c r="AF373" s="174">
        <f>AP373</f>
        <v>36</v>
      </c>
      <c r="AG373" s="174">
        <f>IF($D$57+AV373&gt;100,100,$D$57+AV373)</f>
        <v>59.001300000000001</v>
      </c>
      <c r="AH373" s="174">
        <f>AQ373</f>
        <v>521</v>
      </c>
      <c r="AI373" s="174">
        <f>$D$58</f>
        <v>200</v>
      </c>
      <c r="AJ373" s="174">
        <f>10/7</f>
        <v>1.4285714285714286</v>
      </c>
      <c r="AK373" s="174">
        <f>SUM(AL373:AN373)</f>
        <v>6914.5107048341479</v>
      </c>
      <c r="AL373" s="174">
        <f>(VLOOKUP(C373,$B$36:$AG$39,16,FALSE)+VLOOKUP(C373,$B$40:$AG$43,16,FALSE)*$D$54)*$D$59/100</f>
        <v>6914.5107048341479</v>
      </c>
      <c r="AM373" s="174"/>
      <c r="AN373" s="174"/>
      <c r="AO373" s="176">
        <v>24</v>
      </c>
      <c r="AP373" s="174">
        <v>36</v>
      </c>
      <c r="AQ373" s="175">
        <f>VLOOKUP(C373,$B$45:$AA$48,16,FALSE)</f>
        <v>521</v>
      </c>
      <c r="AR373" s="31">
        <f>IF(LEFT(E373,1)*1=1,$S$62,$R$62)</f>
        <v>0</v>
      </c>
      <c r="AS373" s="2">
        <f>IF(LEFT(E373,1)*1=2,$U$62,$T$62)</f>
        <v>0</v>
      </c>
      <c r="AT373" s="33">
        <f>IF(LEFT(E373,1)*1=3,$W$62,$V$62)</f>
        <v>0</v>
      </c>
      <c r="AU373" s="31">
        <f>IF(MID(E373,3,1)*1=1,$Y$62,$X$62)</f>
        <v>1</v>
      </c>
      <c r="AV373" s="2">
        <f>IF(MID(E373,3,1)*1=2,$AA$62,$Z$62)</f>
        <v>40</v>
      </c>
      <c r="AW373" s="33">
        <f>IF(MID(E373,3,1)*1=3,$AC$62,$AB$62)</f>
        <v>1</v>
      </c>
      <c r="AX373" s="31">
        <f>IF(MID(E373,5,1)*1=1,$AE$62,$AD$62)</f>
        <v>0</v>
      </c>
      <c r="AY373" s="33">
        <f>IF(MID(E373,5,1)*1=2,$AG$62,$AF$62)</f>
        <v>0.6</v>
      </c>
      <c r="AZ373" s="2"/>
      <c r="BA373" s="101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</row>
    <row r="374" spans="1:71" ht="12" customHeight="1">
      <c r="A374" s="2"/>
      <c r="B374" s="107">
        <v>234</v>
      </c>
      <c r="C374" s="31">
        <v>7</v>
      </c>
      <c r="D374" s="106" t="s">
        <v>13</v>
      </c>
      <c r="E374" s="2" t="s">
        <v>179</v>
      </c>
      <c r="F374" s="2"/>
      <c r="G374" s="2"/>
      <c r="H374" s="33"/>
      <c r="I374" s="173">
        <f>M374/AE374</f>
        <v>734.52383920428599</v>
      </c>
      <c r="J374" s="174">
        <f>AH374/AE374</f>
        <v>15.161113773007305</v>
      </c>
      <c r="K374" s="207">
        <f>RANK(I374,$I$76:$I$977)</f>
        <v>299</v>
      </c>
      <c r="L374" s="208">
        <f>RANK(I374,$I$76:$I$450)</f>
        <v>299</v>
      </c>
      <c r="M374" s="173">
        <f>SUM(N374:R374)</f>
        <v>17586.580882063234</v>
      </c>
      <c r="N374" s="174">
        <f>T374*(1+((AG374+IF(F374="백어택",8,0))/100)*((AI374/100-1)))</f>
        <v>10300.829143780082</v>
      </c>
      <c r="O374" s="174">
        <f>U374*(1+($D$57/100)*($D$58/100-1))</f>
        <v>4483.53953125117</v>
      </c>
      <c r="P374" s="174"/>
      <c r="Q374" s="174"/>
      <c r="R374" s="175">
        <f>X374*(1+($D$57/100)*($D$58/100-1))</f>
        <v>2802.2122070319811</v>
      </c>
      <c r="S374" s="173">
        <f>SUM(T374:X374)</f>
        <v>11286.187755558476</v>
      </c>
      <c r="T374" s="174">
        <f>AL374*AY374</f>
        <v>5163.774186729268</v>
      </c>
      <c r="U374" s="174">
        <f>AM374*AU374*AW374</f>
        <v>3767.6391192795122</v>
      </c>
      <c r="V374" s="174"/>
      <c r="W374" s="174"/>
      <c r="X374" s="175">
        <f>IF(AU374=1,0,U374*0.625)</f>
        <v>2354.774449549695</v>
      </c>
      <c r="Y374" s="173">
        <f>SUM(Z374:AD374)</f>
        <v>22572.375511116952</v>
      </c>
      <c r="Z374" s="174">
        <f>T374*$D$58/100</f>
        <v>10327.548373458536</v>
      </c>
      <c r="AA374" s="174">
        <f>U374*$D$58/100</f>
        <v>7535.2782385590244</v>
      </c>
      <c r="AB374" s="174"/>
      <c r="AC374" s="174"/>
      <c r="AD374" s="175">
        <f>X374*$D$58/100</f>
        <v>4709.5488990993899</v>
      </c>
      <c r="AE374" s="173">
        <f>AO374*(1-$D$17/100)</f>
        <v>23.942831999999999</v>
      </c>
      <c r="AF374" s="174">
        <f>AP374</f>
        <v>36</v>
      </c>
      <c r="AG374" s="174">
        <f>IF($D$57+AT374&gt;100,100,$D$57+AT374)</f>
        <v>59.001300000000001</v>
      </c>
      <c r="AH374" s="174">
        <f>AQ374</f>
        <v>363</v>
      </c>
      <c r="AI374" s="174">
        <f>$D$58+$D$19</f>
        <v>268.61079999999998</v>
      </c>
      <c r="AJ374" s="174">
        <f>10/IF(AY374=1,2.5,2)</f>
        <v>4</v>
      </c>
      <c r="AK374" s="174">
        <f>SUM(AL374:AN374)</f>
        <v>8061.9581246365851</v>
      </c>
      <c r="AL374" s="174">
        <f>(VLOOKUP(C374,$B$36:$AG$39,17,FALSE)+VLOOKUP(C374,$B$40:$AG$43,17,FALSE)*$D$54)*$D$59/100</f>
        <v>5163.774186729268</v>
      </c>
      <c r="AM374" s="174">
        <f>(VLOOKUP(C374,$B$36:$AG$39,18,FALSE)+VLOOKUP(C374,$B$40:$AG$43,18,FALSE)*$D$54)*$D$59/100</f>
        <v>2898.1839379073172</v>
      </c>
      <c r="AN374" s="174"/>
      <c r="AO374" s="176">
        <v>24</v>
      </c>
      <c r="AP374" s="174">
        <v>36</v>
      </c>
      <c r="AQ374" s="175">
        <f>VLOOKUP(C374,$B$45:$AA$48,17,FALSE)</f>
        <v>363</v>
      </c>
      <c r="AR374" s="31">
        <f>IF(LEFT(E374,1)*1=1,$S$63,$R$63)</f>
        <v>0</v>
      </c>
      <c r="AS374" s="2">
        <f>IF(LEFT(E374,1)*1=2,$U$63,$T$63)</f>
        <v>0</v>
      </c>
      <c r="AT374" s="33">
        <f>IF(LEFT(E374,1)*1=3,$W$63,$V$63)</f>
        <v>40</v>
      </c>
      <c r="AU374" s="31">
        <f>IF(MID(E374,3,1)*1=1,$Y$63,$X$63)</f>
        <v>1.3</v>
      </c>
      <c r="AV374" s="2">
        <f>IF(MID(E374,3,1)*1=2,$AA$63,$Z$63)</f>
        <v>0</v>
      </c>
      <c r="AW374" s="33">
        <f>IF(MID(E374,3,1)*1=3,$AC$63,$AB$63)</f>
        <v>1</v>
      </c>
      <c r="AX374" s="31">
        <f>IF(MID(E374,5,1)*1=1,$AE$63,$AD$63)</f>
        <v>0</v>
      </c>
      <c r="AY374" s="33">
        <f>IF(MID(E374,5,1)*1=2,$AG$63,$AF$63)</f>
        <v>1</v>
      </c>
      <c r="AZ374" s="2"/>
      <c r="BA374" s="101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</row>
    <row r="375" spans="1:71" ht="12" customHeight="1">
      <c r="A375" s="2"/>
      <c r="B375" s="107">
        <v>376</v>
      </c>
      <c r="C375" s="31">
        <v>10</v>
      </c>
      <c r="D375" s="111" t="s">
        <v>8</v>
      </c>
      <c r="E375" s="2" t="s">
        <v>144</v>
      </c>
      <c r="F375" s="2"/>
      <c r="G375" s="2"/>
      <c r="H375" s="33" t="s">
        <v>81</v>
      </c>
      <c r="I375" s="173">
        <f>M375/AE375</f>
        <v>732.91798675535654</v>
      </c>
      <c r="J375" s="174">
        <f>AH375/AE375</f>
        <v>39.459498714320297</v>
      </c>
      <c r="K375" s="207">
        <f>RANK(I375,$I$76:$I$977)</f>
        <v>300</v>
      </c>
      <c r="L375" s="208" t="e">
        <f>RANK(I375,$I$451:$I$866)</f>
        <v>#N/A</v>
      </c>
      <c r="M375" s="173">
        <f>SUM(N375:R375)</f>
        <v>13547.824908007464</v>
      </c>
      <c r="N375" s="174">
        <f>T375*(1+((AG375+IF(F375="백어택",8,0))/100)*(IF(AY375=1,$D$58,$D$58+50)/100-1))</f>
        <v>3813.5824295297634</v>
      </c>
      <c r="O375" s="174">
        <f>U375*(1+((AG375+IF(F375="백어택",8,0))/100)*(AI375/100-1))</f>
        <v>4867.1212392388506</v>
      </c>
      <c r="P375" s="174">
        <f>V375*(1+((AG375+IF(F375="백어택",8,0))/100)*(AI375/100-1))</f>
        <v>4867.1212392388506</v>
      </c>
      <c r="Q375" s="174"/>
      <c r="R375" s="175"/>
      <c r="S375" s="173">
        <f>SUM(T375:X375)</f>
        <v>11384.602443845122</v>
      </c>
      <c r="T375" s="174">
        <f>AL375*IF(H375="근접",AR375,1)*AY375*IF(F375="백어택",1.2,1)</f>
        <v>3204.6561084036589</v>
      </c>
      <c r="U375" s="174">
        <f>AM375*IF(H375="근접",AR375,1)*AY375*IF(F375="백어택",1.2,1)</f>
        <v>4089.9731677207315</v>
      </c>
      <c r="V375" s="174">
        <f>IF(AX375=1,0,AM375*IF(H375="근접",AR375,1)*AY375)*IF(F375="백어택",1.2,1)</f>
        <v>4089.9731677207315</v>
      </c>
      <c r="W375" s="174"/>
      <c r="X375" s="175"/>
      <c r="Y375" s="173">
        <f>SUM(Z375:AD375)</f>
        <v>22769.204887690245</v>
      </c>
      <c r="Z375" s="174">
        <f>T375*IF(AY375=1,$D$58,$D$58+50)/100</f>
        <v>6409.3122168073178</v>
      </c>
      <c r="AA375" s="174">
        <f>U375*AI375/100</f>
        <v>8179.9463354414629</v>
      </c>
      <c r="AB375" s="174">
        <f>V375*AI375/100</f>
        <v>8179.9463354414629</v>
      </c>
      <c r="AC375" s="174"/>
      <c r="AD375" s="175"/>
      <c r="AE375" s="173">
        <f>AO375*(1-$D$20/100)*(1-$D$17/100)</f>
        <v>18.484776131615998</v>
      </c>
      <c r="AF375" s="174">
        <f>AP375</f>
        <v>36</v>
      </c>
      <c r="AG375" s="174">
        <f>IF($D$57+AU375&gt;100,100,$D$57+AU375)</f>
        <v>19.001300000000001</v>
      </c>
      <c r="AH375" s="174">
        <f>IF(AX375=1,AQ375,AQ375*1.4)</f>
        <v>729.4</v>
      </c>
      <c r="AI375" s="174">
        <f>IF(AY375=1,$D$58,$D$58+50)*AW375</f>
        <v>200</v>
      </c>
      <c r="AJ375" s="174">
        <f>10/6/AX375</f>
        <v>1.1111111111111112</v>
      </c>
      <c r="AK375" s="174">
        <f>SUM(AL375:AN375)</f>
        <v>7294.6292761243903</v>
      </c>
      <c r="AL375" s="174">
        <f>(IF(H375="근접",$D$61*(VLOOKUP(C375,$B$36:$AG$39,9,FALSE)+VLOOKUP(C375,$B$40:$AG$43,9,FALSE)*$D$54),$D$60*(VLOOKUP(C375,$B$36:$AG$39,9,FALSE)+VLOOKUP(C375,$B$40:$AG$43,9,FALSE)*$D$54)))*$D$59/100</f>
        <v>3204.6561084036589</v>
      </c>
      <c r="AM375" s="174">
        <f>(IF(H375="근접",$D$61*(VLOOKUP(C375,$B$36:$AG$39,10,FALSE)+VLOOKUP(C375,$B$40:$AG$43,10,FALSE)*$D$54),$D$60*(VLOOKUP(C375,$B$36:$AG$39,10,FALSE)+VLOOKUP(C375,$B$40:$AG$43,10,FALSE)*$D$54)))*$D$59/100</f>
        <v>4089.9731677207315</v>
      </c>
      <c r="AN375" s="174"/>
      <c r="AO375" s="176">
        <v>24</v>
      </c>
      <c r="AP375" s="174">
        <v>36</v>
      </c>
      <c r="AQ375" s="175">
        <f>VLOOKUP(C375,$B$45:$AA$48,9,FALSE)</f>
        <v>521</v>
      </c>
      <c r="AR375" s="31">
        <f>IF(LEFT(E375,1)*1=1,$S$58,$R$58)</f>
        <v>1</v>
      </c>
      <c r="AS375" s="2">
        <f>IF(LEFT(E375,1)*1=2,$U$58,$T$58)</f>
        <v>0</v>
      </c>
      <c r="AT375" s="33">
        <f>IF(LEFT(E375,1)*1=3,$W$58,$V$58)</f>
        <v>0</v>
      </c>
      <c r="AU375" s="31">
        <f>IF(MID(E375,3,1)*1=1,$Y$58,$X$58)</f>
        <v>0</v>
      </c>
      <c r="AV375" s="2">
        <f>IF(MID(E375,3,1)*1=2,$AA$58,$Z$58)</f>
        <v>0</v>
      </c>
      <c r="AW375" s="33">
        <f>IF(MID(E375,3,1)*1=3,$AC$58,$AB$58)</f>
        <v>1</v>
      </c>
      <c r="AX375" s="31">
        <f>IF(MID(E375,5,1)*1=1,$AE$58,$AD$58)</f>
        <v>1.5</v>
      </c>
      <c r="AY375" s="33">
        <f>IF(MID(E375,5,1)*1=2,$AG$58,$AF$58)</f>
        <v>1</v>
      </c>
      <c r="AZ375" s="2"/>
      <c r="BA375" s="101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</row>
    <row r="376" spans="1:71" ht="12" customHeight="1">
      <c r="A376" s="2"/>
      <c r="B376" s="107">
        <v>435</v>
      </c>
      <c r="C376" s="31">
        <v>7</v>
      </c>
      <c r="D376" s="111" t="s">
        <v>8</v>
      </c>
      <c r="E376" s="2" t="s">
        <v>155</v>
      </c>
      <c r="F376" s="2" t="s">
        <v>149</v>
      </c>
      <c r="G376" s="2"/>
      <c r="H376" s="33" t="s">
        <v>81</v>
      </c>
      <c r="I376" s="173">
        <f>M376/AE376</f>
        <v>730.42011571226089</v>
      </c>
      <c r="J376" s="174">
        <f>AH376/AE376</f>
        <v>19.637781784066725</v>
      </c>
      <c r="K376" s="207">
        <f>RANK(I376,$I$76:$I$977)</f>
        <v>301</v>
      </c>
      <c r="L376" s="208" t="e">
        <f>RANK(I376,$I$451:$I$866)</f>
        <v>#N/A</v>
      </c>
      <c r="M376" s="173">
        <f>SUM(N376:R376)</f>
        <v>13501.652320970195</v>
      </c>
      <c r="N376" s="174">
        <f>T376*(1+((AG376+IF(F376="백어택",8,0))/100)*(IF(AY376=1,$D$58,$D$58+50)/100-1))</f>
        <v>5607.5417127224491</v>
      </c>
      <c r="O376" s="174">
        <f>U376*(1+((AG376+IF(F376="백어택",8,0))/100)*(AI376/100-1))</f>
        <v>7894.1106082477454</v>
      </c>
      <c r="P376" s="174">
        <f>V376*(1+((AG376+IF(F376="백어택",8,0))/100)*(AI376/100-1))</f>
        <v>0</v>
      </c>
      <c r="Q376" s="174"/>
      <c r="R376" s="175"/>
      <c r="S376" s="173">
        <f>SUM(T376:X376)</f>
        <v>10055.526382430344</v>
      </c>
      <c r="T376" s="174">
        <f>AL376*IF(H376="근접",AR376,1)*AY376*IF(F376="백어택",1.2,1)</f>
        <v>4415.3419789580494</v>
      </c>
      <c r="U376" s="174">
        <f>AM376*IF(H376="근접",AR376,1)*AY376*IF(F376="백어택",1.2,1)</f>
        <v>5640.1844034722935</v>
      </c>
      <c r="V376" s="174">
        <f>IF(AX376=1,0,AM376*IF(H376="근접",AR376,1)*AY376)*IF(F376="백어택",1.2,1)</f>
        <v>0</v>
      </c>
      <c r="W376" s="174"/>
      <c r="X376" s="175"/>
      <c r="Y376" s="173">
        <f>SUM(Z376:AD376)</f>
        <v>22818.341278527387</v>
      </c>
      <c r="Z376" s="174">
        <f>T376*IF(AY376=1,$D$58,$D$58+50)/100</f>
        <v>8830.6839579160987</v>
      </c>
      <c r="AA376" s="174">
        <f>U376*AI376/100</f>
        <v>13987.657320611288</v>
      </c>
      <c r="AB376" s="174">
        <f>V376*AI376/100</f>
        <v>0</v>
      </c>
      <c r="AC376" s="174"/>
      <c r="AD376" s="175"/>
      <c r="AE376" s="173">
        <f>AO376*(1-$D$20/100)*(1-$D$17/100)</f>
        <v>18.484776131615998</v>
      </c>
      <c r="AF376" s="174">
        <f>AP376</f>
        <v>36</v>
      </c>
      <c r="AG376" s="174">
        <f>IF($D$57+AU376&gt;100,100,$D$57+AU376)</f>
        <v>19.001300000000001</v>
      </c>
      <c r="AH376" s="174">
        <f>IF(AX376=1,AQ376,AQ376*1.4)</f>
        <v>363</v>
      </c>
      <c r="AI376" s="174">
        <f>IF(AY376=1,$D$58,$D$58+50)*AW376</f>
        <v>248</v>
      </c>
      <c r="AJ376" s="174">
        <f>10/6/AX376</f>
        <v>1.6666666666666667</v>
      </c>
      <c r="AK376" s="174">
        <f>SUM(AL376:AN376)</f>
        <v>6983.0044322432941</v>
      </c>
      <c r="AL376" s="174">
        <f>(IF(H376="근접",$D$61*(VLOOKUP(C376,$B$36:$AG$39,9,FALSE)+VLOOKUP(C376,$B$40:$AG$43,9,FALSE)*$D$54),$D$60*(VLOOKUP(C376,$B$36:$AG$39,9,FALSE)+VLOOKUP(C376,$B$40:$AG$43,9,FALSE)*$D$54)))*$D$59/100</f>
        <v>3066.2097076097566</v>
      </c>
      <c r="AM376" s="174">
        <f>(IF(H376="근접",$D$61*(VLOOKUP(C376,$B$36:$AG$39,10,FALSE)+VLOOKUP(C376,$B$40:$AG$43,10,FALSE)*$D$54),$D$60*(VLOOKUP(C376,$B$36:$AG$39,10,FALSE)+VLOOKUP(C376,$B$40:$AG$43,10,FALSE)*$D$54)))*$D$59/100</f>
        <v>3916.7947246335375</v>
      </c>
      <c r="AN376" s="174"/>
      <c r="AO376" s="176">
        <v>24</v>
      </c>
      <c r="AP376" s="174">
        <v>36</v>
      </c>
      <c r="AQ376" s="175">
        <f>VLOOKUP(C376,$B$45:$AA$48,9,FALSE)</f>
        <v>363</v>
      </c>
      <c r="AR376" s="31">
        <f>IF(LEFT(E376,1)*1=1,$S$58,$R$58)</f>
        <v>1.2</v>
      </c>
      <c r="AS376" s="2">
        <f>IF(LEFT(E376,1)*1=2,$U$58,$T$58)</f>
        <v>0</v>
      </c>
      <c r="AT376" s="33">
        <f>IF(LEFT(E376,1)*1=3,$W$58,$V$58)</f>
        <v>0</v>
      </c>
      <c r="AU376" s="31">
        <f>IF(MID(E376,3,1)*1=1,$Y$58,$X$58)</f>
        <v>0</v>
      </c>
      <c r="AV376" s="2">
        <f>IF(MID(E376,3,1)*1=2,$AA$58,$Z$58)</f>
        <v>0</v>
      </c>
      <c r="AW376" s="33">
        <f>IF(MID(E376,3,1)*1=3,$AC$58,$AB$58)</f>
        <v>1.24</v>
      </c>
      <c r="AX376" s="31">
        <f>IF(MID(E376,5,1)*1=1,$AE$58,$AD$58)</f>
        <v>1</v>
      </c>
      <c r="AY376" s="33">
        <f>IF(MID(E376,5,1)*1=2,$AG$58,$AF$58)</f>
        <v>1</v>
      </c>
      <c r="AZ376" s="2"/>
      <c r="BA376" s="101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</row>
    <row r="377" spans="1:71" ht="12" customHeight="1">
      <c r="A377" s="2"/>
      <c r="B377" s="107">
        <v>385</v>
      </c>
      <c r="C377" s="31">
        <v>10</v>
      </c>
      <c r="D377" s="111" t="s">
        <v>8</v>
      </c>
      <c r="E377" s="2" t="s">
        <v>151</v>
      </c>
      <c r="F377" s="2"/>
      <c r="G377" s="2"/>
      <c r="H377" s="33" t="s">
        <v>81</v>
      </c>
      <c r="I377" s="173">
        <f>M377/AE377</f>
        <v>730.23263844908627</v>
      </c>
      <c r="J377" s="174">
        <f>AH377/AE377</f>
        <v>28.185356224514496</v>
      </c>
      <c r="K377" s="207">
        <f>RANK(I377,$I$76:$I$977)</f>
        <v>302</v>
      </c>
      <c r="L377" s="208" t="e">
        <f>RANK(I377,$I$451:$I$866)</f>
        <v>#N/A</v>
      </c>
      <c r="M377" s="173">
        <f>SUM(N377:R377)</f>
        <v>13498.186845730645</v>
      </c>
      <c r="N377" s="174">
        <f>T377*(1+((AG377+IF(F377="백어택",8,0))/100)*(IF(AY377=1,$D$58,$D$58+50)/100-1))</f>
        <v>5929.9856497336541</v>
      </c>
      <c r="O377" s="174">
        <f>U377*(1+((AG377+IF(F377="백어택",8,0))/100)*(AI377/100-1))</f>
        <v>7568.2011959969905</v>
      </c>
      <c r="P377" s="174">
        <f>V377*(1+((AG377+IF(F377="백어택",8,0))/100)*(AI377/100-1))</f>
        <v>0</v>
      </c>
      <c r="Q377" s="174"/>
      <c r="R377" s="175"/>
      <c r="S377" s="173">
        <f>SUM(T377:X377)</f>
        <v>10504.26615761912</v>
      </c>
      <c r="T377" s="174">
        <f>AL377*IF(H377="근접",AR377,1)*AY377*IF(F377="백어택",1.2,1)</f>
        <v>4614.7047961012686</v>
      </c>
      <c r="U377" s="174">
        <f>AM377*IF(H377="근접",AR377,1)*AY377*IF(F377="백어택",1.2,1)</f>
        <v>5889.5613615178527</v>
      </c>
      <c r="V377" s="174">
        <f>IF(AX377=1,0,AM377*IF(H377="근접",AR377,1)*AY377)*IF(F377="백어택",1.2,1)</f>
        <v>0</v>
      </c>
      <c r="W377" s="174"/>
      <c r="X377" s="175"/>
      <c r="Y377" s="173">
        <f>SUM(Z377:AD377)</f>
        <v>26260.665394047806</v>
      </c>
      <c r="Z377" s="174">
        <f>T377*IF(AY377=1,$D$58,$D$58+50)/100</f>
        <v>11536.761990253171</v>
      </c>
      <c r="AA377" s="174">
        <f>U377*AI377/100</f>
        <v>14723.903403794633</v>
      </c>
      <c r="AB377" s="174">
        <f>V377*AI377/100</f>
        <v>0</v>
      </c>
      <c r="AC377" s="174"/>
      <c r="AD377" s="175"/>
      <c r="AE377" s="173">
        <f>AO377*(1-$D$20/100)*(1-$D$17/100)</f>
        <v>18.484776131615998</v>
      </c>
      <c r="AF377" s="174">
        <f>AP377</f>
        <v>36</v>
      </c>
      <c r="AG377" s="174">
        <f>IF($D$57+AU377&gt;100,100,$D$57+AU377)</f>
        <v>19.001300000000001</v>
      </c>
      <c r="AH377" s="174">
        <f>IF(AX377=1,AQ377,AQ377*1.4)</f>
        <v>521</v>
      </c>
      <c r="AI377" s="174">
        <f>IF(AY377=1,$D$58,$D$58+50)*AW377</f>
        <v>250</v>
      </c>
      <c r="AJ377" s="174">
        <f>10/6/AX377</f>
        <v>1.6666666666666667</v>
      </c>
      <c r="AK377" s="174">
        <f>SUM(AL377:AN377)</f>
        <v>7294.6292761243903</v>
      </c>
      <c r="AL377" s="174">
        <f>(IF(H377="근접",$D$61*(VLOOKUP(C377,$B$36:$AG$39,9,FALSE)+VLOOKUP(C377,$B$40:$AG$43,9,FALSE)*$D$54),$D$60*(VLOOKUP(C377,$B$36:$AG$39,9,FALSE)+VLOOKUP(C377,$B$40:$AG$43,9,FALSE)*$D$54)))*$D$59/100</f>
        <v>3204.6561084036589</v>
      </c>
      <c r="AM377" s="174">
        <f>(IF(H377="근접",$D$61*(VLOOKUP(C377,$B$36:$AG$39,10,FALSE)+VLOOKUP(C377,$B$40:$AG$43,10,FALSE)*$D$54),$D$60*(VLOOKUP(C377,$B$36:$AG$39,10,FALSE)+VLOOKUP(C377,$B$40:$AG$43,10,FALSE)*$D$54)))*$D$59/100</f>
        <v>4089.9731677207315</v>
      </c>
      <c r="AN377" s="174"/>
      <c r="AO377" s="176">
        <v>24</v>
      </c>
      <c r="AP377" s="174">
        <v>36</v>
      </c>
      <c r="AQ377" s="175">
        <f>VLOOKUP(C377,$B$45:$AA$48,9,FALSE)</f>
        <v>521</v>
      </c>
      <c r="AR377" s="31">
        <f>IF(LEFT(E377,1)*1=1,$S$58,$R$58)</f>
        <v>1.2</v>
      </c>
      <c r="AS377" s="2">
        <f>IF(LEFT(E377,1)*1=2,$U$58,$T$58)</f>
        <v>0</v>
      </c>
      <c r="AT377" s="33">
        <f>IF(LEFT(E377,1)*1=3,$W$58,$V$58)</f>
        <v>0</v>
      </c>
      <c r="AU377" s="31">
        <f>IF(MID(E377,3,1)*1=1,$Y$58,$X$58)</f>
        <v>0</v>
      </c>
      <c r="AV377" s="2">
        <f>IF(MID(E377,3,1)*1=2,$AA$58,$Z$58)</f>
        <v>0</v>
      </c>
      <c r="AW377" s="33">
        <f>IF(MID(E377,3,1)*1=3,$AC$58,$AB$58)</f>
        <v>1</v>
      </c>
      <c r="AX377" s="31">
        <f>IF(MID(E377,5,1)*1=1,$AE$58,$AD$58)</f>
        <v>1</v>
      </c>
      <c r="AY377" s="33">
        <f>IF(MID(E377,5,1)*1=2,$AG$58,$AF$58)</f>
        <v>1.2</v>
      </c>
      <c r="AZ377" s="2"/>
      <c r="BA377" s="101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</row>
    <row r="378" spans="1:71" ht="12" customHeight="1">
      <c r="A378" s="2"/>
      <c r="B378" s="107">
        <v>244</v>
      </c>
      <c r="C378" s="31">
        <v>10</v>
      </c>
      <c r="D378" s="106" t="s">
        <v>16</v>
      </c>
      <c r="E378" s="2" t="s">
        <v>182</v>
      </c>
      <c r="F378" s="2" t="s">
        <v>149</v>
      </c>
      <c r="G378" s="2"/>
      <c r="H378" s="33">
        <f>AX378*2</f>
        <v>3</v>
      </c>
      <c r="I378" s="173">
        <f>M378/AE378</f>
        <v>728.95830692580796</v>
      </c>
      <c r="J378" s="174">
        <f>AH378/AE378</f>
        <v>39.260184425969328</v>
      </c>
      <c r="K378" s="207">
        <f>RANK(I378,$I$76:$I$977)</f>
        <v>303</v>
      </c>
      <c r="L378" s="208">
        <f>RANK(I378,$I$76:$I$450)</f>
        <v>303</v>
      </c>
      <c r="M378" s="173">
        <f>SUM(N378:R378)</f>
        <v>4363.3315694322637</v>
      </c>
      <c r="N378" s="174">
        <f>T378*(1+((AG378+IF(F378="백어택",8,0))/100)*((AI378/100-1)))</f>
        <v>4363.3315694322637</v>
      </c>
      <c r="O378" s="174"/>
      <c r="P378" s="174"/>
      <c r="Q378" s="174"/>
      <c r="R378" s="175"/>
      <c r="S378" s="173">
        <f>SUM(T378:X378)*H378</f>
        <v>7663.0910826499039</v>
      </c>
      <c r="T378" s="174">
        <f>AL378*AU378*AX378*IF(F378="백어택",1.2,1)</f>
        <v>2554.3636942166345</v>
      </c>
      <c r="U378" s="174"/>
      <c r="V378" s="174"/>
      <c r="W378" s="174"/>
      <c r="X378" s="175"/>
      <c r="Y378" s="173">
        <f>SUM(Z378:AD378)</f>
        <v>5108.727388433269</v>
      </c>
      <c r="Z378" s="174">
        <f>T378*$D$58/100</f>
        <v>5108.727388433269</v>
      </c>
      <c r="AA378" s="174"/>
      <c r="AB378" s="174"/>
      <c r="AC378" s="174"/>
      <c r="AD378" s="175"/>
      <c r="AE378" s="173">
        <f>AO378*(1-$D$17/100)</f>
        <v>5.9857079999999998</v>
      </c>
      <c r="AF378" s="174">
        <f>AP378</f>
        <v>36</v>
      </c>
      <c r="AG378" s="174">
        <f>IF($D$57+AT378&gt;100,100,$D$57+AT378)</f>
        <v>34.001300000000001</v>
      </c>
      <c r="AH378" s="174">
        <f>AQ378*AR378</f>
        <v>235</v>
      </c>
      <c r="AI378" s="174">
        <f>$D$58+$D$19</f>
        <v>268.61079999999998</v>
      </c>
      <c r="AJ378" s="174">
        <f>10*AS378/IF(AX378=1,5,3.5)</f>
        <v>2.8571428571428572</v>
      </c>
      <c r="AK378" s="174">
        <f>SUM(AL378:AN378)</f>
        <v>1013.6363865939026</v>
      </c>
      <c r="AL378" s="174">
        <f>((VLOOKUP(C378,$B$36:$AG$39,23,FALSE)+VLOOKUP(C378,$B$40:$AG$43,23,FALSE)*$D$54))*$D$59/100</f>
        <v>1013.6363865939026</v>
      </c>
      <c r="AM378" s="174"/>
      <c r="AN378" s="174"/>
      <c r="AO378" s="176">
        <v>6</v>
      </c>
      <c r="AP378" s="174">
        <v>36</v>
      </c>
      <c r="AQ378" s="175">
        <f>VLOOKUP(C378,$B$45:$AA$48,23,FALSE)</f>
        <v>235</v>
      </c>
      <c r="AR378" s="31">
        <f>IF(LEFT(E378,1)*1=1,$S$66,$R$66)</f>
        <v>1</v>
      </c>
      <c r="AS378" s="2">
        <f>IF(LEFT(E378,1)*1=2,$U$66,$T$66)</f>
        <v>1</v>
      </c>
      <c r="AT378" s="33">
        <f>IF(LEFT(E378,1)*1=3,$W$66,$V$66)</f>
        <v>15</v>
      </c>
      <c r="AU378" s="31">
        <f>IF(MID(E378,3,1)*1=1,$Y$66,$X$66)</f>
        <v>1.4</v>
      </c>
      <c r="AV378" s="2">
        <f>IF(MID(E378,3,1)*1=2,$AA$66,$Z$66)</f>
        <v>0</v>
      </c>
      <c r="AW378" s="33">
        <f>IF(MID(E378,3,1)*1=3,$AC$66,$AB$66)</f>
        <v>0</v>
      </c>
      <c r="AX378" s="31">
        <f>IF(MID(E378,5,1)*1=1,$AE$66,$AD$66)</f>
        <v>1.5</v>
      </c>
      <c r="AY378" s="33">
        <f>IF(MID(E378,5,1)*1=2,$AG$66,$AF$66)</f>
        <v>1</v>
      </c>
      <c r="AZ378" s="2"/>
      <c r="BA378" s="101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</row>
    <row r="379" spans="1:71" ht="12" customHeight="1">
      <c r="A379" s="2"/>
      <c r="B379" s="107">
        <v>250</v>
      </c>
      <c r="C379" s="31">
        <v>10</v>
      </c>
      <c r="D379" s="106" t="s">
        <v>16</v>
      </c>
      <c r="E379" s="2" t="s">
        <v>145</v>
      </c>
      <c r="F379" s="2" t="s">
        <v>149</v>
      </c>
      <c r="G379" s="2"/>
      <c r="H379" s="33">
        <f>AX379*2</f>
        <v>2</v>
      </c>
      <c r="I379" s="173">
        <f>M379/AE379</f>
        <v>728.95830692580796</v>
      </c>
      <c r="J379" s="174">
        <f>AH379/AE379</f>
        <v>39.260184425969328</v>
      </c>
      <c r="K379" s="207">
        <f>RANK(I379,$I$76:$I$977)</f>
        <v>303</v>
      </c>
      <c r="L379" s="208">
        <f>RANK(I379,$I$76:$I$450)</f>
        <v>303</v>
      </c>
      <c r="M379" s="173">
        <f>SUM(N379:R379)</f>
        <v>4363.3315694322637</v>
      </c>
      <c r="N379" s="174">
        <f>T379*(1+((AG379+IF(F379="백어택",8,0))/100)*((AI379/100-1)))</f>
        <v>4363.3315694322637</v>
      </c>
      <c r="O379" s="174"/>
      <c r="P379" s="174"/>
      <c r="Q379" s="174"/>
      <c r="R379" s="175"/>
      <c r="S379" s="173">
        <f>SUM(T379:X379)*H379</f>
        <v>5108.727388433269</v>
      </c>
      <c r="T379" s="174">
        <f>AL379*AU379*AY379*IF(F379="백어택",1.2,1)</f>
        <v>2554.3636942166345</v>
      </c>
      <c r="U379" s="174"/>
      <c r="V379" s="174"/>
      <c r="W379" s="174"/>
      <c r="X379" s="175"/>
      <c r="Y379" s="173">
        <f>SUM(Z379:AD379)</f>
        <v>5108.727388433269</v>
      </c>
      <c r="Z379" s="174">
        <f>T379*$D$58/100</f>
        <v>5108.727388433269</v>
      </c>
      <c r="AA379" s="174"/>
      <c r="AB379" s="174"/>
      <c r="AC379" s="174"/>
      <c r="AD379" s="175"/>
      <c r="AE379" s="173">
        <f>AO379*(1-$D$17/100)</f>
        <v>5.9857079999999998</v>
      </c>
      <c r="AF379" s="174">
        <f>AP379</f>
        <v>36</v>
      </c>
      <c r="AG379" s="174">
        <f>IF($D$57+AT379&gt;100,100,$D$57+AT379)</f>
        <v>34.001300000000001</v>
      </c>
      <c r="AH379" s="174">
        <f>AQ379*AR379</f>
        <v>235</v>
      </c>
      <c r="AI379" s="174">
        <f>$D$58+$D$19</f>
        <v>268.61079999999998</v>
      </c>
      <c r="AJ379" s="174">
        <f>10*AS379/IF(AX379=1,5,3.5)</f>
        <v>2</v>
      </c>
      <c r="AK379" s="174">
        <f>SUM(AL379:AN379)</f>
        <v>1013.6363865939026</v>
      </c>
      <c r="AL379" s="174">
        <f>((VLOOKUP(C379,$B$36:$AG$39,23,FALSE)+VLOOKUP(C379,$B$40:$AG$43,23,FALSE)*$D$54))*$D$59/100</f>
        <v>1013.6363865939026</v>
      </c>
      <c r="AM379" s="174"/>
      <c r="AN379" s="174"/>
      <c r="AO379" s="176">
        <v>6</v>
      </c>
      <c r="AP379" s="174">
        <v>36</v>
      </c>
      <c r="AQ379" s="175">
        <f>VLOOKUP(C379,$B$45:$AA$48,23,FALSE)</f>
        <v>235</v>
      </c>
      <c r="AR379" s="31">
        <f>IF(LEFT(E379,1)*1=1,$S$66,$R$66)</f>
        <v>1</v>
      </c>
      <c r="AS379" s="2">
        <f>IF(LEFT(E379,1)*1=2,$U$66,$T$66)</f>
        <v>1</v>
      </c>
      <c r="AT379" s="33">
        <f>IF(LEFT(E379,1)*1=3,$W$66,$V$66)</f>
        <v>15</v>
      </c>
      <c r="AU379" s="31">
        <f>IF(MID(E379,3,1)*1=1,$Y$66,$X$66)</f>
        <v>1.4</v>
      </c>
      <c r="AV379" s="2">
        <f>IF(MID(E379,3,1)*1=2,$AA$66,$Z$66)</f>
        <v>0</v>
      </c>
      <c r="AW379" s="33">
        <f>IF(MID(E379,3,1)*1=3,$AC$66,$AB$66)</f>
        <v>0</v>
      </c>
      <c r="AX379" s="31">
        <f>IF(MID(E379,5,1)*1=1,$AE$66,$AD$66)</f>
        <v>1</v>
      </c>
      <c r="AY379" s="33">
        <f>IF(MID(E379,5,1)*1=2,$AG$66,$AF$66)</f>
        <v>1.5</v>
      </c>
      <c r="AZ379" s="2"/>
      <c r="BA379" s="101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</row>
    <row r="380" spans="1:71" ht="12" customHeight="1">
      <c r="A380" s="2"/>
      <c r="B380" s="107">
        <v>873</v>
      </c>
      <c r="C380" s="31">
        <v>10</v>
      </c>
      <c r="D380" s="113" t="s">
        <v>19</v>
      </c>
      <c r="E380" s="2" t="s">
        <v>111</v>
      </c>
      <c r="F380" s="2"/>
      <c r="G380" s="2"/>
      <c r="H380" s="33">
        <f>IF(AY380=1,4,6)</f>
        <v>6</v>
      </c>
      <c r="I380" s="173">
        <f>M380/AE380</f>
        <v>728.3122578179599</v>
      </c>
      <c r="J380" s="174">
        <f>AH380/AE380</f>
        <v>21.760166048861723</v>
      </c>
      <c r="K380" s="207">
        <f>RANK(I380,$I$76:$I$977)</f>
        <v>305</v>
      </c>
      <c r="L380" s="208" t="e">
        <f>RANK(I380,$I$867:$I$977)</f>
        <v>#N/A</v>
      </c>
      <c r="M380" s="173">
        <f>SUM(N380:R380)*(1+$D$22/100)</f>
        <v>17437.858032476099</v>
      </c>
      <c r="N380" s="174">
        <f>T380*(1+($D$57/100)*($D$58/100-1))</f>
        <v>10026.941385112475</v>
      </c>
      <c r="O380" s="174">
        <f>U380*(1+(AG380/100)*(AI380/100-1))</f>
        <v>5684.5844639512197</v>
      </c>
      <c r="P380" s="174"/>
      <c r="Q380" s="174"/>
      <c r="R380" s="175"/>
      <c r="S380" s="173">
        <f>SUM(T380:X380)</f>
        <v>11268.201348189024</v>
      </c>
      <c r="T380" s="174">
        <f>AL380*AU380</f>
        <v>8425.9091162134155</v>
      </c>
      <c r="U380" s="174">
        <f>AM380*AU380</f>
        <v>2842.2922319756099</v>
      </c>
      <c r="V380" s="174"/>
      <c r="W380" s="174"/>
      <c r="X380" s="175"/>
      <c r="Y380" s="173">
        <f>SUM(Z380:AD380)</f>
        <v>22536.402696378049</v>
      </c>
      <c r="Z380" s="174">
        <f>T380*$D$58/100</f>
        <v>16851.818232426831</v>
      </c>
      <c r="AA380" s="174">
        <f>U380*$D$58/100</f>
        <v>5684.5844639512197</v>
      </c>
      <c r="AB380" s="174"/>
      <c r="AC380" s="174"/>
      <c r="AD380" s="175"/>
      <c r="AE380" s="173">
        <f>AO380*(1-$D$17/100)</f>
        <v>23.942831999999999</v>
      </c>
      <c r="AF380" s="174">
        <f>AP380</f>
        <v>36</v>
      </c>
      <c r="AG380" s="174">
        <f>IF($D$57+AT380&gt;100,100,$D$57+AT380)</f>
        <v>100</v>
      </c>
      <c r="AH380" s="174">
        <f>AQ380</f>
        <v>521</v>
      </c>
      <c r="AI380" s="174">
        <f>$D$58</f>
        <v>200</v>
      </c>
      <c r="AJ380" s="174">
        <f>10/IF(AY380=1,(2.5+AX380),2)</f>
        <v>5</v>
      </c>
      <c r="AK380" s="174">
        <f>SUM(AL380:AN380)</f>
        <v>11268.201348189024</v>
      </c>
      <c r="AL380" s="174">
        <f>(H380-1)*(VLOOKUP(C380,$B$36:$AG$39,27,FALSE)+VLOOKUP(C380,$B$40:$AG$43,27,FALSE)*$D$54)*$D$59/100</f>
        <v>8425.9091162134155</v>
      </c>
      <c r="AM380" s="174">
        <f>(VLOOKUP(C380,$B$36:$AG$39,28,FALSE)+VLOOKUP(C380,$B$40:$AG$43,28,FALSE)*$D$54)*$D$59/100</f>
        <v>2842.2922319756099</v>
      </c>
      <c r="AN380" s="174"/>
      <c r="AO380" s="176">
        <v>24</v>
      </c>
      <c r="AP380" s="174">
        <v>36</v>
      </c>
      <c r="AQ380" s="175">
        <f>VLOOKUP(C380,$B$45:$AG$48,27,FALSE)</f>
        <v>521</v>
      </c>
      <c r="AR380" s="31">
        <f>IF(LEFT(E380,1)*1=1,$S$69,$R$69)</f>
        <v>0</v>
      </c>
      <c r="AS380" s="2">
        <f>IF(LEFT(E380,1)*1=2,$U$69,$T$69)</f>
        <v>0</v>
      </c>
      <c r="AT380" s="33">
        <f>IF(LEFT(E380,1)*1=3,$W$69,$V$69)</f>
        <v>100</v>
      </c>
      <c r="AU380" s="31">
        <f>IF(MID(E380,3,1)*1=1,$Y$69,$X$69)</f>
        <v>1</v>
      </c>
      <c r="AV380" s="2">
        <f>IF(MID(E380,3,1)*1=2,$AA$69,$Z$69)</f>
        <v>0</v>
      </c>
      <c r="AW380" s="33">
        <f>IF(MID(E380,3,1)*1=3,$AC$69,$AB$69)</f>
        <v>0</v>
      </c>
      <c r="AX380" s="31">
        <f>IF(MID(E380,5,1)*1=1,$AE$69,$AD$69)</f>
        <v>0</v>
      </c>
      <c r="AY380" s="33">
        <f>IF(MID(E380,5,1)*1=2,$AG$69,$AF$69)</f>
        <v>2</v>
      </c>
      <c r="AZ380" s="2"/>
      <c r="BA380" s="101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</row>
    <row r="381" spans="1:71" ht="12" customHeight="1">
      <c r="A381" s="2"/>
      <c r="B381" s="107">
        <v>630</v>
      </c>
      <c r="C381" s="31">
        <v>7</v>
      </c>
      <c r="D381" s="111" t="s">
        <v>18</v>
      </c>
      <c r="E381" s="2" t="s">
        <v>179</v>
      </c>
      <c r="F381" s="2"/>
      <c r="G381" s="2"/>
      <c r="H381" s="33" t="s">
        <v>81</v>
      </c>
      <c r="I381" s="173">
        <f>M381/AE381</f>
        <v>727.56207090877842</v>
      </c>
      <c r="J381" s="174">
        <f>AH381/AE381</f>
        <v>19.637781784066725</v>
      </c>
      <c r="K381" s="207">
        <f>RANK(I381,$I$76:$I$977)</f>
        <v>306</v>
      </c>
      <c r="L381" s="208" t="e">
        <f>RANK(I381,$I$451:$I$866)</f>
        <v>#N/A</v>
      </c>
      <c r="M381" s="173">
        <f>SUM(N381:R381)</f>
        <v>13448.822002603694</v>
      </c>
      <c r="N381" s="174">
        <f>T381*(1+((AG381+IF(F381="백어택",8,0))/100)*(AI381/100-1))</f>
        <v>8933.6098066262057</v>
      </c>
      <c r="O381" s="174">
        <f>U381*(1+(($D$57+IF(F381="백어택",8,0))/100)*(AI381/100-1))</f>
        <v>4515.2121959774886</v>
      </c>
      <c r="P381" s="174"/>
      <c r="Q381" s="174"/>
      <c r="R381" s="175"/>
      <c r="S381" s="173">
        <f>SUM(T381:X381)</f>
        <v>9412.8310950102441</v>
      </c>
      <c r="T381" s="174">
        <f>AL381*IF(H381="근접",AT381,IF(AV381=1,AT381,1))*AX381*IF(F381="백어택",1.2,1)</f>
        <v>5618.576581843171</v>
      </c>
      <c r="U381" s="174">
        <f>IF(AX381=1,AM381*IF(H381="근접",AT381,IF(AV381=1,AT381,1)),0)*AY381*IF(AX381=1,1,0)*IF(F381="백어택",1.2,1)</f>
        <v>3794.2545131670736</v>
      </c>
      <c r="V381" s="174"/>
      <c r="W381" s="174"/>
      <c r="X381" s="175"/>
      <c r="Y381" s="173">
        <f>SUM(Z381:AD381)</f>
        <v>18825.662190020488</v>
      </c>
      <c r="Z381" s="174">
        <f>T381*$D$58/100</f>
        <v>11237.153163686342</v>
      </c>
      <c r="AA381" s="174">
        <f>U381*$D$58/100</f>
        <v>7588.5090263341472</v>
      </c>
      <c r="AB381" s="174"/>
      <c r="AC381" s="174"/>
      <c r="AD381" s="175"/>
      <c r="AE381" s="173">
        <f>(AO381*(1-$D$20/100)*(1-$D$17/100)-AR381)*IF(AW381="보스대상",1,POWER(0.85,AW381))</f>
        <v>18.484776131615998</v>
      </c>
      <c r="AF381" s="174">
        <f>AP381</f>
        <v>36</v>
      </c>
      <c r="AG381" s="174">
        <f>IF($D$57+AU381&gt;100,100,$D$57+AU381)</f>
        <v>59.001300000000001</v>
      </c>
      <c r="AH381" s="174">
        <f>AQ381</f>
        <v>363</v>
      </c>
      <c r="AI381" s="174">
        <f>$D$58</f>
        <v>200</v>
      </c>
      <c r="AJ381" s="174">
        <f>10*AS381/IF(AX381=1,IF(AY381=1,4.5,4),4)</f>
        <v>2.2222222222222223</v>
      </c>
      <c r="AK381" s="174">
        <f>SUM(AL381:AN381)</f>
        <v>7844.0259125085377</v>
      </c>
      <c r="AL381" s="174">
        <f>IF(AV381=1,$D$61*(VLOOKUP(C381,$B$36:$AG$39,25,FALSE)+VLOOKUP(C381,$B$40:$AG$43,25,FALSE)*$D$54),(IF(H381="근접",$D$61*(VLOOKUP(C381,$B$36:$AG$39,25,FALSE)+VLOOKUP(C381,$B$40:$AG$43,25,FALSE)*$D$54),$D$60*(VLOOKUP(C381,$B$36:$AG$39,25,FALSE)+VLOOKUP(C381,$B$40:$AG$43,25,FALSE)*$D$54))))*$D$59/100</f>
        <v>4682.1471515359763</v>
      </c>
      <c r="AM381" s="174">
        <f>(IF(AV381=1,$D$61*(VLOOKUP(C381,$B$36:$AG$39,26,FALSE)+VLOOKUP(C381,$B$40:$AG$43,26,FALSE)*$D$54),IF(H381="근접",$D$61*(VLOOKUP(C381,$B$36:$AG$39,26,FALSE)+VLOOKUP(C381,$B$40:$AG$43,26,FALSE)*$D$54),$D$60*(VLOOKUP(C381,$B$36:$AG$39,26,FALSE)+VLOOKUP(C381,$B$40:$AG$43,26,FALSE)*$D$54))))*$D$59/100</f>
        <v>3161.8787609725614</v>
      </c>
      <c r="AN381" s="174"/>
      <c r="AO381" s="176">
        <v>24</v>
      </c>
      <c r="AP381" s="174">
        <v>36</v>
      </c>
      <c r="AQ381" s="175">
        <f>VLOOKUP(C381,$B$45:$AA$48,25,FALSE)</f>
        <v>363</v>
      </c>
      <c r="AR381" s="31">
        <f>IF(LEFT(E381,1)*1=1,$S$68,$R$68)</f>
        <v>0</v>
      </c>
      <c r="AS381" s="2">
        <f>IF(LEFT(E381,1)*1=2,$U$68,$T$68)</f>
        <v>1</v>
      </c>
      <c r="AT381" s="33">
        <f>IF(LEFT(E381,1)*1=3,$W$68,$V$68)</f>
        <v>1.2</v>
      </c>
      <c r="AU381" s="31">
        <f>IF(MID(E381,3,1)*1=1,$Y$68,$X$68)</f>
        <v>40</v>
      </c>
      <c r="AV381" s="2">
        <f>IF(MID(E381,3,1)*1=2,$AA$68,$Z$68)</f>
        <v>0</v>
      </c>
      <c r="AW381" s="33" t="str">
        <f>IF(MID(E381,3,1)*1=3,$AC$68,$AB$68)</f>
        <v>보스대상</v>
      </c>
      <c r="AX381" s="31">
        <f>IF(MID(E381,5,1)*1=1,$AE$68,$AD$68)</f>
        <v>1</v>
      </c>
      <c r="AY381" s="33">
        <f>IF(MID(E381,5,1)*1=2,$AG$68,$AF$68)</f>
        <v>1</v>
      </c>
      <c r="AZ381" s="2"/>
      <c r="BA381" s="101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</row>
    <row r="382" spans="1:71" ht="12" customHeight="1">
      <c r="A382" s="2"/>
      <c r="B382" s="107">
        <v>786</v>
      </c>
      <c r="C382" s="31">
        <v>7</v>
      </c>
      <c r="D382" s="111" t="s">
        <v>21</v>
      </c>
      <c r="E382" s="2" t="s">
        <v>168</v>
      </c>
      <c r="F382" s="2" t="s">
        <v>149</v>
      </c>
      <c r="G382" s="2"/>
      <c r="H382" s="33"/>
      <c r="I382" s="173">
        <f>M382/AE382</f>
        <v>725.83680955846</v>
      </c>
      <c r="J382" s="174">
        <f>AH382/AE382</f>
        <v>16.518097441877977</v>
      </c>
      <c r="K382" s="207">
        <f>RANK(I382,$I$76:$I$977)</f>
        <v>307</v>
      </c>
      <c r="L382" s="208" t="e">
        <f>RANK(I382,$I$451:$I$866)</f>
        <v>#N/A</v>
      </c>
      <c r="M382" s="173">
        <f>SUM(N382:R382)</f>
        <v>20125.396399161797</v>
      </c>
      <c r="N382" s="174">
        <f>T382*(1+((AG382+IF(F382="백어택",8,0))/100)*(AI382/100-1))</f>
        <v>14474.326656860449</v>
      </c>
      <c r="O382" s="174"/>
      <c r="P382" s="174"/>
      <c r="Q382" s="174"/>
      <c r="R382" s="175">
        <f>X382*(1+(AG382/100)*(AI382/100-1))</f>
        <v>5651.0697423013489</v>
      </c>
      <c r="S382" s="173">
        <f>SUM(T382:X382)</f>
        <v>16145.737167429757</v>
      </c>
      <c r="T382" s="174">
        <f>AL382*AW382*AX382*AY382*IF(F382="백어택",1.2,1)</f>
        <v>11396.990941715123</v>
      </c>
      <c r="U382" s="174"/>
      <c r="V382" s="174"/>
      <c r="W382" s="174"/>
      <c r="X382" s="175">
        <f>AL382*AS382+IF(AX382=1,AL382*AU382,AL382*AU382*2)</f>
        <v>4748.7462257146344</v>
      </c>
      <c r="Y382" s="173">
        <f>SUM(Z382:AD382)</f>
        <v>32291.474334859518</v>
      </c>
      <c r="Z382" s="174">
        <f>T382*$D$58/100</f>
        <v>22793.98188343025</v>
      </c>
      <c r="AA382" s="174"/>
      <c r="AB382" s="174"/>
      <c r="AC382" s="174"/>
      <c r="AD382" s="175">
        <f>X382*$D$58/100</f>
        <v>9497.4924514292688</v>
      </c>
      <c r="AE382" s="173">
        <f>AO382*(1-$D$20/100)*(1-$D$17/100)-AR382</f>
        <v>27.727164197424003</v>
      </c>
      <c r="AF382" s="174">
        <f>AP382</f>
        <v>36</v>
      </c>
      <c r="AG382" s="174">
        <f>IF($D$57&gt;100,100,$D$57)</f>
        <v>19.001300000000001</v>
      </c>
      <c r="AH382" s="174">
        <f>AQ382</f>
        <v>458</v>
      </c>
      <c r="AI382" s="174">
        <f>$D$58</f>
        <v>200</v>
      </c>
      <c r="AJ382" s="174">
        <f>10/6</f>
        <v>1.6666666666666667</v>
      </c>
      <c r="AK382" s="174">
        <f>SUM(AL382:AN382)</f>
        <v>9497.4924514292688</v>
      </c>
      <c r="AL382" s="174">
        <f>(VLOOKUP(C382,$B$36:$AG$39,31,FALSE)+VLOOKUP(C382,$B$40:$AG$43,31,FALSE)*$D$54)*$D$59/100</f>
        <v>9497.4924514292688</v>
      </c>
      <c r="AM382" s="174"/>
      <c r="AN382" s="174"/>
      <c r="AO382" s="176">
        <v>36</v>
      </c>
      <c r="AP382" s="174">
        <v>36</v>
      </c>
      <c r="AQ382" s="175">
        <f>VLOOKUP(C382,$B$45:$AG$48,31,FALSE)</f>
        <v>458</v>
      </c>
      <c r="AR382" s="31">
        <f>IF(LEFT(E382,1)*1=1,$S$71,$R$71)</f>
        <v>0</v>
      </c>
      <c r="AS382" s="2">
        <f>IF(LEFT(E382,1)*1=2,$U$71,$T$71)</f>
        <v>0.2</v>
      </c>
      <c r="AT382" s="33">
        <f>IF(LEFT(E382,1)*1=3,$W$71,$V$71)</f>
        <v>0</v>
      </c>
      <c r="AU382" s="31">
        <f>IF(MID(E382,3,1)*1=1,$Y$71,$X$71)</f>
        <v>0.3</v>
      </c>
      <c r="AV382" s="2">
        <f>IF(MID(E382,3,1)*1=2,$AA$71,$Z$71)</f>
        <v>0</v>
      </c>
      <c r="AW382" s="33">
        <f>IF(MID(E382,3,1)*1=3,$AC$71,$AB$71)</f>
        <v>1</v>
      </c>
      <c r="AX382" s="31">
        <f>IF(MID(E382,5,1)*1=1,$AE$71,$AD$71)</f>
        <v>1</v>
      </c>
      <c r="AY382" s="33">
        <f>IF(MID(E382,5,1)*1=2,$AG$71,$AF$71)</f>
        <v>1</v>
      </c>
      <c r="AZ382" s="2"/>
      <c r="BA382" s="101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</row>
    <row r="383" spans="1:71" ht="12" customHeight="1">
      <c r="A383" s="2"/>
      <c r="B383" s="107">
        <v>828</v>
      </c>
      <c r="C383" s="31">
        <v>10</v>
      </c>
      <c r="D383" s="113" t="s">
        <v>12</v>
      </c>
      <c r="E383" s="2" t="s">
        <v>139</v>
      </c>
      <c r="F383" s="2"/>
      <c r="G383" s="2" t="s">
        <v>174</v>
      </c>
      <c r="H383" s="33"/>
      <c r="I383" s="173">
        <f>M383/AE383</f>
        <v>724.71293881257998</v>
      </c>
      <c r="J383" s="174">
        <f>AH383/AE383</f>
        <v>21.760166048861723</v>
      </c>
      <c r="K383" s="207">
        <f>RANK(I383,$I$76:$I$977)</f>
        <v>308</v>
      </c>
      <c r="L383" s="208" t="e">
        <f>RANK(I383,$I$867:$I$977)</f>
        <v>#N/A</v>
      </c>
      <c r="M383" s="173">
        <f>SUM(N383:R383)*(1+$D$22/100)</f>
        <v>17351.680142215882</v>
      </c>
      <c r="N383" s="174">
        <f>T383*(1+((AG383+IF(F383="백어택",8,0))/100)*(AI383/100-1))</f>
        <v>10696.864915609338</v>
      </c>
      <c r="O383" s="174">
        <f>U383*(1+($D$57/100)*(AI383/100-1))</f>
        <v>0</v>
      </c>
      <c r="P383" s="174"/>
      <c r="Q383" s="174"/>
      <c r="R383" s="175">
        <f>X383*(1+($D$57/100)*(AI383/100-1))</f>
        <v>4937.0145764350782</v>
      </c>
      <c r="S383" s="173">
        <f>SUM(T383:X383)</f>
        <v>13137.57033918488</v>
      </c>
      <c r="T383" s="174">
        <f>AL383*AU383*AW383</f>
        <v>8988.863916284392</v>
      </c>
      <c r="U383" s="174">
        <f>AL383*AU383*AW383*AX383</f>
        <v>0</v>
      </c>
      <c r="V383" s="174"/>
      <c r="W383" s="174"/>
      <c r="X383" s="175">
        <f>AL383*AY383</f>
        <v>4148.7064229004882</v>
      </c>
      <c r="Y383" s="173">
        <f>SUM(Z383:AD383)</f>
        <v>26275.14067836976</v>
      </c>
      <c r="Z383" s="174">
        <f>T383*$D$58/100</f>
        <v>17977.727832568784</v>
      </c>
      <c r="AA383" s="174">
        <f>U383*$D$58/100</f>
        <v>0</v>
      </c>
      <c r="AB383" s="174"/>
      <c r="AC383" s="174"/>
      <c r="AD383" s="175">
        <f>X383*$D$58/100</f>
        <v>8297.4128458009764</v>
      </c>
      <c r="AE383" s="173">
        <f>AO383*(1-$D$17/100)</f>
        <v>23.942831999999999</v>
      </c>
      <c r="AF383" s="174">
        <f>AP383</f>
        <v>36</v>
      </c>
      <c r="AG383" s="174">
        <f>IF($D$57+AV383&gt;100,100,$D$57+AV383)</f>
        <v>19.001300000000001</v>
      </c>
      <c r="AH383" s="174">
        <f>AQ383</f>
        <v>521</v>
      </c>
      <c r="AI383" s="174">
        <f>$D$58</f>
        <v>200</v>
      </c>
      <c r="AJ383" s="174">
        <f>10/7</f>
        <v>1.4285714285714286</v>
      </c>
      <c r="AK383" s="174">
        <f>SUM(AL383:AN383)</f>
        <v>6914.5107048341479</v>
      </c>
      <c r="AL383" s="174">
        <f>(VLOOKUP(C383,$B$36:$AG$39,16,FALSE)+VLOOKUP(C383,$B$40:$AG$43,16,FALSE)*$D$54)*$D$59/100</f>
        <v>6914.5107048341479</v>
      </c>
      <c r="AM383" s="174"/>
      <c r="AN383" s="174"/>
      <c r="AO383" s="176">
        <v>24</v>
      </c>
      <c r="AP383" s="174">
        <v>36</v>
      </c>
      <c r="AQ383" s="175">
        <f>VLOOKUP(C383,$B$45:$AA$48,16,FALSE)</f>
        <v>521</v>
      </c>
      <c r="AR383" s="31">
        <f>IF(LEFT(E383,1)*1=1,$S$62,$R$62)</f>
        <v>0</v>
      </c>
      <c r="AS383" s="2">
        <f>IF(LEFT(E383,1)*1=2,$U$62,$T$62)</f>
        <v>0</v>
      </c>
      <c r="AT383" s="33">
        <f>IF(LEFT(E383,1)*1=3,$W$62,$V$62)</f>
        <v>0</v>
      </c>
      <c r="AU383" s="31">
        <f>IF(MID(E383,3,1)*1=1,$Y$62,$X$62)</f>
        <v>1.3</v>
      </c>
      <c r="AV383" s="2">
        <f>IF(MID(E383,3,1)*1=2,$AA$62,$Z$62)</f>
        <v>0</v>
      </c>
      <c r="AW383" s="33">
        <f>IF(MID(E383,3,1)*1=3,$AC$62,$AB$62)</f>
        <v>1</v>
      </c>
      <c r="AX383" s="31">
        <f>IF(MID(E383,5,1)*1=1,$AE$62,$AD$62)</f>
        <v>0</v>
      </c>
      <c r="AY383" s="33">
        <f>IF(MID(E383,5,1)*1=2,$AG$62,$AF$62)</f>
        <v>0.6</v>
      </c>
      <c r="AZ383" s="2"/>
      <c r="BA383" s="101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</row>
    <row r="384" spans="1:71" ht="12" customHeight="1">
      <c r="A384" s="2"/>
      <c r="B384" s="107">
        <v>494</v>
      </c>
      <c r="C384" s="31">
        <v>10</v>
      </c>
      <c r="D384" s="111" t="s">
        <v>14</v>
      </c>
      <c r="E384" s="2" t="s">
        <v>151</v>
      </c>
      <c r="F384" s="2"/>
      <c r="G384" s="2"/>
      <c r="H384" s="33" t="s">
        <v>81</v>
      </c>
      <c r="I384" s="173">
        <f>M384/AE384</f>
        <v>723.79054273877387</v>
      </c>
      <c r="J384" s="174">
        <f>AH384/AE384</f>
        <v>23.695174714659018</v>
      </c>
      <c r="K384" s="207">
        <f>RANK(I384,$I$76:$I$977)</f>
        <v>309</v>
      </c>
      <c r="L384" s="208" t="e">
        <f>RANK(I384,$I$451:$I$866)</f>
        <v>#N/A</v>
      </c>
      <c r="M384" s="173">
        <f>SUM(N384:R384)</f>
        <v>20068.659223060618</v>
      </c>
      <c r="N384" s="174">
        <f>T384*(1+((AG384+IF(F384="백어택",8,0))/100)*(AI384/100-1))</f>
        <v>5988.3154082375322</v>
      </c>
      <c r="O384" s="174">
        <f>U384*(1+((AG384+IF(F384="백어택",8,0))/100)*(AI384/100-1))</f>
        <v>5988.3154082375322</v>
      </c>
      <c r="P384" s="174">
        <f>V384*(1+((AG384+IF(F384="백어택",8,0))/100)*(AI384*IF(AX384=1,AW384,1)/100-1))</f>
        <v>8092.0284065855558</v>
      </c>
      <c r="Q384" s="174">
        <f>W384*(1+((AG384+IF(F384="백어택",8,0))/100)*(AI384*AW384/100-1))</f>
        <v>0</v>
      </c>
      <c r="R384" s="175"/>
      <c r="S384" s="173">
        <f>SUM(T384:X384)</f>
        <v>14542.232699282926</v>
      </c>
      <c r="T384" s="174">
        <f>AL384*AY384*IF(F384="백어택",1.2,1)</f>
        <v>4339.2772369778049</v>
      </c>
      <c r="U384" s="174">
        <f>AM384*AY384*IF(F384="백어택",1.2,1)</f>
        <v>4339.2772369778049</v>
      </c>
      <c r="V384" s="174">
        <f>AN384*AY384*IF(F384="백어택",1.2,1)</f>
        <v>5863.6782253273168</v>
      </c>
      <c r="W384" s="174">
        <f>(T384+U384+V384)*IF(AX384=1,0,0.6)*IF(F384="백어택",1.2,1)</f>
        <v>0</v>
      </c>
      <c r="X384" s="175"/>
      <c r="Y384" s="173">
        <f>SUM(Z384:AD384)</f>
        <v>43626.698097848785</v>
      </c>
      <c r="Z384" s="174">
        <f>T384*AI384/100</f>
        <v>13017.831710933415</v>
      </c>
      <c r="AA384" s="174">
        <f>U384*AI384/100</f>
        <v>13017.831710933415</v>
      </c>
      <c r="AB384" s="174">
        <f>V384*AI384*IF(AX384=1,AW384,1)/100</f>
        <v>17591.034675981951</v>
      </c>
      <c r="AC384" s="174">
        <f>W384*AI384*AW384/100</f>
        <v>0</v>
      </c>
      <c r="AD384" s="175"/>
      <c r="AE384" s="173">
        <f>AO384*(1-$D$20/100)*(1-$D$17/100)</f>
        <v>27.727164197424003</v>
      </c>
      <c r="AF384" s="174">
        <f>AP384</f>
        <v>36</v>
      </c>
      <c r="AG384" s="174">
        <f>IF($D$57+AU384&gt;100,100,$D$57+AU384)</f>
        <v>19.001300000000001</v>
      </c>
      <c r="AH384" s="174">
        <f>AQ384*AS384</f>
        <v>657</v>
      </c>
      <c r="AI384" s="174">
        <f>$D$58+IF(H384="근접",AR384,0)+IF(AY384=1,0,50)</f>
        <v>300</v>
      </c>
      <c r="AJ384" s="174">
        <f>10/3</f>
        <v>3.3333333333333335</v>
      </c>
      <c r="AK384" s="174">
        <f>SUM(AL384:AN384)</f>
        <v>12118.527249402439</v>
      </c>
      <c r="AL384" s="174">
        <f>(IF(H384="근접",$D$61*(VLOOKUP(C384,$B$36:$AG$39,19,FALSE)+VLOOKUP(C384,$B$40:$AG$43,19,FALSE)*$D$54),$D$60*(VLOOKUP(C384,$B$36:$AG$39,19,FALSE)+VLOOKUP(C384,$B$40:$AG$43,19,FALSE)*$D$54)))*$D$59/100</f>
        <v>3616.0643641481706</v>
      </c>
      <c r="AM384" s="174">
        <f>(IF(H384="근접",$D$61*(VLOOKUP(C384,$B$36:$AG$39,20,FALSE)+VLOOKUP(C384,$B$40:$AG$43,20,FALSE)*$D$54),$D$60*(VLOOKUP(C384,$B$36:$AG$39,20,FALSE)+VLOOKUP(C384,$B$40:$AG$43,20,FALSE)*$D$54)))*$D$59/100</f>
        <v>3616.0643641481706</v>
      </c>
      <c r="AN384" s="174">
        <f>(IF(H384="근접",$D$61*(VLOOKUP(C384,$B$36:$AG$39,21,FALSE)+VLOOKUP(C384,$B$40:$AG$43,21,FALSE)*$D$54),$D$60*(VLOOKUP(C384,$B$36:$AG$39,21,FALSE)+VLOOKUP(C384,$B$40:$AG$43,21,FALSE)*$D$54)))*$D$59/100</f>
        <v>4886.3985211060972</v>
      </c>
      <c r="AO384" s="176">
        <v>36</v>
      </c>
      <c r="AP384" s="174">
        <v>36</v>
      </c>
      <c r="AQ384" s="175">
        <f>VLOOKUP(C384,$B$45:$AA$48,19,FALSE)</f>
        <v>657</v>
      </c>
      <c r="AR384" s="31">
        <f>IF(LEFT(E384,1)*1=1,$S$64,$R$64)</f>
        <v>50</v>
      </c>
      <c r="AS384" s="2">
        <f>IF(LEFT(E384,1)*1=2,$U$64,$T$64)</f>
        <v>1</v>
      </c>
      <c r="AT384" s="33">
        <f>IF(LEFT(E384,1)*1=3,$W$64,$V$64)</f>
        <v>0</v>
      </c>
      <c r="AU384" s="31">
        <f>IF(MID(E384,3,1)*1=1,$Y$64,$X$64)</f>
        <v>0</v>
      </c>
      <c r="AV384" s="2">
        <f>IF(MID(E384,3,1)*1=2,$AA$64,$Z$64)</f>
        <v>0</v>
      </c>
      <c r="AW384" s="33">
        <f>IF(MID(E384,3,1)*1=3,$AC$64,$AB$64)</f>
        <v>1</v>
      </c>
      <c r="AX384" s="31">
        <f>IF(MID(E384,5,1)*1=1,$AE$64,$AD$64)</f>
        <v>1</v>
      </c>
      <c r="AY384" s="33">
        <f>IF(MID(E384,5,1)*1=2,$AG$64,$AF$64)</f>
        <v>1.2</v>
      </c>
      <c r="AZ384" s="2"/>
      <c r="BA384" s="101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</row>
    <row r="385" spans="1:71" ht="12" customHeight="1">
      <c r="A385" s="2"/>
      <c r="B385" s="107">
        <v>43</v>
      </c>
      <c r="C385" s="31">
        <v>10</v>
      </c>
      <c r="D385" s="106" t="s">
        <v>4</v>
      </c>
      <c r="E385" s="2" t="s">
        <v>144</v>
      </c>
      <c r="F385" s="2" t="s">
        <v>149</v>
      </c>
      <c r="G385" s="2" t="s">
        <v>167</v>
      </c>
      <c r="H385" s="33"/>
      <c r="I385" s="173">
        <f>M385/AE385</f>
        <v>721.54548406713923</v>
      </c>
      <c r="J385" s="174">
        <f>AH385/AE385</f>
        <v>29.152775243964456</v>
      </c>
      <c r="K385" s="207">
        <f>RANK(I385,$I$76:$I$977)</f>
        <v>310</v>
      </c>
      <c r="L385" s="208">
        <f>RANK(I385,$I$76:$I$450)</f>
        <v>310</v>
      </c>
      <c r="M385" s="173">
        <f>SUM(N385:R385)</f>
        <v>8637.9211526890958</v>
      </c>
      <c r="N385" s="174">
        <f>T385*(1+((AG385+IF(F385="백어택",8,0))/100)*((AI385/100-1)))</f>
        <v>960.73097873330869</v>
      </c>
      <c r="O385" s="174">
        <f>U385*(1+((AG385+IF(F385="백어택",8,0))/100)*(AI385/100-1))</f>
        <v>7677.1901739557879</v>
      </c>
      <c r="P385" s="174"/>
      <c r="Q385" s="174"/>
      <c r="R385" s="175"/>
      <c r="S385" s="173">
        <f>SUM(T385:X385)</f>
        <v>5935.6097121278053</v>
      </c>
      <c r="T385" s="174">
        <f>AT385*AL385*IF(F385="백어택",1.2,1)</f>
        <v>660.17320919121948</v>
      </c>
      <c r="U385" s="174">
        <f>AM385*AW385*AX385*AY385*IF(F385="백어택",1.2,1)</f>
        <v>5275.4365029365854</v>
      </c>
      <c r="V385" s="174"/>
      <c r="W385" s="174"/>
      <c r="X385" s="175"/>
      <c r="Y385" s="173">
        <f>SUM(Z385:AD385)</f>
        <v>11871.219424255607</v>
      </c>
      <c r="Z385" s="174">
        <f>T385*$D$58/100</f>
        <v>1320.346418382439</v>
      </c>
      <c r="AA385" s="174">
        <f>U385*$D$58/100</f>
        <v>10550.873005873169</v>
      </c>
      <c r="AB385" s="174"/>
      <c r="AC385" s="174"/>
      <c r="AD385" s="175"/>
      <c r="AE385" s="173">
        <f>AO385*(1-$D$17/100)</f>
        <v>11.971416</v>
      </c>
      <c r="AF385" s="174">
        <f>AP385</f>
        <v>36</v>
      </c>
      <c r="AG385" s="174">
        <f>IF($D$57&gt;100,100,$D$57)</f>
        <v>19.001300000000001</v>
      </c>
      <c r="AH385" s="174">
        <f>AQ385</f>
        <v>349</v>
      </c>
      <c r="AI385" s="174">
        <f>$D$58+$D$19</f>
        <v>268.61079999999998</v>
      </c>
      <c r="AJ385" s="174">
        <f>10/IF(AY385=1,5,4)</f>
        <v>2</v>
      </c>
      <c r="AK385" s="174">
        <f>SUM(AL385:AN385)</f>
        <v>2748.2428838829269</v>
      </c>
      <c r="AL385" s="174">
        <f>(VLOOKUP(C385,$B$36:$AG$39,4,FALSE)+VLOOKUP(C385,$B$40:$AG$43,4,FALSE)*$D$54)*$D$59/100</f>
        <v>550.14434099268294</v>
      </c>
      <c r="AM385" s="174">
        <f>(VLOOKUP(C385,$B$36:$AG$39,5,FALSE)+VLOOKUP(C385,$B$40:$AG$43,5,FALSE)*$D$54)*$D$59/100</f>
        <v>2198.0985428902441</v>
      </c>
      <c r="AN385" s="174"/>
      <c r="AO385" s="176">
        <v>12</v>
      </c>
      <c r="AP385" s="174">
        <v>36</v>
      </c>
      <c r="AQ385" s="175">
        <f>VLOOKUP(C385,$B$45:$AA$48,4,FALSE)</f>
        <v>349</v>
      </c>
      <c r="AR385" s="31">
        <f>IF(LEFT(E385,1)*1=1,$S$54,$R$54)</f>
        <v>0</v>
      </c>
      <c r="AS385" s="2">
        <f>IF(LEFT(E385,1)*1=2,$U$54,$T$54)</f>
        <v>0</v>
      </c>
      <c r="AT385" s="33">
        <f>IF(LEFT(E385,1)*1=3,$W$54,$V$54)</f>
        <v>1</v>
      </c>
      <c r="AU385" s="31">
        <f>IF(MID(E385,3,1)*1=1,$Y$54,$X$54)</f>
        <v>0</v>
      </c>
      <c r="AV385" s="2">
        <f>IF(MID(E385,3,1)*1=2,$AA$54,$Z$54)</f>
        <v>0</v>
      </c>
      <c r="AW385" s="33">
        <f>IF(MID(E385,3,1)*1=3,$AC$54,$AB$54)</f>
        <v>1</v>
      </c>
      <c r="AX385" s="31">
        <f>IF(MID(E385,5,1)*1=1,$AE$54,$AD$54)</f>
        <v>2</v>
      </c>
      <c r="AY385" s="33">
        <f>IF(MID(E385,5,1)*1=2,$AG$54,$AF$54)</f>
        <v>1</v>
      </c>
      <c r="AZ385" s="2"/>
      <c r="BA385" s="101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</row>
    <row r="386" spans="1:71" ht="12" customHeight="1">
      <c r="A386" s="2"/>
      <c r="B386" s="107">
        <v>100</v>
      </c>
      <c r="C386" s="31">
        <v>10</v>
      </c>
      <c r="D386" s="106" t="s">
        <v>6</v>
      </c>
      <c r="E386" s="2" t="s">
        <v>146</v>
      </c>
      <c r="F386" s="2"/>
      <c r="G386" s="2"/>
      <c r="H386" s="33"/>
      <c r="I386" s="173">
        <f>M386/AE386</f>
        <v>721.09574979874185</v>
      </c>
      <c r="J386" s="174">
        <f>AH386/AE386</f>
        <v>23.505991271208018</v>
      </c>
      <c r="K386" s="207">
        <f>RANK(I386,$I$76:$I$977)</f>
        <v>311</v>
      </c>
      <c r="L386" s="208">
        <f>RANK(I386,$I$76:$I$450)</f>
        <v>311</v>
      </c>
      <c r="M386" s="173">
        <f>SUM(N386:R386)</f>
        <v>14387.561994454425</v>
      </c>
      <c r="N386" s="174">
        <f>T386*(1+((AG386+IF(F386="백어택",8,0))/100)*((AI386/100-1)))</f>
        <v>14387.561994454425</v>
      </c>
      <c r="O386" s="174"/>
      <c r="P386" s="174"/>
      <c r="Q386" s="174"/>
      <c r="R386" s="175"/>
      <c r="S386" s="173">
        <f>SUM(T386:X386)</f>
        <v>10896.511166074539</v>
      </c>
      <c r="T386" s="174">
        <f>AL386*AW386*AT386*AX386*AY386</f>
        <v>10896.511166074539</v>
      </c>
      <c r="U386" s="174"/>
      <c r="V386" s="174"/>
      <c r="W386" s="174"/>
      <c r="X386" s="175"/>
      <c r="Y386" s="173">
        <f>SUM(Z386:AD386)</f>
        <v>21793.022332149078</v>
      </c>
      <c r="Z386" s="174">
        <f>T386*$D$58/100</f>
        <v>21793.022332149078</v>
      </c>
      <c r="AA386" s="174"/>
      <c r="AB386" s="174"/>
      <c r="AC386" s="174"/>
      <c r="AD386" s="175"/>
      <c r="AE386" s="173">
        <f>AO386*(1-$D$17/100)</f>
        <v>19.952359999999999</v>
      </c>
      <c r="AF386" s="174">
        <f>AP386</f>
        <v>36</v>
      </c>
      <c r="AG386" s="174">
        <f>IF($D$57+AV386&gt;100,100,$D$57+AV386)</f>
        <v>19.001300000000001</v>
      </c>
      <c r="AH386" s="174">
        <f>AQ386*AR386</f>
        <v>469</v>
      </c>
      <c r="AI386" s="174">
        <f>$D$58+$D$19</f>
        <v>268.61079999999998</v>
      </c>
      <c r="AJ386" s="174">
        <f>10/IF(AX386=1,IF(AY386=1,5,6),4)</f>
        <v>2.5</v>
      </c>
      <c r="AK386" s="174">
        <f>SUM(AL386:AN386)</f>
        <v>5675.2662323304885</v>
      </c>
      <c r="AL386" s="174">
        <f>(VLOOKUP(C386,$B$36:$AG$39,7,FALSE)+VLOOKUP(C386,$B$40:$AG$43,7,FALSE)*$D$54)*$D$59/100</f>
        <v>5675.2662323304885</v>
      </c>
      <c r="AM386" s="174"/>
      <c r="AN386" s="174"/>
      <c r="AO386" s="176">
        <v>20</v>
      </c>
      <c r="AP386" s="174">
        <v>36</v>
      </c>
      <c r="AQ386" s="175">
        <f>VLOOKUP(C386,$B$45:$AA$48,7,FALSE)</f>
        <v>469</v>
      </c>
      <c r="AR386" s="31">
        <f>IF(LEFT(E386,1)*1=1,$S$56,$R$56)</f>
        <v>1</v>
      </c>
      <c r="AS386" s="2">
        <f>IF(LEFT(E386,1)*1=2,$U$56,$T$56)</f>
        <v>0</v>
      </c>
      <c r="AT386" s="33">
        <f>IF(LEFT(E386,1)*1=3,$W$56,$V$56)</f>
        <v>1.2</v>
      </c>
      <c r="AU386" s="31">
        <f>IF(MID(E386,3,1)*1=1,$Y$56,$X$56)</f>
        <v>0</v>
      </c>
      <c r="AV386" s="2">
        <f>IF(MID(E386,3,1)*1=2,$AA$56,$Z$56)</f>
        <v>0</v>
      </c>
      <c r="AW386" s="33">
        <f>IF(MID(E386,3,1)*1=3,$AC$56,$AB$56)</f>
        <v>1</v>
      </c>
      <c r="AX386" s="31">
        <f>IF(MID(E386,5,1)*1=1,$AE$56,$AD$56)</f>
        <v>1.6</v>
      </c>
      <c r="AY386" s="33">
        <f>IF(MID(E386,5,1)*1=2,$AG$56,$AF$56)</f>
        <v>1</v>
      </c>
      <c r="AZ386" s="2"/>
      <c r="BA386" s="101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</row>
    <row r="387" spans="1:71" ht="12" customHeight="1">
      <c r="A387" s="2"/>
      <c r="B387" s="107">
        <v>6</v>
      </c>
      <c r="C387" s="31">
        <v>10</v>
      </c>
      <c r="D387" s="106" t="s">
        <v>2</v>
      </c>
      <c r="E387" s="2" t="s">
        <v>103</v>
      </c>
      <c r="F387" s="2"/>
      <c r="G387" s="2" t="s">
        <v>133</v>
      </c>
      <c r="H387" s="33"/>
      <c r="I387" s="173">
        <f>M387/AE387</f>
        <v>720.25736040969696</v>
      </c>
      <c r="J387" s="174">
        <f>AH387/AE387</f>
        <v>39.679447364138717</v>
      </c>
      <c r="K387" s="207">
        <f>RANK(I387,$I$76:$I$977)</f>
        <v>312</v>
      </c>
      <c r="L387" s="208">
        <f>RANK(I387,$I$76:$I$450)</f>
        <v>312</v>
      </c>
      <c r="M387" s="173">
        <f>SUM(N387:R387)</f>
        <v>5028.0762986079117</v>
      </c>
      <c r="N387" s="174">
        <f>T387*(1+((AG387+IF(F387="백어택",8,0))/100)*((AI387/100-1)))</f>
        <v>5028.0762986079117</v>
      </c>
      <c r="O387" s="174"/>
      <c r="P387" s="174"/>
      <c r="Q387" s="174"/>
      <c r="R387" s="175"/>
      <c r="S387" s="173">
        <f>SUM(T387:X387)</f>
        <v>3808.0454181725613</v>
      </c>
      <c r="T387" s="174">
        <f>AL387*AV387*AW387*AY387</f>
        <v>3808.0454181725613</v>
      </c>
      <c r="U387" s="174"/>
      <c r="V387" s="174"/>
      <c r="W387" s="174"/>
      <c r="X387" s="175"/>
      <c r="Y387" s="173">
        <f>SUM(Z387:AD387)</f>
        <v>7616.0908363451226</v>
      </c>
      <c r="Z387" s="174">
        <f>T387*$D$58/100</f>
        <v>7616.0908363451226</v>
      </c>
      <c r="AA387" s="174"/>
      <c r="AB387" s="174"/>
      <c r="AC387" s="174"/>
      <c r="AD387" s="175"/>
      <c r="AE387" s="173">
        <f>AO387*(1-$D$17/100)-AS387</f>
        <v>6.980944</v>
      </c>
      <c r="AF387" s="174"/>
      <c r="AG387" s="174">
        <f>IF($D$57+AT387&gt;100,100,$D$57+AT387)</f>
        <v>19.001300000000001</v>
      </c>
      <c r="AH387" s="174">
        <f>AQ387</f>
        <v>277</v>
      </c>
      <c r="AI387" s="174">
        <f>$D$58+$D$19</f>
        <v>268.61079999999998</v>
      </c>
      <c r="AJ387" s="174">
        <f>10*AY387/12</f>
        <v>0.83333333333333337</v>
      </c>
      <c r="AK387" s="174">
        <f>SUM(AL387:AN387)</f>
        <v>2929.2657062865856</v>
      </c>
      <c r="AL387" s="174">
        <f>(VLOOKUP(C387,$B$36:$AA$39,2,FALSE)+VLOOKUP(C387,$B$40:$AA$43,2,FALSE)*$D$54)*$D$59/100</f>
        <v>2929.2657062865856</v>
      </c>
      <c r="AM387" s="174"/>
      <c r="AN387" s="174"/>
      <c r="AO387" s="176">
        <v>8</v>
      </c>
      <c r="AP387" s="174">
        <v>15</v>
      </c>
      <c r="AQ387" s="175">
        <f>VLOOKUP(C387,$B$45:$AA$48,2,FALSE)</f>
        <v>277</v>
      </c>
      <c r="AR387" s="31">
        <f>IF(LEFT(E387,1)*1=1,$S$52,$R$52)</f>
        <v>0</v>
      </c>
      <c r="AS387" s="2">
        <f>IF(LEFT(E387,1)*1=2,$U$52,$T$52)</f>
        <v>1</v>
      </c>
      <c r="AT387" s="33">
        <f>IF(LEFT(E387,1)*1=3,$W$52,$V$52)</f>
        <v>0</v>
      </c>
      <c r="AU387" s="31">
        <f>IF(MID(E387,3,1)*1=1,$Y$52,$X$52)</f>
        <v>0</v>
      </c>
      <c r="AV387" s="2">
        <f>IF(MID(E387,3,1)*1=2,$AA$52,$Z$52)</f>
        <v>1</v>
      </c>
      <c r="AW387" s="33">
        <f>IF(MID(E387,3,1)*1=3,$AC$52,$AB$52)</f>
        <v>1.3</v>
      </c>
      <c r="AX387" s="31">
        <f>IF(MID(E387,5,1)*1=1,$AE$52,$AD$52)</f>
        <v>0</v>
      </c>
      <c r="AY387" s="33">
        <f>IF(MID(E387,5,1)*1=2,$AG$52,$AF$52)</f>
        <v>1</v>
      </c>
      <c r="AZ387" s="2"/>
      <c r="BA387" s="101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</row>
    <row r="388" spans="1:71" ht="12" customHeight="1">
      <c r="A388" s="2"/>
      <c r="B388" s="107">
        <v>15</v>
      </c>
      <c r="C388" s="31">
        <v>10</v>
      </c>
      <c r="D388" s="106" t="s">
        <v>2</v>
      </c>
      <c r="E388" s="2" t="s">
        <v>108</v>
      </c>
      <c r="F388" s="2"/>
      <c r="G388" s="2" t="s">
        <v>133</v>
      </c>
      <c r="H388" s="33"/>
      <c r="I388" s="173">
        <f>M388/AE388</f>
        <v>720.25736040969696</v>
      </c>
      <c r="J388" s="174">
        <f>AH388/AE388</f>
        <v>39.679447364138717</v>
      </c>
      <c r="K388" s="207">
        <f>RANK(I388,$I$76:$I$977)</f>
        <v>312</v>
      </c>
      <c r="L388" s="208">
        <f>RANK(I388,$I$76:$I$450)</f>
        <v>312</v>
      </c>
      <c r="M388" s="173">
        <f>SUM(N388:R388)</f>
        <v>5028.0762986079117</v>
      </c>
      <c r="N388" s="174">
        <f>T388*(1+((AG388+IF(F388="백어택",8,0))/100)*((AI388/100-1)))</f>
        <v>5028.0762986079117</v>
      </c>
      <c r="O388" s="174"/>
      <c r="P388" s="174"/>
      <c r="Q388" s="174"/>
      <c r="R388" s="175"/>
      <c r="S388" s="173">
        <f>SUM(T388:X388)</f>
        <v>3808.0454181725613</v>
      </c>
      <c r="T388" s="174">
        <f>AL388*AV388*AW388*AY388</f>
        <v>3808.0454181725613</v>
      </c>
      <c r="U388" s="174"/>
      <c r="V388" s="174"/>
      <c r="W388" s="174"/>
      <c r="X388" s="175"/>
      <c r="Y388" s="173">
        <f>SUM(Z388:AD388)</f>
        <v>7616.0908363451226</v>
      </c>
      <c r="Z388" s="174">
        <f>T388*$D$58/100</f>
        <v>7616.0908363451226</v>
      </c>
      <c r="AA388" s="174"/>
      <c r="AB388" s="174"/>
      <c r="AC388" s="174"/>
      <c r="AD388" s="175"/>
      <c r="AE388" s="173">
        <f>AO388*(1-$D$17/100)-AS388</f>
        <v>6.980944</v>
      </c>
      <c r="AF388" s="174"/>
      <c r="AG388" s="174">
        <f>IF($D$57+AT388&gt;100,100,$D$57+AT388)</f>
        <v>19.001300000000001</v>
      </c>
      <c r="AH388" s="174">
        <f>AQ388</f>
        <v>277</v>
      </c>
      <c r="AI388" s="174">
        <f>$D$58+$D$19</f>
        <v>268.61079999999998</v>
      </c>
      <c r="AJ388" s="174">
        <f>10*AY388/12</f>
        <v>0.83333333333333337</v>
      </c>
      <c r="AK388" s="174">
        <f>SUM(AL388:AN388)</f>
        <v>2929.2657062865856</v>
      </c>
      <c r="AL388" s="174">
        <f>(VLOOKUP(C388,$B$36:$AA$39,2,FALSE)+VLOOKUP(C388,$B$40:$AA$43,2,FALSE)*$D$54)*$D$59/100</f>
        <v>2929.2657062865856</v>
      </c>
      <c r="AM388" s="174"/>
      <c r="AN388" s="174"/>
      <c r="AO388" s="176">
        <v>8</v>
      </c>
      <c r="AP388" s="174">
        <v>15</v>
      </c>
      <c r="AQ388" s="175">
        <f>VLOOKUP(C388,$B$45:$AA$48,2,FALSE)</f>
        <v>277</v>
      </c>
      <c r="AR388" s="31">
        <f>IF(LEFT(E388,1)*1=1,$S$52,$R$52)</f>
        <v>0</v>
      </c>
      <c r="AS388" s="2">
        <f>IF(LEFT(E388,1)*1=2,$U$52,$T$52)</f>
        <v>1</v>
      </c>
      <c r="AT388" s="33">
        <f>IF(LEFT(E388,1)*1=3,$W$52,$V$52)</f>
        <v>0</v>
      </c>
      <c r="AU388" s="31">
        <f>IF(MID(E388,3,1)*1=1,$Y$52,$X$52)</f>
        <v>0</v>
      </c>
      <c r="AV388" s="2">
        <f>IF(MID(E388,3,1)*1=2,$AA$52,$Z$52)</f>
        <v>1</v>
      </c>
      <c r="AW388" s="33">
        <f>IF(MID(E388,3,1)*1=3,$AC$52,$AB$52)</f>
        <v>1.3</v>
      </c>
      <c r="AX388" s="31">
        <f>IF(MID(E388,5,1)*1=1,$AE$52,$AD$52)</f>
        <v>0</v>
      </c>
      <c r="AY388" s="33">
        <f>IF(MID(E388,5,1)*1=2,$AG$52,$AF$52)</f>
        <v>1</v>
      </c>
      <c r="AZ388" s="2"/>
      <c r="BA388" s="101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</row>
    <row r="389" spans="1:71" ht="12" customHeight="1">
      <c r="A389" s="2"/>
      <c r="B389" s="107">
        <v>697</v>
      </c>
      <c r="C389" s="31">
        <v>4</v>
      </c>
      <c r="D389" s="111" t="s">
        <v>18</v>
      </c>
      <c r="E389" s="2" t="s">
        <v>87</v>
      </c>
      <c r="F389" s="2" t="s">
        <v>149</v>
      </c>
      <c r="G389" s="2"/>
      <c r="H389" s="33" t="s">
        <v>81</v>
      </c>
      <c r="I389" s="173">
        <f>M389/AE389</f>
        <v>718.83776606812262</v>
      </c>
      <c r="J389" s="174">
        <f>AH389/AE389</f>
        <v>10.765615909171565</v>
      </c>
      <c r="K389" s="207">
        <f>RANK(I389,$I$76:$I$977)</f>
        <v>314</v>
      </c>
      <c r="L389" s="208" t="e">
        <f>RANK(I389,$I$451:$I$866)</f>
        <v>#N/A</v>
      </c>
      <c r="M389" s="173">
        <f>SUM(N389:R389)</f>
        <v>13287.555180720197</v>
      </c>
      <c r="N389" s="174">
        <f>T389*(1+((AG389+IF(F389="백어택",8,0))/100)*(AI389/100-1))</f>
        <v>7931.2446494490996</v>
      </c>
      <c r="O389" s="174">
        <f>U389*(1+(($D$57+IF(F389="백어택",8,0))/100)*(AI389/100-1))</f>
        <v>5356.3105312710977</v>
      </c>
      <c r="P389" s="174"/>
      <c r="Q389" s="174"/>
      <c r="R389" s="175"/>
      <c r="S389" s="173">
        <f>SUM(T389:X389)</f>
        <v>10462.534777770146</v>
      </c>
      <c r="T389" s="174">
        <f>AL389*IF(H389="근접",AT389,IF(AV389=1,AT389,1))*AX389*IF(F389="백어택",1.2,1)</f>
        <v>6245.0106018199021</v>
      </c>
      <c r="U389" s="174">
        <f>IF(AX389=1,AM389*IF(H389="근접",AT389,IF(AV389=1,AT389,1)),0)*AY389*IF(AX389=1,1,0)*IF(F389="백어택",1.2,1)</f>
        <v>4217.5241759502442</v>
      </c>
      <c r="V389" s="174"/>
      <c r="W389" s="174"/>
      <c r="X389" s="175"/>
      <c r="Y389" s="173">
        <f>SUM(Z389:AD389)</f>
        <v>20925.069555540293</v>
      </c>
      <c r="Z389" s="174">
        <f>T389*$D$58/100</f>
        <v>12490.021203639806</v>
      </c>
      <c r="AA389" s="174">
        <f>U389*$D$58/100</f>
        <v>8435.0483519004883</v>
      </c>
      <c r="AB389" s="174"/>
      <c r="AC389" s="174"/>
      <c r="AD389" s="175"/>
      <c r="AE389" s="173">
        <f>(AO389*(1-$D$20/100)*(1-$D$17/100)-AR389)*IF(AW389="보스대상",1,POWER(0.85,AW389))</f>
        <v>18.484776131615998</v>
      </c>
      <c r="AF389" s="174">
        <f>AP389</f>
        <v>36</v>
      </c>
      <c r="AG389" s="174">
        <f>IF($D$57+AU389&gt;100,100,$D$57+AU389)</f>
        <v>19.001300000000001</v>
      </c>
      <c r="AH389" s="174">
        <f>AQ389</f>
        <v>199</v>
      </c>
      <c r="AI389" s="174">
        <f>$D$58</f>
        <v>200</v>
      </c>
      <c r="AJ389" s="174">
        <f>10*AS389/IF(AX389=1,IF(AY389=1,4.5,4),4)</f>
        <v>2.2222222222222223</v>
      </c>
      <c r="AK389" s="174">
        <f>SUM(AL389:AN389)</f>
        <v>7265.6491512292687</v>
      </c>
      <c r="AL389" s="174">
        <f>IF(AV389=1,$D$61*(VLOOKUP(C389,$B$36:$AG$39,25,FALSE)+VLOOKUP(C389,$B$40:$AG$43,25,FALSE)*$D$54),(IF(H389="근접",$D$61*(VLOOKUP(C389,$B$36:$AG$39,25,FALSE)+VLOOKUP(C389,$B$40:$AG$43,25,FALSE)*$D$54),$D$60*(VLOOKUP(C389,$B$36:$AG$39,25,FALSE)+VLOOKUP(C389,$B$40:$AG$43,25,FALSE)*$D$54))))*$D$59/100</f>
        <v>4336.8129179304879</v>
      </c>
      <c r="AM389" s="174">
        <f>(IF(AV389=1,$D$61*(VLOOKUP(C389,$B$36:$AG$39,26,FALSE)+VLOOKUP(C389,$B$40:$AG$43,26,FALSE)*$D$54),IF(H389="근접",$D$61*(VLOOKUP(C389,$B$36:$AG$39,26,FALSE)+VLOOKUP(C389,$B$40:$AG$43,26,FALSE)*$D$54),$D$60*(VLOOKUP(C389,$B$36:$AG$39,26,FALSE)+VLOOKUP(C389,$B$40:$AG$43,26,FALSE)*$D$54))))*$D$59/100</f>
        <v>2928.8362332987808</v>
      </c>
      <c r="AN389" s="174"/>
      <c r="AO389" s="176">
        <v>24</v>
      </c>
      <c r="AP389" s="174">
        <v>36</v>
      </c>
      <c r="AQ389" s="175">
        <f>VLOOKUP(C389,$B$45:$AA$48,25,FALSE)</f>
        <v>199</v>
      </c>
      <c r="AR389" s="31">
        <f>IF(LEFT(E389,1)*1=1,$S$68,$R$68)</f>
        <v>0</v>
      </c>
      <c r="AS389" s="2">
        <f>IF(LEFT(E389,1)*1=2,$U$68,$T$68)</f>
        <v>1</v>
      </c>
      <c r="AT389" s="33">
        <f>IF(LEFT(E389,1)*1=3,$W$68,$V$68)</f>
        <v>1.2</v>
      </c>
      <c r="AU389" s="31">
        <f>IF(MID(E389,3,1)*1=1,$Y$68,$X$68)</f>
        <v>0</v>
      </c>
      <c r="AV389" s="2">
        <f>IF(MID(E389,3,1)*1=2,$AA$68,$Z$68)</f>
        <v>0</v>
      </c>
      <c r="AW389" s="33" t="str">
        <f>IF(MID(E389,3,1)*1=3,$AC$68,$AB$68)</f>
        <v>보스대상</v>
      </c>
      <c r="AX389" s="31">
        <f>IF(MID(E389,5,1)*1=1,$AE$68,$AD$68)</f>
        <v>1</v>
      </c>
      <c r="AY389" s="33">
        <f>IF(MID(E389,5,1)*1=2,$AG$68,$AF$68)</f>
        <v>1</v>
      </c>
      <c r="AZ389" s="2"/>
      <c r="BA389" s="101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</row>
    <row r="390" spans="1:71" ht="12" customHeight="1">
      <c r="A390" s="2"/>
      <c r="B390" s="107">
        <v>27</v>
      </c>
      <c r="C390" s="31">
        <v>7</v>
      </c>
      <c r="D390" s="106" t="s">
        <v>2</v>
      </c>
      <c r="E390" s="2" t="s">
        <v>134</v>
      </c>
      <c r="F390" s="2"/>
      <c r="G390" s="2" t="s">
        <v>133</v>
      </c>
      <c r="H390" s="33"/>
      <c r="I390" s="173">
        <f>M390/AE390</f>
        <v>718.49697832719926</v>
      </c>
      <c r="J390" s="174">
        <f>AH390/AE390</f>
        <v>24.18260296025132</v>
      </c>
      <c r="K390" s="207">
        <f>RANK(I390,$I$76:$I$977)</f>
        <v>315</v>
      </c>
      <c r="L390" s="208">
        <f>RANK(I390,$I$76:$I$450)</f>
        <v>315</v>
      </c>
      <c r="M390" s="173">
        <f>SUM(N390:R390)</f>
        <v>5734.2841481985906</v>
      </c>
      <c r="N390" s="174">
        <f>T390*(1+((AG390+IF(F390="백어택",8,0))/100)*((AI390/100-1)))</f>
        <v>5734.2841481985906</v>
      </c>
      <c r="O390" s="174"/>
      <c r="P390" s="174"/>
      <c r="Q390" s="174"/>
      <c r="R390" s="175"/>
      <c r="S390" s="173">
        <f>SUM(T390:X390)</f>
        <v>3644.7524993543907</v>
      </c>
      <c r="T390" s="174">
        <f>AL390*AV390*AW390*AY390</f>
        <v>3644.7524993543907</v>
      </c>
      <c r="U390" s="174"/>
      <c r="V390" s="174"/>
      <c r="W390" s="174"/>
      <c r="X390" s="175"/>
      <c r="Y390" s="173">
        <f>SUM(Z390:AD390)</f>
        <v>7289.5049987087814</v>
      </c>
      <c r="Z390" s="174">
        <f>T390*$D$58/100</f>
        <v>7289.5049987087814</v>
      </c>
      <c r="AA390" s="174"/>
      <c r="AB390" s="174"/>
      <c r="AC390" s="174"/>
      <c r="AD390" s="175"/>
      <c r="AE390" s="173">
        <f>AO390*(1-$D$17/100)-AS390</f>
        <v>7.980944</v>
      </c>
      <c r="AF390" s="174"/>
      <c r="AG390" s="174">
        <f>IF($D$57+AT390&gt;100,100,$D$57+AT390)</f>
        <v>34.001300000000001</v>
      </c>
      <c r="AH390" s="174">
        <f>AQ390</f>
        <v>193</v>
      </c>
      <c r="AI390" s="174">
        <f>$D$58+$D$19</f>
        <v>268.61079999999998</v>
      </c>
      <c r="AJ390" s="174">
        <f>10*AY390/12</f>
        <v>0.83333333333333337</v>
      </c>
      <c r="AK390" s="174">
        <f>SUM(AL390:AN390)</f>
        <v>2803.6557687341465</v>
      </c>
      <c r="AL390" s="174">
        <f>(VLOOKUP(C390,$B$36:$AA$39,2,FALSE)+VLOOKUP(C390,$B$40:$AA$43,2,FALSE)*$D$54)*$D$59/100</f>
        <v>2803.6557687341465</v>
      </c>
      <c r="AM390" s="174"/>
      <c r="AN390" s="174"/>
      <c r="AO390" s="176">
        <v>8</v>
      </c>
      <c r="AP390" s="174">
        <v>15</v>
      </c>
      <c r="AQ390" s="175">
        <f>VLOOKUP(C390,$B$45:$AA$48,2,FALSE)</f>
        <v>193</v>
      </c>
      <c r="AR390" s="31">
        <f>IF(LEFT(E390,1)*1=1,$S$52,$R$52)</f>
        <v>0</v>
      </c>
      <c r="AS390" s="2">
        <f>IF(LEFT(E390,1)*1=2,$U$52,$T$52)</f>
        <v>0</v>
      </c>
      <c r="AT390" s="33">
        <f>IF(LEFT(E390,1)*1=3,$W$52,$V$52)</f>
        <v>15</v>
      </c>
      <c r="AU390" s="31">
        <f>IF(MID(E390,3,1)*1=1,$Y$52,$X$52)</f>
        <v>0</v>
      </c>
      <c r="AV390" s="2">
        <f>IF(MID(E390,3,1)*1=2,$AA$52,$Z$52)</f>
        <v>1</v>
      </c>
      <c r="AW390" s="33">
        <f>IF(MID(E390,3,1)*1=3,$AC$52,$AB$52)</f>
        <v>1.3</v>
      </c>
      <c r="AX390" s="31">
        <f>IF(MID(E390,5,1)*1=1,$AE$52,$AD$52)</f>
        <v>0</v>
      </c>
      <c r="AY390" s="33">
        <f>IF(MID(E390,5,1)*1=2,$AG$52,$AF$52)</f>
        <v>1</v>
      </c>
      <c r="AZ390" s="2"/>
      <c r="BA390" s="101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</row>
    <row r="391" spans="1:71" ht="12" customHeight="1">
      <c r="A391" s="2"/>
      <c r="B391" s="107">
        <v>235</v>
      </c>
      <c r="C391" s="31">
        <v>7</v>
      </c>
      <c r="D391" s="106" t="s">
        <v>13</v>
      </c>
      <c r="E391" s="2" t="s">
        <v>134</v>
      </c>
      <c r="F391" s="2"/>
      <c r="G391" s="2"/>
      <c r="H391" s="33"/>
      <c r="I391" s="173">
        <f>M391/AE391</f>
        <v>718.31862950806658</v>
      </c>
      <c r="J391" s="174">
        <f>AH391/AE391</f>
        <v>15.161113773007305</v>
      </c>
      <c r="K391" s="207">
        <f>RANK(I391,$I$76:$I$977)</f>
        <v>316</v>
      </c>
      <c r="L391" s="208">
        <f>RANK(I391,$I$76:$I$450)</f>
        <v>316</v>
      </c>
      <c r="M391" s="173">
        <f>SUM(N391:R391)</f>
        <v>17198.58226878188</v>
      </c>
      <c r="N391" s="174">
        <f>T391*(1+((AG391+IF(F391="백어택",8,0))/100)*((AI391/100-1)))</f>
        <v>10300.829143780082</v>
      </c>
      <c r="O391" s="174">
        <f>U391*(1+($D$57/100)*($D$58/100-1))</f>
        <v>6897.7531250018001</v>
      </c>
      <c r="P391" s="174"/>
      <c r="Q391" s="174"/>
      <c r="R391" s="175">
        <f>X391*(1+($D$57/100)*($D$58/100-1))</f>
        <v>0</v>
      </c>
      <c r="S391" s="173">
        <f>SUM(T391:X391)</f>
        <v>10960.142062543902</v>
      </c>
      <c r="T391" s="174">
        <f>AL391*AY391</f>
        <v>5163.774186729268</v>
      </c>
      <c r="U391" s="174">
        <f>AM391*AU391*AW391</f>
        <v>5796.3678758146343</v>
      </c>
      <c r="V391" s="174"/>
      <c r="W391" s="174"/>
      <c r="X391" s="175">
        <f>IF(AU391=1,0,U391*0.625)</f>
        <v>0</v>
      </c>
      <c r="Y391" s="173">
        <f>SUM(Z391:AD391)</f>
        <v>21920.284125087805</v>
      </c>
      <c r="Z391" s="174">
        <f>T391*$D$58/100</f>
        <v>10327.548373458536</v>
      </c>
      <c r="AA391" s="174">
        <f>U391*$D$58/100</f>
        <v>11592.735751629269</v>
      </c>
      <c r="AB391" s="174"/>
      <c r="AC391" s="174"/>
      <c r="AD391" s="175">
        <f>X391*$D$58/100</f>
        <v>0</v>
      </c>
      <c r="AE391" s="173">
        <f>AO391*(1-$D$17/100)</f>
        <v>23.942831999999999</v>
      </c>
      <c r="AF391" s="174">
        <f>AP391</f>
        <v>36</v>
      </c>
      <c r="AG391" s="174">
        <f>IF($D$57+AT391&gt;100,100,$D$57+AT391)</f>
        <v>59.001300000000001</v>
      </c>
      <c r="AH391" s="174">
        <f>AQ391</f>
        <v>363</v>
      </c>
      <c r="AI391" s="174">
        <f>$D$58+$D$19</f>
        <v>268.61079999999998</v>
      </c>
      <c r="AJ391" s="174">
        <f>10/IF(AY391=1,2.5,2)</f>
        <v>4</v>
      </c>
      <c r="AK391" s="174">
        <f>SUM(AL391:AN391)</f>
        <v>8061.9581246365851</v>
      </c>
      <c r="AL391" s="174">
        <f>(VLOOKUP(C391,$B$36:$AG$39,17,FALSE)+VLOOKUP(C391,$B$40:$AG$43,17,FALSE)*$D$54)*$D$59/100</f>
        <v>5163.774186729268</v>
      </c>
      <c r="AM391" s="174">
        <f>(VLOOKUP(C391,$B$36:$AG$39,18,FALSE)+VLOOKUP(C391,$B$40:$AG$43,18,FALSE)*$D$54)*$D$59/100</f>
        <v>2898.1839379073172</v>
      </c>
      <c r="AN391" s="174"/>
      <c r="AO391" s="176">
        <v>24</v>
      </c>
      <c r="AP391" s="174">
        <v>36</v>
      </c>
      <c r="AQ391" s="175">
        <f>VLOOKUP(C391,$B$45:$AA$48,17,FALSE)</f>
        <v>363</v>
      </c>
      <c r="AR391" s="31">
        <f>IF(LEFT(E391,1)*1=1,$S$63,$R$63)</f>
        <v>0</v>
      </c>
      <c r="AS391" s="2">
        <f>IF(LEFT(E391,1)*1=2,$U$63,$T$63)</f>
        <v>0</v>
      </c>
      <c r="AT391" s="33">
        <f>IF(LEFT(E391,1)*1=3,$W$63,$V$63)</f>
        <v>40</v>
      </c>
      <c r="AU391" s="31">
        <f>IF(MID(E391,3,1)*1=1,$Y$63,$X$63)</f>
        <v>1</v>
      </c>
      <c r="AV391" s="2">
        <f>IF(MID(E391,3,1)*1=2,$AA$63,$Z$63)</f>
        <v>0</v>
      </c>
      <c r="AW391" s="33">
        <f>IF(MID(E391,3,1)*1=3,$AC$63,$AB$63)</f>
        <v>2</v>
      </c>
      <c r="AX391" s="31">
        <f>IF(MID(E391,5,1)*1=1,$AE$63,$AD$63)</f>
        <v>0</v>
      </c>
      <c r="AY391" s="33">
        <f>IF(MID(E391,5,1)*1=2,$AG$63,$AF$63)</f>
        <v>1</v>
      </c>
      <c r="AZ391" s="2"/>
      <c r="BA391" s="101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</row>
    <row r="392" spans="1:71" ht="12" customHeight="1">
      <c r="A392" s="2"/>
      <c r="B392" s="107">
        <v>225</v>
      </c>
      <c r="C392" s="31">
        <v>10</v>
      </c>
      <c r="D392" s="106" t="s">
        <v>13</v>
      </c>
      <c r="E392" s="2" t="s">
        <v>139</v>
      </c>
      <c r="F392" s="2"/>
      <c r="G392" s="2"/>
      <c r="H392" s="33"/>
      <c r="I392" s="173">
        <f>M392/AE392</f>
        <v>713.79469888828726</v>
      </c>
      <c r="J392" s="174">
        <f>AH392/AE392</f>
        <v>21.760166048861723</v>
      </c>
      <c r="K392" s="207">
        <f>RANK(I392,$I$76:$I$977)</f>
        <v>317</v>
      </c>
      <c r="L392" s="208">
        <f>RANK(I392,$I$76:$I$450)</f>
        <v>317</v>
      </c>
      <c r="M392" s="173">
        <f>SUM(N392:R392)</f>
        <v>17090.266557972849</v>
      </c>
      <c r="N392" s="174">
        <f>T392*(1+((AG392+IF(F392="백어택",8,0))/100)*((AI392/100-1)))</f>
        <v>9478.489930003816</v>
      </c>
      <c r="O392" s="174">
        <f>U392*(1+($D$57/100)*($D$58/100-1))</f>
        <v>4684.1702325963288</v>
      </c>
      <c r="P392" s="174"/>
      <c r="Q392" s="174"/>
      <c r="R392" s="175">
        <f>X392*(1+($D$57/100)*($D$58/100-1))</f>
        <v>2927.6063953727057</v>
      </c>
      <c r="S392" s="173">
        <f>SUM(T392:X392)</f>
        <v>13574.975429513959</v>
      </c>
      <c r="T392" s="174">
        <f>AL392*AY392</f>
        <v>7178.5943580726944</v>
      </c>
      <c r="U392" s="174">
        <f>AM392*AU392*AW392</f>
        <v>3936.234505502317</v>
      </c>
      <c r="V392" s="174"/>
      <c r="W392" s="174"/>
      <c r="X392" s="175">
        <f>IF(AU392=1,0,U392*0.625)</f>
        <v>2460.1465659389482</v>
      </c>
      <c r="Y392" s="173">
        <f>SUM(Z392:AD392)</f>
        <v>27149.950859027918</v>
      </c>
      <c r="Z392" s="174">
        <f>T392*$D$58/100</f>
        <v>14357.188716145389</v>
      </c>
      <c r="AA392" s="174">
        <f>U392*$D$58/100</f>
        <v>7872.4690110046331</v>
      </c>
      <c r="AB392" s="174"/>
      <c r="AC392" s="174"/>
      <c r="AD392" s="175">
        <f>X392*$D$58/100</f>
        <v>4920.2931318778965</v>
      </c>
      <c r="AE392" s="173">
        <f>AO392*(1-$D$17/100)</f>
        <v>23.942831999999999</v>
      </c>
      <c r="AF392" s="174">
        <f>AP392</f>
        <v>36</v>
      </c>
      <c r="AG392" s="174">
        <f>IF($D$57+AT392&gt;100,100,$D$57+AT392)</f>
        <v>19.001300000000001</v>
      </c>
      <c r="AH392" s="174">
        <f>AQ392</f>
        <v>521</v>
      </c>
      <c r="AI392" s="174">
        <f>$D$58+$D$19</f>
        <v>268.61079999999998</v>
      </c>
      <c r="AJ392" s="174">
        <f>10/IF(AY392=1,2.5,2)</f>
        <v>5</v>
      </c>
      <c r="AK392" s="174">
        <f>SUM(AL392:AN392)</f>
        <v>8425.3120635121941</v>
      </c>
      <c r="AL392" s="174">
        <f>(VLOOKUP(C392,$B$36:$AG$39,17,FALSE)+VLOOKUP(C392,$B$40:$AG$43,17,FALSE)*$D$54)*$D$59/100</f>
        <v>5397.4393669719502</v>
      </c>
      <c r="AM392" s="174">
        <f>(VLOOKUP(C392,$B$36:$AG$39,18,FALSE)+VLOOKUP(C392,$B$40:$AG$43,18,FALSE)*$D$54)*$D$59/100</f>
        <v>3027.8726965402439</v>
      </c>
      <c r="AN392" s="174"/>
      <c r="AO392" s="176">
        <v>24</v>
      </c>
      <c r="AP392" s="174">
        <v>36</v>
      </c>
      <c r="AQ392" s="175">
        <f>VLOOKUP(C392,$B$45:$AA$48,17,FALSE)</f>
        <v>521</v>
      </c>
      <c r="AR392" s="31">
        <f>IF(LEFT(E392,1)*1=1,$S$63,$R$63)</f>
        <v>0</v>
      </c>
      <c r="AS392" s="2">
        <f>IF(LEFT(E392,1)*1=2,$U$63,$T$63)</f>
        <v>0</v>
      </c>
      <c r="AT392" s="33">
        <f>IF(LEFT(E392,1)*1=3,$W$63,$V$63)</f>
        <v>0</v>
      </c>
      <c r="AU392" s="31">
        <f>IF(MID(E392,3,1)*1=1,$Y$63,$X$63)</f>
        <v>1.3</v>
      </c>
      <c r="AV392" s="2">
        <f>IF(MID(E392,3,1)*1=2,$AA$63,$Z$63)</f>
        <v>0</v>
      </c>
      <c r="AW392" s="33">
        <f>IF(MID(E392,3,1)*1=3,$AC$63,$AB$63)</f>
        <v>1</v>
      </c>
      <c r="AX392" s="31">
        <f>IF(MID(E392,5,1)*1=1,$AE$63,$AD$63)</f>
        <v>0</v>
      </c>
      <c r="AY392" s="33">
        <f>IF(MID(E392,5,1)*1=2,$AG$63,$AF$63)</f>
        <v>1.33</v>
      </c>
      <c r="AZ392" s="2"/>
      <c r="BA392" s="101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</row>
    <row r="393" spans="1:71" ht="12" customHeight="1">
      <c r="A393" s="2"/>
      <c r="B393" s="107">
        <v>350</v>
      </c>
      <c r="C393" s="31">
        <v>10</v>
      </c>
      <c r="D393" s="106" t="s">
        <v>20</v>
      </c>
      <c r="E393" s="2" t="s">
        <v>153</v>
      </c>
      <c r="F393" s="2"/>
      <c r="G393" s="2"/>
      <c r="H393" s="33"/>
      <c r="I393" s="173">
        <f>M393/AE393</f>
        <v>710.73392330763522</v>
      </c>
      <c r="J393" s="174">
        <f>AH393/AE393</f>
        <v>29.484277859834549</v>
      </c>
      <c r="K393" s="207">
        <f>RANK(I393,$I$76:$I$977)</f>
        <v>318</v>
      </c>
      <c r="L393" s="208">
        <f>RANK(I393,$I$76:$I$450)</f>
        <v>318</v>
      </c>
      <c r="M393" s="173">
        <f>SUM(N393:R393)</f>
        <v>10630.53542191879</v>
      </c>
      <c r="N393" s="174">
        <f>T393*(1+((AG393+IF(F393="백어택",8,0))/100)*((AI393/100-1)))</f>
        <v>4828.8380924083503</v>
      </c>
      <c r="O393" s="174">
        <f>U393*(1+(($D$57+IF(F393="백어택",8,0))/100)*($D$58/100-1))</f>
        <v>5801.6973295104399</v>
      </c>
      <c r="P393" s="174"/>
      <c r="Q393" s="174"/>
      <c r="R393" s="175"/>
      <c r="S393" s="173">
        <f>SUM(T393:X393)</f>
        <v>8532.4737486280501</v>
      </c>
      <c r="T393" s="174">
        <f>AL393*AV393*IF(F393="백어택",1.2,1)</f>
        <v>3657.1511013036588</v>
      </c>
      <c r="U393" s="174">
        <f>AM393*AX393*AY393*IF(F393="백어택",1.2,1)</f>
        <v>4875.3226473243903</v>
      </c>
      <c r="V393" s="174"/>
      <c r="W393" s="174"/>
      <c r="X393" s="175"/>
      <c r="Y393" s="173">
        <f>SUM(Z393:AD393)</f>
        <v>17064.9474972561</v>
      </c>
      <c r="Z393" s="174">
        <f>T393*$D$58/100</f>
        <v>7314.3022026073177</v>
      </c>
      <c r="AA393" s="174">
        <f>U393*$D$58/100</f>
        <v>9750.6452946487807</v>
      </c>
      <c r="AB393" s="174"/>
      <c r="AC393" s="174"/>
      <c r="AD393" s="175"/>
      <c r="AE393" s="173">
        <f>AO393*(1-$D$17/100)-AR393</f>
        <v>14.957124</v>
      </c>
      <c r="AF393" s="174">
        <f>AP393</f>
        <v>36</v>
      </c>
      <c r="AG393" s="174">
        <f>IF($D$57+AU393&gt;100,100,$D$57+AU393)</f>
        <v>19.001300000000001</v>
      </c>
      <c r="AH393" s="174">
        <f>AQ393*AS393</f>
        <v>441</v>
      </c>
      <c r="AI393" s="174">
        <f>$D$58+$D$19</f>
        <v>268.61079999999998</v>
      </c>
      <c r="AJ393" s="174">
        <f>10*IF(AV393=1,1,5/4.5)/IF(AX393=1,5,3.5)</f>
        <v>3.1746031746031744</v>
      </c>
      <c r="AK393" s="174">
        <f>SUM(AL393:AN393)</f>
        <v>4875.7620578646347</v>
      </c>
      <c r="AL393" s="174">
        <f>(VLOOKUP(C393,$B$36:$AG$39,29,FALSE)+VLOOKUP(C393,$B$40:$AG$43,29,FALSE)*$D$54)*$D$59/100</f>
        <v>2438.1007342024391</v>
      </c>
      <c r="AM393" s="174">
        <f>(VLOOKUP(C393,$B$36:$AG$39,30,FALSE)+VLOOKUP(C393,$B$40:$AG$43,30,FALSE)*$D$54)*$D$59/100</f>
        <v>2437.6613236621952</v>
      </c>
      <c r="AN393" s="174"/>
      <c r="AO393" s="176">
        <v>18</v>
      </c>
      <c r="AP393" s="174">
        <v>36</v>
      </c>
      <c r="AQ393" s="175">
        <f>VLOOKUP(C393,$B$45:$AG$48,29,FALSE)</f>
        <v>441</v>
      </c>
      <c r="AR393" s="31">
        <f>IF(LEFT(E393,1)*1=1,$S$70,$R$70)</f>
        <v>3</v>
      </c>
      <c r="AS393" s="2">
        <f>IF(LEFT(E393,1)*1=2,$U$70,$T$70)</f>
        <v>1</v>
      </c>
      <c r="AT393" s="33">
        <f>IF(LEFT(E393,1)*1=3,$W$70,$V$70)</f>
        <v>0</v>
      </c>
      <c r="AU393" s="31">
        <f>IF(MID(E393,3,1)*1=1,$Y$70,$X$70)</f>
        <v>0</v>
      </c>
      <c r="AV393" s="2">
        <f>IF(MID(E393,3,1)*1=2,$AA$70,$Z$70)</f>
        <v>1.5</v>
      </c>
      <c r="AW393" s="33">
        <f>IF(MID(E393,3,1)*1=3,$AC$70,$AB$70)</f>
        <v>0</v>
      </c>
      <c r="AX393" s="31">
        <f>IF(MID(E393,5,1)*1=1,$AE$70,$AD$70)</f>
        <v>2</v>
      </c>
      <c r="AY393" s="33">
        <f>IF(MID(E393,5,1)*1=2,$AG$70,$AF$70)</f>
        <v>1</v>
      </c>
      <c r="AZ393" s="2"/>
      <c r="BA393" s="101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</row>
    <row r="394" spans="1:71" ht="12" customHeight="1">
      <c r="A394" s="2"/>
      <c r="B394" s="107">
        <v>359</v>
      </c>
      <c r="C394" s="31">
        <v>10</v>
      </c>
      <c r="D394" s="106" t="s">
        <v>20</v>
      </c>
      <c r="E394" s="2" t="s">
        <v>154</v>
      </c>
      <c r="F394" s="2"/>
      <c r="G394" s="2"/>
      <c r="H394" s="33"/>
      <c r="I394" s="173">
        <f>M394/AE394</f>
        <v>710.73392330763522</v>
      </c>
      <c r="J394" s="174">
        <f>AH394/AE394</f>
        <v>29.484277859834549</v>
      </c>
      <c r="K394" s="207">
        <f>RANK(I394,$I$76:$I$977)</f>
        <v>318</v>
      </c>
      <c r="L394" s="208">
        <f>RANK(I394,$I$76:$I$450)</f>
        <v>318</v>
      </c>
      <c r="M394" s="173">
        <f>SUM(N394:R394)</f>
        <v>10630.53542191879</v>
      </c>
      <c r="N394" s="174">
        <f>T394*(1+((AG394+IF(F394="백어택",8,0))/100)*((AI394/100-1)))</f>
        <v>4828.8380924083503</v>
      </c>
      <c r="O394" s="174">
        <f>U394*(1+(($D$57+IF(F394="백어택",8,0))/100)*($D$58/100-1))</f>
        <v>5801.6973295104399</v>
      </c>
      <c r="P394" s="174"/>
      <c r="Q394" s="174"/>
      <c r="R394" s="175"/>
      <c r="S394" s="173">
        <f>SUM(T394:X394)</f>
        <v>8532.4737486280501</v>
      </c>
      <c r="T394" s="174">
        <f>AL394*AV394*IF(F394="백어택",1.2,1)</f>
        <v>3657.1511013036588</v>
      </c>
      <c r="U394" s="174">
        <f>AM394*AX394*AY394*IF(F394="백어택",1.2,1)</f>
        <v>4875.3226473243903</v>
      </c>
      <c r="V394" s="174"/>
      <c r="W394" s="174"/>
      <c r="X394" s="175"/>
      <c r="Y394" s="173">
        <f>SUM(Z394:AD394)</f>
        <v>17064.9474972561</v>
      </c>
      <c r="Z394" s="174">
        <f>T394*$D$58/100</f>
        <v>7314.3022026073177</v>
      </c>
      <c r="AA394" s="174">
        <f>U394*$D$58/100</f>
        <v>9750.6452946487807</v>
      </c>
      <c r="AB394" s="174"/>
      <c r="AC394" s="174"/>
      <c r="AD394" s="175"/>
      <c r="AE394" s="173">
        <f>AO394*(1-$D$17/100)-AR394</f>
        <v>14.957124</v>
      </c>
      <c r="AF394" s="174">
        <f>AP394</f>
        <v>36</v>
      </c>
      <c r="AG394" s="174">
        <f>IF($D$57+AU394&gt;100,100,$D$57+AU394)</f>
        <v>19.001300000000001</v>
      </c>
      <c r="AH394" s="174">
        <f>AQ394*AS394</f>
        <v>441</v>
      </c>
      <c r="AI394" s="174">
        <f>$D$58+$D$19</f>
        <v>268.61079999999998</v>
      </c>
      <c r="AJ394" s="174">
        <f>10*IF(AV394=1,1,5/4.5)/IF(AX394=1,5,3.5)</f>
        <v>2.2222222222222223</v>
      </c>
      <c r="AK394" s="174">
        <f>SUM(AL394:AN394)</f>
        <v>4875.7620578646347</v>
      </c>
      <c r="AL394" s="174">
        <f>(VLOOKUP(C394,$B$36:$AG$39,29,FALSE)+VLOOKUP(C394,$B$40:$AG$43,29,FALSE)*$D$54)*$D$59/100</f>
        <v>2438.1007342024391</v>
      </c>
      <c r="AM394" s="174">
        <f>(VLOOKUP(C394,$B$36:$AG$39,30,FALSE)+VLOOKUP(C394,$B$40:$AG$43,30,FALSE)*$D$54)*$D$59/100</f>
        <v>2437.6613236621952</v>
      </c>
      <c r="AN394" s="174"/>
      <c r="AO394" s="176">
        <v>18</v>
      </c>
      <c r="AP394" s="174">
        <v>36</v>
      </c>
      <c r="AQ394" s="175">
        <f>VLOOKUP(C394,$B$45:$AG$48,29,FALSE)</f>
        <v>441</v>
      </c>
      <c r="AR394" s="31">
        <f>IF(LEFT(E394,1)*1=1,$S$70,$R$70)</f>
        <v>3</v>
      </c>
      <c r="AS394" s="2">
        <f>IF(LEFT(E394,1)*1=2,$U$70,$T$70)</f>
        <v>1</v>
      </c>
      <c r="AT394" s="33">
        <f>IF(LEFT(E394,1)*1=3,$W$70,$V$70)</f>
        <v>0</v>
      </c>
      <c r="AU394" s="31">
        <f>IF(MID(E394,3,1)*1=1,$Y$70,$X$70)</f>
        <v>0</v>
      </c>
      <c r="AV394" s="2">
        <f>IF(MID(E394,3,1)*1=2,$AA$70,$Z$70)</f>
        <v>1.5</v>
      </c>
      <c r="AW394" s="33">
        <f>IF(MID(E394,3,1)*1=3,$AC$70,$AB$70)</f>
        <v>0</v>
      </c>
      <c r="AX394" s="31">
        <f>IF(MID(E394,5,1)*1=1,$AE$70,$AD$70)</f>
        <v>1</v>
      </c>
      <c r="AY394" s="33">
        <f>IF(MID(E394,5,1)*1=2,$AG$70,$AF$70)</f>
        <v>2</v>
      </c>
      <c r="AZ394" s="2"/>
      <c r="BA394" s="101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</row>
    <row r="395" spans="1:71" ht="12" customHeight="1">
      <c r="A395" s="2"/>
      <c r="B395" s="107">
        <v>493</v>
      </c>
      <c r="C395" s="31">
        <v>10</v>
      </c>
      <c r="D395" s="111" t="s">
        <v>14</v>
      </c>
      <c r="E395" s="2" t="s">
        <v>98</v>
      </c>
      <c r="F395" s="2"/>
      <c r="G395" s="2"/>
      <c r="H395" s="33" t="s">
        <v>81</v>
      </c>
      <c r="I395" s="173">
        <f>M395/AE395</f>
        <v>710.12708091914021</v>
      </c>
      <c r="J395" s="174">
        <f>AH395/AE395</f>
        <v>23.695174714659018</v>
      </c>
      <c r="K395" s="207">
        <f>RANK(I395,$I$76:$I$977)</f>
        <v>320</v>
      </c>
      <c r="L395" s="208" t="e">
        <f>RANK(I395,$I$451:$I$866)</f>
        <v>#N/A</v>
      </c>
      <c r="M395" s="173">
        <f>SUM(N395:R395)</f>
        <v>19689.810173682403</v>
      </c>
      <c r="N395" s="174">
        <f>T395*(1+((AG395+IF(F395="백어택",8,0))/100)*(AI395/100-1))</f>
        <v>5576.0558654226006</v>
      </c>
      <c r="O395" s="174">
        <f>U395*(1+((AG395+IF(F395="백어택",8,0))/100)*(AI395/100-1))</f>
        <v>5576.0558654226006</v>
      </c>
      <c r="P395" s="174">
        <f>V395*(1+((AG395+IF(F395="백어택",8,0))/100)*(AI395*IF(AX395=1,AW395,1)/100-1))</f>
        <v>8537.6984428372034</v>
      </c>
      <c r="Q395" s="174">
        <f>W395*(1+((AG395+IF(F395="백어택",8,0))/100)*(AI395*AW395/100-1))</f>
        <v>0</v>
      </c>
      <c r="R395" s="175"/>
      <c r="S395" s="173">
        <f>SUM(T395:X395)</f>
        <v>14542.232699282926</v>
      </c>
      <c r="T395" s="174">
        <f>AL395*AY395*IF(F395="백어택",1.2,1)</f>
        <v>4339.2772369778049</v>
      </c>
      <c r="U395" s="174">
        <f>AM395*AY395*IF(F395="백어택",1.2,1)</f>
        <v>4339.2772369778049</v>
      </c>
      <c r="V395" s="174">
        <f>AN395*AY395*IF(F395="백어택",1.2,1)</f>
        <v>5863.6782253273168</v>
      </c>
      <c r="W395" s="174">
        <f>(T395+U395+V395)*IF(AX395=1,0,0.6)*IF(F395="백어택",1.2,1)</f>
        <v>0</v>
      </c>
      <c r="X395" s="175"/>
      <c r="Y395" s="173">
        <f>SUM(Z395:AD395)</f>
        <v>41632.892151001906</v>
      </c>
      <c r="Z395" s="174">
        <f>T395*AI395/100</f>
        <v>10848.193092444513</v>
      </c>
      <c r="AA395" s="174">
        <f>U395*AI395/100</f>
        <v>10848.193092444513</v>
      </c>
      <c r="AB395" s="174">
        <f>V395*AI395*IF(AX395=1,AW395,1)/100</f>
        <v>19936.50596611288</v>
      </c>
      <c r="AC395" s="174">
        <f>W395*AI395*AW395/100</f>
        <v>0</v>
      </c>
      <c r="AD395" s="175"/>
      <c r="AE395" s="173">
        <f>AO395*(1-$D$20/100)*(1-$D$17/100)</f>
        <v>27.727164197424003</v>
      </c>
      <c r="AF395" s="174">
        <f>AP395</f>
        <v>36</v>
      </c>
      <c r="AG395" s="174">
        <f>IF($D$57+AU395&gt;100,100,$D$57+AU395)</f>
        <v>19.001300000000001</v>
      </c>
      <c r="AH395" s="174">
        <f>AQ395*AS395</f>
        <v>657</v>
      </c>
      <c r="AI395" s="174">
        <f>$D$58+IF(H395="근접",AR395,0)+IF(AY395=1,0,50)</f>
        <v>250</v>
      </c>
      <c r="AJ395" s="174">
        <f>10/3</f>
        <v>3.3333333333333335</v>
      </c>
      <c r="AK395" s="174">
        <f>SUM(AL395:AN395)</f>
        <v>12118.527249402439</v>
      </c>
      <c r="AL395" s="174">
        <f>(IF(H395="근접",$D$61*(VLOOKUP(C395,$B$36:$AG$39,19,FALSE)+VLOOKUP(C395,$B$40:$AG$43,19,FALSE)*$D$54),$D$60*(VLOOKUP(C395,$B$36:$AG$39,19,FALSE)+VLOOKUP(C395,$B$40:$AG$43,19,FALSE)*$D$54)))*$D$59/100</f>
        <v>3616.0643641481706</v>
      </c>
      <c r="AM395" s="174">
        <f>(IF(H395="근접",$D$61*(VLOOKUP(C395,$B$36:$AG$39,20,FALSE)+VLOOKUP(C395,$B$40:$AG$43,20,FALSE)*$D$54),$D$60*(VLOOKUP(C395,$B$36:$AG$39,20,FALSE)+VLOOKUP(C395,$B$40:$AG$43,20,FALSE)*$D$54)))*$D$59/100</f>
        <v>3616.0643641481706</v>
      </c>
      <c r="AN395" s="174">
        <f>(IF(H395="근접",$D$61*(VLOOKUP(C395,$B$36:$AG$39,21,FALSE)+VLOOKUP(C395,$B$40:$AG$43,21,FALSE)*$D$54),$D$60*(VLOOKUP(C395,$B$36:$AG$39,21,FALSE)+VLOOKUP(C395,$B$40:$AG$43,21,FALSE)*$D$54)))*$D$59/100</f>
        <v>4886.3985211060972</v>
      </c>
      <c r="AO395" s="176">
        <v>36</v>
      </c>
      <c r="AP395" s="174">
        <v>36</v>
      </c>
      <c r="AQ395" s="175">
        <f>VLOOKUP(C395,$B$45:$AA$48,19,FALSE)</f>
        <v>657</v>
      </c>
      <c r="AR395" s="31">
        <f>IF(LEFT(E395,1)*1=1,$S$64,$R$64)</f>
        <v>0</v>
      </c>
      <c r="AS395" s="2">
        <f>IF(LEFT(E395,1)*1=2,$U$64,$T$64)</f>
        <v>1</v>
      </c>
      <c r="AT395" s="33">
        <f>IF(LEFT(E395,1)*1=3,$W$64,$V$64)</f>
        <v>0</v>
      </c>
      <c r="AU395" s="31">
        <f>IF(MID(E395,3,1)*1=1,$Y$64,$X$64)</f>
        <v>0</v>
      </c>
      <c r="AV395" s="2">
        <f>IF(MID(E395,3,1)*1=2,$AA$64,$Z$64)</f>
        <v>0</v>
      </c>
      <c r="AW395" s="33">
        <f>IF(MID(E395,3,1)*1=3,$AC$64,$AB$64)</f>
        <v>1.36</v>
      </c>
      <c r="AX395" s="31">
        <f>IF(MID(E395,5,1)*1=1,$AE$64,$AD$64)</f>
        <v>1</v>
      </c>
      <c r="AY395" s="33">
        <f>IF(MID(E395,5,1)*1=2,$AG$64,$AF$64)</f>
        <v>1.2</v>
      </c>
      <c r="AZ395" s="2"/>
      <c r="BA395" s="101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</row>
    <row r="396" spans="1:71" ht="12" customHeight="1">
      <c r="A396" s="2"/>
      <c r="B396" s="107">
        <v>499</v>
      </c>
      <c r="C396" s="31">
        <v>10</v>
      </c>
      <c r="D396" s="111" t="s">
        <v>14</v>
      </c>
      <c r="E396" s="2" t="s">
        <v>108</v>
      </c>
      <c r="F396" s="2"/>
      <c r="G396" s="2"/>
      <c r="H396" s="33" t="s">
        <v>81</v>
      </c>
      <c r="I396" s="173">
        <f>M396/AE396</f>
        <v>710.12708091914021</v>
      </c>
      <c r="J396" s="174">
        <f>AH396/AE396</f>
        <v>11.847587357329509</v>
      </c>
      <c r="K396" s="207">
        <f>RANK(I396,$I$76:$I$977)</f>
        <v>320</v>
      </c>
      <c r="L396" s="208" t="e">
        <f>RANK(I396,$I$451:$I$866)</f>
        <v>#N/A</v>
      </c>
      <c r="M396" s="173">
        <f>SUM(N396:R396)</f>
        <v>19689.810173682403</v>
      </c>
      <c r="N396" s="174">
        <f>T396*(1+((AG396+IF(F396="백어택",8,0))/100)*(AI396/100-1))</f>
        <v>5576.0558654226006</v>
      </c>
      <c r="O396" s="174">
        <f>U396*(1+((AG396+IF(F396="백어택",8,0))/100)*(AI396/100-1))</f>
        <v>5576.0558654226006</v>
      </c>
      <c r="P396" s="174">
        <f>V396*(1+((AG396+IF(F396="백어택",8,0))/100)*(AI396*IF(AX396=1,AW396,1)/100-1))</f>
        <v>8537.6984428372034</v>
      </c>
      <c r="Q396" s="174">
        <f>W396*(1+((AG396+IF(F396="백어택",8,0))/100)*(AI396*AW396/100-1))</f>
        <v>0</v>
      </c>
      <c r="R396" s="175"/>
      <c r="S396" s="173">
        <f>SUM(T396:X396)</f>
        <v>14542.232699282926</v>
      </c>
      <c r="T396" s="174">
        <f>AL396*AY396*IF(F396="백어택",1.2,1)</f>
        <v>4339.2772369778049</v>
      </c>
      <c r="U396" s="174">
        <f>AM396*AY396*IF(F396="백어택",1.2,1)</f>
        <v>4339.2772369778049</v>
      </c>
      <c r="V396" s="174">
        <f>AN396*AY396*IF(F396="백어택",1.2,1)</f>
        <v>5863.6782253273168</v>
      </c>
      <c r="W396" s="174">
        <f>(T396+U396+V396)*IF(AX396=1,0,0.6)*IF(F396="백어택",1.2,1)</f>
        <v>0</v>
      </c>
      <c r="X396" s="175"/>
      <c r="Y396" s="173">
        <f>SUM(Z396:AD396)</f>
        <v>41632.892151001906</v>
      </c>
      <c r="Z396" s="174">
        <f>T396*AI396/100</f>
        <v>10848.193092444513</v>
      </c>
      <c r="AA396" s="174">
        <f>U396*AI396/100</f>
        <v>10848.193092444513</v>
      </c>
      <c r="AB396" s="174">
        <f>V396*AI396*IF(AX396=1,AW396,1)/100</f>
        <v>19936.50596611288</v>
      </c>
      <c r="AC396" s="174">
        <f>W396*AI396*AW396/100</f>
        <v>0</v>
      </c>
      <c r="AD396" s="175"/>
      <c r="AE396" s="173">
        <f>AO396*(1-$D$20/100)*(1-$D$17/100)</f>
        <v>27.727164197424003</v>
      </c>
      <c r="AF396" s="174">
        <f>AP396</f>
        <v>36</v>
      </c>
      <c r="AG396" s="174">
        <f>IF($D$57+AU396&gt;100,100,$D$57+AU396)</f>
        <v>19.001300000000001</v>
      </c>
      <c r="AH396" s="174">
        <f>AQ396*AS396</f>
        <v>328.5</v>
      </c>
      <c r="AI396" s="174">
        <f>$D$58+IF(H396="근접",AR396,0)+IF(AY396=1,0,50)</f>
        <v>250</v>
      </c>
      <c r="AJ396" s="174">
        <f>10/3</f>
        <v>3.3333333333333335</v>
      </c>
      <c r="AK396" s="174">
        <f>SUM(AL396:AN396)</f>
        <v>12118.527249402439</v>
      </c>
      <c r="AL396" s="174">
        <f>(IF(H396="근접",$D$61*(VLOOKUP(C396,$B$36:$AG$39,19,FALSE)+VLOOKUP(C396,$B$40:$AG$43,19,FALSE)*$D$54),$D$60*(VLOOKUP(C396,$B$36:$AG$39,19,FALSE)+VLOOKUP(C396,$B$40:$AG$43,19,FALSE)*$D$54)))*$D$59/100</f>
        <v>3616.0643641481706</v>
      </c>
      <c r="AM396" s="174">
        <f>(IF(H396="근접",$D$61*(VLOOKUP(C396,$B$36:$AG$39,20,FALSE)+VLOOKUP(C396,$B$40:$AG$43,20,FALSE)*$D$54),$D$60*(VLOOKUP(C396,$B$36:$AG$39,20,FALSE)+VLOOKUP(C396,$B$40:$AG$43,20,FALSE)*$D$54)))*$D$59/100</f>
        <v>3616.0643641481706</v>
      </c>
      <c r="AN396" s="174">
        <f>(IF(H396="근접",$D$61*(VLOOKUP(C396,$B$36:$AG$39,21,FALSE)+VLOOKUP(C396,$B$40:$AG$43,21,FALSE)*$D$54),$D$60*(VLOOKUP(C396,$B$36:$AG$39,21,FALSE)+VLOOKUP(C396,$B$40:$AG$43,21,FALSE)*$D$54)))*$D$59/100</f>
        <v>4886.3985211060972</v>
      </c>
      <c r="AO396" s="176">
        <v>36</v>
      </c>
      <c r="AP396" s="174">
        <v>36</v>
      </c>
      <c r="AQ396" s="175">
        <f>VLOOKUP(C396,$B$45:$AA$48,19,FALSE)</f>
        <v>657</v>
      </c>
      <c r="AR396" s="31">
        <f>IF(LEFT(E396,1)*1=1,$S$64,$R$64)</f>
        <v>0</v>
      </c>
      <c r="AS396" s="2">
        <f>IF(LEFT(E396,1)*1=2,$U$64,$T$64)</f>
        <v>0.5</v>
      </c>
      <c r="AT396" s="33">
        <f>IF(LEFT(E396,1)*1=3,$W$64,$V$64)</f>
        <v>0</v>
      </c>
      <c r="AU396" s="31">
        <f>IF(MID(E396,3,1)*1=1,$Y$64,$X$64)</f>
        <v>0</v>
      </c>
      <c r="AV396" s="2">
        <f>IF(MID(E396,3,1)*1=2,$AA$64,$Z$64)</f>
        <v>0</v>
      </c>
      <c r="AW396" s="33">
        <f>IF(MID(E396,3,1)*1=3,$AC$64,$AB$64)</f>
        <v>1.36</v>
      </c>
      <c r="AX396" s="31">
        <f>IF(MID(E396,5,1)*1=1,$AE$64,$AD$64)</f>
        <v>1</v>
      </c>
      <c r="AY396" s="33">
        <f>IF(MID(E396,5,1)*1=2,$AG$64,$AF$64)</f>
        <v>1.2</v>
      </c>
      <c r="AZ396" s="2"/>
      <c r="BA396" s="101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</row>
    <row r="397" spans="1:71" ht="12" customHeight="1">
      <c r="A397" s="2"/>
      <c r="B397" s="107">
        <v>469</v>
      </c>
      <c r="C397" s="31">
        <v>10</v>
      </c>
      <c r="D397" s="111" t="s">
        <v>11</v>
      </c>
      <c r="E397" s="2" t="s">
        <v>153</v>
      </c>
      <c r="F397" s="2"/>
      <c r="G397" s="2"/>
      <c r="H397" s="33">
        <f>IF(AX397=1,5,1)</f>
        <v>1</v>
      </c>
      <c r="I397" s="173">
        <f>M397/AE397</f>
        <v>706.95678638370316</v>
      </c>
      <c r="J397" s="174">
        <f>AH397/AE397</f>
        <v>32.696397631322085</v>
      </c>
      <c r="K397" s="207">
        <f>RANK(I397,$I$76:$I$977)</f>
        <v>322</v>
      </c>
      <c r="L397" s="208" t="e">
        <f>RANK(I397,$I$451:$I$866)</f>
        <v>#N/A</v>
      </c>
      <c r="M397" s="173">
        <f>SUM(N397:R397)</f>
        <v>12800.138481868267</v>
      </c>
      <c r="N397" s="174">
        <f>T397*(1+(AG397/100)*(AI397/100-1))</f>
        <v>11638.605014525428</v>
      </c>
      <c r="O397" s="174">
        <f>U397*(1+(AG397/100)*(AI397/100-1))</f>
        <v>1161.5334673428379</v>
      </c>
      <c r="P397" s="174"/>
      <c r="Q397" s="174"/>
      <c r="R397" s="175"/>
      <c r="S397" s="173">
        <f>T397</f>
        <v>9780.2335054536616</v>
      </c>
      <c r="T397" s="174">
        <f>H397*AL397*AX397</f>
        <v>9780.2335054536616</v>
      </c>
      <c r="U397" s="174">
        <f>AM397*AV397</f>
        <v>976.06788105914632</v>
      </c>
      <c r="V397" s="174"/>
      <c r="W397" s="174"/>
      <c r="X397" s="175"/>
      <c r="Y397" s="173">
        <f>SUM(Z397:AD397)</f>
        <v>21512.602773025617</v>
      </c>
      <c r="Z397" s="174">
        <f>T397*$D$58/100</f>
        <v>19560.467010907323</v>
      </c>
      <c r="AA397" s="174">
        <f>U397*$D$58/100</f>
        <v>1952.1357621182926</v>
      </c>
      <c r="AB397" s="174"/>
      <c r="AC397" s="174"/>
      <c r="AD397" s="175"/>
      <c r="AE397" s="173">
        <f>AO397*(1-$D$20/100)*(1-$D$17/100)-AR397</f>
        <v>18.105970164519999</v>
      </c>
      <c r="AF397" s="174">
        <f>AP397</f>
        <v>36</v>
      </c>
      <c r="AG397" s="174">
        <f>IF($D$57+AS397&gt;100,100,$D$57+AS397)</f>
        <v>19.001300000000001</v>
      </c>
      <c r="AH397" s="174">
        <f>AQ397</f>
        <v>592</v>
      </c>
      <c r="AI397" s="174">
        <f>$D$58</f>
        <v>200</v>
      </c>
      <c r="AJ397" s="174">
        <f>10/IF(AX397=1,7,6)</f>
        <v>1.6666666666666667</v>
      </c>
      <c r="AK397" s="174">
        <f>SUM(AL397:AN397)</f>
        <v>2280.7508382817077</v>
      </c>
      <c r="AL397" s="174">
        <f>(VLOOKUP(C397,$B$36:$AG$39,14,FALSE)+VLOOKUP(C397,$B$40:$AG$43,14,FALSE)*$D$54)*$D$59/100</f>
        <v>1630.0389175756102</v>
      </c>
      <c r="AM397" s="174">
        <f>(VLOOKUP(C397,$B$36:$AG$39,15,FALSE)+VLOOKUP(C397,$B$40:$AG$43,15,FALSE)*$D$54)*$D$59/100</f>
        <v>650.71192070609754</v>
      </c>
      <c r="AN397" s="174"/>
      <c r="AO397" s="176">
        <v>30</v>
      </c>
      <c r="AP397" s="174">
        <v>36</v>
      </c>
      <c r="AQ397" s="175">
        <f>VLOOKUP(C397,$B$45:$AA$48,14,FALSE)</f>
        <v>592</v>
      </c>
      <c r="AR397" s="31">
        <f>IF(LEFT(E397,1)*1=1,$S$61,$R$61)</f>
        <v>5</v>
      </c>
      <c r="AS397" s="2">
        <f>IF(LEFT(E397,1)*1=2,$U$61,$T$61)</f>
        <v>0</v>
      </c>
      <c r="AT397" s="33">
        <f>IF(LEFT(E397,1)*1=3,$W$61,$V$61)</f>
        <v>0</v>
      </c>
      <c r="AU397" s="31">
        <f>IF(MID(E397,3,1)*1=1,$Y$61,$X$61)</f>
        <v>0</v>
      </c>
      <c r="AV397" s="2">
        <f>IF(MID(E397,3,1)*1=2,$AA$61,$Z$61)</f>
        <v>1.5</v>
      </c>
      <c r="AW397" s="33">
        <f>IF(MID(E397,3,1)*1=3,$AC$61,$AB$61)</f>
        <v>0</v>
      </c>
      <c r="AX397" s="31">
        <f>IF(MID(E397,5,1)*1=1,$AE$61,$AD$61)</f>
        <v>6</v>
      </c>
      <c r="AY397" s="33">
        <f>IF(MID(E397,5,1)*1=2,$AG$61,$AF$61)</f>
        <v>0</v>
      </c>
      <c r="AZ397" s="2"/>
      <c r="BA397" s="101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</row>
    <row r="398" spans="1:71" ht="12" customHeight="1">
      <c r="A398" s="2"/>
      <c r="B398" s="107">
        <v>649</v>
      </c>
      <c r="C398" s="31">
        <v>10</v>
      </c>
      <c r="D398" s="111" t="s">
        <v>18</v>
      </c>
      <c r="E398" s="2" t="s">
        <v>170</v>
      </c>
      <c r="F398" s="2"/>
      <c r="G398" s="2"/>
      <c r="H398" s="33" t="s">
        <v>80</v>
      </c>
      <c r="I398" s="173">
        <f>M398/AE398</f>
        <v>705.83622360004097</v>
      </c>
      <c r="J398" s="174">
        <f>AH398/AE398</f>
        <v>28.185356224514496</v>
      </c>
      <c r="K398" s="207">
        <f>RANK(I398,$I$76:$I$977)</f>
        <v>323</v>
      </c>
      <c r="L398" s="208" t="e">
        <f>RANK(I398,$I$451:$I$866)</f>
        <v>#N/A</v>
      </c>
      <c r="M398" s="173">
        <f>SUM(N398:R398)</f>
        <v>13047.224578832011</v>
      </c>
      <c r="N398" s="174">
        <f>T398*(1+((AG398+IF(F398="백어택",8,0))/100)*(AI398/100-1))</f>
        <v>5188.0808385736209</v>
      </c>
      <c r="O398" s="174">
        <f>U398*(1+(($D$57+IF(F398="백어택",8,0))/100)*(AI398/100-1))</f>
        <v>7859.1437402583897</v>
      </c>
      <c r="P398" s="174"/>
      <c r="Q398" s="174"/>
      <c r="R398" s="175"/>
      <c r="S398" s="173">
        <f>SUM(T398:X398)</f>
        <v>9867.1675692243916</v>
      </c>
      <c r="T398" s="174">
        <f>AL398*IF(H398="근접",AT398,IF(AV398=1,AT398,1))*AX398*IF(F398="백어택",1.2,1)</f>
        <v>3262.9172456914639</v>
      </c>
      <c r="U398" s="174">
        <f>IF(AX398=1,AM398*IF(H398="근접",AT398,IF(AV398=1,AT398,1)),0)*AY398*IF(AX398=1,1,0)*IF(F398="백어택",1.2,1)</f>
        <v>6604.2503235329277</v>
      </c>
      <c r="V398" s="174"/>
      <c r="W398" s="174"/>
      <c r="X398" s="175"/>
      <c r="Y398" s="173">
        <f>SUM(Z398:AD398)</f>
        <v>19734.335138448783</v>
      </c>
      <c r="Z398" s="174">
        <f>T398*$D$58/100</f>
        <v>6525.8344913829278</v>
      </c>
      <c r="AA398" s="174">
        <f>U398*$D$58/100</f>
        <v>13208.500647065855</v>
      </c>
      <c r="AB398" s="174"/>
      <c r="AC398" s="174"/>
      <c r="AD398" s="175"/>
      <c r="AE398" s="173">
        <f>(AO398*(1-$D$20/100)*(1-$D$17/100)-AR398)*IF(AW398="보스대상",1,POWER(0.85,AW398))</f>
        <v>18.484776131615998</v>
      </c>
      <c r="AF398" s="174">
        <f>AP398</f>
        <v>36</v>
      </c>
      <c r="AG398" s="174">
        <f>IF($D$57+AU398&gt;100,100,$D$57+AU398)</f>
        <v>59.001300000000001</v>
      </c>
      <c r="AH398" s="174">
        <f>AQ398</f>
        <v>521</v>
      </c>
      <c r="AI398" s="174">
        <f>$D$58</f>
        <v>200</v>
      </c>
      <c r="AJ398" s="174">
        <f>10*AS398/IF(AX398=1,IF(AY398=1,4.5,4),4)</f>
        <v>2</v>
      </c>
      <c r="AK398" s="174">
        <f>SUM(AL398:AN398)</f>
        <v>5464.3340202024392</v>
      </c>
      <c r="AL398" s="174">
        <f>IF(AV398=1,$D$61*(VLOOKUP(C398,$B$36:$AG$39,25,FALSE)+VLOOKUP(C398,$B$40:$AG$43,25,FALSE)*$D$54),(IF(H398="근접",$D$61*(VLOOKUP(C398,$B$36:$AG$39,25,FALSE)+VLOOKUP(C398,$B$40:$AG$43,25,FALSE)*$D$54),$D$60*(VLOOKUP(C398,$B$36:$AG$39,25,FALSE)+VLOOKUP(C398,$B$40:$AG$43,25,FALSE)*$D$54))))*$D$59/100</f>
        <v>3262.9172456914639</v>
      </c>
      <c r="AM398" s="174">
        <f>(IF(AV398=1,$D$61*(VLOOKUP(C398,$B$36:$AG$39,26,FALSE)+VLOOKUP(C398,$B$40:$AG$43,26,FALSE)*$D$54),IF(H398="근접",$D$61*(VLOOKUP(C398,$B$36:$AG$39,26,FALSE)+VLOOKUP(C398,$B$40:$AG$43,26,FALSE)*$D$54),$D$60*(VLOOKUP(C398,$B$36:$AG$39,26,FALSE)+VLOOKUP(C398,$B$40:$AG$43,26,FALSE)*$D$54))))*$D$59/100</f>
        <v>2201.4167745109758</v>
      </c>
      <c r="AN398" s="174"/>
      <c r="AO398" s="176">
        <v>24</v>
      </c>
      <c r="AP398" s="174">
        <v>36</v>
      </c>
      <c r="AQ398" s="175">
        <f>VLOOKUP(C398,$B$45:$AA$48,25,FALSE)</f>
        <v>521</v>
      </c>
      <c r="AR398" s="31">
        <f>IF(LEFT(E398,1)*1=1,$S$68,$R$68)</f>
        <v>0</v>
      </c>
      <c r="AS398" s="2">
        <f>IF(LEFT(E398,1)*1=2,$U$68,$T$68)</f>
        <v>0.8</v>
      </c>
      <c r="AT398" s="33">
        <f>IF(LEFT(E398,1)*1=3,$W$68,$V$68)</f>
        <v>1</v>
      </c>
      <c r="AU398" s="31">
        <f>IF(MID(E398,3,1)*1=1,$Y$68,$X$68)</f>
        <v>40</v>
      </c>
      <c r="AV398" s="2">
        <f>IF(MID(E398,3,1)*1=2,$AA$68,$Z$68)</f>
        <v>0</v>
      </c>
      <c r="AW398" s="33" t="str">
        <f>IF(MID(E398,3,1)*1=3,$AC$68,$AB$68)</f>
        <v>보스대상</v>
      </c>
      <c r="AX398" s="31">
        <f>IF(MID(E398,5,1)*1=1,$AE$68,$AD$68)</f>
        <v>1</v>
      </c>
      <c r="AY398" s="33">
        <f>IF(MID(E398,5,1)*1=2,$AG$68,$AF$68)</f>
        <v>3</v>
      </c>
      <c r="AZ398" s="2"/>
      <c r="BA398" s="101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</row>
    <row r="399" spans="1:71" ht="12" customHeight="1">
      <c r="A399" s="2"/>
      <c r="B399" s="107">
        <v>652</v>
      </c>
      <c r="C399" s="31">
        <v>10</v>
      </c>
      <c r="D399" s="111" t="s">
        <v>18</v>
      </c>
      <c r="E399" s="2" t="s">
        <v>145</v>
      </c>
      <c r="F399" s="2"/>
      <c r="G399" s="2"/>
      <c r="H399" s="33" t="s">
        <v>80</v>
      </c>
      <c r="I399" s="173">
        <f>M399/AE399</f>
        <v>705.83622360004097</v>
      </c>
      <c r="J399" s="174">
        <f>AH399/AE399</f>
        <v>28.185356224514496</v>
      </c>
      <c r="K399" s="207">
        <f>RANK(I399,$I$76:$I$977)</f>
        <v>323</v>
      </c>
      <c r="L399" s="208" t="e">
        <f>RANK(I399,$I$451:$I$866)</f>
        <v>#N/A</v>
      </c>
      <c r="M399" s="173">
        <f>SUM(N399:R399)</f>
        <v>13047.224578832011</v>
      </c>
      <c r="N399" s="174">
        <f>T399*(1+((AG399+IF(F399="백어택",8,0))/100)*(AI399/100-1))</f>
        <v>5188.0808385736209</v>
      </c>
      <c r="O399" s="174">
        <f>U399*(1+(($D$57+IF(F399="백어택",8,0))/100)*(AI399/100-1))</f>
        <v>7859.1437402583897</v>
      </c>
      <c r="P399" s="174"/>
      <c r="Q399" s="174"/>
      <c r="R399" s="175"/>
      <c r="S399" s="173">
        <f>SUM(T399:X399)</f>
        <v>9867.1675692243916</v>
      </c>
      <c r="T399" s="174">
        <f>AL399*IF(H399="근접",AT399,IF(AV399=1,AT399,1))*AX399*IF(F399="백어택",1.2,1)</f>
        <v>3262.9172456914639</v>
      </c>
      <c r="U399" s="174">
        <f>IF(AX399=1,AM399*IF(H399="근접",AT399,IF(AV399=1,AT399,1)),0)*AY399*IF(AX399=1,1,0)*IF(F399="백어택",1.2,1)</f>
        <v>6604.2503235329277</v>
      </c>
      <c r="V399" s="174"/>
      <c r="W399" s="174"/>
      <c r="X399" s="175"/>
      <c r="Y399" s="173">
        <f>SUM(Z399:AD399)</f>
        <v>19734.335138448783</v>
      </c>
      <c r="Z399" s="174">
        <f>T399*$D$58/100</f>
        <v>6525.8344913829278</v>
      </c>
      <c r="AA399" s="174">
        <f>U399*$D$58/100</f>
        <v>13208.500647065855</v>
      </c>
      <c r="AB399" s="174"/>
      <c r="AC399" s="174"/>
      <c r="AD399" s="175"/>
      <c r="AE399" s="173">
        <f>(AO399*(1-$D$20/100)*(1-$D$17/100)-AR399)*IF(AW399="보스대상",1,POWER(0.85,AW399))</f>
        <v>18.484776131615998</v>
      </c>
      <c r="AF399" s="174">
        <f>AP399</f>
        <v>36</v>
      </c>
      <c r="AG399" s="174">
        <f>IF($D$57+AU399&gt;100,100,$D$57+AU399)</f>
        <v>59.001300000000001</v>
      </c>
      <c r="AH399" s="174">
        <f>AQ399</f>
        <v>521</v>
      </c>
      <c r="AI399" s="174">
        <f>$D$58</f>
        <v>200</v>
      </c>
      <c r="AJ399" s="174">
        <f>10*AS399/IF(AX399=1,IF(AY399=1,4.5,4),4)</f>
        <v>2.5</v>
      </c>
      <c r="AK399" s="174">
        <f>SUM(AL399:AN399)</f>
        <v>5464.3340202024392</v>
      </c>
      <c r="AL399" s="174">
        <f>IF(AV399=1,$D$61*(VLOOKUP(C399,$B$36:$AG$39,25,FALSE)+VLOOKUP(C399,$B$40:$AG$43,25,FALSE)*$D$54),(IF(H399="근접",$D$61*(VLOOKUP(C399,$B$36:$AG$39,25,FALSE)+VLOOKUP(C399,$B$40:$AG$43,25,FALSE)*$D$54),$D$60*(VLOOKUP(C399,$B$36:$AG$39,25,FALSE)+VLOOKUP(C399,$B$40:$AG$43,25,FALSE)*$D$54))))*$D$59/100</f>
        <v>3262.9172456914639</v>
      </c>
      <c r="AM399" s="174">
        <f>(IF(AV399=1,$D$61*(VLOOKUP(C399,$B$36:$AG$39,26,FALSE)+VLOOKUP(C399,$B$40:$AG$43,26,FALSE)*$D$54),IF(H399="근접",$D$61*(VLOOKUP(C399,$B$36:$AG$39,26,FALSE)+VLOOKUP(C399,$B$40:$AG$43,26,FALSE)*$D$54),$D$60*(VLOOKUP(C399,$B$36:$AG$39,26,FALSE)+VLOOKUP(C399,$B$40:$AG$43,26,FALSE)*$D$54))))*$D$59/100</f>
        <v>2201.4167745109758</v>
      </c>
      <c r="AN399" s="174"/>
      <c r="AO399" s="176">
        <v>24</v>
      </c>
      <c r="AP399" s="174">
        <v>36</v>
      </c>
      <c r="AQ399" s="175">
        <f>VLOOKUP(C399,$B$45:$AA$48,25,FALSE)</f>
        <v>521</v>
      </c>
      <c r="AR399" s="31">
        <f>IF(LEFT(E399,1)*1=1,$S$68,$R$68)</f>
        <v>0</v>
      </c>
      <c r="AS399" s="2">
        <f>IF(LEFT(E399,1)*1=2,$U$68,$T$68)</f>
        <v>1</v>
      </c>
      <c r="AT399" s="33">
        <f>IF(LEFT(E399,1)*1=3,$W$68,$V$68)</f>
        <v>1.2</v>
      </c>
      <c r="AU399" s="31">
        <f>IF(MID(E399,3,1)*1=1,$Y$68,$X$68)</f>
        <v>40</v>
      </c>
      <c r="AV399" s="2">
        <f>IF(MID(E399,3,1)*1=2,$AA$68,$Z$68)</f>
        <v>0</v>
      </c>
      <c r="AW399" s="33" t="str">
        <f>IF(MID(E399,3,1)*1=3,$AC$68,$AB$68)</f>
        <v>보스대상</v>
      </c>
      <c r="AX399" s="31">
        <f>IF(MID(E399,5,1)*1=1,$AE$68,$AD$68)</f>
        <v>1</v>
      </c>
      <c r="AY399" s="33">
        <f>IF(MID(E399,5,1)*1=2,$AG$68,$AF$68)</f>
        <v>3</v>
      </c>
      <c r="AZ399" s="2"/>
      <c r="BA399" s="101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</row>
    <row r="400" spans="1:71" ht="12" customHeight="1">
      <c r="A400" s="2"/>
      <c r="B400" s="107">
        <v>565</v>
      </c>
      <c r="C400" s="31">
        <v>7</v>
      </c>
      <c r="D400" s="111" t="s">
        <v>14</v>
      </c>
      <c r="E400" s="2" t="s">
        <v>148</v>
      </c>
      <c r="F400" s="2" t="s">
        <v>149</v>
      </c>
      <c r="G400" s="2"/>
      <c r="H400" s="33" t="s">
        <v>81</v>
      </c>
      <c r="I400" s="173">
        <f>M400/AE400</f>
        <v>705.30372251143115</v>
      </c>
      <c r="J400" s="174">
        <f>AH400/AE400</f>
        <v>16.518097441877977</v>
      </c>
      <c r="K400" s="207">
        <f>RANK(I400,$I$76:$I$977)</f>
        <v>325</v>
      </c>
      <c r="L400" s="208" t="e">
        <f>RANK(I400,$I$451:$I$866)</f>
        <v>#N/A</v>
      </c>
      <c r="M400" s="173">
        <f>SUM(N400:R400)</f>
        <v>19556.072123128826</v>
      </c>
      <c r="N400" s="174">
        <f>T400*(1+((AG400+IF(F400="백어택",8,0))/100)*(AI400/100-1))</f>
        <v>5836.644614877293</v>
      </c>
      <c r="O400" s="174">
        <f>U400*(1+((AG400+IF(F400="백어택",8,0))/100)*(AI400/100-1))</f>
        <v>5836.644614877293</v>
      </c>
      <c r="P400" s="174">
        <f>V400*(1+((AG400+IF(F400="백어택",8,0))/100)*(AI400*IF(AX400=1,AW400,1)/100-1))</f>
        <v>7882.7828933742394</v>
      </c>
      <c r="Q400" s="174">
        <f>W400*(1+((AG400+IF(F400="백어택",8,0))/100)*(AI400*AW400/100-1))</f>
        <v>0</v>
      </c>
      <c r="R400" s="175"/>
      <c r="S400" s="173">
        <f>SUM(T400:X400)</f>
        <v>13918.719365196586</v>
      </c>
      <c r="T400" s="174">
        <f>AL400*AY400*IF(F400="백어택",1.2,1)</f>
        <v>4154.1378001353669</v>
      </c>
      <c r="U400" s="174">
        <f>AM400*AY400*IF(F400="백어택",1.2,1)</f>
        <v>4154.1378001353669</v>
      </c>
      <c r="V400" s="174">
        <f>AN400*AY400*IF(F400="백어택",1.2,1)</f>
        <v>5610.4437649258534</v>
      </c>
      <c r="W400" s="174">
        <f>(T400+U400+V400)*IF(AX400=1,0,0.6)*IF(F400="백어택",1.2,1)</f>
        <v>0</v>
      </c>
      <c r="X400" s="175"/>
      <c r="Y400" s="173">
        <f>SUM(Z400:AD400)</f>
        <v>34796.798412991469</v>
      </c>
      <c r="Z400" s="174">
        <f>T400*AI400/100</f>
        <v>10385.344500338419</v>
      </c>
      <c r="AA400" s="174">
        <f>U400*AI400/100</f>
        <v>10385.344500338419</v>
      </c>
      <c r="AB400" s="174">
        <f>V400*AI400*IF(AX400=1,AW400,1)/100</f>
        <v>14026.109412314634</v>
      </c>
      <c r="AC400" s="174">
        <f>W400*AI400*AW400/100</f>
        <v>0</v>
      </c>
      <c r="AD400" s="175"/>
      <c r="AE400" s="173">
        <f>AO400*(1-$D$20/100)*(1-$D$17/100)</f>
        <v>27.727164197424003</v>
      </c>
      <c r="AF400" s="174">
        <f>AP400</f>
        <v>36</v>
      </c>
      <c r="AG400" s="174">
        <f>IF($D$57+AU400&gt;100,100,$D$57+AU400)</f>
        <v>19.001300000000001</v>
      </c>
      <c r="AH400" s="174">
        <f>AQ400*AS400</f>
        <v>458</v>
      </c>
      <c r="AI400" s="174">
        <f>$D$58+IF(H400="근접",AR400,0)+IF(AY400=1,0,50)</f>
        <v>250</v>
      </c>
      <c r="AJ400" s="174">
        <f>10/3</f>
        <v>3.3333333333333335</v>
      </c>
      <c r="AK400" s="174">
        <f>SUM(AL400:AN400)</f>
        <v>11598.932804330489</v>
      </c>
      <c r="AL400" s="174">
        <f>(IF(H400="근접",$D$61*(VLOOKUP(C400,$B$36:$AG$39,19,FALSE)+VLOOKUP(C400,$B$40:$AG$43,19,FALSE)*$D$54),$D$60*(VLOOKUP(C400,$B$36:$AG$39,19,FALSE)+VLOOKUP(C400,$B$40:$AG$43,19,FALSE)*$D$54)))*$D$59/100</f>
        <v>3461.7815001128056</v>
      </c>
      <c r="AM400" s="174">
        <f>(IF(H400="근접",$D$61*(VLOOKUP(C400,$B$36:$AG$39,20,FALSE)+VLOOKUP(C400,$B$40:$AG$43,20,FALSE)*$D$54),$D$60*(VLOOKUP(C400,$B$36:$AG$39,20,FALSE)+VLOOKUP(C400,$B$40:$AG$43,20,FALSE)*$D$54)))*$D$59/100</f>
        <v>3461.7815001128056</v>
      </c>
      <c r="AN400" s="174">
        <f>(IF(H400="근접",$D$61*(VLOOKUP(C400,$B$36:$AG$39,21,FALSE)+VLOOKUP(C400,$B$40:$AG$43,21,FALSE)*$D$54),$D$60*(VLOOKUP(C400,$B$36:$AG$39,21,FALSE)+VLOOKUP(C400,$B$40:$AG$43,21,FALSE)*$D$54)))*$D$59/100</f>
        <v>4675.3698041048783</v>
      </c>
      <c r="AO400" s="176">
        <v>36</v>
      </c>
      <c r="AP400" s="174">
        <v>36</v>
      </c>
      <c r="AQ400" s="175">
        <f>VLOOKUP(C400,$B$45:$AA$48,19,FALSE)</f>
        <v>458</v>
      </c>
      <c r="AR400" s="31">
        <f>IF(LEFT(E400,1)*1=1,$S$64,$R$64)</f>
        <v>50</v>
      </c>
      <c r="AS400" s="2">
        <f>IF(LEFT(E400,1)*1=2,$U$64,$T$64)</f>
        <v>1</v>
      </c>
      <c r="AT400" s="33">
        <f>IF(LEFT(E400,1)*1=3,$W$64,$V$64)</f>
        <v>0</v>
      </c>
      <c r="AU400" s="31">
        <f>IF(MID(E400,3,1)*1=1,$Y$64,$X$64)</f>
        <v>0</v>
      </c>
      <c r="AV400" s="2">
        <f>IF(MID(E400,3,1)*1=2,$AA$64,$Z$64)</f>
        <v>0</v>
      </c>
      <c r="AW400" s="33">
        <f>IF(MID(E400,3,1)*1=3,$AC$64,$AB$64)</f>
        <v>1</v>
      </c>
      <c r="AX400" s="31">
        <f>IF(MID(E400,5,1)*1=1,$AE$64,$AD$64)</f>
        <v>1</v>
      </c>
      <c r="AY400" s="33">
        <f>IF(MID(E400,5,1)*1=2,$AG$64,$AF$64)</f>
        <v>1</v>
      </c>
      <c r="AZ400" s="2"/>
      <c r="BA400" s="101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</row>
    <row r="401" spans="1:71" ht="12" customHeight="1">
      <c r="A401" s="2"/>
      <c r="B401" s="107">
        <v>850</v>
      </c>
      <c r="C401" s="31">
        <v>10</v>
      </c>
      <c r="D401" s="113" t="s">
        <v>15</v>
      </c>
      <c r="E401" s="2" t="s">
        <v>108</v>
      </c>
      <c r="F401" s="1"/>
      <c r="G401" s="1" t="s">
        <v>174</v>
      </c>
      <c r="H401" s="33">
        <f>IF(AX401=AT401,3,4)</f>
        <v>3</v>
      </c>
      <c r="I401" s="173">
        <f>M401/AE401</f>
        <v>705.07805788295843</v>
      </c>
      <c r="J401" s="174">
        <f>AH401/AE401</f>
        <v>19.780450366105395</v>
      </c>
      <c r="K401" s="207">
        <f>RANK(I401,$I$76:$I$977)</f>
        <v>326</v>
      </c>
      <c r="L401" s="208" t="e">
        <f>RANK(I401,$I$867:$I$977)</f>
        <v>#N/A</v>
      </c>
      <c r="M401" s="173">
        <f>SUM(N401:R401)*(1+$D$22/100)</f>
        <v>21101.956858472437</v>
      </c>
      <c r="N401" s="174">
        <f>T401*(1+((AG401+IF(F401="백어택",8,0))/100)*(AI401/100-1))</f>
        <v>4366.9164070970346</v>
      </c>
      <c r="O401" s="174">
        <f>U401*(1+(AG401/100)*(AI401/100-1))</f>
        <v>4366.9164070970346</v>
      </c>
      <c r="P401" s="174">
        <f>V401*(1+(AG401/100)*(AI401/100-1))</f>
        <v>4366.9164070970346</v>
      </c>
      <c r="Q401" s="174">
        <f>W401*(1+(AG401/100)*(AI401/100-1))</f>
        <v>0</v>
      </c>
      <c r="R401" s="175">
        <f>X401*(1+(AG401/100)*(AI401/100-1))</f>
        <v>5912.1329819159855</v>
      </c>
      <c r="S401" s="173">
        <f>SUM(T401:X401)</f>
        <v>15977.03739640415</v>
      </c>
      <c r="T401" s="174">
        <f>AL401*AS401*AY401</f>
        <v>3669.6375645451226</v>
      </c>
      <c r="U401" s="174">
        <f>AL401*AS401*AY401</f>
        <v>3669.6375645451226</v>
      </c>
      <c r="V401" s="174">
        <f>AL401*AS401*AY401</f>
        <v>3669.6375645451226</v>
      </c>
      <c r="W401" s="174">
        <f>IF(H401=4,AL401*AS401*IF(AT401=0,AY401,1),0)</f>
        <v>0</v>
      </c>
      <c r="X401" s="175">
        <f>AL401*IF(H401=3,11,IF(AT401=1,15,13))*IF(AW401=1,0,AW401)</f>
        <v>4968.1247027687814</v>
      </c>
      <c r="Y401" s="173">
        <f>SUM(Z401:AD401)</f>
        <v>31954.0747928083</v>
      </c>
      <c r="Z401" s="174">
        <f>T401*AI401/100</f>
        <v>7339.2751290902452</v>
      </c>
      <c r="AA401" s="174">
        <f>U401*AI401/100</f>
        <v>7339.2751290902452</v>
      </c>
      <c r="AB401" s="174">
        <f>V401*AI401/100</f>
        <v>7339.2751290902452</v>
      </c>
      <c r="AC401" s="174">
        <f>W401*AI401/100</f>
        <v>0</v>
      </c>
      <c r="AD401" s="175">
        <f>X401*AI401/100</f>
        <v>9936.2494055375628</v>
      </c>
      <c r="AE401" s="173">
        <f>AO401*(1-$D$17/100)</f>
        <v>29.928540000000002</v>
      </c>
      <c r="AF401" s="174">
        <f>AP401</f>
        <v>36</v>
      </c>
      <c r="AG401" s="174">
        <f>IF($D$57+AX401&gt;100,100,$D$57+AX401)</f>
        <v>19.001300000000001</v>
      </c>
      <c r="AH401" s="174">
        <f>AQ401</f>
        <v>592</v>
      </c>
      <c r="AI401" s="174">
        <f>$D$58</f>
        <v>200</v>
      </c>
      <c r="AJ401" s="174">
        <f>10*AU401/IF(AT401=1,2.5,(IF(AY401=1,3,2.5)))</f>
        <v>4</v>
      </c>
      <c r="AK401" s="174">
        <f>SUM(AL401:AN401)</f>
        <v>2258.2385012585369</v>
      </c>
      <c r="AL401" s="174">
        <f>((VLOOKUP(C401,$B$36:$AG$39,22,FALSE)+VLOOKUP(C401,$B$40:$AG$43,22,FALSE)*$D$54))*$D$59/100</f>
        <v>2258.2385012585369</v>
      </c>
      <c r="AM401" s="174"/>
      <c r="AN401" s="174"/>
      <c r="AO401" s="176">
        <v>30</v>
      </c>
      <c r="AP401" s="174">
        <v>36</v>
      </c>
      <c r="AQ401" s="175">
        <f>VLOOKUP(C401,$B$45:$AA$48,22,FALSE)</f>
        <v>592</v>
      </c>
      <c r="AR401" s="31">
        <f>IF(LEFT(E401,1)*1=1,$S$65,$R$65)</f>
        <v>0</v>
      </c>
      <c r="AS401" s="2">
        <f>IF(LEFT(E401,1)*1=2,$U$65,$T$65)</f>
        <v>1.25</v>
      </c>
      <c r="AT401" s="33">
        <f>IF(LEFT(E401,1)*1=3,$W$65,$V$65)</f>
        <v>0</v>
      </c>
      <c r="AU401" s="31">
        <f>IF(MID(E401,3,1)*1=1,$Y$65,$X$65)</f>
        <v>1</v>
      </c>
      <c r="AV401" s="2">
        <f>IF(MID(E401,3,1)*1=2,$AA$65,$Z$65)</f>
        <v>0</v>
      </c>
      <c r="AW401" s="33">
        <f>IF(MID(E401,3,1)*1=3,$AC$65,$AB$65)</f>
        <v>0.2</v>
      </c>
      <c r="AX401" s="31">
        <f>IF(MID(E401,5,1)*1=1,$AE$65,$AD$65)</f>
        <v>0</v>
      </c>
      <c r="AY401" s="33">
        <f>IF(MID(E401,5,1)*1=2,$AG$65,$AF$65)</f>
        <v>1.3</v>
      </c>
      <c r="AZ401" s="2"/>
      <c r="BA401" s="101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</row>
    <row r="402" spans="1:71" ht="12" hidden="1" customHeight="1">
      <c r="A402" s="2"/>
      <c r="B402" s="107">
        <v>173</v>
      </c>
      <c r="C402" s="31">
        <v>10</v>
      </c>
      <c r="D402" s="106" t="s">
        <v>10</v>
      </c>
      <c r="E402" s="2" t="s">
        <v>102</v>
      </c>
      <c r="F402" s="2" t="s">
        <v>149</v>
      </c>
      <c r="G402" s="2" t="s">
        <v>184</v>
      </c>
      <c r="H402" s="33"/>
      <c r="I402" s="173">
        <f>M402/AE402</f>
        <v>704.43818940267931</v>
      </c>
      <c r="J402" s="174">
        <f>AH402/AE402</f>
        <v>25.811482952392598</v>
      </c>
      <c r="K402" s="207">
        <f>RANK(I402,$I$76:$I$977)</f>
        <v>327</v>
      </c>
      <c r="L402" s="208">
        <f>RANK(I402,$I$76:$I$450)</f>
        <v>327</v>
      </c>
      <c r="M402" s="173">
        <f>SUM(N402:R402)</f>
        <v>11244.163482168355</v>
      </c>
      <c r="N402" s="174">
        <f>T402*(1+((AG402+IF(F402="백어택",8,0))/100)*((AI402/100-1)))</f>
        <v>11244.163482168355</v>
      </c>
      <c r="O402" s="174"/>
      <c r="P402" s="174"/>
      <c r="Q402" s="174"/>
      <c r="R402" s="175"/>
      <c r="S402" s="173">
        <f>SUM(T402:X402)</f>
        <v>5733.5900936678636</v>
      </c>
      <c r="T402" s="174">
        <f>AL402*AS402*AU402*AX402*IF(AY402=0,1,0.5)*IF(F402="백어택",1.2,1)</f>
        <v>5733.5900936678636</v>
      </c>
      <c r="U402" s="174"/>
      <c r="V402" s="174"/>
      <c r="W402" s="174"/>
      <c r="X402" s="175"/>
      <c r="Y402" s="173">
        <f>SUM(Z402:AD402)</f>
        <v>15401.042219321998</v>
      </c>
      <c r="Z402" s="174">
        <f>T402*AI402/100</f>
        <v>15401.042219321998</v>
      </c>
      <c r="AA402" s="174"/>
      <c r="AB402" s="174"/>
      <c r="AC402" s="174"/>
      <c r="AD402" s="175"/>
      <c r="AE402" s="173">
        <f>AO402*(1-$D$17/100)</f>
        <v>15.961888</v>
      </c>
      <c r="AF402" s="174">
        <f>AP402</f>
        <v>36</v>
      </c>
      <c r="AG402" s="174">
        <f>IF($D$57+AV402&gt;100,100,$D$57+AV402)</f>
        <v>49.001300000000001</v>
      </c>
      <c r="AH402" s="174">
        <f>AQ402</f>
        <v>412</v>
      </c>
      <c r="AI402" s="174">
        <f>$D$58+$D$19</f>
        <v>268.61079999999998</v>
      </c>
      <c r="AJ402" s="174">
        <f>10*AR402/(7-IF(AX402=1,0,3))</f>
        <v>1.4285714285714286</v>
      </c>
      <c r="AK402" s="174">
        <f>SUM(AL402:AN402)</f>
        <v>8098.2910927512203</v>
      </c>
      <c r="AL402" s="174">
        <f>(VLOOKUP(C402,$B$36:$AG$39,13,FALSE)+VLOOKUP(C402,$B$40:$AG$43,13,FALSE)*$D$54)*$D$59/100</f>
        <v>8098.2910927512203</v>
      </c>
      <c r="AM402" s="174"/>
      <c r="AN402" s="174"/>
      <c r="AO402" s="176">
        <v>16</v>
      </c>
      <c r="AP402" s="174">
        <v>36</v>
      </c>
      <c r="AQ402" s="175">
        <f>VLOOKUP(C402,$B$45:$AA$48,13,FALSE)</f>
        <v>412</v>
      </c>
      <c r="AR402" s="31">
        <f>IF(LEFT(E402,1)*1=1,$S$60,$R$60)</f>
        <v>1</v>
      </c>
      <c r="AS402" s="2">
        <f>IF(LEFT(E402,1)*1=2,$U$60,$T$60)</f>
        <v>1.18</v>
      </c>
      <c r="AT402" s="33">
        <f>IF(LEFT(E402,1)*1=3,$W$60,$V$60)</f>
        <v>0</v>
      </c>
      <c r="AU402" s="31">
        <f>IF(MID(E402,3,1)*1=1,$Y$60,$X$60)</f>
        <v>1</v>
      </c>
      <c r="AV402" s="2">
        <f>IF(MID(E402,3,1)*1=2,$AA$60,$Z$60)</f>
        <v>30</v>
      </c>
      <c r="AW402" s="33">
        <f>IF(MID(E402,3,1)*1=3,$AC$60,$AB$60)</f>
        <v>0</v>
      </c>
      <c r="AX402" s="31">
        <f>IF(MID(E402,5,1)*1=1,$AE$60,$AD$60)</f>
        <v>1</v>
      </c>
      <c r="AY402" s="33">
        <f>IF(MID(E402,5,1)*1=2,$AG$60,$AF$60)</f>
        <v>100</v>
      </c>
      <c r="AZ402" s="2"/>
      <c r="BA402" s="101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</row>
    <row r="403" spans="1:71" ht="12" hidden="1" customHeight="1">
      <c r="A403" s="2"/>
      <c r="B403" s="107">
        <v>216</v>
      </c>
      <c r="C403" s="31">
        <v>4</v>
      </c>
      <c r="D403" s="106" t="s">
        <v>10</v>
      </c>
      <c r="E403" s="2" t="s">
        <v>79</v>
      </c>
      <c r="F403" s="2"/>
      <c r="G403" s="2" t="s">
        <v>184</v>
      </c>
      <c r="H403" s="33"/>
      <c r="I403" s="173">
        <f>M403/AE403</f>
        <v>701.35988642282996</v>
      </c>
      <c r="J403" s="174">
        <f>AH403/AE403</f>
        <v>9.8985784137816282</v>
      </c>
      <c r="K403" s="207">
        <f>RANK(I403,$I$76:$I$977)</f>
        <v>328</v>
      </c>
      <c r="L403" s="208">
        <f>RANK(I403,$I$76:$I$450)</f>
        <v>328</v>
      </c>
      <c r="M403" s="173">
        <f>SUM(N403:R403)</f>
        <v>11195.027954773932</v>
      </c>
      <c r="N403" s="174">
        <f>T403*(1+((AG403+IF(F403="백어택",8,0))/100)*((AI403/100-1)))</f>
        <v>11195.027954773932</v>
      </c>
      <c r="O403" s="174"/>
      <c r="P403" s="174"/>
      <c r="Q403" s="174"/>
      <c r="R403" s="175"/>
      <c r="S403" s="173">
        <f>SUM(T403:X403)</f>
        <v>8478.6252987635853</v>
      </c>
      <c r="T403" s="174">
        <f>AL403*AS403*AU403*AX403*IF(AY403=0,1,0.5)*IF(F403="백어택",1.2,1)</f>
        <v>8478.6252987635853</v>
      </c>
      <c r="U403" s="174"/>
      <c r="V403" s="174"/>
      <c r="W403" s="174"/>
      <c r="X403" s="175"/>
      <c r="Y403" s="173">
        <f>SUM(Z403:AD403)</f>
        <v>22774.503244011252</v>
      </c>
      <c r="Z403" s="174">
        <f>T403*AI403/100</f>
        <v>22774.503244011252</v>
      </c>
      <c r="AA403" s="174"/>
      <c r="AB403" s="174"/>
      <c r="AC403" s="174"/>
      <c r="AD403" s="175"/>
      <c r="AE403" s="173">
        <f>AO403*(1-$D$17/100)</f>
        <v>15.961888</v>
      </c>
      <c r="AF403" s="174">
        <f>AP403</f>
        <v>36</v>
      </c>
      <c r="AG403" s="174">
        <f>IF($D$57+AV403&gt;100,100,$D$57+AV403)</f>
        <v>19.001300000000001</v>
      </c>
      <c r="AH403" s="174">
        <f>AQ403</f>
        <v>158</v>
      </c>
      <c r="AI403" s="174">
        <f>$D$58+$D$19</f>
        <v>268.61079999999998</v>
      </c>
      <c r="AJ403" s="174">
        <f>10*AR403/(7-IF(AX403=1,0,3))</f>
        <v>1.4285714285714286</v>
      </c>
      <c r="AK403" s="174">
        <f>SUM(AL403:AN403)</f>
        <v>7185.2756769182924</v>
      </c>
      <c r="AL403" s="174">
        <f>(VLOOKUP(C403,$B$36:$AG$39,13,FALSE)+VLOOKUP(C403,$B$40:$AG$43,13,FALSE)*$D$54)*$D$59/100</f>
        <v>7185.2756769182924</v>
      </c>
      <c r="AM403" s="174"/>
      <c r="AN403" s="174"/>
      <c r="AO403" s="176">
        <v>16</v>
      </c>
      <c r="AP403" s="174">
        <v>36</v>
      </c>
      <c r="AQ403" s="175">
        <f>VLOOKUP(C403,$B$45:$AA$48,13,FALSE)</f>
        <v>158</v>
      </c>
      <c r="AR403" s="31">
        <f>IF(LEFT(E403,1)*1=1,$S$60,$R$60)</f>
        <v>1</v>
      </c>
      <c r="AS403" s="2">
        <f>IF(LEFT(E403,1)*1=2,$U$60,$T$60)</f>
        <v>1.18</v>
      </c>
      <c r="AT403" s="33">
        <f>IF(LEFT(E403,1)*1=3,$W$60,$V$60)</f>
        <v>0</v>
      </c>
      <c r="AU403" s="31">
        <f>IF(MID(E403,3,1)*1=1,$Y$60,$X$60)</f>
        <v>1</v>
      </c>
      <c r="AV403" s="2">
        <f>IF(MID(E403,3,1)*1=2,$AA$60,$Z$60)</f>
        <v>0</v>
      </c>
      <c r="AW403" s="33">
        <f>IF(MID(E403,3,1)*1=3,$AC$60,$AB$60)</f>
        <v>0</v>
      </c>
      <c r="AX403" s="31">
        <f>IF(MID(E403,5,1)*1=1,$AE$60,$AD$60)</f>
        <v>1</v>
      </c>
      <c r="AY403" s="33">
        <f>IF(MID(E403,5,1)*1=2,$AG$60,$AF$60)</f>
        <v>0</v>
      </c>
      <c r="AZ403" s="2"/>
      <c r="BA403" s="101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</row>
    <row r="404" spans="1:71" ht="12" customHeight="1">
      <c r="A404" s="2"/>
      <c r="B404" s="107">
        <v>826</v>
      </c>
      <c r="C404" s="31">
        <v>10</v>
      </c>
      <c r="D404" s="113" t="s">
        <v>12</v>
      </c>
      <c r="E404" s="2" t="s">
        <v>140</v>
      </c>
      <c r="F404" s="2"/>
      <c r="G404" s="2" t="s">
        <v>167</v>
      </c>
      <c r="H404" s="33"/>
      <c r="I404" s="173">
        <f>M404/AE404</f>
        <v>700.35143941938998</v>
      </c>
      <c r="J404" s="174">
        <f>AH404/AE404</f>
        <v>21.760166048861723</v>
      </c>
      <c r="K404" s="207">
        <f>RANK(I404,$I$76:$I$977)</f>
        <v>329</v>
      </c>
      <c r="L404" s="208" t="e">
        <f>RANK(I404,$I$867:$I$977)</f>
        <v>#N/A</v>
      </c>
      <c r="M404" s="173">
        <f>SUM(N404:R404)*(1+$D$22/100)</f>
        <v>16768.396854976632</v>
      </c>
      <c r="N404" s="174">
        <f>T404*(1+((AG404+IF(F404="백어택",8,0))/100)*(AI404/100-1))</f>
        <v>10994.161909325458</v>
      </c>
      <c r="O404" s="174">
        <f>U404*(1+($D$57/100)*(AI404/100-1))</f>
        <v>4114.1788136958994</v>
      </c>
      <c r="P404" s="174"/>
      <c r="Q404" s="174"/>
      <c r="R404" s="175">
        <f>X404*(1+($D$57/100)*(AI404/100-1))</f>
        <v>0</v>
      </c>
      <c r="S404" s="173">
        <f>SUM(T404:X404)</f>
        <v>10371.766057251221</v>
      </c>
      <c r="T404" s="174">
        <f>AL404*AU404*AW404</f>
        <v>6914.5107048341479</v>
      </c>
      <c r="U404" s="174">
        <f>AL404*AU404*AW404*AX404</f>
        <v>3457.2553524170739</v>
      </c>
      <c r="V404" s="174"/>
      <c r="W404" s="174"/>
      <c r="X404" s="175">
        <f>AL404*AY404</f>
        <v>0</v>
      </c>
      <c r="Y404" s="173">
        <f>SUM(Z404:AD404)</f>
        <v>20743.532114502443</v>
      </c>
      <c r="Z404" s="174">
        <f>T404*$D$58/100</f>
        <v>13829.021409668296</v>
      </c>
      <c r="AA404" s="174">
        <f>U404*$D$58/100</f>
        <v>6914.5107048341479</v>
      </c>
      <c r="AB404" s="174"/>
      <c r="AC404" s="174"/>
      <c r="AD404" s="175">
        <f>X404*$D$58/100</f>
        <v>0</v>
      </c>
      <c r="AE404" s="173">
        <f>AO404*(1-$D$17/100)</f>
        <v>23.942831999999999</v>
      </c>
      <c r="AF404" s="174">
        <f>AP404</f>
        <v>36</v>
      </c>
      <c r="AG404" s="174">
        <f>IF($D$57+AV404&gt;100,100,$D$57+AV404)</f>
        <v>59.001300000000001</v>
      </c>
      <c r="AH404" s="174">
        <f>AQ404</f>
        <v>521</v>
      </c>
      <c r="AI404" s="174">
        <f>$D$58</f>
        <v>200</v>
      </c>
      <c r="AJ404" s="174">
        <f>10/7</f>
        <v>1.4285714285714286</v>
      </c>
      <c r="AK404" s="174">
        <f>SUM(AL404:AN404)</f>
        <v>6914.5107048341479</v>
      </c>
      <c r="AL404" s="174">
        <f>(VLOOKUP(C404,$B$36:$AG$39,16,FALSE)+VLOOKUP(C404,$B$40:$AG$43,16,FALSE)*$D$54)*$D$59/100</f>
        <v>6914.5107048341479</v>
      </c>
      <c r="AM404" s="174"/>
      <c r="AN404" s="174"/>
      <c r="AO404" s="176">
        <v>24</v>
      </c>
      <c r="AP404" s="174">
        <v>36</v>
      </c>
      <c r="AQ404" s="175">
        <f>VLOOKUP(C404,$B$45:$AA$48,16,FALSE)</f>
        <v>521</v>
      </c>
      <c r="AR404" s="31">
        <f>IF(LEFT(E404,1)*1=1,$S$62,$R$62)</f>
        <v>0</v>
      </c>
      <c r="AS404" s="2">
        <f>IF(LEFT(E404,1)*1=2,$U$62,$T$62)</f>
        <v>0</v>
      </c>
      <c r="AT404" s="33">
        <f>IF(LEFT(E404,1)*1=3,$W$62,$V$62)</f>
        <v>0</v>
      </c>
      <c r="AU404" s="31">
        <f>IF(MID(E404,3,1)*1=1,$Y$62,$X$62)</f>
        <v>1</v>
      </c>
      <c r="AV404" s="2">
        <f>IF(MID(E404,3,1)*1=2,$AA$62,$Z$62)</f>
        <v>40</v>
      </c>
      <c r="AW404" s="33">
        <f>IF(MID(E404,3,1)*1=3,$AC$62,$AB$62)</f>
        <v>1</v>
      </c>
      <c r="AX404" s="31">
        <f>IF(MID(E404,5,1)*1=1,$AE$62,$AD$62)</f>
        <v>0.5</v>
      </c>
      <c r="AY404" s="33">
        <f>IF(MID(E404,5,1)*1=2,$AG$62,$AF$62)</f>
        <v>0</v>
      </c>
      <c r="AZ404" s="2"/>
      <c r="BA404" s="101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</row>
    <row r="405" spans="1:71" ht="12" customHeight="1">
      <c r="A405" s="2"/>
      <c r="B405" s="107">
        <v>336</v>
      </c>
      <c r="C405" s="31">
        <v>7</v>
      </c>
      <c r="D405" s="106" t="s">
        <v>20</v>
      </c>
      <c r="E405" s="2" t="s">
        <v>163</v>
      </c>
      <c r="F405" s="2" t="s">
        <v>149</v>
      </c>
      <c r="G405" s="2"/>
      <c r="H405" s="33"/>
      <c r="I405" s="173">
        <f>M405/AE405</f>
        <v>699.96421472848226</v>
      </c>
      <c r="J405" s="174">
        <f>AH405/AE405</f>
        <v>20.525336287912033</v>
      </c>
      <c r="K405" s="207">
        <f>RANK(I405,$I$76:$I$977)</f>
        <v>330</v>
      </c>
      <c r="L405" s="208">
        <f>RANK(I405,$I$76:$I$450)</f>
        <v>330</v>
      </c>
      <c r="M405" s="173">
        <f>SUM(N405:R405)</f>
        <v>10469.451555256535</v>
      </c>
      <c r="N405" s="174">
        <f>T405*(1+((AG405+IF(F405="백어택",8,0))/100)*((AI405/100-1)))</f>
        <v>6911.7802711204167</v>
      </c>
      <c r="O405" s="174">
        <f>U405*(1+(($D$57+IF(F405="백어택",8,0))/100)*($D$58/100-1))</f>
        <v>3557.6712841361177</v>
      </c>
      <c r="P405" s="174"/>
      <c r="Q405" s="174"/>
      <c r="R405" s="175"/>
      <c r="S405" s="173">
        <f>SUM(T405:X405)</f>
        <v>5603.0545943326833</v>
      </c>
      <c r="T405" s="174">
        <f>AL405*AV405*IF(F405="백어택",1.2,1)</f>
        <v>2801.7672971663419</v>
      </c>
      <c r="U405" s="174">
        <f>AM405*AX405*AY405*IF(F405="백어택",1.2,1)</f>
        <v>2801.2872971663419</v>
      </c>
      <c r="V405" s="174"/>
      <c r="W405" s="174"/>
      <c r="X405" s="175"/>
      <c r="Y405" s="173">
        <f>SUM(Z405:AD405)</f>
        <v>11206.109188665367</v>
      </c>
      <c r="Z405" s="174">
        <f>T405*$D$58/100</f>
        <v>5603.5345943326838</v>
      </c>
      <c r="AA405" s="174">
        <f>U405*$D$58/100</f>
        <v>5602.5745943326838</v>
      </c>
      <c r="AB405" s="174"/>
      <c r="AC405" s="174"/>
      <c r="AD405" s="175"/>
      <c r="AE405" s="173">
        <f>AO405*(1-$D$17/100)-AR405</f>
        <v>14.957124</v>
      </c>
      <c r="AF405" s="174">
        <f>AP405</f>
        <v>36</v>
      </c>
      <c r="AG405" s="174">
        <f>IF($D$57+AU405&gt;100,100,$D$57+AU405)</f>
        <v>79.001300000000001</v>
      </c>
      <c r="AH405" s="174">
        <f>AQ405*AS405</f>
        <v>307</v>
      </c>
      <c r="AI405" s="174">
        <f>$D$58+$D$19</f>
        <v>268.61079999999998</v>
      </c>
      <c r="AJ405" s="174">
        <f>10*IF(AV405=1,1,5/4.5)/IF(AX405=1,5,3.5)</f>
        <v>2</v>
      </c>
      <c r="AK405" s="174">
        <f>SUM(AL405:AN405)</f>
        <v>4669.212161943904</v>
      </c>
      <c r="AL405" s="174">
        <f>(VLOOKUP(C405,$B$36:$AG$39,29,FALSE)+VLOOKUP(C405,$B$40:$AG$43,29,FALSE)*$D$54)*$D$59/100</f>
        <v>2334.8060809719518</v>
      </c>
      <c r="AM405" s="174">
        <f>(VLOOKUP(C405,$B$36:$AG$39,30,FALSE)+VLOOKUP(C405,$B$40:$AG$43,30,FALSE)*$D$54)*$D$59/100</f>
        <v>2334.4060809719517</v>
      </c>
      <c r="AN405" s="174"/>
      <c r="AO405" s="176">
        <v>18</v>
      </c>
      <c r="AP405" s="174">
        <v>36</v>
      </c>
      <c r="AQ405" s="175">
        <f>VLOOKUP(C405,$B$45:$AG$48,29,FALSE)</f>
        <v>307</v>
      </c>
      <c r="AR405" s="31">
        <f>IF(LEFT(E405,1)*1=1,$S$70,$R$70)</f>
        <v>3</v>
      </c>
      <c r="AS405" s="2">
        <f>IF(LEFT(E405,1)*1=2,$U$70,$T$70)</f>
        <v>1</v>
      </c>
      <c r="AT405" s="33">
        <f>IF(LEFT(E405,1)*1=3,$W$70,$V$70)</f>
        <v>0</v>
      </c>
      <c r="AU405" s="31">
        <f>IF(MID(E405,3,1)*1=1,$Y$70,$X$70)</f>
        <v>60</v>
      </c>
      <c r="AV405" s="2">
        <f>IF(MID(E405,3,1)*1=2,$AA$70,$Z$70)</f>
        <v>1</v>
      </c>
      <c r="AW405" s="33">
        <f>IF(MID(E405,3,1)*1=3,$AC$70,$AB$70)</f>
        <v>0</v>
      </c>
      <c r="AX405" s="31">
        <f>IF(MID(E405,5,1)*1=1,$AE$70,$AD$70)</f>
        <v>1</v>
      </c>
      <c r="AY405" s="33">
        <f>IF(MID(E405,5,1)*1=2,$AG$70,$AF$70)</f>
        <v>1</v>
      </c>
      <c r="AZ405" s="2"/>
      <c r="BA405" s="101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</row>
    <row r="406" spans="1:71" ht="12" customHeight="1">
      <c r="A406" s="2"/>
      <c r="B406" s="107">
        <v>226</v>
      </c>
      <c r="C406" s="31">
        <v>10</v>
      </c>
      <c r="D406" s="106" t="s">
        <v>13</v>
      </c>
      <c r="E406" s="2" t="s">
        <v>98</v>
      </c>
      <c r="F406" s="2"/>
      <c r="G406" s="2"/>
      <c r="H406" s="33"/>
      <c r="I406" s="173">
        <f>M406/AE406</f>
        <v>696.8643338624147</v>
      </c>
      <c r="J406" s="174">
        <f>AH406/AE406</f>
        <v>21.760166048861723</v>
      </c>
      <c r="K406" s="207">
        <f>RANK(I406,$I$76:$I$977)</f>
        <v>331</v>
      </c>
      <c r="L406" s="208">
        <f>RANK(I406,$I$76:$I$450)</f>
        <v>331</v>
      </c>
      <c r="M406" s="173">
        <f>SUM(N406:R406)</f>
        <v>16684.905672459707</v>
      </c>
      <c r="N406" s="174">
        <f>T406*(1+((AG406+IF(F406="백어택",8,0))/100)*((AI406/100-1)))</f>
        <v>9478.489930003816</v>
      </c>
      <c r="O406" s="174">
        <f>U406*(1+($D$57/100)*($D$58/100-1))</f>
        <v>7206.4157424558907</v>
      </c>
      <c r="P406" s="174"/>
      <c r="Q406" s="174"/>
      <c r="R406" s="175">
        <f>X406*(1+($D$57/100)*($D$58/100-1))</f>
        <v>0</v>
      </c>
      <c r="S406" s="173">
        <f>SUM(T406:X406)</f>
        <v>13234.339751153182</v>
      </c>
      <c r="T406" s="174">
        <f>AL406*AY406</f>
        <v>7178.5943580726944</v>
      </c>
      <c r="U406" s="174">
        <f>AM406*AU406*AW406</f>
        <v>6055.7453930804877</v>
      </c>
      <c r="V406" s="174"/>
      <c r="W406" s="174"/>
      <c r="X406" s="175">
        <f>IF(AU406=1,0,U406*0.625)</f>
        <v>0</v>
      </c>
      <c r="Y406" s="173">
        <f>SUM(Z406:AD406)</f>
        <v>26468.679502306364</v>
      </c>
      <c r="Z406" s="174">
        <f>T406*$D$58/100</f>
        <v>14357.188716145389</v>
      </c>
      <c r="AA406" s="174">
        <f>U406*$D$58/100</f>
        <v>12111.490786160975</v>
      </c>
      <c r="AB406" s="174"/>
      <c r="AC406" s="174"/>
      <c r="AD406" s="175">
        <f>X406*$D$58/100</f>
        <v>0</v>
      </c>
      <c r="AE406" s="173">
        <f>AO406*(1-$D$17/100)</f>
        <v>23.942831999999999</v>
      </c>
      <c r="AF406" s="174">
        <f>AP406</f>
        <v>36</v>
      </c>
      <c r="AG406" s="174">
        <f>IF($D$57+AT406&gt;100,100,$D$57+AT406)</f>
        <v>19.001300000000001</v>
      </c>
      <c r="AH406" s="174">
        <f>AQ406</f>
        <v>521</v>
      </c>
      <c r="AI406" s="174">
        <f>$D$58+$D$19</f>
        <v>268.61079999999998</v>
      </c>
      <c r="AJ406" s="174">
        <f>10/IF(AY406=1,2.5,2)</f>
        <v>5</v>
      </c>
      <c r="AK406" s="174">
        <f>SUM(AL406:AN406)</f>
        <v>8425.3120635121941</v>
      </c>
      <c r="AL406" s="174">
        <f>(VLOOKUP(C406,$B$36:$AG$39,17,FALSE)+VLOOKUP(C406,$B$40:$AG$43,17,FALSE)*$D$54)*$D$59/100</f>
        <v>5397.4393669719502</v>
      </c>
      <c r="AM406" s="174">
        <f>(VLOOKUP(C406,$B$36:$AG$39,18,FALSE)+VLOOKUP(C406,$B$40:$AG$43,18,FALSE)*$D$54)*$D$59/100</f>
        <v>3027.8726965402439</v>
      </c>
      <c r="AN406" s="174"/>
      <c r="AO406" s="176">
        <v>24</v>
      </c>
      <c r="AP406" s="174">
        <v>36</v>
      </c>
      <c r="AQ406" s="175">
        <f>VLOOKUP(C406,$B$45:$AA$48,17,FALSE)</f>
        <v>521</v>
      </c>
      <c r="AR406" s="31">
        <f>IF(LEFT(E406,1)*1=1,$S$63,$R$63)</f>
        <v>0</v>
      </c>
      <c r="AS406" s="2">
        <f>IF(LEFT(E406,1)*1=2,$U$63,$T$63)</f>
        <v>0</v>
      </c>
      <c r="AT406" s="33">
        <f>IF(LEFT(E406,1)*1=3,$W$63,$V$63)</f>
        <v>0</v>
      </c>
      <c r="AU406" s="31">
        <f>IF(MID(E406,3,1)*1=1,$Y$63,$X$63)</f>
        <v>1</v>
      </c>
      <c r="AV406" s="2">
        <f>IF(MID(E406,3,1)*1=2,$AA$63,$Z$63)</f>
        <v>0</v>
      </c>
      <c r="AW406" s="33">
        <f>IF(MID(E406,3,1)*1=3,$AC$63,$AB$63)</f>
        <v>2</v>
      </c>
      <c r="AX406" s="31">
        <f>IF(MID(E406,5,1)*1=1,$AE$63,$AD$63)</f>
        <v>0</v>
      </c>
      <c r="AY406" s="33">
        <f>IF(MID(E406,5,1)*1=2,$AG$63,$AF$63)</f>
        <v>1.33</v>
      </c>
      <c r="AZ406" s="2"/>
      <c r="BA406" s="101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</row>
    <row r="407" spans="1:71" ht="12" customHeight="1">
      <c r="A407" s="2"/>
      <c r="B407" s="107">
        <v>75</v>
      </c>
      <c r="C407" s="31">
        <v>10</v>
      </c>
      <c r="D407" s="106" t="s">
        <v>5</v>
      </c>
      <c r="E407" s="2" t="s">
        <v>138</v>
      </c>
      <c r="F407" s="2"/>
      <c r="G407" s="2"/>
      <c r="H407" s="33">
        <v>9</v>
      </c>
      <c r="I407" s="173">
        <f>M407/AE407</f>
        <v>694.94396525497473</v>
      </c>
      <c r="J407" s="174">
        <f>AH407/AE407</f>
        <v>34.707673678702669</v>
      </c>
      <c r="K407" s="207">
        <f>RANK(I407,$I$76:$I$977)</f>
        <v>332</v>
      </c>
      <c r="L407" s="208">
        <f>RANK(I407,$I$76:$I$450)</f>
        <v>332</v>
      </c>
      <c r="M407" s="173">
        <f>SUM(N407:R407)</f>
        <v>5546.3088698378988</v>
      </c>
      <c r="N407" s="174">
        <f>T407*(1+((AG407+IF(F407="백어택",8,0))/100)*((AI407/100-1)))</f>
        <v>5546.3088698378988</v>
      </c>
      <c r="O407" s="174"/>
      <c r="P407" s="174"/>
      <c r="Q407" s="174"/>
      <c r="R407" s="175"/>
      <c r="S407" s="173">
        <f>SUM(T407:X407)</f>
        <v>4200.5321369931398</v>
      </c>
      <c r="T407" s="174">
        <f>AL407*AU407*AW407*AX407*AY407</f>
        <v>4200.5321369931398</v>
      </c>
      <c r="U407" s="174"/>
      <c r="V407" s="174"/>
      <c r="W407" s="174"/>
      <c r="X407" s="175"/>
      <c r="Y407" s="173">
        <f>SUM(Z407:AD407)</f>
        <v>8401.0642739862797</v>
      </c>
      <c r="Z407" s="174">
        <f>T407*$D$58/100</f>
        <v>8401.0642739862797</v>
      </c>
      <c r="AA407" s="174"/>
      <c r="AB407" s="174"/>
      <c r="AC407" s="174"/>
      <c r="AD407" s="175"/>
      <c r="AE407" s="173">
        <f>AO407*(1-$D$17/100)</f>
        <v>7.980944</v>
      </c>
      <c r="AF407" s="174">
        <f>AP407</f>
        <v>36</v>
      </c>
      <c r="AG407" s="174">
        <f>IF($D$57&gt;100,100,$D$57)</f>
        <v>19.001300000000001</v>
      </c>
      <c r="AH407" s="174">
        <f>AQ407</f>
        <v>277</v>
      </c>
      <c r="AI407" s="174">
        <f>$D$58+$D$19</f>
        <v>268.61079999999998</v>
      </c>
      <c r="AJ407" s="174">
        <f>1*AS407</f>
        <v>1</v>
      </c>
      <c r="AK407" s="174">
        <f>SUM(AL407:AN407)</f>
        <v>2240.2838063963413</v>
      </c>
      <c r="AL407" s="174">
        <f>(H407*(VLOOKUP(C407,$B$36:$AG$39,6,FALSE)+VLOOKUP(C407,$B$40:$AG$43,6,FALSE)*$D$54))*$D$59/100</f>
        <v>2240.2838063963413</v>
      </c>
      <c r="AM407" s="174"/>
      <c r="AN407" s="174"/>
      <c r="AO407" s="176">
        <v>8</v>
      </c>
      <c r="AP407" s="174">
        <v>36</v>
      </c>
      <c r="AQ407" s="175">
        <f>VLOOKUP(C407,$B$45:$AA$48,6,FALSE)</f>
        <v>277</v>
      </c>
      <c r="AR407" s="31">
        <f>IF(LEFT(E407,1)*1=1,$S$55,$R$55)</f>
        <v>0</v>
      </c>
      <c r="AS407" s="2">
        <f>IF(LEFT(E407,1)*1=2,$U$55,$T$55)</f>
        <v>1</v>
      </c>
      <c r="AT407" s="33">
        <f>IF(LEFT(E407,1)*1=3,$W$55,$V$55)</f>
        <v>0</v>
      </c>
      <c r="AU407" s="31">
        <f>IF(MID(E407,3,1)*1=1,$Y$55,$X$55)</f>
        <v>1.25</v>
      </c>
      <c r="AV407" s="2">
        <f>IF(MID(E407,3,1)*1=2,$AA$55,$Z$55)</f>
        <v>0</v>
      </c>
      <c r="AW407" s="33">
        <f>IF(MID(E407,3,1)*1=3,$AC$55,$AB$55)</f>
        <v>1</v>
      </c>
      <c r="AX407" s="31">
        <f>IF(MID(E407,5,1)*1=1,$AE$55,$AD$55)</f>
        <v>1.5</v>
      </c>
      <c r="AY407" s="33">
        <f>IF(MID(E407,5,1)*1=2,$AG$55,$AF$55)</f>
        <v>1</v>
      </c>
      <c r="AZ407" s="2"/>
      <c r="BA407" s="101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</row>
    <row r="408" spans="1:71" ht="12" customHeight="1">
      <c r="A408" s="2"/>
      <c r="B408" s="107">
        <v>81</v>
      </c>
      <c r="C408" s="31">
        <v>10</v>
      </c>
      <c r="D408" s="106" t="s">
        <v>5</v>
      </c>
      <c r="E408" s="2" t="s">
        <v>169</v>
      </c>
      <c r="F408" s="2"/>
      <c r="G408" s="2"/>
      <c r="H408" s="33">
        <v>9</v>
      </c>
      <c r="I408" s="173">
        <f>M408/AE408</f>
        <v>694.94396525497473</v>
      </c>
      <c r="J408" s="174">
        <f>AH408/AE408</f>
        <v>34.707673678702669</v>
      </c>
      <c r="K408" s="207">
        <f>RANK(I408,$I$76:$I$977)</f>
        <v>332</v>
      </c>
      <c r="L408" s="208">
        <f>RANK(I408,$I$76:$I$450)</f>
        <v>332</v>
      </c>
      <c r="M408" s="173">
        <f>SUM(N408:R408)</f>
        <v>5546.3088698378988</v>
      </c>
      <c r="N408" s="174">
        <f>T408*(1+((AG408+IF(F408="백어택",8,0))/100)*((AI408/100-1)))</f>
        <v>5546.3088698378988</v>
      </c>
      <c r="O408" s="174"/>
      <c r="P408" s="174"/>
      <c r="Q408" s="174"/>
      <c r="R408" s="175"/>
      <c r="S408" s="173">
        <f>SUM(T408:X408)</f>
        <v>4200.5321369931398</v>
      </c>
      <c r="T408" s="174">
        <f>AL408*AU408*AW408*AX408*AY408</f>
        <v>4200.5321369931398</v>
      </c>
      <c r="U408" s="174"/>
      <c r="V408" s="174"/>
      <c r="W408" s="174"/>
      <c r="X408" s="175"/>
      <c r="Y408" s="173">
        <f>SUM(Z408:AD408)</f>
        <v>8401.0642739862797</v>
      </c>
      <c r="Z408" s="174">
        <f>T408*$D$58/100</f>
        <v>8401.0642739862797</v>
      </c>
      <c r="AA408" s="174"/>
      <c r="AB408" s="174"/>
      <c r="AC408" s="174"/>
      <c r="AD408" s="175"/>
      <c r="AE408" s="173">
        <f>AO408*(1-$D$17/100)</f>
        <v>7.980944</v>
      </c>
      <c r="AF408" s="174">
        <f>AP408</f>
        <v>36</v>
      </c>
      <c r="AG408" s="174">
        <f>IF($D$57&gt;100,100,$D$57)</f>
        <v>19.001300000000001</v>
      </c>
      <c r="AH408" s="174">
        <f>AQ408</f>
        <v>277</v>
      </c>
      <c r="AI408" s="174">
        <f>$D$58+$D$19</f>
        <v>268.61079999999998</v>
      </c>
      <c r="AJ408" s="174">
        <f>1*AS408</f>
        <v>0.8</v>
      </c>
      <c r="AK408" s="174">
        <f>SUM(AL408:AN408)</f>
        <v>2240.2838063963413</v>
      </c>
      <c r="AL408" s="174">
        <f>(H408*(VLOOKUP(C408,$B$36:$AG$39,6,FALSE)+VLOOKUP(C408,$B$40:$AG$43,6,FALSE)*$D$54))*$D$59/100</f>
        <v>2240.2838063963413</v>
      </c>
      <c r="AM408" s="174"/>
      <c r="AN408" s="174"/>
      <c r="AO408" s="176">
        <v>8</v>
      </c>
      <c r="AP408" s="174">
        <v>36</v>
      </c>
      <c r="AQ408" s="175">
        <f>VLOOKUP(C408,$B$45:$AA$48,6,FALSE)</f>
        <v>277</v>
      </c>
      <c r="AR408" s="31">
        <f>IF(LEFT(E408,1)*1=1,$S$55,$R$55)</f>
        <v>0</v>
      </c>
      <c r="AS408" s="2">
        <f>IF(LEFT(E408,1)*1=2,$U$55,$T$55)</f>
        <v>0.8</v>
      </c>
      <c r="AT408" s="33">
        <f>IF(LEFT(E408,1)*1=3,$W$55,$V$55)</f>
        <v>0</v>
      </c>
      <c r="AU408" s="31">
        <f>IF(MID(E408,3,1)*1=1,$Y$55,$X$55)</f>
        <v>1.25</v>
      </c>
      <c r="AV408" s="2">
        <f>IF(MID(E408,3,1)*1=2,$AA$55,$Z$55)</f>
        <v>0</v>
      </c>
      <c r="AW408" s="33">
        <f>IF(MID(E408,3,1)*1=3,$AC$55,$AB$55)</f>
        <v>1</v>
      </c>
      <c r="AX408" s="31">
        <f>IF(MID(E408,5,1)*1=1,$AE$55,$AD$55)</f>
        <v>1.5</v>
      </c>
      <c r="AY408" s="33">
        <f>IF(MID(E408,5,1)*1=2,$AG$55,$AF$55)</f>
        <v>1</v>
      </c>
      <c r="AZ408" s="2"/>
      <c r="BA408" s="101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</row>
    <row r="409" spans="1:71" ht="12" customHeight="1">
      <c r="A409" s="2"/>
      <c r="B409" s="107">
        <v>504</v>
      </c>
      <c r="C409" s="31">
        <v>7</v>
      </c>
      <c r="D409" s="111" t="s">
        <v>14</v>
      </c>
      <c r="E409" s="2" t="s">
        <v>163</v>
      </c>
      <c r="F409" s="2"/>
      <c r="G409" s="2"/>
      <c r="H409" s="33" t="s">
        <v>81</v>
      </c>
      <c r="I409" s="173">
        <f>M409/AE409</f>
        <v>694.42567214165865</v>
      </c>
      <c r="J409" s="174">
        <f>AH409/AE409</f>
        <v>16.518097441877977</v>
      </c>
      <c r="K409" s="207">
        <f>RANK(I409,$I$76:$I$977)</f>
        <v>334</v>
      </c>
      <c r="L409" s="208" t="e">
        <f>RANK(I409,$I$451:$I$866)</f>
        <v>#N/A</v>
      </c>
      <c r="M409" s="173">
        <f>SUM(N409:R409)</f>
        <v>19254.454634378297</v>
      </c>
      <c r="N409" s="174">
        <f>T409*(1+((AG409+IF(F409="백어택",8,0))/100)*(AI409/100-1))</f>
        <v>5746.6247949265098</v>
      </c>
      <c r="O409" s="174">
        <f>U409*(1+((AG409+IF(F409="백어택",8,0))/100)*(AI409/100-1))</f>
        <v>5746.6247949265098</v>
      </c>
      <c r="P409" s="174">
        <f>V409*(1+((AG409+IF(F409="백어택",8,0))/100)*(AI409*IF(AX409=1,AW409,1)/100-1))</f>
        <v>7761.205044525278</v>
      </c>
      <c r="Q409" s="174">
        <f>W409*(1+((AG409+IF(F409="백어택",8,0))/100)*(AI409*AW409/100-1))</f>
        <v>0</v>
      </c>
      <c r="R409" s="175"/>
      <c r="S409" s="173">
        <f>SUM(T409:X409)</f>
        <v>11598.932804330489</v>
      </c>
      <c r="T409" s="174">
        <f>AL409*AY409*IF(F409="백어택",1.2,1)</f>
        <v>3461.7815001128056</v>
      </c>
      <c r="U409" s="174">
        <f>AM409*AY409*IF(F409="백어택",1.2,1)</f>
        <v>3461.7815001128056</v>
      </c>
      <c r="V409" s="174">
        <f>AN409*AY409*IF(F409="백어택",1.2,1)</f>
        <v>4675.3698041048783</v>
      </c>
      <c r="W409" s="174">
        <f>(T409+U409+V409)*IF(AX409=1,0,0.6)*IF(F409="백어택",1.2,1)</f>
        <v>0</v>
      </c>
      <c r="X409" s="175"/>
      <c r="Y409" s="173">
        <f>SUM(Z409:AD409)</f>
        <v>28997.332010826223</v>
      </c>
      <c r="Z409" s="174">
        <f>T409*AI409/100</f>
        <v>8654.4537502820131</v>
      </c>
      <c r="AA409" s="174">
        <f>U409*AI409/100</f>
        <v>8654.4537502820131</v>
      </c>
      <c r="AB409" s="174">
        <f>V409*AI409*IF(AX409=1,AW409,1)/100</f>
        <v>11688.424510262197</v>
      </c>
      <c r="AC409" s="174">
        <f>W409*AI409*AW409/100</f>
        <v>0</v>
      </c>
      <c r="AD409" s="175"/>
      <c r="AE409" s="173">
        <f>AO409*(1-$D$20/100)*(1-$D$17/100)</f>
        <v>27.727164197424003</v>
      </c>
      <c r="AF409" s="174">
        <f>AP409</f>
        <v>36</v>
      </c>
      <c r="AG409" s="174">
        <f>IF($D$57+AU409&gt;100,100,$D$57+AU409)</f>
        <v>44.001300000000001</v>
      </c>
      <c r="AH409" s="174">
        <f>AQ409*AS409</f>
        <v>458</v>
      </c>
      <c r="AI409" s="174">
        <f>$D$58+IF(H409="근접",AR409,0)+IF(AY409=1,0,50)</f>
        <v>250</v>
      </c>
      <c r="AJ409" s="174">
        <f>10/3</f>
        <v>3.3333333333333335</v>
      </c>
      <c r="AK409" s="174">
        <f>SUM(AL409:AN409)</f>
        <v>11598.932804330489</v>
      </c>
      <c r="AL409" s="174">
        <f>(IF(H409="근접",$D$61*(VLOOKUP(C409,$B$36:$AG$39,19,FALSE)+VLOOKUP(C409,$B$40:$AG$43,19,FALSE)*$D$54),$D$60*(VLOOKUP(C409,$B$36:$AG$39,19,FALSE)+VLOOKUP(C409,$B$40:$AG$43,19,FALSE)*$D$54)))*$D$59/100</f>
        <v>3461.7815001128056</v>
      </c>
      <c r="AM409" s="174">
        <f>(IF(H409="근접",$D$61*(VLOOKUP(C409,$B$36:$AG$39,20,FALSE)+VLOOKUP(C409,$B$40:$AG$43,20,FALSE)*$D$54),$D$60*(VLOOKUP(C409,$B$36:$AG$39,20,FALSE)+VLOOKUP(C409,$B$40:$AG$43,20,FALSE)*$D$54)))*$D$59/100</f>
        <v>3461.7815001128056</v>
      </c>
      <c r="AN409" s="174">
        <f>(IF(H409="근접",$D$61*(VLOOKUP(C409,$B$36:$AG$39,21,FALSE)+VLOOKUP(C409,$B$40:$AG$43,21,FALSE)*$D$54),$D$60*(VLOOKUP(C409,$B$36:$AG$39,21,FALSE)+VLOOKUP(C409,$B$40:$AG$43,21,FALSE)*$D$54)))*$D$59/100</f>
        <v>4675.3698041048783</v>
      </c>
      <c r="AO409" s="176">
        <v>36</v>
      </c>
      <c r="AP409" s="174">
        <v>36</v>
      </c>
      <c r="AQ409" s="175">
        <f>VLOOKUP(C409,$B$45:$AA$48,19,FALSE)</f>
        <v>458</v>
      </c>
      <c r="AR409" s="31">
        <f>IF(LEFT(E409,1)*1=1,$S$64,$R$64)</f>
        <v>50</v>
      </c>
      <c r="AS409" s="2">
        <f>IF(LEFT(E409,1)*1=2,$U$64,$T$64)</f>
        <v>1</v>
      </c>
      <c r="AT409" s="33">
        <f>IF(LEFT(E409,1)*1=3,$W$64,$V$64)</f>
        <v>0</v>
      </c>
      <c r="AU409" s="31">
        <f>IF(MID(E409,3,1)*1=1,$Y$64,$X$64)</f>
        <v>25</v>
      </c>
      <c r="AV409" s="2">
        <f>IF(MID(E409,3,1)*1=2,$AA$64,$Z$64)</f>
        <v>0</v>
      </c>
      <c r="AW409" s="33">
        <f>IF(MID(E409,3,1)*1=3,$AC$64,$AB$64)</f>
        <v>1</v>
      </c>
      <c r="AX409" s="31">
        <f>IF(MID(E409,5,1)*1=1,$AE$64,$AD$64)</f>
        <v>1</v>
      </c>
      <c r="AY409" s="33">
        <f>IF(MID(E409,5,1)*1=2,$AG$64,$AF$64)</f>
        <v>1</v>
      </c>
      <c r="AZ409" s="2"/>
      <c r="BA409" s="101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</row>
    <row r="410" spans="1:71" ht="12" customHeight="1">
      <c r="A410" s="2"/>
      <c r="B410" s="107">
        <v>756</v>
      </c>
      <c r="C410" s="31">
        <v>7</v>
      </c>
      <c r="D410" s="111" t="s">
        <v>21</v>
      </c>
      <c r="E410" s="2" t="s">
        <v>103</v>
      </c>
      <c r="F410" s="2"/>
      <c r="G410" s="2" t="s">
        <v>177</v>
      </c>
      <c r="H410" s="33"/>
      <c r="I410" s="173">
        <f>M410/AE410</f>
        <v>692.95355944152539</v>
      </c>
      <c r="J410" s="174">
        <f>AH410/AE410</f>
        <v>16.518097441877977</v>
      </c>
      <c r="K410" s="207">
        <f>RANK(I410,$I$76:$I$977)</f>
        <v>335</v>
      </c>
      <c r="L410" s="208" t="e">
        <f>RANK(I410,$I$451:$I$866)</f>
        <v>#N/A</v>
      </c>
      <c r="M410" s="173">
        <f>SUM(N410:R410)</f>
        <v>19213.637123824588</v>
      </c>
      <c r="N410" s="174">
        <f>T410*(1+((AG410+IF(F410="백어택",8,0))/100)*(AI410/100-1))</f>
        <v>16953.209226904048</v>
      </c>
      <c r="O410" s="174"/>
      <c r="P410" s="174"/>
      <c r="Q410" s="174"/>
      <c r="R410" s="175">
        <f>X410*(1+(AG410/100)*(AI410/100-1))</f>
        <v>2260.4278969205398</v>
      </c>
      <c r="S410" s="173">
        <f>SUM(T410:X410)</f>
        <v>16145.737167429757</v>
      </c>
      <c r="T410" s="174">
        <f>AL410*AW410*AX410*AY410*IF(F410="백어택",1.2,1)</f>
        <v>14246.238677143903</v>
      </c>
      <c r="U410" s="174"/>
      <c r="V410" s="174"/>
      <c r="W410" s="174"/>
      <c r="X410" s="175">
        <f>AL410*AS410+IF(AX410=1,AL410*AU410,AL410*AU410*2)</f>
        <v>1899.4984902858539</v>
      </c>
      <c r="Y410" s="173">
        <f>SUM(Z410:AD410)</f>
        <v>32291.474334859515</v>
      </c>
      <c r="Z410" s="174">
        <f>T410*$D$58/100</f>
        <v>28492.477354287807</v>
      </c>
      <c r="AA410" s="174"/>
      <c r="AB410" s="174"/>
      <c r="AC410" s="174"/>
      <c r="AD410" s="175">
        <f>X410*$D$58/100</f>
        <v>3798.9969805717078</v>
      </c>
      <c r="AE410" s="173">
        <f>AO410*(1-$D$20/100)*(1-$D$17/100)-AR410</f>
        <v>27.727164197424003</v>
      </c>
      <c r="AF410" s="174">
        <f>AP410</f>
        <v>36</v>
      </c>
      <c r="AG410" s="174">
        <f>IF($D$57&gt;100,100,$D$57)</f>
        <v>19.001300000000001</v>
      </c>
      <c r="AH410" s="174">
        <f>AQ410</f>
        <v>458</v>
      </c>
      <c r="AI410" s="174">
        <f>$D$58</f>
        <v>200</v>
      </c>
      <c r="AJ410" s="174">
        <f>10/6</f>
        <v>1.6666666666666667</v>
      </c>
      <c r="AK410" s="174">
        <f>SUM(AL410:AN410)</f>
        <v>9497.4924514292688</v>
      </c>
      <c r="AL410" s="174">
        <f>(VLOOKUP(C410,$B$36:$AG$39,31,FALSE)+VLOOKUP(C410,$B$40:$AG$43,31,FALSE)*$D$54)*$D$59/100</f>
        <v>9497.4924514292688</v>
      </c>
      <c r="AM410" s="174"/>
      <c r="AN410" s="174"/>
      <c r="AO410" s="176">
        <v>36</v>
      </c>
      <c r="AP410" s="174">
        <v>36</v>
      </c>
      <c r="AQ410" s="175">
        <f>VLOOKUP(C410,$B$45:$AG$48,31,FALSE)</f>
        <v>458</v>
      </c>
      <c r="AR410" s="31">
        <f>IF(LEFT(E410,1)*1=1,$S$71,$R$71)</f>
        <v>0</v>
      </c>
      <c r="AS410" s="2">
        <f>IF(LEFT(E410,1)*1=2,$U$71,$T$71)</f>
        <v>0.2</v>
      </c>
      <c r="AT410" s="33">
        <f>IF(LEFT(E410,1)*1=3,$W$71,$V$71)</f>
        <v>0</v>
      </c>
      <c r="AU410" s="31">
        <f>IF(MID(E410,3,1)*1=1,$Y$71,$X$71)</f>
        <v>0</v>
      </c>
      <c r="AV410" s="2">
        <f>IF(MID(E410,3,1)*1=2,$AA$71,$Z$71)</f>
        <v>0</v>
      </c>
      <c r="AW410" s="33">
        <f>IF(MID(E410,3,1)*1=3,$AC$71,$AB$71)</f>
        <v>1.5</v>
      </c>
      <c r="AX410" s="31">
        <f>IF(MID(E410,5,1)*1=1,$AE$71,$AD$71)</f>
        <v>1</v>
      </c>
      <c r="AY410" s="33">
        <f>IF(MID(E410,5,1)*1=2,$AG$71,$AF$71)</f>
        <v>1</v>
      </c>
      <c r="AZ410" s="2"/>
      <c r="BA410" s="101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</row>
    <row r="411" spans="1:71" ht="12" customHeight="1">
      <c r="A411" s="2"/>
      <c r="B411" s="107">
        <v>433</v>
      </c>
      <c r="C411" s="31">
        <v>7</v>
      </c>
      <c r="D411" s="111" t="s">
        <v>8</v>
      </c>
      <c r="E411" s="2" t="s">
        <v>148</v>
      </c>
      <c r="F411" s="2" t="s">
        <v>149</v>
      </c>
      <c r="G411" s="2"/>
      <c r="H411" s="33" t="s">
        <v>81</v>
      </c>
      <c r="I411" s="173">
        <f>M411/AE411</f>
        <v>690.87389193136289</v>
      </c>
      <c r="J411" s="174">
        <f>AH411/AE411</f>
        <v>19.637781784066725</v>
      </c>
      <c r="K411" s="207">
        <f>RANK(I411,$I$76:$I$977)</f>
        <v>336</v>
      </c>
      <c r="L411" s="208" t="e">
        <f>RANK(I411,$I$451:$I$866)</f>
        <v>#N/A</v>
      </c>
      <c r="M411" s="173">
        <f>SUM(N411:R411)</f>
        <v>12770.649227529508</v>
      </c>
      <c r="N411" s="174">
        <f>T411*(1+((AG411+IF(F411="백어택",8,0))/100)*(IF(AY411=1,$D$58,$D$58+50)/100-1))</f>
        <v>5607.5417127224491</v>
      </c>
      <c r="O411" s="174">
        <f>U411*(1+((AG411+IF(F411="백어택",8,0))/100)*(AI411/100-1))</f>
        <v>7163.1075148070586</v>
      </c>
      <c r="P411" s="174">
        <f>V411*(1+((AG411+IF(F411="백어택",8,0))/100)*(AI411/100-1))</f>
        <v>0</v>
      </c>
      <c r="Q411" s="174"/>
      <c r="R411" s="175"/>
      <c r="S411" s="173">
        <f>SUM(T411:X411)</f>
        <v>10055.526382430344</v>
      </c>
      <c r="T411" s="174">
        <f>AL411*IF(H411="근접",AR411,1)*AY411*IF(F411="백어택",1.2,1)</f>
        <v>4415.3419789580494</v>
      </c>
      <c r="U411" s="174">
        <f>AM411*IF(H411="근접",AR411,1)*AY411*IF(F411="백어택",1.2,1)</f>
        <v>5640.1844034722935</v>
      </c>
      <c r="V411" s="174">
        <f>IF(AX411=1,0,AM411*IF(H411="근접",AR411,1)*AY411)*IF(F411="백어택",1.2,1)</f>
        <v>0</v>
      </c>
      <c r="W411" s="174"/>
      <c r="X411" s="175"/>
      <c r="Y411" s="173">
        <f>SUM(Z411:AD411)</f>
        <v>20111.052764860688</v>
      </c>
      <c r="Z411" s="174">
        <f>T411*IF(AY411=1,$D$58,$D$58+50)/100</f>
        <v>8830.6839579160987</v>
      </c>
      <c r="AA411" s="174">
        <f>U411*AI411/100</f>
        <v>11280.368806944587</v>
      </c>
      <c r="AB411" s="174">
        <f>V411*AI411/100</f>
        <v>0</v>
      </c>
      <c r="AC411" s="174"/>
      <c r="AD411" s="175"/>
      <c r="AE411" s="173">
        <f>AO411*(1-$D$20/100)*(1-$D$17/100)</f>
        <v>18.484776131615998</v>
      </c>
      <c r="AF411" s="174">
        <f>AP411</f>
        <v>36</v>
      </c>
      <c r="AG411" s="174">
        <f>IF($D$57+AU411&gt;100,100,$D$57+AU411)</f>
        <v>19.001300000000001</v>
      </c>
      <c r="AH411" s="174">
        <f>IF(AX411=1,AQ411,AQ411*1.4)</f>
        <v>363</v>
      </c>
      <c r="AI411" s="174">
        <f>IF(AY411=1,$D$58,$D$58+50)*AW411</f>
        <v>200</v>
      </c>
      <c r="AJ411" s="174">
        <f>10/6/AX411</f>
        <v>1.6666666666666667</v>
      </c>
      <c r="AK411" s="174">
        <f>SUM(AL411:AN411)</f>
        <v>6983.0044322432941</v>
      </c>
      <c r="AL411" s="174">
        <f>(IF(H411="근접",$D$61*(VLOOKUP(C411,$B$36:$AG$39,9,FALSE)+VLOOKUP(C411,$B$40:$AG$43,9,FALSE)*$D$54),$D$60*(VLOOKUP(C411,$B$36:$AG$39,9,FALSE)+VLOOKUP(C411,$B$40:$AG$43,9,FALSE)*$D$54)))*$D$59/100</f>
        <v>3066.2097076097566</v>
      </c>
      <c r="AM411" s="174">
        <f>(IF(H411="근접",$D$61*(VLOOKUP(C411,$B$36:$AG$39,10,FALSE)+VLOOKUP(C411,$B$40:$AG$43,10,FALSE)*$D$54),$D$60*(VLOOKUP(C411,$B$36:$AG$39,10,FALSE)+VLOOKUP(C411,$B$40:$AG$43,10,FALSE)*$D$54)))*$D$59/100</f>
        <v>3916.7947246335375</v>
      </c>
      <c r="AN411" s="174"/>
      <c r="AO411" s="176">
        <v>24</v>
      </c>
      <c r="AP411" s="174">
        <v>36</v>
      </c>
      <c r="AQ411" s="175">
        <f>VLOOKUP(C411,$B$45:$AA$48,9,FALSE)</f>
        <v>363</v>
      </c>
      <c r="AR411" s="31">
        <f>IF(LEFT(E411,1)*1=1,$S$58,$R$58)</f>
        <v>1.2</v>
      </c>
      <c r="AS411" s="2">
        <f>IF(LEFT(E411,1)*1=2,$U$58,$T$58)</f>
        <v>0</v>
      </c>
      <c r="AT411" s="33">
        <f>IF(LEFT(E411,1)*1=3,$W$58,$V$58)</f>
        <v>0</v>
      </c>
      <c r="AU411" s="31">
        <f>IF(MID(E411,3,1)*1=1,$Y$58,$X$58)</f>
        <v>0</v>
      </c>
      <c r="AV411" s="2">
        <f>IF(MID(E411,3,1)*1=2,$AA$58,$Z$58)</f>
        <v>0</v>
      </c>
      <c r="AW411" s="33">
        <f>IF(MID(E411,3,1)*1=3,$AC$58,$AB$58)</f>
        <v>1</v>
      </c>
      <c r="AX411" s="31">
        <f>IF(MID(E411,5,1)*1=1,$AE$58,$AD$58)</f>
        <v>1</v>
      </c>
      <c r="AY411" s="33">
        <f>IF(MID(E411,5,1)*1=2,$AG$58,$AF$58)</f>
        <v>1</v>
      </c>
      <c r="AZ411" s="2"/>
      <c r="BA411" s="101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</row>
    <row r="412" spans="1:71" ht="12" customHeight="1">
      <c r="A412" s="2"/>
      <c r="B412" s="107">
        <v>24</v>
      </c>
      <c r="C412" s="31">
        <v>7</v>
      </c>
      <c r="D412" s="106" t="s">
        <v>2</v>
      </c>
      <c r="E412" s="2" t="s">
        <v>103</v>
      </c>
      <c r="F412" s="2"/>
      <c r="G412" s="2" t="s">
        <v>133</v>
      </c>
      <c r="H412" s="33"/>
      <c r="I412" s="173">
        <f>M412/AE412</f>
        <v>689.37198122795087</v>
      </c>
      <c r="J412" s="174">
        <f>AH412/AE412</f>
        <v>27.646690762739251</v>
      </c>
      <c r="K412" s="207">
        <f>RANK(I412,$I$76:$I$977)</f>
        <v>337</v>
      </c>
      <c r="L412" s="208">
        <f>RANK(I412,$I$76:$I$450)</f>
        <v>337</v>
      </c>
      <c r="M412" s="173">
        <f>SUM(N412:R412)</f>
        <v>4812.4671961213762</v>
      </c>
      <c r="N412" s="174">
        <f>T412*(1+((AG412+IF(F412="백어택",8,0))/100)*((AI412/100-1)))</f>
        <v>4812.4671961213762</v>
      </c>
      <c r="O412" s="174"/>
      <c r="P412" s="174"/>
      <c r="Q412" s="174"/>
      <c r="R412" s="175"/>
      <c r="S412" s="173">
        <f>SUM(T412:X412)</f>
        <v>3644.7524993543907</v>
      </c>
      <c r="T412" s="174">
        <f>AL412*AV412*AW412*AY412</f>
        <v>3644.7524993543907</v>
      </c>
      <c r="U412" s="174"/>
      <c r="V412" s="174"/>
      <c r="W412" s="174"/>
      <c r="X412" s="175"/>
      <c r="Y412" s="173">
        <f>SUM(Z412:AD412)</f>
        <v>7289.5049987087814</v>
      </c>
      <c r="Z412" s="174">
        <f>T412*$D$58/100</f>
        <v>7289.5049987087814</v>
      </c>
      <c r="AA412" s="174"/>
      <c r="AB412" s="174"/>
      <c r="AC412" s="174"/>
      <c r="AD412" s="175"/>
      <c r="AE412" s="173">
        <f>AO412*(1-$D$17/100)-AS412</f>
        <v>6.980944</v>
      </c>
      <c r="AF412" s="174"/>
      <c r="AG412" s="174">
        <f>IF($D$57+AT412&gt;100,100,$D$57+AT412)</f>
        <v>19.001300000000001</v>
      </c>
      <c r="AH412" s="174">
        <f>AQ412</f>
        <v>193</v>
      </c>
      <c r="AI412" s="174">
        <f>$D$58+$D$19</f>
        <v>268.61079999999998</v>
      </c>
      <c r="AJ412" s="174">
        <f>10*AY412/12</f>
        <v>0.83333333333333337</v>
      </c>
      <c r="AK412" s="174">
        <f>SUM(AL412:AN412)</f>
        <v>2803.6557687341465</v>
      </c>
      <c r="AL412" s="174">
        <f>(VLOOKUP(C412,$B$36:$AA$39,2,FALSE)+VLOOKUP(C412,$B$40:$AA$43,2,FALSE)*$D$54)*$D$59/100</f>
        <v>2803.6557687341465</v>
      </c>
      <c r="AM412" s="174"/>
      <c r="AN412" s="174"/>
      <c r="AO412" s="176">
        <v>8</v>
      </c>
      <c r="AP412" s="174">
        <v>15</v>
      </c>
      <c r="AQ412" s="175">
        <f>VLOOKUP(C412,$B$45:$AA$48,2,FALSE)</f>
        <v>193</v>
      </c>
      <c r="AR412" s="31">
        <f>IF(LEFT(E412,1)*1=1,$S$52,$R$52)</f>
        <v>0</v>
      </c>
      <c r="AS412" s="2">
        <f>IF(LEFT(E412,1)*1=2,$U$52,$T$52)</f>
        <v>1</v>
      </c>
      <c r="AT412" s="33">
        <f>IF(LEFT(E412,1)*1=3,$W$52,$V$52)</f>
        <v>0</v>
      </c>
      <c r="AU412" s="31">
        <f>IF(MID(E412,3,1)*1=1,$Y$52,$X$52)</f>
        <v>0</v>
      </c>
      <c r="AV412" s="2">
        <f>IF(MID(E412,3,1)*1=2,$AA$52,$Z$52)</f>
        <v>1</v>
      </c>
      <c r="AW412" s="33">
        <f>IF(MID(E412,3,1)*1=3,$AC$52,$AB$52)</f>
        <v>1.3</v>
      </c>
      <c r="AX412" s="31">
        <f>IF(MID(E412,5,1)*1=1,$AE$52,$AD$52)</f>
        <v>0</v>
      </c>
      <c r="AY412" s="33">
        <f>IF(MID(E412,5,1)*1=2,$AG$52,$AF$52)</f>
        <v>1</v>
      </c>
      <c r="AZ412" s="2"/>
      <c r="BA412" s="101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</row>
    <row r="413" spans="1:71" ht="12" customHeight="1">
      <c r="A413" s="2"/>
      <c r="B413" s="107">
        <v>431</v>
      </c>
      <c r="C413" s="31">
        <v>7</v>
      </c>
      <c r="D413" s="111" t="s">
        <v>8</v>
      </c>
      <c r="E413" s="2" t="s">
        <v>136</v>
      </c>
      <c r="F413" s="2" t="s">
        <v>149</v>
      </c>
      <c r="G413" s="2"/>
      <c r="H413" s="33" t="s">
        <v>81</v>
      </c>
      <c r="I413" s="173">
        <f>M413/AE413</f>
        <v>689.05941454685012</v>
      </c>
      <c r="J413" s="174">
        <f>AH413/AE413</f>
        <v>19.637781784066725</v>
      </c>
      <c r="K413" s="207">
        <f>RANK(I413,$I$76:$I$977)</f>
        <v>338</v>
      </c>
      <c r="L413" s="208" t="e">
        <f>RANK(I413,$I$451:$I$866)</f>
        <v>#N/A</v>
      </c>
      <c r="M413" s="173">
        <f>SUM(N413:R413)</f>
        <v>12737.10901928091</v>
      </c>
      <c r="N413" s="174">
        <f>T413*(1+((AG413+IF(F413="백어택",8,0))/100)*(IF(AY413=1,$D$58,$D$58+50)/100-1))</f>
        <v>5592.8143395516345</v>
      </c>
      <c r="O413" s="174">
        <f>U413*(1+((AG413+IF(F413="백어택",8,0))/100)*(AI413/100-1))</f>
        <v>7144.2946797292761</v>
      </c>
      <c r="P413" s="174">
        <f>V413*(1+((AG413+IF(F413="백어택",8,0))/100)*(AI413/100-1))</f>
        <v>0</v>
      </c>
      <c r="Q413" s="174"/>
      <c r="R413" s="175"/>
      <c r="S413" s="173">
        <f>SUM(T413:X413)</f>
        <v>8379.6053186919526</v>
      </c>
      <c r="T413" s="174">
        <f>AL413*IF(H413="근접",AR413,1)*AY413*IF(F413="백어택",1.2,1)</f>
        <v>3679.4516491317077</v>
      </c>
      <c r="U413" s="174">
        <f>AM413*IF(H413="근접",AR413,1)*AY413*IF(F413="백어택",1.2,1)</f>
        <v>4700.1536695602445</v>
      </c>
      <c r="V413" s="174">
        <f>IF(AX413=1,0,AM413*IF(H413="근접",AR413,1)*AY413)*IF(F413="백어택",1.2,1)</f>
        <v>0</v>
      </c>
      <c r="W413" s="174"/>
      <c r="X413" s="175"/>
      <c r="Y413" s="173">
        <f>SUM(Z413:AD413)</f>
        <v>16759.210637383905</v>
      </c>
      <c r="Z413" s="174">
        <f>T413*IF(AY413=1,$D$58,$D$58+50)/100</f>
        <v>7358.9032982634144</v>
      </c>
      <c r="AA413" s="174">
        <f>U413*AI413/100</f>
        <v>9400.3073391204889</v>
      </c>
      <c r="AB413" s="174">
        <f>V413*AI413/100</f>
        <v>0</v>
      </c>
      <c r="AC413" s="174"/>
      <c r="AD413" s="175"/>
      <c r="AE413" s="173">
        <f>AO413*(1-$D$20/100)*(1-$D$17/100)</f>
        <v>18.484776131615998</v>
      </c>
      <c r="AF413" s="174">
        <f>AP413</f>
        <v>36</v>
      </c>
      <c r="AG413" s="174">
        <f>IF($D$57+AU413&gt;100,100,$D$57+AU413)</f>
        <v>44.001300000000001</v>
      </c>
      <c r="AH413" s="174">
        <f>IF(AX413=1,AQ413,AQ413*1.4)</f>
        <v>363</v>
      </c>
      <c r="AI413" s="174">
        <f>IF(AY413=1,$D$58,$D$58+50)*AW413</f>
        <v>200</v>
      </c>
      <c r="AJ413" s="174">
        <f>10/6/AX413</f>
        <v>1.6666666666666667</v>
      </c>
      <c r="AK413" s="174">
        <f>SUM(AL413:AN413)</f>
        <v>6983.0044322432941</v>
      </c>
      <c r="AL413" s="174">
        <f>(IF(H413="근접",$D$61*(VLOOKUP(C413,$B$36:$AG$39,9,FALSE)+VLOOKUP(C413,$B$40:$AG$43,9,FALSE)*$D$54),$D$60*(VLOOKUP(C413,$B$36:$AG$39,9,FALSE)+VLOOKUP(C413,$B$40:$AG$43,9,FALSE)*$D$54)))*$D$59/100</f>
        <v>3066.2097076097566</v>
      </c>
      <c r="AM413" s="174">
        <f>(IF(H413="근접",$D$61*(VLOOKUP(C413,$B$36:$AG$39,10,FALSE)+VLOOKUP(C413,$B$40:$AG$43,10,FALSE)*$D$54),$D$60*(VLOOKUP(C413,$B$36:$AG$39,10,FALSE)+VLOOKUP(C413,$B$40:$AG$43,10,FALSE)*$D$54)))*$D$59/100</f>
        <v>3916.7947246335375</v>
      </c>
      <c r="AN413" s="174"/>
      <c r="AO413" s="176">
        <v>24</v>
      </c>
      <c r="AP413" s="174">
        <v>36</v>
      </c>
      <c r="AQ413" s="175">
        <f>VLOOKUP(C413,$B$45:$AA$48,9,FALSE)</f>
        <v>363</v>
      </c>
      <c r="AR413" s="31">
        <f>IF(LEFT(E413,1)*1=1,$S$58,$R$58)</f>
        <v>1</v>
      </c>
      <c r="AS413" s="2">
        <f>IF(LEFT(E413,1)*1=2,$U$58,$T$58)</f>
        <v>0</v>
      </c>
      <c r="AT413" s="33">
        <f>IF(LEFT(E413,1)*1=3,$W$58,$V$58)</f>
        <v>0</v>
      </c>
      <c r="AU413" s="31">
        <f>IF(MID(E413,3,1)*1=1,$Y$58,$X$58)</f>
        <v>25</v>
      </c>
      <c r="AV413" s="2">
        <f>IF(MID(E413,3,1)*1=2,$AA$58,$Z$58)</f>
        <v>0</v>
      </c>
      <c r="AW413" s="33">
        <f>IF(MID(E413,3,1)*1=3,$AC$58,$AB$58)</f>
        <v>1</v>
      </c>
      <c r="AX413" s="31">
        <f>IF(MID(E413,5,1)*1=1,$AE$58,$AD$58)</f>
        <v>1</v>
      </c>
      <c r="AY413" s="33">
        <f>IF(MID(E413,5,1)*1=2,$AG$58,$AF$58)</f>
        <v>1</v>
      </c>
      <c r="AZ413" s="2"/>
      <c r="BA413" s="101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</row>
    <row r="414" spans="1:71" ht="12" customHeight="1">
      <c r="A414" s="2"/>
      <c r="B414" s="107">
        <v>32</v>
      </c>
      <c r="C414" s="31">
        <v>10</v>
      </c>
      <c r="D414" s="106" t="s">
        <v>3</v>
      </c>
      <c r="E414" s="2" t="s">
        <v>138</v>
      </c>
      <c r="F414" s="2"/>
      <c r="G414" s="2"/>
      <c r="H414" s="33"/>
      <c r="I414" s="173">
        <f>M414/AE414</f>
        <v>686.66341203537138</v>
      </c>
      <c r="J414" s="174">
        <f>AH414/AE414</f>
        <v>39.260184425969328</v>
      </c>
      <c r="K414" s="207">
        <f>RANK(I414,$I$76:$I$977)</f>
        <v>339</v>
      </c>
      <c r="L414" s="208">
        <f>RANK(I414,$I$76:$I$450)</f>
        <v>339</v>
      </c>
      <c r="M414" s="173">
        <f>SUM(N414:R414)</f>
        <v>4110.1666787274189</v>
      </c>
      <c r="N414" s="174">
        <f>T414*(1+((AG414+IF(F414="백어택",8,0))/100)*((AI414/100-1)))</f>
        <v>4110.1666787274189</v>
      </c>
      <c r="O414" s="174"/>
      <c r="P414" s="174"/>
      <c r="Q414" s="174"/>
      <c r="R414" s="175">
        <f>X414*(1+(AG414/100)*(AI414/100-1))</f>
        <v>0</v>
      </c>
      <c r="S414" s="173">
        <f>SUM(T414:X414)</f>
        <v>3112.8607561478048</v>
      </c>
      <c r="T414" s="174">
        <f>AL414*AU414*AV414*AW414*AX414</f>
        <v>3112.8607561478048</v>
      </c>
      <c r="U414" s="174"/>
      <c r="V414" s="174"/>
      <c r="W414" s="174"/>
      <c r="X414" s="175">
        <f>AL414*AU414*AV414*IF(AW414=1,1,0.25)*AX414*AY414</f>
        <v>0</v>
      </c>
      <c r="Y414" s="173">
        <f>SUM(Z414:AD414)</f>
        <v>6225.7215122956095</v>
      </c>
      <c r="Z414" s="174">
        <f>T414*$D$58/100</f>
        <v>6225.7215122956095</v>
      </c>
      <c r="AA414" s="174"/>
      <c r="AB414" s="174"/>
      <c r="AC414" s="174"/>
      <c r="AD414" s="175">
        <f>X414*$D$58/100</f>
        <v>0</v>
      </c>
      <c r="AE414" s="173">
        <f>IF(AV414=1,AO414*(1-$D$17/100),AO414*(1-$D$17/100)+6)</f>
        <v>5.9857079999999998</v>
      </c>
      <c r="AF414" s="174">
        <f>AP414</f>
        <v>36</v>
      </c>
      <c r="AG414" s="174">
        <f>IF($D$57&gt;100,100,$D$57)</f>
        <v>19.001300000000001</v>
      </c>
      <c r="AH414" s="174">
        <f>AQ414</f>
        <v>235</v>
      </c>
      <c r="AI414" s="174">
        <f>$D$58+$D$19</f>
        <v>268.61079999999998</v>
      </c>
      <c r="AJ414" s="174">
        <f>10/13</f>
        <v>0.76923076923076927</v>
      </c>
      <c r="AK414" s="174">
        <f>SUM(AL414:AN414)</f>
        <v>1729.3670867487806</v>
      </c>
      <c r="AL414" s="174">
        <f>(VLOOKUP(C414,$B$36:$AG$39,3,FALSE)+VLOOKUP(C414,$B$40:$AG$43,3,FALSE)*$D$54)*$D$59/100</f>
        <v>1729.3670867487806</v>
      </c>
      <c r="AM414" s="174"/>
      <c r="AN414" s="174"/>
      <c r="AO414" s="176">
        <v>6</v>
      </c>
      <c r="AP414" s="174">
        <v>36</v>
      </c>
      <c r="AQ414" s="175">
        <f>VLOOKUP(C414,$B$45:$AA$48,3,FALSE)</f>
        <v>235</v>
      </c>
      <c r="AR414" s="31">
        <f>IF(LEFT(E414,1)*1=1,$S$53,$R$53)</f>
        <v>0</v>
      </c>
      <c r="AS414" s="2">
        <f>IF(LEFT(E414,1)*1=2,$U$53,$T$53)</f>
        <v>0</v>
      </c>
      <c r="AT414" s="33">
        <f>IF(LEFT(E414,1)*1=3,$W$53,$V$53)</f>
        <v>0</v>
      </c>
      <c r="AU414" s="31">
        <f>IF(MID(E414,3,1)*1=1,$Y$53,$X$53)</f>
        <v>1.5</v>
      </c>
      <c r="AV414" s="2">
        <f>IF(MID(E414,3,1)*1=2,$AA$53,$Z$53)</f>
        <v>1</v>
      </c>
      <c r="AW414" s="33">
        <f>IF(MID(E414,3,1)*1=3,$AC$53,$AB$53)</f>
        <v>1</v>
      </c>
      <c r="AX414" s="31">
        <f>IF(MID(E414,5,1)*1=1,$AE$53,$AD$53)</f>
        <v>1.2</v>
      </c>
      <c r="AY414" s="33">
        <f>IF(MID(E414,5,1)*1=2,$AG$53,$AF$53)</f>
        <v>0</v>
      </c>
      <c r="AZ414" s="2"/>
      <c r="BA414" s="101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</row>
    <row r="415" spans="1:71" ht="12" customHeight="1">
      <c r="A415" s="2"/>
      <c r="B415" s="107">
        <v>468</v>
      </c>
      <c r="C415" s="31">
        <v>10</v>
      </c>
      <c r="D415" s="111" t="s">
        <v>11</v>
      </c>
      <c r="E415" s="2" t="s">
        <v>150</v>
      </c>
      <c r="F415" s="2"/>
      <c r="G415" s="2"/>
      <c r="H415" s="33">
        <f>IF(AX415=1,5,1)</f>
        <v>1</v>
      </c>
      <c r="I415" s="173">
        <f>M415/AE415</f>
        <v>685.57279983509409</v>
      </c>
      <c r="J415" s="174">
        <f>AH415/AE415</f>
        <v>32.696397631322085</v>
      </c>
      <c r="K415" s="207">
        <f>RANK(I415,$I$76:$I$977)</f>
        <v>340</v>
      </c>
      <c r="L415" s="208" t="e">
        <f>RANK(I415,$I$451:$I$866)</f>
        <v>#N/A</v>
      </c>
      <c r="M415" s="173">
        <f>SUM(N415:R415)</f>
        <v>12412.960659420654</v>
      </c>
      <c r="N415" s="174">
        <f>T415*(1+(AG415/100)*(AI415/100-1))</f>
        <v>11638.605014525428</v>
      </c>
      <c r="O415" s="174">
        <f>U415*(1+(AG415/100)*(AI415/100-1))</f>
        <v>774.35564489522528</v>
      </c>
      <c r="P415" s="174"/>
      <c r="Q415" s="174"/>
      <c r="R415" s="175"/>
      <c r="S415" s="173">
        <f>T415</f>
        <v>9780.2335054536616</v>
      </c>
      <c r="T415" s="174">
        <f>H415*AL415*AX415</f>
        <v>9780.2335054536616</v>
      </c>
      <c r="U415" s="174">
        <f>AM415*AV415</f>
        <v>650.71192070609754</v>
      </c>
      <c r="V415" s="174"/>
      <c r="W415" s="174"/>
      <c r="X415" s="175"/>
      <c r="Y415" s="173">
        <f>SUM(Z415:AD415)</f>
        <v>20861.890852319517</v>
      </c>
      <c r="Z415" s="174">
        <f>T415*$D$58/100</f>
        <v>19560.467010907323</v>
      </c>
      <c r="AA415" s="174">
        <f>U415*$D$58/100</f>
        <v>1301.4238414121951</v>
      </c>
      <c r="AB415" s="174"/>
      <c r="AC415" s="174"/>
      <c r="AD415" s="175"/>
      <c r="AE415" s="173">
        <f>AO415*(1-$D$20/100)*(1-$D$17/100)-AR415</f>
        <v>18.105970164519999</v>
      </c>
      <c r="AF415" s="174">
        <f>AP415</f>
        <v>36</v>
      </c>
      <c r="AG415" s="174">
        <f>IF($D$57+AS415&gt;100,100,$D$57+AS415)</f>
        <v>19.001300000000001</v>
      </c>
      <c r="AH415" s="174">
        <f>AQ415</f>
        <v>592</v>
      </c>
      <c r="AI415" s="174">
        <f>$D$58</f>
        <v>200</v>
      </c>
      <c r="AJ415" s="174">
        <f>10/IF(AX415=1,7,6)</f>
        <v>1.6666666666666667</v>
      </c>
      <c r="AK415" s="174">
        <f>SUM(AL415:AN415)</f>
        <v>2280.7508382817077</v>
      </c>
      <c r="AL415" s="174">
        <f>(VLOOKUP(C415,$B$36:$AG$39,14,FALSE)+VLOOKUP(C415,$B$40:$AG$43,14,FALSE)*$D$54)*$D$59/100</f>
        <v>1630.0389175756102</v>
      </c>
      <c r="AM415" s="174">
        <f>(VLOOKUP(C415,$B$36:$AG$39,15,FALSE)+VLOOKUP(C415,$B$40:$AG$43,15,FALSE)*$D$54)*$D$59/100</f>
        <v>650.71192070609754</v>
      </c>
      <c r="AN415" s="174"/>
      <c r="AO415" s="176">
        <v>30</v>
      </c>
      <c r="AP415" s="174">
        <v>36</v>
      </c>
      <c r="AQ415" s="175">
        <f>VLOOKUP(C415,$B$45:$AA$48,14,FALSE)</f>
        <v>592</v>
      </c>
      <c r="AR415" s="31">
        <f>IF(LEFT(E415,1)*1=1,$S$61,$R$61)</f>
        <v>5</v>
      </c>
      <c r="AS415" s="2">
        <f>IF(LEFT(E415,1)*1=2,$U$61,$T$61)</f>
        <v>0</v>
      </c>
      <c r="AT415" s="33">
        <f>IF(LEFT(E415,1)*1=3,$W$61,$V$61)</f>
        <v>0</v>
      </c>
      <c r="AU415" s="31">
        <f>IF(MID(E415,3,1)*1=1,$Y$61,$X$61)</f>
        <v>0</v>
      </c>
      <c r="AV415" s="2">
        <f>IF(MID(E415,3,1)*1=2,$AA$61,$Z$61)</f>
        <v>1</v>
      </c>
      <c r="AW415" s="33">
        <f>IF(MID(E415,3,1)*1=3,$AC$61,$AB$61)</f>
        <v>0</v>
      </c>
      <c r="AX415" s="31">
        <f>IF(MID(E415,5,1)*1=1,$AE$61,$AD$61)</f>
        <v>6</v>
      </c>
      <c r="AY415" s="33">
        <f>IF(MID(E415,5,1)*1=2,$AG$61,$AF$61)</f>
        <v>0</v>
      </c>
      <c r="AZ415" s="2"/>
      <c r="BA415" s="101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</row>
    <row r="416" spans="1:71" ht="12" customHeight="1">
      <c r="A416" s="2"/>
      <c r="B416" s="107">
        <v>8</v>
      </c>
      <c r="C416" s="31">
        <v>10</v>
      </c>
      <c r="D416" s="106" t="s">
        <v>2</v>
      </c>
      <c r="E416" s="2" t="s">
        <v>117</v>
      </c>
      <c r="F416" s="2"/>
      <c r="G416" s="2"/>
      <c r="H416" s="33"/>
      <c r="I416" s="173">
        <f>M416/AE416</f>
        <v>681.39301631249486</v>
      </c>
      <c r="J416" s="174">
        <f>AH416/AE416</f>
        <v>34.707673678702669</v>
      </c>
      <c r="K416" s="207">
        <f>RANK(I416,$I$76:$I$977)</f>
        <v>341</v>
      </c>
      <c r="L416" s="208">
        <f>RANK(I416,$I$76:$I$450)</f>
        <v>341</v>
      </c>
      <c r="M416" s="173">
        <f>SUM(N416:R416)</f>
        <v>5438.1595051811082</v>
      </c>
      <c r="N416" s="174">
        <f>T416*(1+((AG416+IF(F416="백어택",8,0))/100)*((AI416/100-1)))</f>
        <v>5438.1595051811082</v>
      </c>
      <c r="O416" s="174"/>
      <c r="P416" s="174"/>
      <c r="Q416" s="174"/>
      <c r="R416" s="175"/>
      <c r="S416" s="173">
        <f>SUM(T416:X416)</f>
        <v>3456.5335334181709</v>
      </c>
      <c r="T416" s="174">
        <f>AL416*AV416*AW416*AY416</f>
        <v>3456.5335334181709</v>
      </c>
      <c r="U416" s="174"/>
      <c r="V416" s="174"/>
      <c r="W416" s="174"/>
      <c r="X416" s="175"/>
      <c r="Y416" s="173">
        <f>SUM(Z416:AD416)</f>
        <v>6913.0670668363418</v>
      </c>
      <c r="Z416" s="174">
        <f>T416*$D$58/100</f>
        <v>6913.0670668363418</v>
      </c>
      <c r="AA416" s="174"/>
      <c r="AB416" s="174"/>
      <c r="AC416" s="174"/>
      <c r="AD416" s="175"/>
      <c r="AE416" s="173">
        <f>AO416*(1-$D$17/100)-AS416</f>
        <v>7.980944</v>
      </c>
      <c r="AF416" s="174"/>
      <c r="AG416" s="174">
        <f>IF($D$57+AT416&gt;100,100,$D$57+AT416)</f>
        <v>34.001300000000001</v>
      </c>
      <c r="AH416" s="174">
        <f>AQ416</f>
        <v>277</v>
      </c>
      <c r="AI416" s="174">
        <f>$D$58+$D$19</f>
        <v>268.61079999999998</v>
      </c>
      <c r="AJ416" s="174">
        <f>10*AY416/12</f>
        <v>0.83333333333333337</v>
      </c>
      <c r="AK416" s="174">
        <f>SUM(AL416:AN416)</f>
        <v>2929.2657062865856</v>
      </c>
      <c r="AL416" s="174">
        <f>(VLOOKUP(C416,$B$36:$AA$39,2,FALSE)+VLOOKUP(C416,$B$40:$AA$43,2,FALSE)*$D$54)*$D$59/100</f>
        <v>2929.2657062865856</v>
      </c>
      <c r="AM416" s="174"/>
      <c r="AN416" s="174"/>
      <c r="AO416" s="176">
        <v>8</v>
      </c>
      <c r="AP416" s="174">
        <v>15</v>
      </c>
      <c r="AQ416" s="175">
        <f>VLOOKUP(C416,$B$45:$AA$48,2,FALSE)</f>
        <v>277</v>
      </c>
      <c r="AR416" s="31">
        <f>IF(LEFT(E416,1)*1=1,$S$52,$R$52)</f>
        <v>0</v>
      </c>
      <c r="AS416" s="2">
        <f>IF(LEFT(E416,1)*1=2,$U$52,$T$52)</f>
        <v>0</v>
      </c>
      <c r="AT416" s="33">
        <f>IF(LEFT(E416,1)*1=3,$W$52,$V$52)</f>
        <v>15</v>
      </c>
      <c r="AU416" s="31">
        <f>IF(MID(E416,3,1)*1=1,$Y$52,$X$52)</f>
        <v>0</v>
      </c>
      <c r="AV416" s="2">
        <f>IF(MID(E416,3,1)*1=2,$AA$52,$Z$52)</f>
        <v>1.18</v>
      </c>
      <c r="AW416" s="33">
        <f>IF(MID(E416,3,1)*1=3,$AC$52,$AB$52)</f>
        <v>1</v>
      </c>
      <c r="AX416" s="31">
        <f>IF(MID(E416,5,1)*1=1,$AE$52,$AD$52)</f>
        <v>0</v>
      </c>
      <c r="AY416" s="33">
        <f>IF(MID(E416,5,1)*1=2,$AG$52,$AF$52)</f>
        <v>1</v>
      </c>
      <c r="AZ416" s="2"/>
      <c r="BA416" s="101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</row>
    <row r="417" spans="1:71" ht="12" customHeight="1">
      <c r="A417" s="2"/>
      <c r="B417" s="107">
        <v>17</v>
      </c>
      <c r="C417" s="31">
        <v>10</v>
      </c>
      <c r="D417" s="106" t="s">
        <v>2</v>
      </c>
      <c r="E417" s="2" t="s">
        <v>132</v>
      </c>
      <c r="F417" s="2"/>
      <c r="G417" s="2"/>
      <c r="H417" s="33"/>
      <c r="I417" s="173">
        <f>M417/AE417</f>
        <v>681.39301631249486</v>
      </c>
      <c r="J417" s="174">
        <f>AH417/AE417</f>
        <v>34.707673678702669</v>
      </c>
      <c r="K417" s="207">
        <f>RANK(I417,$I$76:$I$977)</f>
        <v>341</v>
      </c>
      <c r="L417" s="208">
        <f>RANK(I417,$I$76:$I$450)</f>
        <v>341</v>
      </c>
      <c r="M417" s="173">
        <f>SUM(N417:R417)</f>
        <v>5438.1595051811082</v>
      </c>
      <c r="N417" s="174">
        <f>T417*(1+((AG417+IF(F417="백어택",8,0))/100)*((AI417/100-1)))</f>
        <v>5438.1595051811082</v>
      </c>
      <c r="O417" s="174"/>
      <c r="P417" s="174"/>
      <c r="Q417" s="174"/>
      <c r="R417" s="175"/>
      <c r="S417" s="173">
        <f>SUM(T417:X417)</f>
        <v>3456.5335334181709</v>
      </c>
      <c r="T417" s="174">
        <f>AL417*AV417*AW417*AY417</f>
        <v>3456.5335334181709</v>
      </c>
      <c r="U417" s="174"/>
      <c r="V417" s="174"/>
      <c r="W417" s="174"/>
      <c r="X417" s="175"/>
      <c r="Y417" s="173">
        <f>SUM(Z417:AD417)</f>
        <v>6913.0670668363418</v>
      </c>
      <c r="Z417" s="174">
        <f>T417*$D$58/100</f>
        <v>6913.0670668363418</v>
      </c>
      <c r="AA417" s="174"/>
      <c r="AB417" s="174"/>
      <c r="AC417" s="174"/>
      <c r="AD417" s="175"/>
      <c r="AE417" s="173">
        <f>AO417*(1-$D$17/100)-AS417</f>
        <v>7.980944</v>
      </c>
      <c r="AF417" s="174"/>
      <c r="AG417" s="174">
        <f>IF($D$57+AT417&gt;100,100,$D$57+AT417)</f>
        <v>34.001300000000001</v>
      </c>
      <c r="AH417" s="174">
        <f>AQ417</f>
        <v>277</v>
      </c>
      <c r="AI417" s="174">
        <f>$D$58+$D$19</f>
        <v>268.61079999999998</v>
      </c>
      <c r="AJ417" s="174">
        <f>10*AY417/12</f>
        <v>0.83333333333333337</v>
      </c>
      <c r="AK417" s="174">
        <f>SUM(AL417:AN417)</f>
        <v>2929.2657062865856</v>
      </c>
      <c r="AL417" s="174">
        <f>(VLOOKUP(C417,$B$36:$AA$39,2,FALSE)+VLOOKUP(C417,$B$40:$AA$43,2,FALSE)*$D$54)*$D$59/100</f>
        <v>2929.2657062865856</v>
      </c>
      <c r="AM417" s="174"/>
      <c r="AN417" s="174"/>
      <c r="AO417" s="176">
        <v>8</v>
      </c>
      <c r="AP417" s="174">
        <v>15</v>
      </c>
      <c r="AQ417" s="175">
        <f>VLOOKUP(C417,$B$45:$AA$48,2,FALSE)</f>
        <v>277</v>
      </c>
      <c r="AR417" s="31">
        <f>IF(LEFT(E417,1)*1=1,$S$52,$R$52)</f>
        <v>0</v>
      </c>
      <c r="AS417" s="2">
        <f>IF(LEFT(E417,1)*1=2,$U$52,$T$52)</f>
        <v>0</v>
      </c>
      <c r="AT417" s="33">
        <f>IF(LEFT(E417,1)*1=3,$W$52,$V$52)</f>
        <v>15</v>
      </c>
      <c r="AU417" s="31">
        <f>IF(MID(E417,3,1)*1=1,$Y$52,$X$52)</f>
        <v>0</v>
      </c>
      <c r="AV417" s="2">
        <f>IF(MID(E417,3,1)*1=2,$AA$52,$Z$52)</f>
        <v>1.18</v>
      </c>
      <c r="AW417" s="33">
        <f>IF(MID(E417,3,1)*1=3,$AC$52,$AB$52)</f>
        <v>1</v>
      </c>
      <c r="AX417" s="31">
        <f>IF(MID(E417,5,1)*1=1,$AE$52,$AD$52)</f>
        <v>0</v>
      </c>
      <c r="AY417" s="33">
        <f>IF(MID(E417,5,1)*1=2,$AG$52,$AF$52)</f>
        <v>1</v>
      </c>
      <c r="AZ417" s="2"/>
      <c r="BA417" s="101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</row>
    <row r="418" spans="1:71" ht="12" customHeight="1">
      <c r="A418" s="2"/>
      <c r="B418" s="107">
        <v>739</v>
      </c>
      <c r="C418" s="31">
        <v>10</v>
      </c>
      <c r="D418" s="111" t="s">
        <v>21</v>
      </c>
      <c r="E418" s="2" t="s">
        <v>92</v>
      </c>
      <c r="F418" s="2"/>
      <c r="G418" s="2"/>
      <c r="H418" s="33"/>
      <c r="I418" s="173">
        <f>M418/AE418</f>
        <v>681.17150876056508</v>
      </c>
      <c r="J418" s="174">
        <f>AH418/AE418</f>
        <v>23.695174714659018</v>
      </c>
      <c r="K418" s="207">
        <f>RANK(I418,$I$76:$I$977)</f>
        <v>343</v>
      </c>
      <c r="L418" s="208" t="e">
        <f>RANK(I418,$I$451:$I$866)</f>
        <v>#N/A</v>
      </c>
      <c r="M418" s="173">
        <f>SUM(N418:R418)</f>
        <v>18886.954270011229</v>
      </c>
      <c r="N418" s="174">
        <f>T418*(1+((AG418+IF(F418="백어택",8,0))/100)*(AI418/100-1))</f>
        <v>18886.954270011229</v>
      </c>
      <c r="O418" s="174"/>
      <c r="P418" s="174"/>
      <c r="Q418" s="174"/>
      <c r="R418" s="175">
        <f>X418*(1+(AG418/100)*(AI418/100-1))</f>
        <v>0</v>
      </c>
      <c r="S418" s="173">
        <f>SUM(T418:X418)</f>
        <v>15871.216759826346</v>
      </c>
      <c r="T418" s="174">
        <f>AL418*AW418*AX418*AY418*IF(F418="백어택",1.2,1)</f>
        <v>15871.216759826346</v>
      </c>
      <c r="U418" s="174"/>
      <c r="V418" s="174"/>
      <c r="W418" s="174"/>
      <c r="X418" s="175">
        <f>AL418*AS418+IF(AX418=1,AL418*AU418,AL418*AU418*2)</f>
        <v>0</v>
      </c>
      <c r="Y418" s="173">
        <f>SUM(Z418:AD418)</f>
        <v>31742.433519652692</v>
      </c>
      <c r="Z418" s="174">
        <f>T418*$D$58/100</f>
        <v>31742.433519652692</v>
      </c>
      <c r="AA418" s="174"/>
      <c r="AB418" s="174"/>
      <c r="AC418" s="174"/>
      <c r="AD418" s="175">
        <f>X418*$D$58/100</f>
        <v>0</v>
      </c>
      <c r="AE418" s="173">
        <f>AO418*(1-$D$20/100)*(1-$D$17/100)-AR418</f>
        <v>27.727164197424003</v>
      </c>
      <c r="AF418" s="174">
        <f>AP418</f>
        <v>36</v>
      </c>
      <c r="AG418" s="174">
        <f>IF($D$57&gt;100,100,$D$57)</f>
        <v>19.001300000000001</v>
      </c>
      <c r="AH418" s="174">
        <f>AQ418</f>
        <v>657</v>
      </c>
      <c r="AI418" s="174">
        <f>$D$58</f>
        <v>200</v>
      </c>
      <c r="AJ418" s="174">
        <f>10/6</f>
        <v>1.6666666666666667</v>
      </c>
      <c r="AK418" s="174">
        <f>SUM(AL418:AN418)</f>
        <v>9919.5104748914655</v>
      </c>
      <c r="AL418" s="174">
        <f>(VLOOKUP(C418,$B$36:$AG$39,31,FALSE)+VLOOKUP(C418,$B$40:$AG$43,31,FALSE)*$D$54)*$D$59/100</f>
        <v>9919.5104748914655</v>
      </c>
      <c r="AM418" s="174"/>
      <c r="AN418" s="174"/>
      <c r="AO418" s="176">
        <v>36</v>
      </c>
      <c r="AP418" s="174">
        <v>36</v>
      </c>
      <c r="AQ418" s="175">
        <f>VLOOKUP(C418,$B$45:$AG$48,31,FALSE)</f>
        <v>657</v>
      </c>
      <c r="AR418" s="31">
        <f>IF(LEFT(E418,1)*1=1,$S$71,$R$71)</f>
        <v>0</v>
      </c>
      <c r="AS418" s="2">
        <f>IF(LEFT(E418,1)*1=2,$U$71,$T$71)</f>
        <v>0</v>
      </c>
      <c r="AT418" s="33">
        <f>IF(LEFT(E418,1)*1=3,$W$71,$V$71)</f>
        <v>0</v>
      </c>
      <c r="AU418" s="31">
        <f>IF(MID(E418,3,1)*1=1,$Y$71,$X$71)</f>
        <v>0</v>
      </c>
      <c r="AV418" s="2">
        <f>IF(MID(E418,3,1)*1=2,$AA$71,$Z$71)</f>
        <v>0</v>
      </c>
      <c r="AW418" s="33">
        <f>IF(MID(E418,3,1)*1=3,$AC$71,$AB$71)</f>
        <v>1</v>
      </c>
      <c r="AX418" s="31">
        <f>IF(MID(E418,5,1)*1=1,$AE$71,$AD$71)</f>
        <v>1</v>
      </c>
      <c r="AY418" s="33">
        <f>IF(MID(E418,5,1)*1=2,$AG$71,$AF$71)</f>
        <v>1.6</v>
      </c>
      <c r="AZ418" s="2"/>
      <c r="BA418" s="101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</row>
    <row r="419" spans="1:71" ht="12" customHeight="1">
      <c r="A419" s="2"/>
      <c r="B419" s="107">
        <v>736</v>
      </c>
      <c r="C419" s="31">
        <v>10</v>
      </c>
      <c r="D419" s="111" t="s">
        <v>21</v>
      </c>
      <c r="E419" s="2" t="s">
        <v>161</v>
      </c>
      <c r="F419" s="2"/>
      <c r="G419" s="2"/>
      <c r="H419" s="33"/>
      <c r="I419" s="173">
        <f>M419/AE419</f>
        <v>681.17150876056485</v>
      </c>
      <c r="J419" s="174">
        <f>AH419/AE419</f>
        <v>23.695174714659018</v>
      </c>
      <c r="K419" s="207">
        <f>RANK(I419,$I$76:$I$977)</f>
        <v>344</v>
      </c>
      <c r="L419" s="208" t="e">
        <f>RANK(I419,$I$451:$I$866)</f>
        <v>#N/A</v>
      </c>
      <c r="M419" s="173">
        <f>SUM(N419:R419)</f>
        <v>18886.954270011225</v>
      </c>
      <c r="N419" s="174">
        <f>T419*(1+((AG419+IF(F419="백어택",8,0))/100)*(AI419/100-1))</f>
        <v>16526.084986259822</v>
      </c>
      <c r="O419" s="174"/>
      <c r="P419" s="174"/>
      <c r="Q419" s="174"/>
      <c r="R419" s="175">
        <f>X419*(1+(AG419/100)*(AI419/100-1))</f>
        <v>2360.8692837514036</v>
      </c>
      <c r="S419" s="173">
        <f>SUM(T419:X419)</f>
        <v>15871.216759826344</v>
      </c>
      <c r="T419" s="174">
        <f>AL419*AW419*AX419*AY419*IF(F419="백어택",1.2,1)</f>
        <v>13887.314664848051</v>
      </c>
      <c r="U419" s="174"/>
      <c r="V419" s="174"/>
      <c r="W419" s="174"/>
      <c r="X419" s="175">
        <f>AL419*AS419+IF(AX419=1,AL419*AU419,AL419*AU419*2)</f>
        <v>1983.9020949782932</v>
      </c>
      <c r="Y419" s="173">
        <f>SUM(Z419:AD419)</f>
        <v>31742.433519652688</v>
      </c>
      <c r="Z419" s="174">
        <f>T419*$D$58/100</f>
        <v>27774.629329696101</v>
      </c>
      <c r="AA419" s="174"/>
      <c r="AB419" s="174"/>
      <c r="AC419" s="174"/>
      <c r="AD419" s="175">
        <f>X419*$D$58/100</f>
        <v>3967.8041899565865</v>
      </c>
      <c r="AE419" s="173">
        <f>AO419*(1-$D$20/100)*(1-$D$17/100)-AR419</f>
        <v>27.727164197424003</v>
      </c>
      <c r="AF419" s="174">
        <f>AP419</f>
        <v>36</v>
      </c>
      <c r="AG419" s="174">
        <f>IF($D$57&gt;100,100,$D$57)</f>
        <v>19.001300000000001</v>
      </c>
      <c r="AH419" s="174">
        <f>AQ419</f>
        <v>657</v>
      </c>
      <c r="AI419" s="174">
        <f>$D$58</f>
        <v>200</v>
      </c>
      <c r="AJ419" s="174">
        <f>10/6</f>
        <v>1.6666666666666667</v>
      </c>
      <c r="AK419" s="174">
        <f>SUM(AL419:AN419)</f>
        <v>9919.5104748914655</v>
      </c>
      <c r="AL419" s="174">
        <f>(VLOOKUP(C419,$B$36:$AG$39,31,FALSE)+VLOOKUP(C419,$B$40:$AG$43,31,FALSE)*$D$54)*$D$59/100</f>
        <v>9919.5104748914655</v>
      </c>
      <c r="AM419" s="174"/>
      <c r="AN419" s="174"/>
      <c r="AO419" s="176">
        <v>36</v>
      </c>
      <c r="AP419" s="174">
        <v>36</v>
      </c>
      <c r="AQ419" s="175">
        <f>VLOOKUP(C419,$B$45:$AG$48,31,FALSE)</f>
        <v>657</v>
      </c>
      <c r="AR419" s="31">
        <f>IF(LEFT(E419,1)*1=1,$S$71,$R$71)</f>
        <v>0</v>
      </c>
      <c r="AS419" s="2">
        <f>IF(LEFT(E419,1)*1=2,$U$71,$T$71)</f>
        <v>0.2</v>
      </c>
      <c r="AT419" s="33">
        <f>IF(LEFT(E419,1)*1=3,$W$71,$V$71)</f>
        <v>0</v>
      </c>
      <c r="AU419" s="31">
        <f>IF(MID(E419,3,1)*1=1,$Y$71,$X$71)</f>
        <v>0</v>
      </c>
      <c r="AV419" s="2">
        <f>IF(MID(E419,3,1)*1=2,$AA$71,$Z$71)</f>
        <v>0</v>
      </c>
      <c r="AW419" s="33">
        <f>IF(MID(E419,3,1)*1=3,$AC$71,$AB$71)</f>
        <v>1</v>
      </c>
      <c r="AX419" s="31">
        <f>IF(MID(E419,5,1)*1=1,$AE$71,$AD$71)</f>
        <v>1.4</v>
      </c>
      <c r="AY419" s="33">
        <f>IF(MID(E419,5,1)*1=2,$AG$71,$AF$71)</f>
        <v>1</v>
      </c>
      <c r="AZ419" s="2"/>
      <c r="BA419" s="101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</row>
    <row r="420" spans="1:71" ht="12" customHeight="1">
      <c r="A420" s="2"/>
      <c r="B420" s="107">
        <v>870</v>
      </c>
      <c r="C420" s="31">
        <v>10</v>
      </c>
      <c r="D420" s="113" t="s">
        <v>19</v>
      </c>
      <c r="E420" s="2" t="s">
        <v>182</v>
      </c>
      <c r="F420" s="2"/>
      <c r="G420" s="2"/>
      <c r="H420" s="33">
        <f>IF(AY420=1,4,6)</f>
        <v>4</v>
      </c>
      <c r="I420" s="173">
        <f>M420/AE420</f>
        <v>677.9894597033059</v>
      </c>
      <c r="J420" s="174">
        <f>AH420/AE420</f>
        <v>21.760166048861723</v>
      </c>
      <c r="K420" s="207">
        <f>RANK(I420,$I$76:$I$977)</f>
        <v>345</v>
      </c>
      <c r="L420" s="208" t="e">
        <f>RANK(I420,$I$867:$I$977)</f>
        <v>#N/A</v>
      </c>
      <c r="M420" s="173">
        <f>SUM(N420:R420)*(1+$D$22/100)</f>
        <v>16232.987731447023</v>
      </c>
      <c r="N420" s="174">
        <f>T420*(1+($D$57/100)*($D$58/100-1))</f>
        <v>7520.2060388343571</v>
      </c>
      <c r="O420" s="174">
        <f>U420*(1+(AG420/100)*(AI420/100-1))</f>
        <v>7105.7305799390251</v>
      </c>
      <c r="P420" s="174"/>
      <c r="Q420" s="174"/>
      <c r="R420" s="175"/>
      <c r="S420" s="173">
        <f>SUM(T420:X420)</f>
        <v>9872.2971271295755</v>
      </c>
      <c r="T420" s="174">
        <f>AL420*AU420</f>
        <v>6319.4318371600621</v>
      </c>
      <c r="U420" s="174">
        <f>AM420*AU420</f>
        <v>3552.8652899695126</v>
      </c>
      <c r="V420" s="174"/>
      <c r="W420" s="174"/>
      <c r="X420" s="175"/>
      <c r="Y420" s="173">
        <f>SUM(Z420:AD420)</f>
        <v>19744.594254259151</v>
      </c>
      <c r="Z420" s="174">
        <f>T420*$D$58/100</f>
        <v>12638.863674320124</v>
      </c>
      <c r="AA420" s="174">
        <f>U420*$D$58/100</f>
        <v>7105.7305799390251</v>
      </c>
      <c r="AB420" s="174"/>
      <c r="AC420" s="174"/>
      <c r="AD420" s="175"/>
      <c r="AE420" s="173">
        <f>AO420*(1-$D$17/100)</f>
        <v>23.942831999999999</v>
      </c>
      <c r="AF420" s="174">
        <f>AP420</f>
        <v>36</v>
      </c>
      <c r="AG420" s="174">
        <f>IF($D$57+AT420&gt;100,100,$D$57+AT420)</f>
        <v>100</v>
      </c>
      <c r="AH420" s="174">
        <f>AQ420</f>
        <v>521</v>
      </c>
      <c r="AI420" s="174">
        <f>$D$58</f>
        <v>200</v>
      </c>
      <c r="AJ420" s="174">
        <f>10/IF(AY420=1,(2.5+AX420),2)</f>
        <v>2.8571428571428572</v>
      </c>
      <c r="AK420" s="174">
        <f>SUM(AL420:AN420)</f>
        <v>7897.8377017036591</v>
      </c>
      <c r="AL420" s="174">
        <f>(H420-1)*(VLOOKUP(C420,$B$36:$AG$39,27,FALSE)+VLOOKUP(C420,$B$40:$AG$43,27,FALSE)*$D$54)*$D$59/100</f>
        <v>5055.5454697280493</v>
      </c>
      <c r="AM420" s="174">
        <f>(VLOOKUP(C420,$B$36:$AG$39,28,FALSE)+VLOOKUP(C420,$B$40:$AG$43,28,FALSE)*$D$54)*$D$59/100</f>
        <v>2842.2922319756099</v>
      </c>
      <c r="AN420" s="174"/>
      <c r="AO420" s="176">
        <v>24</v>
      </c>
      <c r="AP420" s="174">
        <v>36</v>
      </c>
      <c r="AQ420" s="175">
        <f>VLOOKUP(C420,$B$45:$AG$48,27,FALSE)</f>
        <v>521</v>
      </c>
      <c r="AR420" s="31">
        <f>IF(LEFT(E420,1)*1=1,$S$69,$R$69)</f>
        <v>0</v>
      </c>
      <c r="AS420" s="2">
        <f>IF(LEFT(E420,1)*1=2,$U$69,$T$69)</f>
        <v>0</v>
      </c>
      <c r="AT420" s="33">
        <f>IF(LEFT(E420,1)*1=3,$W$69,$V$69)</f>
        <v>100</v>
      </c>
      <c r="AU420" s="31">
        <f>IF(MID(E420,3,1)*1=1,$Y$69,$X$69)</f>
        <v>1.25</v>
      </c>
      <c r="AV420" s="2">
        <f>IF(MID(E420,3,1)*1=2,$AA$69,$Z$69)</f>
        <v>0</v>
      </c>
      <c r="AW420" s="33">
        <f>IF(MID(E420,3,1)*1=3,$AC$69,$AB$69)</f>
        <v>0</v>
      </c>
      <c r="AX420" s="31">
        <f>IF(MID(E420,5,1)*1=1,$AE$69,$AD$69)</f>
        <v>1</v>
      </c>
      <c r="AY420" s="33">
        <f>IF(MID(E420,5,1)*1=2,$AG$69,$AF$69)</f>
        <v>1</v>
      </c>
      <c r="AZ420" s="2"/>
      <c r="BA420" s="101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</row>
    <row r="421" spans="1:71" ht="12" customHeight="1">
      <c r="A421" s="2"/>
      <c r="B421" s="107">
        <v>564</v>
      </c>
      <c r="C421" s="31">
        <v>7</v>
      </c>
      <c r="D421" s="111" t="s">
        <v>14</v>
      </c>
      <c r="E421" s="2" t="s">
        <v>91</v>
      </c>
      <c r="F421" s="2" t="s">
        <v>149</v>
      </c>
      <c r="G421" s="2"/>
      <c r="H421" s="33" t="s">
        <v>81</v>
      </c>
      <c r="I421" s="173">
        <f>M421/AE421</f>
        <v>676.86970023967524</v>
      </c>
      <c r="J421" s="174">
        <f>AH421/AE421</f>
        <v>16.518097441877977</v>
      </c>
      <c r="K421" s="207">
        <f>RANK(I421,$I$76:$I$977)</f>
        <v>346</v>
      </c>
      <c r="L421" s="208" t="e">
        <f>RANK(I421,$I$451:$I$866)</f>
        <v>#N/A</v>
      </c>
      <c r="M421" s="173">
        <f>SUM(N421:R421)</f>
        <v>18767.67731880664</v>
      </c>
      <c r="N421" s="174">
        <f>T421*(1+((AG421+IF(F421="백어택",8,0))/100)*(AI421/100-1))</f>
        <v>5275.8090099633182</v>
      </c>
      <c r="O421" s="174">
        <f>U421*(1+((AG421+IF(F421="백어택",8,0))/100)*(AI421/100-1))</f>
        <v>5275.8090099633182</v>
      </c>
      <c r="P421" s="174">
        <f>V421*(1+((AG421+IF(F421="백어택",8,0))/100)*(AI421*IF(AX421=1,AW421,1)/100-1))</f>
        <v>8216.0592988800036</v>
      </c>
      <c r="Q421" s="174">
        <f>W421*(1+((AG421+IF(F421="백어택",8,0))/100)*(AI421*AW421/100-1))</f>
        <v>0</v>
      </c>
      <c r="R421" s="175"/>
      <c r="S421" s="173">
        <f>SUM(T421:X421)</f>
        <v>13918.719365196586</v>
      </c>
      <c r="T421" s="174">
        <f>AL421*AY421*IF(F421="백어택",1.2,1)</f>
        <v>4154.1378001353669</v>
      </c>
      <c r="U421" s="174">
        <f>AM421*AY421*IF(F421="백어택",1.2,1)</f>
        <v>4154.1378001353669</v>
      </c>
      <c r="V421" s="174">
        <f>AN421*AY421*IF(F421="백어택",1.2,1)</f>
        <v>5610.4437649258534</v>
      </c>
      <c r="W421" s="174">
        <f>(T421+U421+V421)*IF(AX421=1,0,0.6)*IF(F421="백어택",1.2,1)</f>
        <v>0</v>
      </c>
      <c r="X421" s="175"/>
      <c r="Y421" s="173">
        <f>SUM(Z421:AD421)</f>
        <v>31876.958241139786</v>
      </c>
      <c r="Z421" s="174">
        <f>T421*AI421/100</f>
        <v>8308.2756002707338</v>
      </c>
      <c r="AA421" s="174">
        <f>U421*AI421/100</f>
        <v>8308.2756002707338</v>
      </c>
      <c r="AB421" s="174">
        <f>V421*AI421*IF(AX421=1,AW421,1)/100</f>
        <v>15260.40704059832</v>
      </c>
      <c r="AC421" s="174">
        <f>W421*AI421*AW421/100</f>
        <v>0</v>
      </c>
      <c r="AD421" s="175"/>
      <c r="AE421" s="173">
        <f>AO421*(1-$D$20/100)*(1-$D$17/100)</f>
        <v>27.727164197424003</v>
      </c>
      <c r="AF421" s="174">
        <f>AP421</f>
        <v>36</v>
      </c>
      <c r="AG421" s="174">
        <f>IF($D$57+AU421&gt;100,100,$D$57+AU421)</f>
        <v>19.001300000000001</v>
      </c>
      <c r="AH421" s="174">
        <f>AQ421*AS421</f>
        <v>458</v>
      </c>
      <c r="AI421" s="174">
        <f>$D$58+IF(H421="근접",AR421,0)+IF(AY421=1,0,50)</f>
        <v>200</v>
      </c>
      <c r="AJ421" s="174">
        <f>10/3</f>
        <v>3.3333333333333335</v>
      </c>
      <c r="AK421" s="174">
        <f>SUM(AL421:AN421)</f>
        <v>11598.932804330489</v>
      </c>
      <c r="AL421" s="174">
        <f>(IF(H421="근접",$D$61*(VLOOKUP(C421,$B$36:$AG$39,19,FALSE)+VLOOKUP(C421,$B$40:$AG$43,19,FALSE)*$D$54),$D$60*(VLOOKUP(C421,$B$36:$AG$39,19,FALSE)+VLOOKUP(C421,$B$40:$AG$43,19,FALSE)*$D$54)))*$D$59/100</f>
        <v>3461.7815001128056</v>
      </c>
      <c r="AM421" s="174">
        <f>(IF(H421="근접",$D$61*(VLOOKUP(C421,$B$36:$AG$39,20,FALSE)+VLOOKUP(C421,$B$40:$AG$43,20,FALSE)*$D$54),$D$60*(VLOOKUP(C421,$B$36:$AG$39,20,FALSE)+VLOOKUP(C421,$B$40:$AG$43,20,FALSE)*$D$54)))*$D$59/100</f>
        <v>3461.7815001128056</v>
      </c>
      <c r="AN421" s="174">
        <f>(IF(H421="근접",$D$61*(VLOOKUP(C421,$B$36:$AG$39,21,FALSE)+VLOOKUP(C421,$B$40:$AG$43,21,FALSE)*$D$54),$D$60*(VLOOKUP(C421,$B$36:$AG$39,21,FALSE)+VLOOKUP(C421,$B$40:$AG$43,21,FALSE)*$D$54)))*$D$59/100</f>
        <v>4675.3698041048783</v>
      </c>
      <c r="AO421" s="176">
        <v>36</v>
      </c>
      <c r="AP421" s="174">
        <v>36</v>
      </c>
      <c r="AQ421" s="175">
        <f>VLOOKUP(C421,$B$45:$AA$48,19,FALSE)</f>
        <v>458</v>
      </c>
      <c r="AR421" s="31">
        <f>IF(LEFT(E421,1)*1=1,$S$64,$R$64)</f>
        <v>0</v>
      </c>
      <c r="AS421" s="2">
        <f>IF(LEFT(E421,1)*1=2,$U$64,$T$64)</f>
        <v>1</v>
      </c>
      <c r="AT421" s="33">
        <f>IF(LEFT(E421,1)*1=3,$W$64,$V$64)</f>
        <v>0</v>
      </c>
      <c r="AU421" s="31">
        <f>IF(MID(E421,3,1)*1=1,$Y$64,$X$64)</f>
        <v>0</v>
      </c>
      <c r="AV421" s="2">
        <f>IF(MID(E421,3,1)*1=2,$AA$64,$Z$64)</f>
        <v>0</v>
      </c>
      <c r="AW421" s="33">
        <f>IF(MID(E421,3,1)*1=3,$AC$64,$AB$64)</f>
        <v>1.36</v>
      </c>
      <c r="AX421" s="31">
        <f>IF(MID(E421,5,1)*1=1,$AE$64,$AD$64)</f>
        <v>1</v>
      </c>
      <c r="AY421" s="33">
        <f>IF(MID(E421,5,1)*1=2,$AG$64,$AF$64)</f>
        <v>1</v>
      </c>
      <c r="AZ421" s="2"/>
      <c r="BA421" s="101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</row>
    <row r="422" spans="1:71" ht="12" customHeight="1">
      <c r="A422" s="2"/>
      <c r="B422" s="107">
        <v>570</v>
      </c>
      <c r="C422" s="31">
        <v>7</v>
      </c>
      <c r="D422" s="111" t="s">
        <v>14</v>
      </c>
      <c r="E422" s="2" t="s">
        <v>103</v>
      </c>
      <c r="F422" s="2" t="s">
        <v>149</v>
      </c>
      <c r="G422" s="2"/>
      <c r="H422" s="33" t="s">
        <v>81</v>
      </c>
      <c r="I422" s="173">
        <f>M422/AE422</f>
        <v>676.86970023967524</v>
      </c>
      <c r="J422" s="174">
        <f>AH422/AE422</f>
        <v>8.2590487209389885</v>
      </c>
      <c r="K422" s="207">
        <f>RANK(I422,$I$76:$I$977)</f>
        <v>346</v>
      </c>
      <c r="L422" s="208" t="e">
        <f>RANK(I422,$I$451:$I$866)</f>
        <v>#N/A</v>
      </c>
      <c r="M422" s="173">
        <f>SUM(N422:R422)</f>
        <v>18767.67731880664</v>
      </c>
      <c r="N422" s="174">
        <f>T422*(1+((AG422+IF(F422="백어택",8,0))/100)*(AI422/100-1))</f>
        <v>5275.8090099633182</v>
      </c>
      <c r="O422" s="174">
        <f>U422*(1+((AG422+IF(F422="백어택",8,0))/100)*(AI422/100-1))</f>
        <v>5275.8090099633182</v>
      </c>
      <c r="P422" s="174">
        <f>V422*(1+((AG422+IF(F422="백어택",8,0))/100)*(AI422*IF(AX422=1,AW422,1)/100-1))</f>
        <v>8216.0592988800036</v>
      </c>
      <c r="Q422" s="174">
        <f>W422*(1+((AG422+IF(F422="백어택",8,0))/100)*(AI422*AW422/100-1))</f>
        <v>0</v>
      </c>
      <c r="R422" s="175"/>
      <c r="S422" s="173">
        <f>SUM(T422:X422)</f>
        <v>13918.719365196586</v>
      </c>
      <c r="T422" s="174">
        <f>AL422*AY422*IF(F422="백어택",1.2,1)</f>
        <v>4154.1378001353669</v>
      </c>
      <c r="U422" s="174">
        <f>AM422*AY422*IF(F422="백어택",1.2,1)</f>
        <v>4154.1378001353669</v>
      </c>
      <c r="V422" s="174">
        <f>AN422*AY422*IF(F422="백어택",1.2,1)</f>
        <v>5610.4437649258534</v>
      </c>
      <c r="W422" s="174">
        <f>(T422+U422+V422)*IF(AX422=1,0,0.6)*IF(F422="백어택",1.2,1)</f>
        <v>0</v>
      </c>
      <c r="X422" s="175"/>
      <c r="Y422" s="173">
        <f>SUM(Z422:AD422)</f>
        <v>31876.958241139786</v>
      </c>
      <c r="Z422" s="174">
        <f>T422*AI422/100</f>
        <v>8308.2756002707338</v>
      </c>
      <c r="AA422" s="174">
        <f>U422*AI422/100</f>
        <v>8308.2756002707338</v>
      </c>
      <c r="AB422" s="174">
        <f>V422*AI422*IF(AX422=1,AW422,1)/100</f>
        <v>15260.40704059832</v>
      </c>
      <c r="AC422" s="174">
        <f>W422*AI422*AW422/100</f>
        <v>0</v>
      </c>
      <c r="AD422" s="175"/>
      <c r="AE422" s="173">
        <f>AO422*(1-$D$20/100)*(1-$D$17/100)</f>
        <v>27.727164197424003</v>
      </c>
      <c r="AF422" s="174">
        <f>AP422</f>
        <v>36</v>
      </c>
      <c r="AG422" s="174">
        <f>IF($D$57+AU422&gt;100,100,$D$57+AU422)</f>
        <v>19.001300000000001</v>
      </c>
      <c r="AH422" s="174">
        <f>AQ422*AS422</f>
        <v>229</v>
      </c>
      <c r="AI422" s="174">
        <f>$D$58+IF(H422="근접",AR422,0)+IF(AY422=1,0,50)</f>
        <v>200</v>
      </c>
      <c r="AJ422" s="174">
        <f>10/3</f>
        <v>3.3333333333333335</v>
      </c>
      <c r="AK422" s="174">
        <f>SUM(AL422:AN422)</f>
        <v>11598.932804330489</v>
      </c>
      <c r="AL422" s="174">
        <f>(IF(H422="근접",$D$61*(VLOOKUP(C422,$B$36:$AG$39,19,FALSE)+VLOOKUP(C422,$B$40:$AG$43,19,FALSE)*$D$54),$D$60*(VLOOKUP(C422,$B$36:$AG$39,19,FALSE)+VLOOKUP(C422,$B$40:$AG$43,19,FALSE)*$D$54)))*$D$59/100</f>
        <v>3461.7815001128056</v>
      </c>
      <c r="AM422" s="174">
        <f>(IF(H422="근접",$D$61*(VLOOKUP(C422,$B$36:$AG$39,20,FALSE)+VLOOKUP(C422,$B$40:$AG$43,20,FALSE)*$D$54),$D$60*(VLOOKUP(C422,$B$36:$AG$39,20,FALSE)+VLOOKUP(C422,$B$40:$AG$43,20,FALSE)*$D$54)))*$D$59/100</f>
        <v>3461.7815001128056</v>
      </c>
      <c r="AN422" s="174">
        <f>(IF(H422="근접",$D$61*(VLOOKUP(C422,$B$36:$AG$39,21,FALSE)+VLOOKUP(C422,$B$40:$AG$43,21,FALSE)*$D$54),$D$60*(VLOOKUP(C422,$B$36:$AG$39,21,FALSE)+VLOOKUP(C422,$B$40:$AG$43,21,FALSE)*$D$54)))*$D$59/100</f>
        <v>4675.3698041048783</v>
      </c>
      <c r="AO422" s="176">
        <v>36</v>
      </c>
      <c r="AP422" s="174">
        <v>36</v>
      </c>
      <c r="AQ422" s="175">
        <f>VLOOKUP(C422,$B$45:$AA$48,19,FALSE)</f>
        <v>458</v>
      </c>
      <c r="AR422" s="31">
        <f>IF(LEFT(E422,1)*1=1,$S$64,$R$64)</f>
        <v>0</v>
      </c>
      <c r="AS422" s="2">
        <f>IF(LEFT(E422,1)*1=2,$U$64,$T$64)</f>
        <v>0.5</v>
      </c>
      <c r="AT422" s="33">
        <f>IF(LEFT(E422,1)*1=3,$W$64,$V$64)</f>
        <v>0</v>
      </c>
      <c r="AU422" s="31">
        <f>IF(MID(E422,3,1)*1=1,$Y$64,$X$64)</f>
        <v>0</v>
      </c>
      <c r="AV422" s="2">
        <f>IF(MID(E422,3,1)*1=2,$AA$64,$Z$64)</f>
        <v>0</v>
      </c>
      <c r="AW422" s="33">
        <f>IF(MID(E422,3,1)*1=3,$AC$64,$AB$64)</f>
        <v>1.36</v>
      </c>
      <c r="AX422" s="31">
        <f>IF(MID(E422,5,1)*1=1,$AE$64,$AD$64)</f>
        <v>1</v>
      </c>
      <c r="AY422" s="33">
        <f>IF(MID(E422,5,1)*1=2,$AG$64,$AF$64)</f>
        <v>1</v>
      </c>
      <c r="AZ422" s="2"/>
      <c r="BA422" s="101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</row>
    <row r="423" spans="1:71" ht="12" customHeight="1">
      <c r="A423" s="2"/>
      <c r="B423" s="107">
        <v>65</v>
      </c>
      <c r="C423" s="31">
        <v>10</v>
      </c>
      <c r="D423" s="106" t="s">
        <v>4</v>
      </c>
      <c r="E423" s="2" t="s">
        <v>135</v>
      </c>
      <c r="F423" s="2"/>
      <c r="G423" s="2" t="s">
        <v>143</v>
      </c>
      <c r="H423" s="33"/>
      <c r="I423" s="173">
        <f>M423/AE423</f>
        <v>676.50560885081018</v>
      </c>
      <c r="J423" s="174">
        <f>AH423/AE423</f>
        <v>29.152775243964456</v>
      </c>
      <c r="K423" s="207">
        <f>RANK(I423,$I$76:$I$977)</f>
        <v>348</v>
      </c>
      <c r="L423" s="208">
        <f>RANK(I423,$I$76:$I$450)</f>
        <v>348</v>
      </c>
      <c r="M423" s="173">
        <f>SUM(N423:R423)</f>
        <v>8098.730069886331</v>
      </c>
      <c r="N423" s="174">
        <f>T423*(1+((AG423+IF(F423="백어택",8,0))/100)*((AI423/100-1)))</f>
        <v>1089.6013904763372</v>
      </c>
      <c r="O423" s="174">
        <f>U423*(1+((AG423+IF(F423="백어택",8,0))/100)*(AI423/100-1))</f>
        <v>7009.1286794099933</v>
      </c>
      <c r="P423" s="174"/>
      <c r="Q423" s="174"/>
      <c r="R423" s="175"/>
      <c r="S423" s="173">
        <f>SUM(T423:X423)</f>
        <v>6133.6244925689643</v>
      </c>
      <c r="T423" s="174">
        <f>AT423*AL423*IF(F423="백어택",1.2,1)</f>
        <v>825.21651148902447</v>
      </c>
      <c r="U423" s="174">
        <f>AM423*AW423*AX423*AY423*IF(F423="백어택",1.2,1)</f>
        <v>5308.4079810799394</v>
      </c>
      <c r="V423" s="174"/>
      <c r="W423" s="174"/>
      <c r="X423" s="175"/>
      <c r="Y423" s="173">
        <f>SUM(Z423:AD423)</f>
        <v>12267.248985137929</v>
      </c>
      <c r="Z423" s="174">
        <f>T423*$D$58/100</f>
        <v>1650.4330229780489</v>
      </c>
      <c r="AA423" s="174">
        <f>U423*$D$58/100</f>
        <v>10616.815962159879</v>
      </c>
      <c r="AB423" s="174"/>
      <c r="AC423" s="174"/>
      <c r="AD423" s="175"/>
      <c r="AE423" s="173">
        <f>AO423*(1-$D$17/100)</f>
        <v>11.971416</v>
      </c>
      <c r="AF423" s="174">
        <f>AP423</f>
        <v>36</v>
      </c>
      <c r="AG423" s="174">
        <f>IF($D$57&gt;100,100,$D$57)</f>
        <v>19.001300000000001</v>
      </c>
      <c r="AH423" s="174">
        <f>AQ423</f>
        <v>349</v>
      </c>
      <c r="AI423" s="174">
        <f>$D$58+$D$19</f>
        <v>268.61079999999998</v>
      </c>
      <c r="AJ423" s="174">
        <f>10/IF(AY423=1,5,4)</f>
        <v>2.5</v>
      </c>
      <c r="AK423" s="174">
        <f>SUM(AL423:AN423)</f>
        <v>2748.2428838829269</v>
      </c>
      <c r="AL423" s="174">
        <f>(VLOOKUP(C423,$B$36:$AG$39,4,FALSE)+VLOOKUP(C423,$B$40:$AG$43,4,FALSE)*$D$54)*$D$59/100</f>
        <v>550.14434099268294</v>
      </c>
      <c r="AM423" s="174">
        <f>(VLOOKUP(C423,$B$36:$AG$39,5,FALSE)+VLOOKUP(C423,$B$40:$AG$43,5,FALSE)*$D$54)*$D$59/100</f>
        <v>2198.0985428902441</v>
      </c>
      <c r="AN423" s="174"/>
      <c r="AO423" s="176">
        <v>12</v>
      </c>
      <c r="AP423" s="174">
        <v>36</v>
      </c>
      <c r="AQ423" s="175">
        <f>VLOOKUP(C423,$B$45:$AA$48,4,FALSE)</f>
        <v>349</v>
      </c>
      <c r="AR423" s="31">
        <f>IF(LEFT(E423,1)*1=1,$S$54,$R$54)</f>
        <v>0</v>
      </c>
      <c r="AS423" s="2">
        <f>IF(LEFT(E423,1)*1=2,$U$54,$T$54)</f>
        <v>0</v>
      </c>
      <c r="AT423" s="33">
        <f>IF(LEFT(E423,1)*1=3,$W$54,$V$54)</f>
        <v>1.5</v>
      </c>
      <c r="AU423" s="31">
        <f>IF(MID(E423,3,1)*1=1,$Y$54,$X$54)</f>
        <v>0</v>
      </c>
      <c r="AV423" s="2">
        <f>IF(MID(E423,3,1)*1=2,$AA$54,$Z$54)</f>
        <v>0</v>
      </c>
      <c r="AW423" s="33">
        <f>IF(MID(E423,3,1)*1=3,$AC$54,$AB$54)</f>
        <v>1.4</v>
      </c>
      <c r="AX423" s="31">
        <f>IF(MID(E423,5,1)*1=1,$AE$54,$AD$54)</f>
        <v>1</v>
      </c>
      <c r="AY423" s="33">
        <f>IF(MID(E423,5,1)*1=2,$AG$54,$AF$54)</f>
        <v>1.7250000000000001</v>
      </c>
      <c r="AZ423" s="2"/>
      <c r="BA423" s="101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</row>
    <row r="424" spans="1:71" ht="12" customHeight="1">
      <c r="A424" s="2"/>
      <c r="B424" s="107">
        <v>752</v>
      </c>
      <c r="C424" s="31">
        <v>7</v>
      </c>
      <c r="D424" s="111" t="s">
        <v>21</v>
      </c>
      <c r="E424" s="2" t="s">
        <v>163</v>
      </c>
      <c r="F424" s="2"/>
      <c r="G424" s="2"/>
      <c r="H424" s="33"/>
      <c r="I424" s="173">
        <f>M424/AE424</f>
        <v>676.24017550000838</v>
      </c>
      <c r="J424" s="174">
        <f>AH424/AE424</f>
        <v>21.079603202626</v>
      </c>
      <c r="K424" s="207">
        <f>RANK(I424,$I$76:$I$977)</f>
        <v>349</v>
      </c>
      <c r="L424" s="208" t="e">
        <f>RANK(I424,$I$451:$I$866)</f>
        <v>#N/A</v>
      </c>
      <c r="M424" s="173">
        <f>SUM(N424:R424)</f>
        <v>14692.781329983507</v>
      </c>
      <c r="N424" s="174">
        <f>T424*(1+((AG424+IF(F424="백어택",8,0))/100)*(AI424/100-1))</f>
        <v>11302.139484602698</v>
      </c>
      <c r="O424" s="174"/>
      <c r="P424" s="174"/>
      <c r="Q424" s="174"/>
      <c r="R424" s="175">
        <f>X424*(1+(AG424/100)*(AI424/100-1))</f>
        <v>3390.6418453808096</v>
      </c>
      <c r="S424" s="173">
        <f>SUM(T424:X424)</f>
        <v>12346.740186858049</v>
      </c>
      <c r="T424" s="174">
        <f>AL424*AW424*AX424*AY424*IF(F424="백어택",1.2,1)</f>
        <v>9497.4924514292688</v>
      </c>
      <c r="U424" s="174"/>
      <c r="V424" s="174"/>
      <c r="W424" s="174"/>
      <c r="X424" s="175">
        <f>AL424*AS424+IF(AX424=1,AL424*AU424,AL424*AU424*2)</f>
        <v>2849.2477354287807</v>
      </c>
      <c r="Y424" s="173">
        <f>SUM(Z424:AD424)</f>
        <v>24693.480373716098</v>
      </c>
      <c r="Z424" s="174">
        <f>T424*$D$58/100</f>
        <v>18994.984902858538</v>
      </c>
      <c r="AA424" s="174"/>
      <c r="AB424" s="174"/>
      <c r="AC424" s="174"/>
      <c r="AD424" s="175">
        <f>X424*$D$58/100</f>
        <v>5698.4954708575624</v>
      </c>
      <c r="AE424" s="173">
        <f>AO424*(1-$D$20/100)*(1-$D$17/100)-AR424</f>
        <v>21.727164197424003</v>
      </c>
      <c r="AF424" s="174">
        <f>AP424</f>
        <v>36</v>
      </c>
      <c r="AG424" s="174">
        <f>IF($D$57&gt;100,100,$D$57)</f>
        <v>19.001300000000001</v>
      </c>
      <c r="AH424" s="174">
        <f>AQ424</f>
        <v>458</v>
      </c>
      <c r="AI424" s="174">
        <f>$D$58</f>
        <v>200</v>
      </c>
      <c r="AJ424" s="174">
        <f>10/6</f>
        <v>1.6666666666666667</v>
      </c>
      <c r="AK424" s="174">
        <f>SUM(AL424:AN424)</f>
        <v>9497.4924514292688</v>
      </c>
      <c r="AL424" s="174">
        <f>(VLOOKUP(C424,$B$36:$AG$39,31,FALSE)+VLOOKUP(C424,$B$40:$AG$43,31,FALSE)*$D$54)*$D$59/100</f>
        <v>9497.4924514292688</v>
      </c>
      <c r="AM424" s="174"/>
      <c r="AN424" s="174"/>
      <c r="AO424" s="176">
        <v>36</v>
      </c>
      <c r="AP424" s="174">
        <v>36</v>
      </c>
      <c r="AQ424" s="175">
        <f>VLOOKUP(C424,$B$45:$AG$48,31,FALSE)</f>
        <v>458</v>
      </c>
      <c r="AR424" s="31">
        <f>IF(LEFT(E424,1)*1=1,$S$71,$R$71)</f>
        <v>6</v>
      </c>
      <c r="AS424" s="2">
        <f>IF(LEFT(E424,1)*1=2,$U$71,$T$71)</f>
        <v>0</v>
      </c>
      <c r="AT424" s="33">
        <f>IF(LEFT(E424,1)*1=3,$W$71,$V$71)</f>
        <v>0</v>
      </c>
      <c r="AU424" s="31">
        <f>IF(MID(E424,3,1)*1=1,$Y$71,$X$71)</f>
        <v>0.3</v>
      </c>
      <c r="AV424" s="2">
        <f>IF(MID(E424,3,1)*1=2,$AA$71,$Z$71)</f>
        <v>0</v>
      </c>
      <c r="AW424" s="33">
        <f>IF(MID(E424,3,1)*1=3,$AC$71,$AB$71)</f>
        <v>1</v>
      </c>
      <c r="AX424" s="31">
        <f>IF(MID(E424,5,1)*1=1,$AE$71,$AD$71)</f>
        <v>1</v>
      </c>
      <c r="AY424" s="33">
        <f>IF(MID(E424,5,1)*1=2,$AG$71,$AF$71)</f>
        <v>1</v>
      </c>
      <c r="AZ424" s="2"/>
      <c r="BA424" s="101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</row>
    <row r="425" spans="1:71" ht="12" customHeight="1">
      <c r="A425" s="2"/>
      <c r="B425" s="107">
        <v>77</v>
      </c>
      <c r="C425" s="31">
        <v>10</v>
      </c>
      <c r="D425" s="106" t="s">
        <v>5</v>
      </c>
      <c r="E425" s="2" t="s">
        <v>141</v>
      </c>
      <c r="F425" s="2"/>
      <c r="G425" s="2"/>
      <c r="H425" s="33">
        <v>9</v>
      </c>
      <c r="I425" s="173">
        <f>M425/AE425</f>
        <v>674.55894227416218</v>
      </c>
      <c r="J425" s="174">
        <f>AH425/AE425</f>
        <v>34.707673678702669</v>
      </c>
      <c r="K425" s="207">
        <f>RANK(I425,$I$76:$I$977)</f>
        <v>350</v>
      </c>
      <c r="L425" s="208">
        <f>RANK(I425,$I$76:$I$450)</f>
        <v>350</v>
      </c>
      <c r="M425" s="173">
        <f>SUM(N425:R425)</f>
        <v>5383.6171429893211</v>
      </c>
      <c r="N425" s="174">
        <f>T425*(1+((AG425+IF(F425="백어택",8,0))/100)*((AI425/100-1)))</f>
        <v>5383.6171429893211</v>
      </c>
      <c r="O425" s="174"/>
      <c r="P425" s="174"/>
      <c r="Q425" s="174"/>
      <c r="R425" s="175"/>
      <c r="S425" s="173">
        <f>SUM(T425:X425)</f>
        <v>4077.3165276413411</v>
      </c>
      <c r="T425" s="174">
        <f>AL425*AU425*AW425*AX425*AY425</f>
        <v>4077.3165276413411</v>
      </c>
      <c r="U425" s="174"/>
      <c r="V425" s="174"/>
      <c r="W425" s="174"/>
      <c r="X425" s="175"/>
      <c r="Y425" s="173">
        <f>SUM(Z425:AD425)</f>
        <v>8154.6330552826821</v>
      </c>
      <c r="Z425" s="174">
        <f>T425*$D$58/100</f>
        <v>8154.6330552826821</v>
      </c>
      <c r="AA425" s="174"/>
      <c r="AB425" s="174"/>
      <c r="AC425" s="174"/>
      <c r="AD425" s="175"/>
      <c r="AE425" s="173">
        <f>AO425*(1-$D$17/100)</f>
        <v>7.980944</v>
      </c>
      <c r="AF425" s="174">
        <f>AP425</f>
        <v>36</v>
      </c>
      <c r="AG425" s="174">
        <f>IF($D$57&gt;100,100,$D$57)</f>
        <v>19.001300000000001</v>
      </c>
      <c r="AH425" s="174">
        <f>AQ425</f>
        <v>277</v>
      </c>
      <c r="AI425" s="174">
        <f>$D$58+$D$19</f>
        <v>268.61079999999998</v>
      </c>
      <c r="AJ425" s="174">
        <f>1*AS425</f>
        <v>1</v>
      </c>
      <c r="AK425" s="174">
        <f>SUM(AL425:AN425)</f>
        <v>2240.2838063963413</v>
      </c>
      <c r="AL425" s="174">
        <f>(H425*(VLOOKUP(C425,$B$36:$AG$39,6,FALSE)+VLOOKUP(C425,$B$40:$AG$43,6,FALSE)*$D$54))*$D$59/100</f>
        <v>2240.2838063963413</v>
      </c>
      <c r="AM425" s="174"/>
      <c r="AN425" s="174"/>
      <c r="AO425" s="176">
        <v>8</v>
      </c>
      <c r="AP425" s="174">
        <v>36</v>
      </c>
      <c r="AQ425" s="175">
        <f>VLOOKUP(C425,$B$45:$AA$48,6,FALSE)</f>
        <v>277</v>
      </c>
      <c r="AR425" s="31">
        <f>IF(LEFT(E425,1)*1=1,$S$55,$R$55)</f>
        <v>0</v>
      </c>
      <c r="AS425" s="2">
        <f>IF(LEFT(E425,1)*1=2,$U$55,$T$55)</f>
        <v>1</v>
      </c>
      <c r="AT425" s="33">
        <f>IF(LEFT(E425,1)*1=3,$W$55,$V$55)</f>
        <v>0</v>
      </c>
      <c r="AU425" s="31">
        <f>IF(MID(E425,3,1)*1=1,$Y$55,$X$55)</f>
        <v>1</v>
      </c>
      <c r="AV425" s="2">
        <f>IF(MID(E425,3,1)*1=2,$AA$55,$Z$55)</f>
        <v>0</v>
      </c>
      <c r="AW425" s="60">
        <f>IF(MID(E425,3,1)*1=3,$AC$55,$AB$55)</f>
        <v>1.2133333333333334</v>
      </c>
      <c r="AX425" s="31">
        <f>IF(MID(E425,5,1)*1=1,$AE$55,$AD$55)</f>
        <v>1.5</v>
      </c>
      <c r="AY425" s="33">
        <f>IF(MID(E425,5,1)*1=2,$AG$55,$AF$55)</f>
        <v>1</v>
      </c>
      <c r="AZ425" s="2"/>
      <c r="BA425" s="101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</row>
    <row r="426" spans="1:71" ht="12" customHeight="1">
      <c r="A426" s="2"/>
      <c r="B426" s="107">
        <v>83</v>
      </c>
      <c r="C426" s="31">
        <v>10</v>
      </c>
      <c r="D426" s="106" t="s">
        <v>5</v>
      </c>
      <c r="E426" s="2" t="s">
        <v>171</v>
      </c>
      <c r="F426" s="2"/>
      <c r="G426" s="2"/>
      <c r="H426" s="33">
        <v>9</v>
      </c>
      <c r="I426" s="173">
        <f>M426/AE426</f>
        <v>674.55894227416218</v>
      </c>
      <c r="J426" s="174">
        <f>AH426/AE426</f>
        <v>34.707673678702669</v>
      </c>
      <c r="K426" s="207">
        <f>RANK(I426,$I$76:$I$977)</f>
        <v>350</v>
      </c>
      <c r="L426" s="208">
        <f>RANK(I426,$I$76:$I$450)</f>
        <v>350</v>
      </c>
      <c r="M426" s="173">
        <f>SUM(N426:R426)</f>
        <v>5383.6171429893211</v>
      </c>
      <c r="N426" s="174">
        <f>T426*(1+((AG426+IF(F426="백어택",8,0))/100)*((AI426/100-1)))</f>
        <v>5383.6171429893211</v>
      </c>
      <c r="O426" s="174"/>
      <c r="P426" s="174"/>
      <c r="Q426" s="174"/>
      <c r="R426" s="175"/>
      <c r="S426" s="173">
        <f>SUM(T426:X426)</f>
        <v>4077.3165276413411</v>
      </c>
      <c r="T426" s="174">
        <f>AL426*AU426*AW426*AX426*AY426</f>
        <v>4077.3165276413411</v>
      </c>
      <c r="U426" s="174"/>
      <c r="V426" s="174"/>
      <c r="W426" s="174"/>
      <c r="X426" s="175"/>
      <c r="Y426" s="173">
        <f>SUM(Z426:AD426)</f>
        <v>8154.6330552826821</v>
      </c>
      <c r="Z426" s="174">
        <f>T426*$D$58/100</f>
        <v>8154.6330552826821</v>
      </c>
      <c r="AA426" s="174"/>
      <c r="AB426" s="174"/>
      <c r="AC426" s="174"/>
      <c r="AD426" s="175"/>
      <c r="AE426" s="173">
        <f>AO426*(1-$D$17/100)</f>
        <v>7.980944</v>
      </c>
      <c r="AF426" s="174">
        <f>AP426</f>
        <v>36</v>
      </c>
      <c r="AG426" s="174">
        <f>IF($D$57&gt;100,100,$D$57)</f>
        <v>19.001300000000001</v>
      </c>
      <c r="AH426" s="174">
        <f>AQ426</f>
        <v>277</v>
      </c>
      <c r="AI426" s="174">
        <f>$D$58+$D$19</f>
        <v>268.61079999999998</v>
      </c>
      <c r="AJ426" s="174">
        <f>1*AS426</f>
        <v>0.8</v>
      </c>
      <c r="AK426" s="174">
        <f>SUM(AL426:AN426)</f>
        <v>2240.2838063963413</v>
      </c>
      <c r="AL426" s="174">
        <f>(H426*(VLOOKUP(C426,$B$36:$AG$39,6,FALSE)+VLOOKUP(C426,$B$40:$AG$43,6,FALSE)*$D$54))*$D$59/100</f>
        <v>2240.2838063963413</v>
      </c>
      <c r="AM426" s="174"/>
      <c r="AN426" s="174"/>
      <c r="AO426" s="176">
        <v>8</v>
      </c>
      <c r="AP426" s="174">
        <v>36</v>
      </c>
      <c r="AQ426" s="175">
        <f>VLOOKUP(C426,$B$45:$AA$48,6,FALSE)</f>
        <v>277</v>
      </c>
      <c r="AR426" s="31">
        <f>IF(LEFT(E426,1)*1=1,$S$55,$R$55)</f>
        <v>0</v>
      </c>
      <c r="AS426" s="2">
        <f>IF(LEFT(E426,1)*1=2,$U$55,$T$55)</f>
        <v>0.8</v>
      </c>
      <c r="AT426" s="33">
        <f>IF(LEFT(E426,1)*1=3,$W$55,$V$55)</f>
        <v>0</v>
      </c>
      <c r="AU426" s="31">
        <f>IF(MID(E426,3,1)*1=1,$Y$55,$X$55)</f>
        <v>1</v>
      </c>
      <c r="AV426" s="2">
        <f>IF(MID(E426,3,1)*1=2,$AA$55,$Z$55)</f>
        <v>0</v>
      </c>
      <c r="AW426" s="60">
        <f>IF(MID(E426,3,1)*1=3,$AC$55,$AB$55)</f>
        <v>1.2133333333333334</v>
      </c>
      <c r="AX426" s="31">
        <f>IF(MID(E426,5,1)*1=1,$AE$55,$AD$55)</f>
        <v>1.5</v>
      </c>
      <c r="AY426" s="33">
        <f>IF(MID(E426,5,1)*1=2,$AG$55,$AF$55)</f>
        <v>1</v>
      </c>
      <c r="AZ426" s="2"/>
      <c r="BA426" s="101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</row>
    <row r="427" spans="1:71" ht="12" customHeight="1">
      <c r="A427" s="2"/>
      <c r="B427" s="107">
        <v>446</v>
      </c>
      <c r="C427" s="31">
        <v>10</v>
      </c>
      <c r="D427" s="111" t="s">
        <v>8</v>
      </c>
      <c r="E427" s="2" t="s">
        <v>139</v>
      </c>
      <c r="F427" s="2" t="s">
        <v>149</v>
      </c>
      <c r="G427" s="2"/>
      <c r="H427" s="33" t="s">
        <v>80</v>
      </c>
      <c r="I427" s="173">
        <f>M427/AE427</f>
        <v>674.34947406158608</v>
      </c>
      <c r="J427" s="174">
        <f>AH427/AE427</f>
        <v>28.185356224514496</v>
      </c>
      <c r="K427" s="207">
        <f>RANK(I427,$I$76:$I$977)</f>
        <v>352</v>
      </c>
      <c r="L427" s="208" t="e">
        <f>RANK(I427,$I$451:$I$866)</f>
        <v>#N/A</v>
      </c>
      <c r="M427" s="173">
        <f>SUM(N427:R427)</f>
        <v>12465.199062501408</v>
      </c>
      <c r="N427" s="174">
        <f>T427*(1+((AG427+IF(F427="백어택",8,0))/100)*(IF(AY427=1,$D$58,$D$58+50)/100-1))</f>
        <v>5476.1763492025211</v>
      </c>
      <c r="O427" s="174">
        <f>U427*(1+((AG427+IF(F427="백어택",8,0))/100)*(AI427/100-1))</f>
        <v>6989.0227132988866</v>
      </c>
      <c r="P427" s="174">
        <f>V427*(1+((AG427+IF(F427="백어택",8,0))/100)*(AI427/100-1))</f>
        <v>0</v>
      </c>
      <c r="Q427" s="174"/>
      <c r="R427" s="175"/>
      <c r="S427" s="173">
        <f>SUM(T427:X427)</f>
        <v>7002.8441050794145</v>
      </c>
      <c r="T427" s="174">
        <f>AL427*IF(H427="근접",AR427,1)*AY427*IF(F427="백어택",1.2,1)</f>
        <v>3076.4698640675119</v>
      </c>
      <c r="U427" s="174">
        <f>AM427*IF(H427="근접",AR427,1)*AY427*IF(F427="백어택",1.2,1)</f>
        <v>3926.3742410119025</v>
      </c>
      <c r="V427" s="174">
        <f>IF(AX427=1,0,AM427*IF(H427="근접",AR427,1)*AY427)*IF(F427="백어택",1.2,1)</f>
        <v>0</v>
      </c>
      <c r="W427" s="174"/>
      <c r="X427" s="175"/>
      <c r="Y427" s="173">
        <f>SUM(Z427:AD427)</f>
        <v>17507.110262698538</v>
      </c>
      <c r="Z427" s="174">
        <f>T427*IF(AY427=1,$D$58,$D$58+50)/100</f>
        <v>7691.1746601687801</v>
      </c>
      <c r="AA427" s="174">
        <f>U427*AI427/100</f>
        <v>9815.9356025297566</v>
      </c>
      <c r="AB427" s="174">
        <f>V427*AI427/100</f>
        <v>0</v>
      </c>
      <c r="AC427" s="174"/>
      <c r="AD427" s="175"/>
      <c r="AE427" s="173">
        <f>AO427*(1-$D$20/100)*(1-$D$17/100)</f>
        <v>18.484776131615998</v>
      </c>
      <c r="AF427" s="174">
        <f>AP427</f>
        <v>36</v>
      </c>
      <c r="AG427" s="174">
        <f>IF($D$57+AU427&gt;100,100,$D$57+AU427)</f>
        <v>44.001300000000001</v>
      </c>
      <c r="AH427" s="174">
        <f>IF(AX427=1,AQ427,AQ427*1.4)</f>
        <v>521</v>
      </c>
      <c r="AI427" s="174">
        <f>IF(AY427=1,$D$58,$D$58+50)*AW427</f>
        <v>250</v>
      </c>
      <c r="AJ427" s="174">
        <f>10/6/AX427</f>
        <v>1.6666666666666667</v>
      </c>
      <c r="AK427" s="174">
        <f>SUM(AL427:AN427)</f>
        <v>4863.0861840829275</v>
      </c>
      <c r="AL427" s="174">
        <f>(IF(H427="근접",$D$61*(VLOOKUP(C427,$B$36:$AG$39,9,FALSE)+VLOOKUP(C427,$B$40:$AG$43,9,FALSE)*$D$54),$D$60*(VLOOKUP(C427,$B$36:$AG$39,9,FALSE)+VLOOKUP(C427,$B$40:$AG$43,9,FALSE)*$D$54)))*$D$59/100</f>
        <v>2136.437405602439</v>
      </c>
      <c r="AM427" s="174">
        <f>(IF(H427="근접",$D$61*(VLOOKUP(C427,$B$36:$AG$39,10,FALSE)+VLOOKUP(C427,$B$40:$AG$43,10,FALSE)*$D$54),$D$60*(VLOOKUP(C427,$B$36:$AG$39,10,FALSE)+VLOOKUP(C427,$B$40:$AG$43,10,FALSE)*$D$54)))*$D$59/100</f>
        <v>2726.6487784804881</v>
      </c>
      <c r="AN427" s="174"/>
      <c r="AO427" s="176">
        <v>24</v>
      </c>
      <c r="AP427" s="174">
        <v>36</v>
      </c>
      <c r="AQ427" s="175">
        <f>VLOOKUP(C427,$B$45:$AA$48,9,FALSE)</f>
        <v>521</v>
      </c>
      <c r="AR427" s="31">
        <f>IF(LEFT(E427,1)*1=1,$S$58,$R$58)</f>
        <v>1</v>
      </c>
      <c r="AS427" s="2">
        <f>IF(LEFT(E427,1)*1=2,$U$58,$T$58)</f>
        <v>0</v>
      </c>
      <c r="AT427" s="33">
        <f>IF(LEFT(E427,1)*1=3,$W$58,$V$58)</f>
        <v>0</v>
      </c>
      <c r="AU427" s="31">
        <f>IF(MID(E427,3,1)*1=1,$Y$58,$X$58)</f>
        <v>25</v>
      </c>
      <c r="AV427" s="2">
        <f>IF(MID(E427,3,1)*1=2,$AA$58,$Z$58)</f>
        <v>0</v>
      </c>
      <c r="AW427" s="33">
        <f>IF(MID(E427,3,1)*1=3,$AC$58,$AB$58)</f>
        <v>1</v>
      </c>
      <c r="AX427" s="31">
        <f>IF(MID(E427,5,1)*1=1,$AE$58,$AD$58)</f>
        <v>1</v>
      </c>
      <c r="AY427" s="33">
        <f>IF(MID(E427,5,1)*1=2,$AG$58,$AF$58)</f>
        <v>1.2</v>
      </c>
      <c r="AZ427" s="2"/>
      <c r="BA427" s="101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</row>
    <row r="428" spans="1:71" ht="12" customHeight="1">
      <c r="A428" s="2"/>
      <c r="B428" s="107">
        <v>449</v>
      </c>
      <c r="C428" s="31">
        <v>10</v>
      </c>
      <c r="D428" s="111" t="s">
        <v>8</v>
      </c>
      <c r="E428" s="2" t="s">
        <v>165</v>
      </c>
      <c r="F428" s="2" t="s">
        <v>149</v>
      </c>
      <c r="G428" s="2"/>
      <c r="H428" s="33" t="s">
        <v>80</v>
      </c>
      <c r="I428" s="173">
        <f>M428/AE428</f>
        <v>674.34947406158608</v>
      </c>
      <c r="J428" s="174">
        <f>AH428/AE428</f>
        <v>28.185356224514496</v>
      </c>
      <c r="K428" s="207">
        <f>RANK(I428,$I$76:$I$977)</f>
        <v>352</v>
      </c>
      <c r="L428" s="208" t="e">
        <f>RANK(I428,$I$451:$I$866)</f>
        <v>#N/A</v>
      </c>
      <c r="M428" s="173">
        <f>SUM(N428:R428)</f>
        <v>12465.199062501408</v>
      </c>
      <c r="N428" s="174">
        <f>T428*(1+((AG428+IF(F428="백어택",8,0))/100)*(IF(AY428=1,$D$58,$D$58+50)/100-1))</f>
        <v>5476.1763492025211</v>
      </c>
      <c r="O428" s="174">
        <f>U428*(1+((AG428+IF(F428="백어택",8,0))/100)*(AI428/100-1))</f>
        <v>6989.0227132988866</v>
      </c>
      <c r="P428" s="174">
        <f>V428*(1+((AG428+IF(F428="백어택",8,0))/100)*(AI428/100-1))</f>
        <v>0</v>
      </c>
      <c r="Q428" s="174"/>
      <c r="R428" s="175"/>
      <c r="S428" s="173">
        <f>SUM(T428:X428)</f>
        <v>7002.8441050794145</v>
      </c>
      <c r="T428" s="174">
        <f>AL428*IF(H428="근접",AR428,1)*AY428*IF(F428="백어택",1.2,1)</f>
        <v>3076.4698640675119</v>
      </c>
      <c r="U428" s="174">
        <f>AM428*IF(H428="근접",AR428,1)*AY428*IF(F428="백어택",1.2,1)</f>
        <v>3926.3742410119025</v>
      </c>
      <c r="V428" s="174">
        <f>IF(AX428=1,0,AM428*IF(H428="근접",AR428,1)*AY428)*IF(F428="백어택",1.2,1)</f>
        <v>0</v>
      </c>
      <c r="W428" s="174"/>
      <c r="X428" s="175"/>
      <c r="Y428" s="173">
        <f>SUM(Z428:AD428)</f>
        <v>17507.110262698538</v>
      </c>
      <c r="Z428" s="174">
        <f>T428*IF(AY428=1,$D$58,$D$58+50)/100</f>
        <v>7691.1746601687801</v>
      </c>
      <c r="AA428" s="174">
        <f>U428*AI428/100</f>
        <v>9815.9356025297566</v>
      </c>
      <c r="AB428" s="174">
        <f>V428*AI428/100</f>
        <v>0</v>
      </c>
      <c r="AC428" s="174"/>
      <c r="AD428" s="175"/>
      <c r="AE428" s="173">
        <f>AO428*(1-$D$20/100)*(1-$D$17/100)</f>
        <v>18.484776131615998</v>
      </c>
      <c r="AF428" s="174">
        <f>AP428</f>
        <v>36</v>
      </c>
      <c r="AG428" s="174">
        <f>IF($D$57+AU428&gt;100,100,$D$57+AU428)</f>
        <v>44.001300000000001</v>
      </c>
      <c r="AH428" s="174">
        <f>IF(AX428=1,AQ428,AQ428*1.4)</f>
        <v>521</v>
      </c>
      <c r="AI428" s="174">
        <f>IF(AY428=1,$D$58,$D$58+50)*AW428</f>
        <v>250</v>
      </c>
      <c r="AJ428" s="174">
        <f>10/6/AX428</f>
        <v>1.6666666666666667</v>
      </c>
      <c r="AK428" s="174">
        <f>SUM(AL428:AN428)</f>
        <v>4863.0861840829275</v>
      </c>
      <c r="AL428" s="174">
        <f>(IF(H428="근접",$D$61*(VLOOKUP(C428,$B$36:$AG$39,9,FALSE)+VLOOKUP(C428,$B$40:$AG$43,9,FALSE)*$D$54),$D$60*(VLOOKUP(C428,$B$36:$AG$39,9,FALSE)+VLOOKUP(C428,$B$40:$AG$43,9,FALSE)*$D$54)))*$D$59/100</f>
        <v>2136.437405602439</v>
      </c>
      <c r="AM428" s="174">
        <f>(IF(H428="근접",$D$61*(VLOOKUP(C428,$B$36:$AG$39,10,FALSE)+VLOOKUP(C428,$B$40:$AG$43,10,FALSE)*$D$54),$D$60*(VLOOKUP(C428,$B$36:$AG$39,10,FALSE)+VLOOKUP(C428,$B$40:$AG$43,10,FALSE)*$D$54)))*$D$59/100</f>
        <v>2726.6487784804881</v>
      </c>
      <c r="AN428" s="174"/>
      <c r="AO428" s="176">
        <v>24</v>
      </c>
      <c r="AP428" s="174">
        <v>36</v>
      </c>
      <c r="AQ428" s="175">
        <f>VLOOKUP(C428,$B$45:$AA$48,9,FALSE)</f>
        <v>521</v>
      </c>
      <c r="AR428" s="31">
        <f>IF(LEFT(E428,1)*1=1,$S$58,$R$58)</f>
        <v>1.2</v>
      </c>
      <c r="AS428" s="2">
        <f>IF(LEFT(E428,1)*1=2,$U$58,$T$58)</f>
        <v>0</v>
      </c>
      <c r="AT428" s="33">
        <f>IF(LEFT(E428,1)*1=3,$W$58,$V$58)</f>
        <v>0</v>
      </c>
      <c r="AU428" s="31">
        <f>IF(MID(E428,3,1)*1=1,$Y$58,$X$58)</f>
        <v>25</v>
      </c>
      <c r="AV428" s="2">
        <f>IF(MID(E428,3,1)*1=2,$AA$58,$Z$58)</f>
        <v>0</v>
      </c>
      <c r="AW428" s="33">
        <f>IF(MID(E428,3,1)*1=3,$AC$58,$AB$58)</f>
        <v>1</v>
      </c>
      <c r="AX428" s="31">
        <f>IF(MID(E428,5,1)*1=1,$AE$58,$AD$58)</f>
        <v>1</v>
      </c>
      <c r="AY428" s="33">
        <f>IF(MID(E428,5,1)*1=2,$AG$58,$AF$58)</f>
        <v>1.2</v>
      </c>
      <c r="AZ428" s="2"/>
      <c r="BA428" s="101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</row>
    <row r="429" spans="1:71" ht="12" customHeight="1">
      <c r="A429" s="2"/>
      <c r="B429" s="107">
        <v>491</v>
      </c>
      <c r="C429" s="31">
        <v>10</v>
      </c>
      <c r="D429" s="111" t="s">
        <v>14</v>
      </c>
      <c r="E429" s="2" t="s">
        <v>92</v>
      </c>
      <c r="F429" s="2"/>
      <c r="G429" s="2"/>
      <c r="H429" s="33" t="s">
        <v>81</v>
      </c>
      <c r="I429" s="173">
        <f>M429/AE429</f>
        <v>673.96191182985535</v>
      </c>
      <c r="J429" s="174">
        <f>AH429/AE429</f>
        <v>23.695174714659018</v>
      </c>
      <c r="K429" s="207">
        <f>RANK(I429,$I$76:$I$977)</f>
        <v>354</v>
      </c>
      <c r="L429" s="208" t="e">
        <f>RANK(I429,$I$451:$I$866)</f>
        <v>#N/A</v>
      </c>
      <c r="M429" s="173">
        <f>SUM(N429:R429)</f>
        <v>18687.052592116197</v>
      </c>
      <c r="N429" s="174">
        <f>T429*(1+((AG429+IF(F429="백어택",8,0))/100)*(AI429/100-1))</f>
        <v>5576.0558654226006</v>
      </c>
      <c r="O429" s="174">
        <f>U429*(1+((AG429+IF(F429="백어택",8,0))/100)*(AI429/100-1))</f>
        <v>5576.0558654226006</v>
      </c>
      <c r="P429" s="174">
        <f>V429*(1+((AG429+IF(F429="백어택",8,0))/100)*(AI429*IF(AX429=1,AW429,1)/100-1))</f>
        <v>7534.9408612709958</v>
      </c>
      <c r="Q429" s="174">
        <f>W429*(1+((AG429+IF(F429="백어택",8,0))/100)*(AI429*AW429/100-1))</f>
        <v>0</v>
      </c>
      <c r="R429" s="175"/>
      <c r="S429" s="173">
        <f>SUM(T429:X429)</f>
        <v>14542.232699282926</v>
      </c>
      <c r="T429" s="174">
        <f>AL429*AY429*IF(F429="백어택",1.2,1)</f>
        <v>4339.2772369778049</v>
      </c>
      <c r="U429" s="174">
        <f>AM429*AY429*IF(F429="백어택",1.2,1)</f>
        <v>4339.2772369778049</v>
      </c>
      <c r="V429" s="174">
        <f>AN429*AY429*IF(F429="백어택",1.2,1)</f>
        <v>5863.6782253273168</v>
      </c>
      <c r="W429" s="174">
        <f>(T429+U429+V429)*IF(AX429=1,0,0.6)*IF(F429="백어택",1.2,1)</f>
        <v>0</v>
      </c>
      <c r="X429" s="175"/>
      <c r="Y429" s="173">
        <f>SUM(Z429:AD429)</f>
        <v>36355.581748207318</v>
      </c>
      <c r="Z429" s="174">
        <f>T429*AI429/100</f>
        <v>10848.193092444513</v>
      </c>
      <c r="AA429" s="174">
        <f>U429*AI429/100</f>
        <v>10848.193092444513</v>
      </c>
      <c r="AB429" s="174">
        <f>V429*AI429*IF(AX429=1,AW429,1)/100</f>
        <v>14659.195563318292</v>
      </c>
      <c r="AC429" s="174">
        <f>W429*AI429*AW429/100</f>
        <v>0</v>
      </c>
      <c r="AD429" s="175"/>
      <c r="AE429" s="173">
        <f>AO429*(1-$D$20/100)*(1-$D$17/100)</f>
        <v>27.727164197424003</v>
      </c>
      <c r="AF429" s="174">
        <f>AP429</f>
        <v>36</v>
      </c>
      <c r="AG429" s="174">
        <f>IF($D$57+AU429&gt;100,100,$D$57+AU429)</f>
        <v>19.001300000000001</v>
      </c>
      <c r="AH429" s="174">
        <f>AQ429*AS429</f>
        <v>657</v>
      </c>
      <c r="AI429" s="174">
        <f>$D$58+IF(H429="근접",AR429,0)+IF(AY429=1,0,50)</f>
        <v>250</v>
      </c>
      <c r="AJ429" s="174">
        <f>10/3</f>
        <v>3.3333333333333335</v>
      </c>
      <c r="AK429" s="174">
        <f>SUM(AL429:AN429)</f>
        <v>12118.527249402439</v>
      </c>
      <c r="AL429" s="174">
        <f>(IF(H429="근접",$D$61*(VLOOKUP(C429,$B$36:$AG$39,19,FALSE)+VLOOKUP(C429,$B$40:$AG$43,19,FALSE)*$D$54),$D$60*(VLOOKUP(C429,$B$36:$AG$39,19,FALSE)+VLOOKUP(C429,$B$40:$AG$43,19,FALSE)*$D$54)))*$D$59/100</f>
        <v>3616.0643641481706</v>
      </c>
      <c r="AM429" s="174">
        <f>(IF(H429="근접",$D$61*(VLOOKUP(C429,$B$36:$AG$39,20,FALSE)+VLOOKUP(C429,$B$40:$AG$43,20,FALSE)*$D$54),$D$60*(VLOOKUP(C429,$B$36:$AG$39,20,FALSE)+VLOOKUP(C429,$B$40:$AG$43,20,FALSE)*$D$54)))*$D$59/100</f>
        <v>3616.0643641481706</v>
      </c>
      <c r="AN429" s="174">
        <f>(IF(H429="근접",$D$61*(VLOOKUP(C429,$B$36:$AG$39,21,FALSE)+VLOOKUP(C429,$B$40:$AG$43,21,FALSE)*$D$54),$D$60*(VLOOKUP(C429,$B$36:$AG$39,21,FALSE)+VLOOKUP(C429,$B$40:$AG$43,21,FALSE)*$D$54)))*$D$59/100</f>
        <v>4886.3985211060972</v>
      </c>
      <c r="AO429" s="176">
        <v>36</v>
      </c>
      <c r="AP429" s="174">
        <v>36</v>
      </c>
      <c r="AQ429" s="175">
        <f>VLOOKUP(C429,$B$45:$AA$48,19,FALSE)</f>
        <v>657</v>
      </c>
      <c r="AR429" s="31">
        <f>IF(LEFT(E429,1)*1=1,$S$64,$R$64)</f>
        <v>0</v>
      </c>
      <c r="AS429" s="2">
        <f>IF(LEFT(E429,1)*1=2,$U$64,$T$64)</f>
        <v>1</v>
      </c>
      <c r="AT429" s="33">
        <f>IF(LEFT(E429,1)*1=3,$W$64,$V$64)</f>
        <v>0</v>
      </c>
      <c r="AU429" s="31">
        <f>IF(MID(E429,3,1)*1=1,$Y$64,$X$64)</f>
        <v>0</v>
      </c>
      <c r="AV429" s="2">
        <f>IF(MID(E429,3,1)*1=2,$AA$64,$Z$64)</f>
        <v>0</v>
      </c>
      <c r="AW429" s="33">
        <f>IF(MID(E429,3,1)*1=3,$AC$64,$AB$64)</f>
        <v>1</v>
      </c>
      <c r="AX429" s="31">
        <f>IF(MID(E429,5,1)*1=1,$AE$64,$AD$64)</f>
        <v>1</v>
      </c>
      <c r="AY429" s="33">
        <f>IF(MID(E429,5,1)*1=2,$AG$64,$AF$64)</f>
        <v>1.2</v>
      </c>
      <c r="AZ429" s="2"/>
      <c r="BA429" s="101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</row>
    <row r="430" spans="1:71" ht="12" customHeight="1">
      <c r="A430" s="2"/>
      <c r="B430" s="107">
        <v>497</v>
      </c>
      <c r="C430" s="31">
        <v>10</v>
      </c>
      <c r="D430" s="111" t="s">
        <v>14</v>
      </c>
      <c r="E430" s="2" t="s">
        <v>99</v>
      </c>
      <c r="F430" s="2"/>
      <c r="G430" s="2"/>
      <c r="H430" s="33" t="s">
        <v>81</v>
      </c>
      <c r="I430" s="173">
        <f>M430/AE430</f>
        <v>673.96191182985535</v>
      </c>
      <c r="J430" s="174">
        <f>AH430/AE430</f>
        <v>11.847587357329509</v>
      </c>
      <c r="K430" s="207">
        <f>RANK(I430,$I$76:$I$977)</f>
        <v>354</v>
      </c>
      <c r="L430" s="208" t="e">
        <f>RANK(I430,$I$451:$I$866)</f>
        <v>#N/A</v>
      </c>
      <c r="M430" s="173">
        <f>SUM(N430:R430)</f>
        <v>18687.052592116197</v>
      </c>
      <c r="N430" s="174">
        <f>T430*(1+((AG430+IF(F430="백어택",8,0))/100)*(AI430/100-1))</f>
        <v>5576.0558654226006</v>
      </c>
      <c r="O430" s="174">
        <f>U430*(1+((AG430+IF(F430="백어택",8,0))/100)*(AI430/100-1))</f>
        <v>5576.0558654226006</v>
      </c>
      <c r="P430" s="174">
        <f>V430*(1+((AG430+IF(F430="백어택",8,0))/100)*(AI430*IF(AX430=1,AW430,1)/100-1))</f>
        <v>7534.9408612709958</v>
      </c>
      <c r="Q430" s="174">
        <f>W430*(1+((AG430+IF(F430="백어택",8,0))/100)*(AI430*AW430/100-1))</f>
        <v>0</v>
      </c>
      <c r="R430" s="175"/>
      <c r="S430" s="173">
        <f>SUM(T430:X430)</f>
        <v>14542.232699282926</v>
      </c>
      <c r="T430" s="174">
        <f>AL430*AY430*IF(F430="백어택",1.2,1)</f>
        <v>4339.2772369778049</v>
      </c>
      <c r="U430" s="174">
        <f>AM430*AY430*IF(F430="백어택",1.2,1)</f>
        <v>4339.2772369778049</v>
      </c>
      <c r="V430" s="174">
        <f>AN430*AY430*IF(F430="백어택",1.2,1)</f>
        <v>5863.6782253273168</v>
      </c>
      <c r="W430" s="174">
        <f>(T430+U430+V430)*IF(AX430=1,0,0.6)*IF(F430="백어택",1.2,1)</f>
        <v>0</v>
      </c>
      <c r="X430" s="175"/>
      <c r="Y430" s="173">
        <f>SUM(Z430:AD430)</f>
        <v>36355.581748207318</v>
      </c>
      <c r="Z430" s="174">
        <f>T430*AI430/100</f>
        <v>10848.193092444513</v>
      </c>
      <c r="AA430" s="174">
        <f>U430*AI430/100</f>
        <v>10848.193092444513</v>
      </c>
      <c r="AB430" s="174">
        <f>V430*AI430*IF(AX430=1,AW430,1)/100</f>
        <v>14659.195563318292</v>
      </c>
      <c r="AC430" s="174">
        <f>W430*AI430*AW430/100</f>
        <v>0</v>
      </c>
      <c r="AD430" s="175"/>
      <c r="AE430" s="173">
        <f>AO430*(1-$D$20/100)*(1-$D$17/100)</f>
        <v>27.727164197424003</v>
      </c>
      <c r="AF430" s="174">
        <f>AP430</f>
        <v>36</v>
      </c>
      <c r="AG430" s="174">
        <f>IF($D$57+AU430&gt;100,100,$D$57+AU430)</f>
        <v>19.001300000000001</v>
      </c>
      <c r="AH430" s="174">
        <f>AQ430*AS430</f>
        <v>328.5</v>
      </c>
      <c r="AI430" s="174">
        <f>$D$58+IF(H430="근접",AR430,0)+IF(AY430=1,0,50)</f>
        <v>250</v>
      </c>
      <c r="AJ430" s="174">
        <f>10/3</f>
        <v>3.3333333333333335</v>
      </c>
      <c r="AK430" s="174">
        <f>SUM(AL430:AN430)</f>
        <v>12118.527249402439</v>
      </c>
      <c r="AL430" s="174">
        <f>(IF(H430="근접",$D$61*(VLOOKUP(C430,$B$36:$AG$39,19,FALSE)+VLOOKUP(C430,$B$40:$AG$43,19,FALSE)*$D$54),$D$60*(VLOOKUP(C430,$B$36:$AG$39,19,FALSE)+VLOOKUP(C430,$B$40:$AG$43,19,FALSE)*$D$54)))*$D$59/100</f>
        <v>3616.0643641481706</v>
      </c>
      <c r="AM430" s="174">
        <f>(IF(H430="근접",$D$61*(VLOOKUP(C430,$B$36:$AG$39,20,FALSE)+VLOOKUP(C430,$B$40:$AG$43,20,FALSE)*$D$54),$D$60*(VLOOKUP(C430,$B$36:$AG$39,20,FALSE)+VLOOKUP(C430,$B$40:$AG$43,20,FALSE)*$D$54)))*$D$59/100</f>
        <v>3616.0643641481706</v>
      </c>
      <c r="AN430" s="174">
        <f>(IF(H430="근접",$D$61*(VLOOKUP(C430,$B$36:$AG$39,21,FALSE)+VLOOKUP(C430,$B$40:$AG$43,21,FALSE)*$D$54),$D$60*(VLOOKUP(C430,$B$36:$AG$39,21,FALSE)+VLOOKUP(C430,$B$40:$AG$43,21,FALSE)*$D$54)))*$D$59/100</f>
        <v>4886.3985211060972</v>
      </c>
      <c r="AO430" s="176">
        <v>36</v>
      </c>
      <c r="AP430" s="174">
        <v>36</v>
      </c>
      <c r="AQ430" s="175">
        <f>VLOOKUP(C430,$B$45:$AA$48,19,FALSE)</f>
        <v>657</v>
      </c>
      <c r="AR430" s="31">
        <f>IF(LEFT(E430,1)*1=1,$S$64,$R$64)</f>
        <v>0</v>
      </c>
      <c r="AS430" s="2">
        <f>IF(LEFT(E430,1)*1=2,$U$64,$T$64)</f>
        <v>0.5</v>
      </c>
      <c r="AT430" s="33">
        <f>IF(LEFT(E430,1)*1=3,$W$64,$V$64)</f>
        <v>0</v>
      </c>
      <c r="AU430" s="31">
        <f>IF(MID(E430,3,1)*1=1,$Y$64,$X$64)</f>
        <v>0</v>
      </c>
      <c r="AV430" s="2">
        <f>IF(MID(E430,3,1)*1=2,$AA$64,$Z$64)</f>
        <v>0</v>
      </c>
      <c r="AW430" s="33">
        <f>IF(MID(E430,3,1)*1=3,$AC$64,$AB$64)</f>
        <v>1</v>
      </c>
      <c r="AX430" s="31">
        <f>IF(MID(E430,5,1)*1=1,$AE$64,$AD$64)</f>
        <v>1</v>
      </c>
      <c r="AY430" s="33">
        <f>IF(MID(E430,5,1)*1=2,$AG$64,$AF$64)</f>
        <v>1.2</v>
      </c>
      <c r="AZ430" s="2"/>
      <c r="BA430" s="101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</row>
    <row r="431" spans="1:71" ht="12" customHeight="1">
      <c r="A431" s="2"/>
      <c r="B431" s="107">
        <v>49</v>
      </c>
      <c r="C431" s="31">
        <v>10</v>
      </c>
      <c r="D431" s="106" t="s">
        <v>4</v>
      </c>
      <c r="E431" s="2" t="s">
        <v>111</v>
      </c>
      <c r="F431" s="2" t="s">
        <v>149</v>
      </c>
      <c r="G431" s="2"/>
      <c r="H431" s="33"/>
      <c r="I431" s="173">
        <f>M431/AE431</f>
        <v>673.4936780358172</v>
      </c>
      <c r="J431" s="174">
        <f>AH431/AE431</f>
        <v>29.152775243964456</v>
      </c>
      <c r="K431" s="207">
        <f>RANK(I431,$I$76:$I$977)</f>
        <v>356</v>
      </c>
      <c r="L431" s="208">
        <f>RANK(I431,$I$76:$I$450)</f>
        <v>356</v>
      </c>
      <c r="M431" s="173">
        <f>SUM(N431:R431)</f>
        <v>8062.67299313683</v>
      </c>
      <c r="N431" s="174">
        <f>T431*(1+((AG431+IF(F431="백어택",8,0))/100)*((AI431/100-1)))</f>
        <v>1441.0964680999632</v>
      </c>
      <c r="O431" s="174">
        <f>U431*(1+((AG431+IF(F431="백어택",8,0))/100)*(AI431/100-1))</f>
        <v>6621.5765250368668</v>
      </c>
      <c r="P431" s="174"/>
      <c r="Q431" s="174"/>
      <c r="R431" s="175"/>
      <c r="S431" s="173">
        <f>SUM(T431:X431)</f>
        <v>5540.3237975696338</v>
      </c>
      <c r="T431" s="174">
        <f>AT431*AL431*IF(F431="백어택",1.2,1)</f>
        <v>990.25981378682934</v>
      </c>
      <c r="U431" s="174">
        <f>AM431*AW431*AX431*AY431*IF(F431="백어택",1.2,1)</f>
        <v>4550.0639837828048</v>
      </c>
      <c r="V431" s="174"/>
      <c r="W431" s="174"/>
      <c r="X431" s="175"/>
      <c r="Y431" s="173">
        <f>SUM(Z431:AD431)</f>
        <v>11080.647595139268</v>
      </c>
      <c r="Z431" s="174">
        <f>T431*$D$58/100</f>
        <v>1980.5196275736587</v>
      </c>
      <c r="AA431" s="174">
        <f>U431*$D$58/100</f>
        <v>9100.1279675656097</v>
      </c>
      <c r="AB431" s="174"/>
      <c r="AC431" s="174"/>
      <c r="AD431" s="175"/>
      <c r="AE431" s="173">
        <f>AO431*(1-$D$17/100)</f>
        <v>11.971416</v>
      </c>
      <c r="AF431" s="174">
        <f>AP431</f>
        <v>36</v>
      </c>
      <c r="AG431" s="174">
        <f>IF($D$57&gt;100,100,$D$57)</f>
        <v>19.001300000000001</v>
      </c>
      <c r="AH431" s="174">
        <f>AQ431</f>
        <v>349</v>
      </c>
      <c r="AI431" s="174">
        <f>$D$58+$D$19</f>
        <v>268.61079999999998</v>
      </c>
      <c r="AJ431" s="174">
        <f>10/IF(AY431=1,5,4)</f>
        <v>2.5</v>
      </c>
      <c r="AK431" s="174">
        <f>SUM(AL431:AN431)</f>
        <v>2748.2428838829269</v>
      </c>
      <c r="AL431" s="174">
        <f>(VLOOKUP(C431,$B$36:$AG$39,4,FALSE)+VLOOKUP(C431,$B$40:$AG$43,4,FALSE)*$D$54)*$D$59/100</f>
        <v>550.14434099268294</v>
      </c>
      <c r="AM431" s="174">
        <f>(VLOOKUP(C431,$B$36:$AG$39,5,FALSE)+VLOOKUP(C431,$B$40:$AG$43,5,FALSE)*$D$54)*$D$59/100</f>
        <v>2198.0985428902441</v>
      </c>
      <c r="AN431" s="174"/>
      <c r="AO431" s="176">
        <v>12</v>
      </c>
      <c r="AP431" s="174">
        <v>36</v>
      </c>
      <c r="AQ431" s="175">
        <f>VLOOKUP(C431,$B$45:$AA$48,4,FALSE)</f>
        <v>349</v>
      </c>
      <c r="AR431" s="31">
        <f>IF(LEFT(E431,1)*1=1,$S$54,$R$54)</f>
        <v>0</v>
      </c>
      <c r="AS431" s="2">
        <f>IF(LEFT(E431,1)*1=2,$U$54,$T$54)</f>
        <v>0</v>
      </c>
      <c r="AT431" s="33">
        <f>IF(LEFT(E431,1)*1=3,$W$54,$V$54)</f>
        <v>1.5</v>
      </c>
      <c r="AU431" s="31">
        <f>IF(MID(E431,3,1)*1=1,$Y$54,$X$54)</f>
        <v>0</v>
      </c>
      <c r="AV431" s="2">
        <f>IF(MID(E431,3,1)*1=2,$AA$54,$Z$54)</f>
        <v>0</v>
      </c>
      <c r="AW431" s="33">
        <f>IF(MID(E431,3,1)*1=3,$AC$54,$AB$54)</f>
        <v>1</v>
      </c>
      <c r="AX431" s="31">
        <f>IF(MID(E431,5,1)*1=1,$AE$54,$AD$54)</f>
        <v>1</v>
      </c>
      <c r="AY431" s="33">
        <f>IF(MID(E431,5,1)*1=2,$AG$54,$AF$54)</f>
        <v>1.7250000000000001</v>
      </c>
      <c r="AZ431" s="2"/>
      <c r="BA431" s="101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</row>
    <row r="432" spans="1:71" ht="12" customHeight="1">
      <c r="A432" s="2"/>
      <c r="B432" s="107">
        <v>441</v>
      </c>
      <c r="C432" s="31">
        <v>10</v>
      </c>
      <c r="D432" s="111" t="s">
        <v>8</v>
      </c>
      <c r="E432" s="2" t="s">
        <v>141</v>
      </c>
      <c r="F432" s="2" t="s">
        <v>149</v>
      </c>
      <c r="G432" s="2"/>
      <c r="H432" s="33" t="s">
        <v>80</v>
      </c>
      <c r="I432" s="173">
        <f>M432/AE432</f>
        <v>671.63443391279941</v>
      </c>
      <c r="J432" s="174">
        <f>AH432/AE432</f>
        <v>39.459498714320297</v>
      </c>
      <c r="K432" s="207">
        <f>RANK(I432,$I$76:$I$977)</f>
        <v>357</v>
      </c>
      <c r="L432" s="208" t="e">
        <f>RANK(I432,$I$451:$I$866)</f>
        <v>#N/A</v>
      </c>
      <c r="M432" s="173">
        <f>SUM(N432:R432)</f>
        <v>12415.012153162737</v>
      </c>
      <c r="N432" s="174">
        <f>T432*(1+((AG432+IF(F432="백어택",8,0))/100)*(IF(AY432=1,$D$58,$D$58+50)/100-1))</f>
        <v>3255.9639345616447</v>
      </c>
      <c r="O432" s="174">
        <f>U432*(1+((AG432+IF(F432="백어택",8,0))/100)*(AI432/100-1))</f>
        <v>4579.524109300547</v>
      </c>
      <c r="P432" s="174">
        <f>V432*(1+((AG432+IF(F432="백어택",8,0))/100)*(AI432/100-1))</f>
        <v>4579.524109300547</v>
      </c>
      <c r="Q432" s="174"/>
      <c r="R432" s="175"/>
      <c r="S432" s="173">
        <f>SUM(T432:X432)</f>
        <v>9107.6819550760974</v>
      </c>
      <c r="T432" s="174">
        <f>AL432*IF(H432="근접",AR432,1)*AY432*IF(F432="백어택",1.2,1)</f>
        <v>2563.7248867229268</v>
      </c>
      <c r="U432" s="174">
        <f>AM432*IF(H432="근접",AR432,1)*AY432*IF(F432="백어택",1.2,1)</f>
        <v>3271.9785341765855</v>
      </c>
      <c r="V432" s="174">
        <f>IF(AX432=1,0,AM432*IF(H432="근접",AR432,1)*AY432)*IF(F432="백어택",1.2,1)</f>
        <v>3271.9785341765855</v>
      </c>
      <c r="W432" s="174"/>
      <c r="X432" s="175"/>
      <c r="Y432" s="173">
        <f>SUM(Z432:AD432)</f>
        <v>21356.463302961718</v>
      </c>
      <c r="Z432" s="174">
        <f>T432*IF(AY432=1,$D$58,$D$58+50)/100</f>
        <v>5127.4497734458537</v>
      </c>
      <c r="AA432" s="174">
        <f>U432*AI432/100</f>
        <v>8114.5067647579326</v>
      </c>
      <c r="AB432" s="174">
        <f>V432*AI432/100</f>
        <v>8114.5067647579326</v>
      </c>
      <c r="AC432" s="174"/>
      <c r="AD432" s="175"/>
      <c r="AE432" s="173">
        <f>AO432*(1-$D$20/100)*(1-$D$17/100)</f>
        <v>18.484776131615998</v>
      </c>
      <c r="AF432" s="174">
        <f>AP432</f>
        <v>36</v>
      </c>
      <c r="AG432" s="174">
        <f>IF($D$57+AU432&gt;100,100,$D$57+AU432)</f>
        <v>19.001300000000001</v>
      </c>
      <c r="AH432" s="174">
        <f>IF(AX432=1,AQ432,AQ432*1.4)</f>
        <v>729.4</v>
      </c>
      <c r="AI432" s="174">
        <f>IF(AY432=1,$D$58,$D$58+50)*AW432</f>
        <v>248</v>
      </c>
      <c r="AJ432" s="174">
        <f>10/6/AX432</f>
        <v>1.1111111111111112</v>
      </c>
      <c r="AK432" s="174">
        <f>SUM(AL432:AN432)</f>
        <v>4863.0861840829275</v>
      </c>
      <c r="AL432" s="174">
        <f>(IF(H432="근접",$D$61*(VLOOKUP(C432,$B$36:$AG$39,9,FALSE)+VLOOKUP(C432,$B$40:$AG$43,9,FALSE)*$D$54),$D$60*(VLOOKUP(C432,$B$36:$AG$39,9,FALSE)+VLOOKUP(C432,$B$40:$AG$43,9,FALSE)*$D$54)))*$D$59/100</f>
        <v>2136.437405602439</v>
      </c>
      <c r="AM432" s="174">
        <f>(IF(H432="근접",$D$61*(VLOOKUP(C432,$B$36:$AG$39,10,FALSE)+VLOOKUP(C432,$B$40:$AG$43,10,FALSE)*$D$54),$D$60*(VLOOKUP(C432,$B$36:$AG$39,10,FALSE)+VLOOKUP(C432,$B$40:$AG$43,10,FALSE)*$D$54)))*$D$59/100</f>
        <v>2726.6487784804881</v>
      </c>
      <c r="AN432" s="174"/>
      <c r="AO432" s="176">
        <v>24</v>
      </c>
      <c r="AP432" s="174">
        <v>36</v>
      </c>
      <c r="AQ432" s="175">
        <f>VLOOKUP(C432,$B$45:$AA$48,9,FALSE)</f>
        <v>521</v>
      </c>
      <c r="AR432" s="31">
        <f>IF(LEFT(E432,1)*1=1,$S$58,$R$58)</f>
        <v>1</v>
      </c>
      <c r="AS432" s="2">
        <f>IF(LEFT(E432,1)*1=2,$U$58,$T$58)</f>
        <v>0</v>
      </c>
      <c r="AT432" s="33">
        <f>IF(LEFT(E432,1)*1=3,$W$58,$V$58)</f>
        <v>0</v>
      </c>
      <c r="AU432" s="31">
        <f>IF(MID(E432,3,1)*1=1,$Y$58,$X$58)</f>
        <v>0</v>
      </c>
      <c r="AV432" s="2">
        <f>IF(MID(E432,3,1)*1=2,$AA$58,$Z$58)</f>
        <v>0</v>
      </c>
      <c r="AW432" s="33">
        <f>IF(MID(E432,3,1)*1=3,$AC$58,$AB$58)</f>
        <v>1.24</v>
      </c>
      <c r="AX432" s="31">
        <f>IF(MID(E432,5,1)*1=1,$AE$58,$AD$58)</f>
        <v>1.5</v>
      </c>
      <c r="AY432" s="33">
        <f>IF(MID(E432,5,1)*1=2,$AG$58,$AF$58)</f>
        <v>1</v>
      </c>
      <c r="AZ432" s="2"/>
      <c r="BA432" s="101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</row>
    <row r="433" spans="1:71" ht="12" customHeight="1">
      <c r="A433" s="2"/>
      <c r="B433" s="107">
        <v>444</v>
      </c>
      <c r="C433" s="31">
        <v>10</v>
      </c>
      <c r="D433" s="111" t="s">
        <v>8</v>
      </c>
      <c r="E433" s="2" t="s">
        <v>156</v>
      </c>
      <c r="F433" s="2" t="s">
        <v>149</v>
      </c>
      <c r="G433" s="2"/>
      <c r="H433" s="33" t="s">
        <v>80</v>
      </c>
      <c r="I433" s="173">
        <f>M433/AE433</f>
        <v>671.63443391279941</v>
      </c>
      <c r="J433" s="174">
        <f>AH433/AE433</f>
        <v>39.459498714320297</v>
      </c>
      <c r="K433" s="207">
        <f>RANK(I433,$I$76:$I$977)</f>
        <v>357</v>
      </c>
      <c r="L433" s="208" t="e">
        <f>RANK(I433,$I$451:$I$866)</f>
        <v>#N/A</v>
      </c>
      <c r="M433" s="173">
        <f>SUM(N433:R433)</f>
        <v>12415.012153162737</v>
      </c>
      <c r="N433" s="174">
        <f>T433*(1+((AG433+IF(F433="백어택",8,0))/100)*(IF(AY433=1,$D$58,$D$58+50)/100-1))</f>
        <v>3255.9639345616447</v>
      </c>
      <c r="O433" s="174">
        <f>U433*(1+((AG433+IF(F433="백어택",8,0))/100)*(AI433/100-1))</f>
        <v>4579.524109300547</v>
      </c>
      <c r="P433" s="174">
        <f>V433*(1+((AG433+IF(F433="백어택",8,0))/100)*(AI433/100-1))</f>
        <v>4579.524109300547</v>
      </c>
      <c r="Q433" s="174"/>
      <c r="R433" s="175"/>
      <c r="S433" s="173">
        <f>SUM(T433:X433)</f>
        <v>9107.6819550760974</v>
      </c>
      <c r="T433" s="174">
        <f>AL433*IF(H433="근접",AR433,1)*AY433*IF(F433="백어택",1.2,1)</f>
        <v>2563.7248867229268</v>
      </c>
      <c r="U433" s="174">
        <f>AM433*IF(H433="근접",AR433,1)*AY433*IF(F433="백어택",1.2,1)</f>
        <v>3271.9785341765855</v>
      </c>
      <c r="V433" s="174">
        <f>IF(AX433=1,0,AM433*IF(H433="근접",AR433,1)*AY433)*IF(F433="백어택",1.2,1)</f>
        <v>3271.9785341765855</v>
      </c>
      <c r="W433" s="174"/>
      <c r="X433" s="175"/>
      <c r="Y433" s="173">
        <f>SUM(Z433:AD433)</f>
        <v>21356.463302961718</v>
      </c>
      <c r="Z433" s="174">
        <f>T433*IF(AY433=1,$D$58,$D$58+50)/100</f>
        <v>5127.4497734458537</v>
      </c>
      <c r="AA433" s="174">
        <f>U433*AI433/100</f>
        <v>8114.5067647579326</v>
      </c>
      <c r="AB433" s="174">
        <f>V433*AI433/100</f>
        <v>8114.5067647579326</v>
      </c>
      <c r="AC433" s="174"/>
      <c r="AD433" s="175"/>
      <c r="AE433" s="173">
        <f>AO433*(1-$D$20/100)*(1-$D$17/100)</f>
        <v>18.484776131615998</v>
      </c>
      <c r="AF433" s="174">
        <f>AP433</f>
        <v>36</v>
      </c>
      <c r="AG433" s="174">
        <f>IF($D$57+AU433&gt;100,100,$D$57+AU433)</f>
        <v>19.001300000000001</v>
      </c>
      <c r="AH433" s="174">
        <f>IF(AX433=1,AQ433,AQ433*1.4)</f>
        <v>729.4</v>
      </c>
      <c r="AI433" s="174">
        <f>IF(AY433=1,$D$58,$D$58+50)*AW433</f>
        <v>248</v>
      </c>
      <c r="AJ433" s="174">
        <f>10/6/AX433</f>
        <v>1.1111111111111112</v>
      </c>
      <c r="AK433" s="174">
        <f>SUM(AL433:AN433)</f>
        <v>4863.0861840829275</v>
      </c>
      <c r="AL433" s="174">
        <f>(IF(H433="근접",$D$61*(VLOOKUP(C433,$B$36:$AG$39,9,FALSE)+VLOOKUP(C433,$B$40:$AG$43,9,FALSE)*$D$54),$D$60*(VLOOKUP(C433,$B$36:$AG$39,9,FALSE)+VLOOKUP(C433,$B$40:$AG$43,9,FALSE)*$D$54)))*$D$59/100</f>
        <v>2136.437405602439</v>
      </c>
      <c r="AM433" s="174">
        <f>(IF(H433="근접",$D$61*(VLOOKUP(C433,$B$36:$AG$39,10,FALSE)+VLOOKUP(C433,$B$40:$AG$43,10,FALSE)*$D$54),$D$60*(VLOOKUP(C433,$B$36:$AG$39,10,FALSE)+VLOOKUP(C433,$B$40:$AG$43,10,FALSE)*$D$54)))*$D$59/100</f>
        <v>2726.6487784804881</v>
      </c>
      <c r="AN433" s="174"/>
      <c r="AO433" s="176">
        <v>24</v>
      </c>
      <c r="AP433" s="174">
        <v>36</v>
      </c>
      <c r="AQ433" s="175">
        <f>VLOOKUP(C433,$B$45:$AA$48,9,FALSE)</f>
        <v>521</v>
      </c>
      <c r="AR433" s="31">
        <f>IF(LEFT(E433,1)*1=1,$S$58,$R$58)</f>
        <v>1.2</v>
      </c>
      <c r="AS433" s="2">
        <f>IF(LEFT(E433,1)*1=2,$U$58,$T$58)</f>
        <v>0</v>
      </c>
      <c r="AT433" s="33">
        <f>IF(LEFT(E433,1)*1=3,$W$58,$V$58)</f>
        <v>0</v>
      </c>
      <c r="AU433" s="31">
        <f>IF(MID(E433,3,1)*1=1,$Y$58,$X$58)</f>
        <v>0</v>
      </c>
      <c r="AV433" s="2">
        <f>IF(MID(E433,3,1)*1=2,$AA$58,$Z$58)</f>
        <v>0</v>
      </c>
      <c r="AW433" s="33">
        <f>IF(MID(E433,3,1)*1=3,$AC$58,$AB$58)</f>
        <v>1.24</v>
      </c>
      <c r="AX433" s="31">
        <f>IF(MID(E433,5,1)*1=1,$AE$58,$AD$58)</f>
        <v>1.5</v>
      </c>
      <c r="AY433" s="33">
        <f>IF(MID(E433,5,1)*1=2,$AG$58,$AF$58)</f>
        <v>1</v>
      </c>
      <c r="AZ433" s="2"/>
      <c r="BA433" s="101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</row>
    <row r="434" spans="1:71" ht="12" customHeight="1">
      <c r="A434" s="2"/>
      <c r="B434" s="107">
        <v>514</v>
      </c>
      <c r="C434" s="31">
        <v>10</v>
      </c>
      <c r="D434" s="111" t="s">
        <v>14</v>
      </c>
      <c r="E434" s="2" t="s">
        <v>138</v>
      </c>
      <c r="F434" s="2"/>
      <c r="G434" s="2"/>
      <c r="H434" s="33" t="s">
        <v>80</v>
      </c>
      <c r="I434" s="173">
        <f>M434/AE434</f>
        <v>671.33536506374367</v>
      </c>
      <c r="J434" s="174">
        <f>AH434/AE434</f>
        <v>23.695174714659018</v>
      </c>
      <c r="K434" s="207">
        <f>RANK(I434,$I$76:$I$977)</f>
        <v>359</v>
      </c>
      <c r="L434" s="208" t="e">
        <f>RANK(I434,$I$451:$I$866)</f>
        <v>#N/A</v>
      </c>
      <c r="M434" s="173">
        <f>SUM(N434:R434)</f>
        <v>18614.225898660006</v>
      </c>
      <c r="N434" s="174">
        <f>T434*(1+((AG434+IF(F434="백어택",8,0))/100)*(AI434/100-1))</f>
        <v>3471.4531288067337</v>
      </c>
      <c r="O434" s="174">
        <f>U434*(1+((AG434+IF(F434="백어택",8,0))/100)*(AI434/100-1))</f>
        <v>3471.4531288067337</v>
      </c>
      <c r="P434" s="174">
        <f>V434*(1+((AG434+IF(F434="백어택",8,0))/100)*(AI434*IF(AX434=1,AW434,1)/100-1))</f>
        <v>4690.9849290490365</v>
      </c>
      <c r="Q434" s="174">
        <f>W434*(1+((AG434+IF(F434="백어택",8,0))/100)*(AI434*AW434/100-1))</f>
        <v>6980.3347119975015</v>
      </c>
      <c r="R434" s="175"/>
      <c r="S434" s="173">
        <f>SUM(T434:X434)</f>
        <v>12926.429066029268</v>
      </c>
      <c r="T434" s="174">
        <f>AL434*AY434*IF(F434="백어택",1.2,1)</f>
        <v>2410.7095760987809</v>
      </c>
      <c r="U434" s="174">
        <f>AM434*AY434*IF(F434="백어택",1.2,1)</f>
        <v>2410.7095760987809</v>
      </c>
      <c r="V434" s="174">
        <f>AN434*AY434*IF(F434="백어택",1.2,1)</f>
        <v>3257.5990140707318</v>
      </c>
      <c r="W434" s="174">
        <f>(T434+U434+V434)*IF(AX434=1,0,0.6)*IF(F434="백어택",1.2,1)</f>
        <v>4847.4108997609756</v>
      </c>
      <c r="X434" s="175"/>
      <c r="Y434" s="173">
        <f>SUM(Z434:AD434)</f>
        <v>25852.858132058536</v>
      </c>
      <c r="Z434" s="174">
        <f>T434*AI434/100</f>
        <v>4821.4191521975617</v>
      </c>
      <c r="AA434" s="174">
        <f>U434*AI434/100</f>
        <v>4821.4191521975617</v>
      </c>
      <c r="AB434" s="174">
        <f>V434*AI434*IF(AX434=1,AW434,1)/100</f>
        <v>6515.1980281414635</v>
      </c>
      <c r="AC434" s="174">
        <f>W434*AI434*AW434/100</f>
        <v>9694.8217995219511</v>
      </c>
      <c r="AD434" s="175"/>
      <c r="AE434" s="173">
        <f>AO434*(1-$D$20/100)*(1-$D$17/100)</f>
        <v>27.727164197424003</v>
      </c>
      <c r="AF434" s="174">
        <f>AP434</f>
        <v>36</v>
      </c>
      <c r="AG434" s="174">
        <f>IF($D$57+AU434&gt;100,100,$D$57+AU434)</f>
        <v>44.001300000000001</v>
      </c>
      <c r="AH434" s="174">
        <f>AQ434*AS434</f>
        <v>657</v>
      </c>
      <c r="AI434" s="174">
        <f>$D$58+IF(H434="근접",AR434,0)+IF(AY434=1,0,50)</f>
        <v>200</v>
      </c>
      <c r="AJ434" s="174">
        <f>10/3</f>
        <v>3.3333333333333335</v>
      </c>
      <c r="AK434" s="174">
        <f>SUM(AL434:AN434)</f>
        <v>8079.0181662682935</v>
      </c>
      <c r="AL434" s="174">
        <f>(IF(H434="근접",$D$61*(VLOOKUP(C434,$B$36:$AG$39,19,FALSE)+VLOOKUP(C434,$B$40:$AG$43,19,FALSE)*$D$54),$D$60*(VLOOKUP(C434,$B$36:$AG$39,19,FALSE)+VLOOKUP(C434,$B$40:$AG$43,19,FALSE)*$D$54)))*$D$59/100</f>
        <v>2410.7095760987809</v>
      </c>
      <c r="AM434" s="174">
        <f>(IF(H434="근접",$D$61*(VLOOKUP(C434,$B$36:$AG$39,20,FALSE)+VLOOKUP(C434,$B$40:$AG$43,20,FALSE)*$D$54),$D$60*(VLOOKUP(C434,$B$36:$AG$39,20,FALSE)+VLOOKUP(C434,$B$40:$AG$43,20,FALSE)*$D$54)))*$D$59/100</f>
        <v>2410.7095760987809</v>
      </c>
      <c r="AN434" s="174">
        <f>(IF(H434="근접",$D$61*(VLOOKUP(C434,$B$36:$AG$39,21,FALSE)+VLOOKUP(C434,$B$40:$AG$43,21,FALSE)*$D$54),$D$60*(VLOOKUP(C434,$B$36:$AG$39,21,FALSE)+VLOOKUP(C434,$B$40:$AG$43,21,FALSE)*$D$54)))*$D$59/100</f>
        <v>3257.5990140707318</v>
      </c>
      <c r="AO434" s="176">
        <v>36</v>
      </c>
      <c r="AP434" s="174">
        <v>36</v>
      </c>
      <c r="AQ434" s="175">
        <f>VLOOKUP(C434,$B$45:$AA$48,19,FALSE)</f>
        <v>657</v>
      </c>
      <c r="AR434" s="31">
        <f>IF(LEFT(E434,1)*1=1,$S$64,$R$64)</f>
        <v>0</v>
      </c>
      <c r="AS434" s="2">
        <f>IF(LEFT(E434,1)*1=2,$U$64,$T$64)</f>
        <v>1</v>
      </c>
      <c r="AT434" s="33">
        <f>IF(LEFT(E434,1)*1=3,$W$64,$V$64)</f>
        <v>0</v>
      </c>
      <c r="AU434" s="31">
        <f>IF(MID(E434,3,1)*1=1,$Y$64,$X$64)</f>
        <v>25</v>
      </c>
      <c r="AV434" s="2">
        <f>IF(MID(E434,3,1)*1=2,$AA$64,$Z$64)</f>
        <v>0</v>
      </c>
      <c r="AW434" s="33">
        <f>IF(MID(E434,3,1)*1=3,$AC$64,$AB$64)</f>
        <v>1</v>
      </c>
      <c r="AX434" s="31">
        <f>IF(MID(E434,5,1)*1=1,$AE$64,$AD$64)</f>
        <v>0.6</v>
      </c>
      <c r="AY434" s="33">
        <f>IF(MID(E434,5,1)*1=2,$AG$64,$AF$64)</f>
        <v>1</v>
      </c>
      <c r="AZ434" s="2"/>
      <c r="BA434" s="101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</row>
    <row r="435" spans="1:71" ht="12" customHeight="1">
      <c r="A435" s="2"/>
      <c r="B435" s="107">
        <v>517</v>
      </c>
      <c r="C435" s="31">
        <v>10</v>
      </c>
      <c r="D435" s="111" t="s">
        <v>14</v>
      </c>
      <c r="E435" s="2" t="s">
        <v>164</v>
      </c>
      <c r="F435" s="2"/>
      <c r="G435" s="2"/>
      <c r="H435" s="33" t="s">
        <v>80</v>
      </c>
      <c r="I435" s="173">
        <f>M435/AE435</f>
        <v>671.33536506374367</v>
      </c>
      <c r="J435" s="174">
        <f>AH435/AE435</f>
        <v>23.695174714659018</v>
      </c>
      <c r="K435" s="207">
        <f>RANK(I435,$I$76:$I$977)</f>
        <v>359</v>
      </c>
      <c r="L435" s="208" t="e">
        <f>RANK(I435,$I$451:$I$866)</f>
        <v>#N/A</v>
      </c>
      <c r="M435" s="173">
        <f>SUM(N435:R435)</f>
        <v>18614.225898660006</v>
      </c>
      <c r="N435" s="174">
        <f>T435*(1+((AG435+IF(F435="백어택",8,0))/100)*(AI435/100-1))</f>
        <v>3471.4531288067337</v>
      </c>
      <c r="O435" s="174">
        <f>U435*(1+((AG435+IF(F435="백어택",8,0))/100)*(AI435/100-1))</f>
        <v>3471.4531288067337</v>
      </c>
      <c r="P435" s="174">
        <f>V435*(1+((AG435+IF(F435="백어택",8,0))/100)*(AI435*IF(AX435=1,AW435,1)/100-1))</f>
        <v>4690.9849290490365</v>
      </c>
      <c r="Q435" s="174">
        <f>W435*(1+((AG435+IF(F435="백어택",8,0))/100)*(AI435*AW435/100-1))</f>
        <v>6980.3347119975015</v>
      </c>
      <c r="R435" s="175"/>
      <c r="S435" s="173">
        <f>SUM(T435:X435)</f>
        <v>12926.429066029268</v>
      </c>
      <c r="T435" s="174">
        <f>AL435*AY435*IF(F435="백어택",1.2,1)</f>
        <v>2410.7095760987809</v>
      </c>
      <c r="U435" s="174">
        <f>AM435*AY435*IF(F435="백어택",1.2,1)</f>
        <v>2410.7095760987809</v>
      </c>
      <c r="V435" s="174">
        <f>AN435*AY435*IF(F435="백어택",1.2,1)</f>
        <v>3257.5990140707318</v>
      </c>
      <c r="W435" s="174">
        <f>(T435+U435+V435)*IF(AX435=1,0,0.6)*IF(F435="백어택",1.2,1)</f>
        <v>4847.4108997609756</v>
      </c>
      <c r="X435" s="175"/>
      <c r="Y435" s="173">
        <f>SUM(Z435:AD435)</f>
        <v>25852.858132058536</v>
      </c>
      <c r="Z435" s="174">
        <f>T435*AI435/100</f>
        <v>4821.4191521975617</v>
      </c>
      <c r="AA435" s="174">
        <f>U435*AI435/100</f>
        <v>4821.4191521975617</v>
      </c>
      <c r="AB435" s="174">
        <f>V435*AI435*IF(AX435=1,AW435,1)/100</f>
        <v>6515.1980281414635</v>
      </c>
      <c r="AC435" s="174">
        <f>W435*AI435*AW435/100</f>
        <v>9694.8217995219511</v>
      </c>
      <c r="AD435" s="175"/>
      <c r="AE435" s="173">
        <f>AO435*(1-$D$20/100)*(1-$D$17/100)</f>
        <v>27.727164197424003</v>
      </c>
      <c r="AF435" s="174">
        <f>AP435</f>
        <v>36</v>
      </c>
      <c r="AG435" s="174">
        <f>IF($D$57+AU435&gt;100,100,$D$57+AU435)</f>
        <v>44.001300000000001</v>
      </c>
      <c r="AH435" s="174">
        <f>AQ435*AS435</f>
        <v>657</v>
      </c>
      <c r="AI435" s="174">
        <f>$D$58+IF(H435="근접",AR435,0)+IF(AY435=1,0,50)</f>
        <v>200</v>
      </c>
      <c r="AJ435" s="174">
        <f>10/3</f>
        <v>3.3333333333333335</v>
      </c>
      <c r="AK435" s="174">
        <f>SUM(AL435:AN435)</f>
        <v>8079.0181662682935</v>
      </c>
      <c r="AL435" s="174">
        <f>(IF(H435="근접",$D$61*(VLOOKUP(C435,$B$36:$AG$39,19,FALSE)+VLOOKUP(C435,$B$40:$AG$43,19,FALSE)*$D$54),$D$60*(VLOOKUP(C435,$B$36:$AG$39,19,FALSE)+VLOOKUP(C435,$B$40:$AG$43,19,FALSE)*$D$54)))*$D$59/100</f>
        <v>2410.7095760987809</v>
      </c>
      <c r="AM435" s="174">
        <f>(IF(H435="근접",$D$61*(VLOOKUP(C435,$B$36:$AG$39,20,FALSE)+VLOOKUP(C435,$B$40:$AG$43,20,FALSE)*$D$54),$D$60*(VLOOKUP(C435,$B$36:$AG$39,20,FALSE)+VLOOKUP(C435,$B$40:$AG$43,20,FALSE)*$D$54)))*$D$59/100</f>
        <v>2410.7095760987809</v>
      </c>
      <c r="AN435" s="174">
        <f>(IF(H435="근접",$D$61*(VLOOKUP(C435,$B$36:$AG$39,21,FALSE)+VLOOKUP(C435,$B$40:$AG$43,21,FALSE)*$D$54),$D$60*(VLOOKUP(C435,$B$36:$AG$39,21,FALSE)+VLOOKUP(C435,$B$40:$AG$43,21,FALSE)*$D$54)))*$D$59/100</f>
        <v>3257.5990140707318</v>
      </c>
      <c r="AO435" s="176">
        <v>36</v>
      </c>
      <c r="AP435" s="174">
        <v>36</v>
      </c>
      <c r="AQ435" s="175">
        <f>VLOOKUP(C435,$B$45:$AA$48,19,FALSE)</f>
        <v>657</v>
      </c>
      <c r="AR435" s="31">
        <f>IF(LEFT(E435,1)*1=1,$S$64,$R$64)</f>
        <v>50</v>
      </c>
      <c r="AS435" s="2">
        <f>IF(LEFT(E435,1)*1=2,$U$64,$T$64)</f>
        <v>1</v>
      </c>
      <c r="AT435" s="33">
        <f>IF(LEFT(E435,1)*1=3,$W$64,$V$64)</f>
        <v>0</v>
      </c>
      <c r="AU435" s="31">
        <f>IF(MID(E435,3,1)*1=1,$Y$64,$X$64)</f>
        <v>25</v>
      </c>
      <c r="AV435" s="2">
        <f>IF(MID(E435,3,1)*1=2,$AA$64,$Z$64)</f>
        <v>0</v>
      </c>
      <c r="AW435" s="33">
        <f>IF(MID(E435,3,1)*1=3,$AC$64,$AB$64)</f>
        <v>1</v>
      </c>
      <c r="AX435" s="31">
        <f>IF(MID(E435,5,1)*1=1,$AE$64,$AD$64)</f>
        <v>0.6</v>
      </c>
      <c r="AY435" s="33">
        <f>IF(MID(E435,5,1)*1=2,$AG$64,$AF$64)</f>
        <v>1</v>
      </c>
      <c r="AZ435" s="2"/>
      <c r="BA435" s="101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</row>
    <row r="436" spans="1:71" ht="12" customHeight="1">
      <c r="A436" s="2"/>
      <c r="B436" s="107">
        <v>520</v>
      </c>
      <c r="C436" s="31">
        <v>10</v>
      </c>
      <c r="D436" s="111" t="s">
        <v>14</v>
      </c>
      <c r="E436" s="2" t="s">
        <v>169</v>
      </c>
      <c r="F436" s="2"/>
      <c r="G436" s="2"/>
      <c r="H436" s="33" t="s">
        <v>80</v>
      </c>
      <c r="I436" s="173">
        <f>M436/AE436</f>
        <v>671.33536506374367</v>
      </c>
      <c r="J436" s="174">
        <f>AH436/AE436</f>
        <v>11.847587357329509</v>
      </c>
      <c r="K436" s="207">
        <f>RANK(I436,$I$76:$I$977)</f>
        <v>359</v>
      </c>
      <c r="L436" s="208" t="e">
        <f>RANK(I436,$I$451:$I$866)</f>
        <v>#N/A</v>
      </c>
      <c r="M436" s="173">
        <f>SUM(N436:R436)</f>
        <v>18614.225898660006</v>
      </c>
      <c r="N436" s="174">
        <f>T436*(1+((AG436+IF(F436="백어택",8,0))/100)*(AI436/100-1))</f>
        <v>3471.4531288067337</v>
      </c>
      <c r="O436" s="174">
        <f>U436*(1+((AG436+IF(F436="백어택",8,0))/100)*(AI436/100-1))</f>
        <v>3471.4531288067337</v>
      </c>
      <c r="P436" s="174">
        <f>V436*(1+((AG436+IF(F436="백어택",8,0))/100)*(AI436*IF(AX436=1,AW436,1)/100-1))</f>
        <v>4690.9849290490365</v>
      </c>
      <c r="Q436" s="174">
        <f>W436*(1+((AG436+IF(F436="백어택",8,0))/100)*(AI436*AW436/100-1))</f>
        <v>6980.3347119975015</v>
      </c>
      <c r="R436" s="175"/>
      <c r="S436" s="173">
        <f>SUM(T436:X436)</f>
        <v>12926.429066029268</v>
      </c>
      <c r="T436" s="174">
        <f>AL436*AY436*IF(F436="백어택",1.2,1)</f>
        <v>2410.7095760987809</v>
      </c>
      <c r="U436" s="174">
        <f>AM436*AY436*IF(F436="백어택",1.2,1)</f>
        <v>2410.7095760987809</v>
      </c>
      <c r="V436" s="174">
        <f>AN436*AY436*IF(F436="백어택",1.2,1)</f>
        <v>3257.5990140707318</v>
      </c>
      <c r="W436" s="174">
        <f>(T436+U436+V436)*IF(AX436=1,0,0.6)*IF(F436="백어택",1.2,1)</f>
        <v>4847.4108997609756</v>
      </c>
      <c r="X436" s="175"/>
      <c r="Y436" s="173">
        <f>SUM(Z436:AD436)</f>
        <v>25852.858132058536</v>
      </c>
      <c r="Z436" s="174">
        <f>T436*AI436/100</f>
        <v>4821.4191521975617</v>
      </c>
      <c r="AA436" s="174">
        <f>U436*AI436/100</f>
        <v>4821.4191521975617</v>
      </c>
      <c r="AB436" s="174">
        <f>V436*AI436*IF(AX436=1,AW436,1)/100</f>
        <v>6515.1980281414635</v>
      </c>
      <c r="AC436" s="174">
        <f>W436*AI436*AW436/100</f>
        <v>9694.8217995219511</v>
      </c>
      <c r="AD436" s="175"/>
      <c r="AE436" s="173">
        <f>AO436*(1-$D$20/100)*(1-$D$17/100)</f>
        <v>27.727164197424003</v>
      </c>
      <c r="AF436" s="174">
        <f>AP436</f>
        <v>36</v>
      </c>
      <c r="AG436" s="174">
        <f>IF($D$57+AU436&gt;100,100,$D$57+AU436)</f>
        <v>44.001300000000001</v>
      </c>
      <c r="AH436" s="174">
        <f>AQ436*AS436</f>
        <v>328.5</v>
      </c>
      <c r="AI436" s="174">
        <f>$D$58+IF(H436="근접",AR436,0)+IF(AY436=1,0,50)</f>
        <v>200</v>
      </c>
      <c r="AJ436" s="174">
        <f>10/3</f>
        <v>3.3333333333333335</v>
      </c>
      <c r="AK436" s="174">
        <f>SUM(AL436:AN436)</f>
        <v>8079.0181662682935</v>
      </c>
      <c r="AL436" s="174">
        <f>(IF(H436="근접",$D$61*(VLOOKUP(C436,$B$36:$AG$39,19,FALSE)+VLOOKUP(C436,$B$40:$AG$43,19,FALSE)*$D$54),$D$60*(VLOOKUP(C436,$B$36:$AG$39,19,FALSE)+VLOOKUP(C436,$B$40:$AG$43,19,FALSE)*$D$54)))*$D$59/100</f>
        <v>2410.7095760987809</v>
      </c>
      <c r="AM436" s="174">
        <f>(IF(H436="근접",$D$61*(VLOOKUP(C436,$B$36:$AG$39,20,FALSE)+VLOOKUP(C436,$B$40:$AG$43,20,FALSE)*$D$54),$D$60*(VLOOKUP(C436,$B$36:$AG$39,20,FALSE)+VLOOKUP(C436,$B$40:$AG$43,20,FALSE)*$D$54)))*$D$59/100</f>
        <v>2410.7095760987809</v>
      </c>
      <c r="AN436" s="174">
        <f>(IF(H436="근접",$D$61*(VLOOKUP(C436,$B$36:$AG$39,21,FALSE)+VLOOKUP(C436,$B$40:$AG$43,21,FALSE)*$D$54),$D$60*(VLOOKUP(C436,$B$36:$AG$39,21,FALSE)+VLOOKUP(C436,$B$40:$AG$43,21,FALSE)*$D$54)))*$D$59/100</f>
        <v>3257.5990140707318</v>
      </c>
      <c r="AO436" s="176">
        <v>36</v>
      </c>
      <c r="AP436" s="174">
        <v>36</v>
      </c>
      <c r="AQ436" s="175">
        <f>VLOOKUP(C436,$B$45:$AA$48,19,FALSE)</f>
        <v>657</v>
      </c>
      <c r="AR436" s="31">
        <f>IF(LEFT(E436,1)*1=1,$S$64,$R$64)</f>
        <v>0</v>
      </c>
      <c r="AS436" s="2">
        <f>IF(LEFT(E436,1)*1=2,$U$64,$T$64)</f>
        <v>0.5</v>
      </c>
      <c r="AT436" s="33">
        <f>IF(LEFT(E436,1)*1=3,$W$64,$V$64)</f>
        <v>0</v>
      </c>
      <c r="AU436" s="31">
        <f>IF(MID(E436,3,1)*1=1,$Y$64,$X$64)</f>
        <v>25</v>
      </c>
      <c r="AV436" s="2">
        <f>IF(MID(E436,3,1)*1=2,$AA$64,$Z$64)</f>
        <v>0</v>
      </c>
      <c r="AW436" s="33">
        <f>IF(MID(E436,3,1)*1=3,$AC$64,$AB$64)</f>
        <v>1</v>
      </c>
      <c r="AX436" s="31">
        <f>IF(MID(E436,5,1)*1=1,$AE$64,$AD$64)</f>
        <v>0.6</v>
      </c>
      <c r="AY436" s="33">
        <f>IF(MID(E436,5,1)*1=2,$AG$64,$AF$64)</f>
        <v>1</v>
      </c>
      <c r="AZ436" s="2"/>
      <c r="BA436" s="101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</row>
    <row r="437" spans="1:71" ht="12" customHeight="1">
      <c r="A437" s="2"/>
      <c r="B437" s="107">
        <v>187</v>
      </c>
      <c r="C437" s="31">
        <v>10</v>
      </c>
      <c r="D437" s="106" t="s">
        <v>10</v>
      </c>
      <c r="E437" s="2" t="s">
        <v>144</v>
      </c>
      <c r="F437" s="2"/>
      <c r="G437" s="2" t="s">
        <v>137</v>
      </c>
      <c r="H437" s="33"/>
      <c r="I437" s="173">
        <f>M437/AE437</f>
        <v>669.8982819607894</v>
      </c>
      <c r="J437" s="174">
        <f>AH437/AE437</f>
        <v>25.811482952392598</v>
      </c>
      <c r="K437" s="207">
        <f>RANK(I437,$I$76:$I$977)</f>
        <v>362</v>
      </c>
      <c r="L437" s="208">
        <f>RANK(I437,$I$76:$I$450)</f>
        <v>362</v>
      </c>
      <c r="M437" s="173">
        <f>SUM(N437:R437)</f>
        <v>10692.841348050541</v>
      </c>
      <c r="N437" s="174">
        <f>T437*(1+((AG437+IF(F437="백어택",8,0))/100)*((AI437/100-1)))</f>
        <v>10692.841348050541</v>
      </c>
      <c r="O437" s="174"/>
      <c r="P437" s="174"/>
      <c r="Q437" s="174"/>
      <c r="R437" s="175"/>
      <c r="S437" s="173">
        <f>SUM(T437:X437)</f>
        <v>8098.2910927512203</v>
      </c>
      <c r="T437" s="174">
        <f>AL437*AS437*AU437*AX437*IF(AY437=0,1,0.5)*IF(F437="백어택",1.2,1)</f>
        <v>8098.2910927512203</v>
      </c>
      <c r="U437" s="174"/>
      <c r="V437" s="174"/>
      <c r="W437" s="174"/>
      <c r="X437" s="175"/>
      <c r="Y437" s="173">
        <f>SUM(Z437:AD437)</f>
        <v>21752.884490567794</v>
      </c>
      <c r="Z437" s="174">
        <f>T437*AI437/100</f>
        <v>21752.884490567794</v>
      </c>
      <c r="AA437" s="174"/>
      <c r="AB437" s="174"/>
      <c r="AC437" s="174"/>
      <c r="AD437" s="175"/>
      <c r="AE437" s="173">
        <f>AO437*(1-$D$17/100)</f>
        <v>15.961888</v>
      </c>
      <c r="AF437" s="174">
        <f>AP437</f>
        <v>36</v>
      </c>
      <c r="AG437" s="174">
        <f>IF($D$57+AV437&gt;100,100,$D$57+AV437)</f>
        <v>19.001300000000001</v>
      </c>
      <c r="AH437" s="174">
        <f>AQ437</f>
        <v>412</v>
      </c>
      <c r="AI437" s="174">
        <f>$D$58+$D$19</f>
        <v>268.61079999999998</v>
      </c>
      <c r="AJ437" s="174">
        <f>10*AR437/(7-IF(AX437=1,0,3))</f>
        <v>1.4285714285714286</v>
      </c>
      <c r="AK437" s="174">
        <f>SUM(AL437:AN437)</f>
        <v>8098.2910927512203</v>
      </c>
      <c r="AL437" s="174">
        <f>(VLOOKUP(C437,$B$36:$AG$39,13,FALSE)+VLOOKUP(C437,$B$40:$AG$43,13,FALSE)*$D$54)*$D$59/100</f>
        <v>8098.2910927512203</v>
      </c>
      <c r="AM437" s="174"/>
      <c r="AN437" s="174"/>
      <c r="AO437" s="176">
        <v>16</v>
      </c>
      <c r="AP437" s="174">
        <v>36</v>
      </c>
      <c r="AQ437" s="175">
        <f>VLOOKUP(C437,$B$45:$AA$48,13,FALSE)</f>
        <v>412</v>
      </c>
      <c r="AR437" s="31">
        <f>IF(LEFT(E437,1)*1=1,$S$60,$R$60)</f>
        <v>1</v>
      </c>
      <c r="AS437" s="2">
        <f>IF(LEFT(E437,1)*1=2,$U$60,$T$60)</f>
        <v>1</v>
      </c>
      <c r="AT437" s="33">
        <f>IF(LEFT(E437,1)*1=3,$W$60,$V$60)</f>
        <v>0</v>
      </c>
      <c r="AU437" s="31">
        <f>IF(MID(E437,3,1)*1=1,$Y$60,$X$60)</f>
        <v>1</v>
      </c>
      <c r="AV437" s="2">
        <f>IF(MID(E437,3,1)*1=2,$AA$60,$Z$60)</f>
        <v>0</v>
      </c>
      <c r="AW437" s="33">
        <f>IF(MID(E437,3,1)*1=3,$AC$60,$AB$60)</f>
        <v>0</v>
      </c>
      <c r="AX437" s="31">
        <f>IF(MID(E437,5,1)*1=1,$AE$60,$AD$60)</f>
        <v>1</v>
      </c>
      <c r="AY437" s="33">
        <f>IF(MID(E437,5,1)*1=2,$AG$60,$AF$60)</f>
        <v>0</v>
      </c>
      <c r="AZ437" s="2"/>
      <c r="BA437" s="101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</row>
    <row r="438" spans="1:71" ht="12" customHeight="1">
      <c r="A438" s="2"/>
      <c r="B438" s="107">
        <v>190</v>
      </c>
      <c r="C438" s="31">
        <v>10</v>
      </c>
      <c r="D438" s="106" t="s">
        <v>10</v>
      </c>
      <c r="E438" s="2" t="s">
        <v>150</v>
      </c>
      <c r="F438" s="2"/>
      <c r="G438" s="2" t="s">
        <v>137</v>
      </c>
      <c r="H438" s="33"/>
      <c r="I438" s="173">
        <f>M438/AE438</f>
        <v>669.8982819607894</v>
      </c>
      <c r="J438" s="174">
        <f>AH438/AE438</f>
        <v>25.811482952392598</v>
      </c>
      <c r="K438" s="207">
        <f>RANK(I438,$I$76:$I$977)</f>
        <v>362</v>
      </c>
      <c r="L438" s="208">
        <f>RANK(I438,$I$76:$I$450)</f>
        <v>362</v>
      </c>
      <c r="M438" s="173">
        <f>SUM(N438:R438)</f>
        <v>10692.841348050541</v>
      </c>
      <c r="N438" s="174">
        <f>T438*(1+((AG438+IF(F438="백어택",8,0))/100)*((AI438/100-1)))</f>
        <v>10692.841348050541</v>
      </c>
      <c r="O438" s="174"/>
      <c r="P438" s="174"/>
      <c r="Q438" s="174"/>
      <c r="R438" s="175"/>
      <c r="S438" s="173">
        <f>SUM(T438:X438)</f>
        <v>8098.2910927512203</v>
      </c>
      <c r="T438" s="174">
        <f>AL438*AS438*AU438*AX438*IF(AY438=0,1,0.5)*IF(F438="백어택",1.2,1)</f>
        <v>8098.2910927512203</v>
      </c>
      <c r="U438" s="174"/>
      <c r="V438" s="174"/>
      <c r="W438" s="174"/>
      <c r="X438" s="175"/>
      <c r="Y438" s="173">
        <f>SUM(Z438:AD438)</f>
        <v>21752.884490567794</v>
      </c>
      <c r="Z438" s="174">
        <f>T438*AI438/100</f>
        <v>21752.884490567794</v>
      </c>
      <c r="AA438" s="174"/>
      <c r="AB438" s="174"/>
      <c r="AC438" s="174"/>
      <c r="AD438" s="175"/>
      <c r="AE438" s="173">
        <f>AO438*(1-$D$17/100)</f>
        <v>15.961888</v>
      </c>
      <c r="AF438" s="174">
        <f>AP438</f>
        <v>36</v>
      </c>
      <c r="AG438" s="174">
        <f>IF($D$57+AV438&gt;100,100,$D$57+AV438)</f>
        <v>19.001300000000001</v>
      </c>
      <c r="AH438" s="174">
        <f>AQ438</f>
        <v>412</v>
      </c>
      <c r="AI438" s="174">
        <f>$D$58+$D$19</f>
        <v>268.61079999999998</v>
      </c>
      <c r="AJ438" s="174">
        <f>10*AR438/(7-IF(AX438=1,0,3))</f>
        <v>1.2142857142857142</v>
      </c>
      <c r="AK438" s="174">
        <f>SUM(AL438:AN438)</f>
        <v>8098.2910927512203</v>
      </c>
      <c r="AL438" s="174">
        <f>(VLOOKUP(C438,$B$36:$AG$39,13,FALSE)+VLOOKUP(C438,$B$40:$AG$43,13,FALSE)*$D$54)*$D$59/100</f>
        <v>8098.2910927512203</v>
      </c>
      <c r="AM438" s="174"/>
      <c r="AN438" s="174"/>
      <c r="AO438" s="176">
        <v>16</v>
      </c>
      <c r="AP438" s="174">
        <v>36</v>
      </c>
      <c r="AQ438" s="175">
        <f>VLOOKUP(C438,$B$45:$AA$48,13,FALSE)</f>
        <v>412</v>
      </c>
      <c r="AR438" s="31">
        <f>IF(LEFT(E438,1)*1=1,$S$60,$R$60)</f>
        <v>0.85</v>
      </c>
      <c r="AS438" s="2">
        <f>IF(LEFT(E438,1)*1=2,$U$60,$T$60)</f>
        <v>1</v>
      </c>
      <c r="AT438" s="33">
        <f>IF(LEFT(E438,1)*1=3,$W$60,$V$60)</f>
        <v>0</v>
      </c>
      <c r="AU438" s="31">
        <f>IF(MID(E438,3,1)*1=1,$Y$60,$X$60)</f>
        <v>1</v>
      </c>
      <c r="AV438" s="2">
        <f>IF(MID(E438,3,1)*1=2,$AA$60,$Z$60)</f>
        <v>0</v>
      </c>
      <c r="AW438" s="33">
        <f>IF(MID(E438,3,1)*1=3,$AC$60,$AB$60)</f>
        <v>0</v>
      </c>
      <c r="AX438" s="31">
        <f>IF(MID(E438,5,1)*1=1,$AE$60,$AD$60)</f>
        <v>1</v>
      </c>
      <c r="AY438" s="33">
        <f>IF(MID(E438,5,1)*1=2,$AG$60,$AF$60)</f>
        <v>0</v>
      </c>
      <c r="AZ438" s="2"/>
      <c r="BA438" s="101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</row>
    <row r="439" spans="1:71" ht="12" customHeight="1">
      <c r="A439" s="2"/>
      <c r="B439" s="107">
        <v>862</v>
      </c>
      <c r="C439" s="31">
        <v>7</v>
      </c>
      <c r="D439" s="113" t="s">
        <v>15</v>
      </c>
      <c r="E439" s="2" t="s">
        <v>134</v>
      </c>
      <c r="F439" s="2"/>
      <c r="G439" s="2"/>
      <c r="H439" s="33">
        <f>IF(AX439=AT439,3,4)</f>
        <v>4</v>
      </c>
      <c r="I439" s="173">
        <f>M439/AE439</f>
        <v>667.83161051550485</v>
      </c>
      <c r="J439" s="174">
        <f>AH439/AE439</f>
        <v>13.766124241276053</v>
      </c>
      <c r="K439" s="207">
        <f>RANK(I439,$I$76:$I$977)</f>
        <v>364</v>
      </c>
      <c r="L439" s="208" t="e">
        <f>RANK(I439,$I$867:$I$977)</f>
        <v>#N/A</v>
      </c>
      <c r="M439" s="173">
        <f>SUM(N439:R439)*(1+$D$22/100)</f>
        <v>19987.225068577707</v>
      </c>
      <c r="N439" s="174">
        <f>T439*(1+((AG439+IF(F439="백어택",8,0))/100)*(AI439/100-1))</f>
        <v>2572.6439789890846</v>
      </c>
      <c r="O439" s="174">
        <f>U439*(1+(AG439/100)*(AI439/100-1))</f>
        <v>2572.6439789890846</v>
      </c>
      <c r="P439" s="174">
        <f>V439*(1+(AG439/100)*(AI439/100-1))</f>
        <v>2572.6439789890846</v>
      </c>
      <c r="Q439" s="174">
        <f>W439*(1+(AG439/100)*(AI439/100-1))</f>
        <v>2572.6439789890846</v>
      </c>
      <c r="R439" s="175">
        <f>X439*(1+(AG439/100)*(AI439/100-1))</f>
        <v>7717.9319369672539</v>
      </c>
      <c r="S439" s="173">
        <f>SUM(T439:X439)</f>
        <v>15133.034557541465</v>
      </c>
      <c r="T439" s="174">
        <f>AL439*AS439*AY439</f>
        <v>2161.8620796487808</v>
      </c>
      <c r="U439" s="174">
        <f>AL439*AS439*AY439</f>
        <v>2161.8620796487808</v>
      </c>
      <c r="V439" s="174">
        <f>AL439*AS439*AY439</f>
        <v>2161.8620796487808</v>
      </c>
      <c r="W439" s="174">
        <f>IF(H439=4,AL439*AS439*IF(AT439=0,AY439,1),0)</f>
        <v>2161.8620796487808</v>
      </c>
      <c r="X439" s="175">
        <f>AL439*IF(H439=3,11,IF(AT439=1,15,13))*IF(AW439=1,0,AW439)</f>
        <v>6485.5862389463427</v>
      </c>
      <c r="Y439" s="173">
        <f>SUM(Z439:AD439)</f>
        <v>30266.06911508293</v>
      </c>
      <c r="Z439" s="174">
        <f>T439*AI439/100</f>
        <v>4323.7241592975615</v>
      </c>
      <c r="AA439" s="174">
        <f>U439*AI439/100</f>
        <v>4323.7241592975615</v>
      </c>
      <c r="AB439" s="174">
        <f>V439*AI439/100</f>
        <v>4323.7241592975615</v>
      </c>
      <c r="AC439" s="174">
        <f>W439*AI439/100</f>
        <v>4323.7241592975615</v>
      </c>
      <c r="AD439" s="175">
        <f>X439*AI439/100</f>
        <v>12971.172477892685</v>
      </c>
      <c r="AE439" s="173">
        <f>AO439*(1-$D$17/100)</f>
        <v>29.928540000000002</v>
      </c>
      <c r="AF439" s="174">
        <f>AP439</f>
        <v>36</v>
      </c>
      <c r="AG439" s="174">
        <f>IF($D$57+AX439&gt;100,100,$D$57+AX439)</f>
        <v>19.001300000000001</v>
      </c>
      <c r="AH439" s="174">
        <f>AQ439</f>
        <v>412</v>
      </c>
      <c r="AI439" s="174">
        <f>$D$58</f>
        <v>200</v>
      </c>
      <c r="AJ439" s="174">
        <f>10*AU439/IF(AT439=1,2.5,(IF(AY439=1,3,2.5)))</f>
        <v>4</v>
      </c>
      <c r="AK439" s="174">
        <f>SUM(AL439:AN439)</f>
        <v>2161.8620796487808</v>
      </c>
      <c r="AL439" s="174">
        <f>((VLOOKUP(C439,$B$36:$AG$39,22,FALSE)+VLOOKUP(C439,$B$40:$AG$43,22,FALSE)*$D$54))*$D$59/100</f>
        <v>2161.8620796487808</v>
      </c>
      <c r="AM439" s="174"/>
      <c r="AN439" s="174"/>
      <c r="AO439" s="176">
        <v>30</v>
      </c>
      <c r="AP439" s="174">
        <v>36</v>
      </c>
      <c r="AQ439" s="175">
        <f>VLOOKUP(C439,$B$45:$AA$48,22,FALSE)</f>
        <v>412</v>
      </c>
      <c r="AR439" s="31">
        <f>IF(LEFT(E439,1)*1=1,$S$65,$R$65)</f>
        <v>0</v>
      </c>
      <c r="AS439" s="2">
        <f>IF(LEFT(E439,1)*1=2,$U$65,$T$65)</f>
        <v>1</v>
      </c>
      <c r="AT439" s="74">
        <f>IF(LEFT(E439,1)*1=3,$W$65,$V$65)</f>
        <v>1</v>
      </c>
      <c r="AU439" s="31">
        <f>IF(MID(E439,3,1)*1=1,$Y$65,$X$65)</f>
        <v>1</v>
      </c>
      <c r="AV439" s="2">
        <f>IF(MID(E439,3,1)*1=2,$AA$65,$Z$65)</f>
        <v>0</v>
      </c>
      <c r="AW439" s="33">
        <f>IF(MID(E439,3,1)*1=3,$AC$65,$AB$65)</f>
        <v>0.2</v>
      </c>
      <c r="AX439" s="31">
        <f>IF(MID(E439,5,1)*1=1,$AE$65,$AD$65)</f>
        <v>0</v>
      </c>
      <c r="AY439" s="33">
        <f>IF(MID(E439,5,1)*1=2,$AG$65,$AF$65)</f>
        <v>1</v>
      </c>
      <c r="AZ439" s="2"/>
      <c r="BA439" s="101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</row>
    <row r="440" spans="1:71" ht="12" customHeight="1">
      <c r="A440" s="2"/>
      <c r="B440" s="107">
        <v>782</v>
      </c>
      <c r="C440" s="31">
        <v>7</v>
      </c>
      <c r="D440" s="111" t="s">
        <v>21</v>
      </c>
      <c r="E440" s="2" t="s">
        <v>148</v>
      </c>
      <c r="F440" s="2" t="s">
        <v>149</v>
      </c>
      <c r="G440" s="2"/>
      <c r="H440" s="33"/>
      <c r="I440" s="173">
        <f>M440/AE440</f>
        <v>666.18572609565592</v>
      </c>
      <c r="J440" s="174">
        <f>AH440/AE440</f>
        <v>21.079603202626</v>
      </c>
      <c r="K440" s="207">
        <f>RANK(I440,$I$76:$I$977)</f>
        <v>365</v>
      </c>
      <c r="L440" s="208" t="e">
        <f>RANK(I440,$I$451:$I$866)</f>
        <v>#N/A</v>
      </c>
      <c r="M440" s="173">
        <f>SUM(N440:R440)</f>
        <v>14474.326656860449</v>
      </c>
      <c r="N440" s="174">
        <f>T440*(1+((AG440+IF(F440="백어택",8,0))/100)*(AI440/100-1))</f>
        <v>14474.326656860449</v>
      </c>
      <c r="O440" s="174"/>
      <c r="P440" s="174"/>
      <c r="Q440" s="174"/>
      <c r="R440" s="175">
        <f>X440*(1+(AG440/100)*(AI440/100-1))</f>
        <v>0</v>
      </c>
      <c r="S440" s="173">
        <f>SUM(T440:X440)</f>
        <v>11396.990941715123</v>
      </c>
      <c r="T440" s="174">
        <f>AL440*AW440*AX440*AY440*IF(F440="백어택",1.2,1)</f>
        <v>11396.990941715123</v>
      </c>
      <c r="U440" s="174"/>
      <c r="V440" s="174"/>
      <c r="W440" s="174"/>
      <c r="X440" s="175">
        <f>AL440*AS440+IF(AX440=1,AL440*AU440,AL440*AU440*2)</f>
        <v>0</v>
      </c>
      <c r="Y440" s="173">
        <f>SUM(Z440:AD440)</f>
        <v>22793.98188343025</v>
      </c>
      <c r="Z440" s="174">
        <f>T440*$D$58/100</f>
        <v>22793.98188343025</v>
      </c>
      <c r="AA440" s="174"/>
      <c r="AB440" s="174"/>
      <c r="AC440" s="174"/>
      <c r="AD440" s="175">
        <f>X440*$D$58/100</f>
        <v>0</v>
      </c>
      <c r="AE440" s="173">
        <f>AO440*(1-$D$20/100)*(1-$D$17/100)-AR440</f>
        <v>21.727164197424003</v>
      </c>
      <c r="AF440" s="174">
        <f>AP440</f>
        <v>36</v>
      </c>
      <c r="AG440" s="174">
        <f>IF($D$57&gt;100,100,$D$57)</f>
        <v>19.001300000000001</v>
      </c>
      <c r="AH440" s="174">
        <f>AQ440</f>
        <v>458</v>
      </c>
      <c r="AI440" s="174">
        <f>$D$58</f>
        <v>200</v>
      </c>
      <c r="AJ440" s="174">
        <f>10/6</f>
        <v>1.6666666666666667</v>
      </c>
      <c r="AK440" s="174">
        <f>SUM(AL440:AN440)</f>
        <v>9497.4924514292688</v>
      </c>
      <c r="AL440" s="174">
        <f>(VLOOKUP(C440,$B$36:$AG$39,31,FALSE)+VLOOKUP(C440,$B$40:$AG$43,31,FALSE)*$D$54)*$D$59/100</f>
        <v>9497.4924514292688</v>
      </c>
      <c r="AM440" s="174"/>
      <c r="AN440" s="174"/>
      <c r="AO440" s="176">
        <v>36</v>
      </c>
      <c r="AP440" s="174">
        <v>36</v>
      </c>
      <c r="AQ440" s="175">
        <f>VLOOKUP(C440,$B$45:$AG$48,31,FALSE)</f>
        <v>458</v>
      </c>
      <c r="AR440" s="31">
        <f>IF(LEFT(E440,1)*1=1,$S$71,$R$71)</f>
        <v>6</v>
      </c>
      <c r="AS440" s="2">
        <f>IF(LEFT(E440,1)*1=2,$U$71,$T$71)</f>
        <v>0</v>
      </c>
      <c r="AT440" s="33">
        <f>IF(LEFT(E440,1)*1=3,$W$71,$V$71)</f>
        <v>0</v>
      </c>
      <c r="AU440" s="31">
        <f>IF(MID(E440,3,1)*1=1,$Y$71,$X$71)</f>
        <v>0</v>
      </c>
      <c r="AV440" s="2">
        <f>IF(MID(E440,3,1)*1=2,$AA$71,$Z$71)</f>
        <v>0</v>
      </c>
      <c r="AW440" s="33">
        <f>IF(MID(E440,3,1)*1=3,$AC$71,$AB$71)</f>
        <v>1</v>
      </c>
      <c r="AX440" s="31">
        <f>IF(MID(E440,5,1)*1=1,$AE$71,$AD$71)</f>
        <v>1</v>
      </c>
      <c r="AY440" s="33">
        <f>IF(MID(E440,5,1)*1=2,$AG$71,$AF$71)</f>
        <v>1</v>
      </c>
      <c r="AZ440" s="2"/>
      <c r="BA440" s="101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</row>
    <row r="441" spans="1:71" ht="12" customHeight="1">
      <c r="A441" s="2"/>
      <c r="B441" s="107">
        <v>839</v>
      </c>
      <c r="C441" s="31">
        <v>10</v>
      </c>
      <c r="D441" s="113" t="s">
        <v>15</v>
      </c>
      <c r="E441" s="2" t="s">
        <v>161</v>
      </c>
      <c r="F441" s="1"/>
      <c r="G441" s="1" t="s">
        <v>174</v>
      </c>
      <c r="H441" s="33">
        <f>IF(AX441=AT441,3,4)</f>
        <v>4</v>
      </c>
      <c r="I441" s="173">
        <f>M441/AE441</f>
        <v>665.77844288636118</v>
      </c>
      <c r="J441" s="174">
        <f>AH441/AE441</f>
        <v>19.780450366105395</v>
      </c>
      <c r="K441" s="207">
        <f>RANK(I441,$I$76:$I$977)</f>
        <v>366</v>
      </c>
      <c r="L441" s="208" t="e">
        <f>RANK(I441,$I$867:$I$977)</f>
        <v>#N/A</v>
      </c>
      <c r="M441" s="173">
        <f>SUM(N441:R441)*(1+$D$22/100)</f>
        <v>19925.776759062177</v>
      </c>
      <c r="N441" s="174">
        <f>T441*(1+((AG441+IF(F441="백어택",8,0))/100)*(AI441/100-1))</f>
        <v>4488.2857176269872</v>
      </c>
      <c r="O441" s="174">
        <f>U441*(1+(AG441/100)*(AI441/100-1))</f>
        <v>4488.2857176269872</v>
      </c>
      <c r="P441" s="174">
        <f>V441*(1+(AG441/100)*(AI441/100-1))</f>
        <v>4488.2857176269872</v>
      </c>
      <c r="Q441" s="174">
        <f>W441*(1+(AG441/100)*(AI441/100-1))</f>
        <v>4488.2857176269872</v>
      </c>
      <c r="R441" s="175">
        <f>X441*(1+(AG441/100)*(AI441/100-1))</f>
        <v>0</v>
      </c>
      <c r="S441" s="173">
        <f>SUM(T441:X441)</f>
        <v>11291.192506292684</v>
      </c>
      <c r="T441" s="174">
        <f>AL441*AS441*AY441</f>
        <v>2822.798126573171</v>
      </c>
      <c r="U441" s="174">
        <f>AL441*AS441*AY441</f>
        <v>2822.798126573171</v>
      </c>
      <c r="V441" s="174">
        <f>AL441*AS441*AY441</f>
        <v>2822.798126573171</v>
      </c>
      <c r="W441" s="174">
        <f>IF(H441=4,AL441*AS441*IF(AT441=0,AY441,1),0)</f>
        <v>2822.798126573171</v>
      </c>
      <c r="X441" s="175">
        <f>AL441*IF(H441=3,11,IF(AT441=1,15,13))*IF(AW441=1,0,AW441)</f>
        <v>0</v>
      </c>
      <c r="Y441" s="173">
        <f>SUM(Z441:AD441)</f>
        <v>22582.385012585368</v>
      </c>
      <c r="Z441" s="174">
        <f>T441*AI441/100</f>
        <v>5645.596253146342</v>
      </c>
      <c r="AA441" s="174">
        <f>U441*AI441/100</f>
        <v>5645.596253146342</v>
      </c>
      <c r="AB441" s="174">
        <f>V441*AI441/100</f>
        <v>5645.596253146342</v>
      </c>
      <c r="AC441" s="174">
        <f>W441*AI441/100</f>
        <v>5645.596253146342</v>
      </c>
      <c r="AD441" s="175">
        <f>X441*AI441/100</f>
        <v>0</v>
      </c>
      <c r="AE441" s="173">
        <f>AO441*(1-$D$17/100)</f>
        <v>29.928540000000002</v>
      </c>
      <c r="AF441" s="174">
        <f>AP441</f>
        <v>36</v>
      </c>
      <c r="AG441" s="174">
        <f>IF($D$57+AX441&gt;100,100,$D$57+AX441)</f>
        <v>59.001300000000001</v>
      </c>
      <c r="AH441" s="174">
        <f>AQ441</f>
        <v>592</v>
      </c>
      <c r="AI441" s="174">
        <f>$D$58</f>
        <v>200</v>
      </c>
      <c r="AJ441" s="174">
        <f>10*AU441/IF(AT441=1,2.5,(IF(AY441=1,3,2.5)))</f>
        <v>3.3333333333333335</v>
      </c>
      <c r="AK441" s="174">
        <f>SUM(AL441:AN441)</f>
        <v>2258.2385012585369</v>
      </c>
      <c r="AL441" s="174">
        <f>((VLOOKUP(C441,$B$36:$AG$39,22,FALSE)+VLOOKUP(C441,$B$40:$AG$43,22,FALSE)*$D$54))*$D$59/100</f>
        <v>2258.2385012585369</v>
      </c>
      <c r="AM441" s="174"/>
      <c r="AN441" s="174"/>
      <c r="AO441" s="176">
        <v>30</v>
      </c>
      <c r="AP441" s="174">
        <v>36</v>
      </c>
      <c r="AQ441" s="175">
        <f>VLOOKUP(C441,$B$45:$AA$48,22,FALSE)</f>
        <v>592</v>
      </c>
      <c r="AR441" s="31">
        <f>IF(LEFT(E441,1)*1=1,$S$65,$R$65)</f>
        <v>0</v>
      </c>
      <c r="AS441" s="2">
        <f>IF(LEFT(E441,1)*1=2,$U$65,$T$65)</f>
        <v>1.25</v>
      </c>
      <c r="AT441" s="33">
        <f>IF(LEFT(E441,1)*1=3,$W$65,$V$65)</f>
        <v>0</v>
      </c>
      <c r="AU441" s="31">
        <f>IF(MID(E441,3,1)*1=1,$Y$65,$X$65)</f>
        <v>1</v>
      </c>
      <c r="AV441" s="2">
        <f>IF(MID(E441,3,1)*1=2,$AA$65,$Z$65)</f>
        <v>0</v>
      </c>
      <c r="AW441" s="33">
        <f>IF(MID(E441,3,1)*1=3,$AC$65,$AB$65)</f>
        <v>1</v>
      </c>
      <c r="AX441" s="31">
        <f>IF(MID(E441,5,1)*1=1,$AE$65,$AD$65)</f>
        <v>40</v>
      </c>
      <c r="AY441" s="33">
        <f>IF(MID(E441,5,1)*1=2,$AG$65,$AF$65)</f>
        <v>1</v>
      </c>
      <c r="AZ441" s="2"/>
      <c r="BA441" s="101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</row>
    <row r="442" spans="1:71" ht="12" customHeight="1">
      <c r="A442" s="2"/>
      <c r="B442" s="107">
        <v>840</v>
      </c>
      <c r="C442" s="31">
        <v>10</v>
      </c>
      <c r="D442" s="113" t="s">
        <v>15</v>
      </c>
      <c r="E442" s="2" t="s">
        <v>169</v>
      </c>
      <c r="F442" s="1"/>
      <c r="G442" s="1" t="s">
        <v>174</v>
      </c>
      <c r="H442" s="33">
        <f>IF(AX442=AT442,3,4)</f>
        <v>4</v>
      </c>
      <c r="I442" s="173">
        <f>M442/AE442</f>
        <v>665.77844288636118</v>
      </c>
      <c r="J442" s="174">
        <f>AH442/AE442</f>
        <v>19.780450366105395</v>
      </c>
      <c r="K442" s="207">
        <f>RANK(I442,$I$76:$I$977)</f>
        <v>366</v>
      </c>
      <c r="L442" s="208" t="e">
        <f>RANK(I442,$I$867:$I$977)</f>
        <v>#N/A</v>
      </c>
      <c r="M442" s="173">
        <f>SUM(N442:R442)*(1+$D$22/100)</f>
        <v>19925.776759062177</v>
      </c>
      <c r="N442" s="174">
        <f>T442*(1+((AG442+IF(F442="백어택",8,0))/100)*(AI442/100-1))</f>
        <v>4488.2857176269872</v>
      </c>
      <c r="O442" s="174">
        <f>U442*(1+(AG442/100)*(AI442/100-1))</f>
        <v>4488.2857176269872</v>
      </c>
      <c r="P442" s="174">
        <f>V442*(1+(AG442/100)*(AI442/100-1))</f>
        <v>4488.2857176269872</v>
      </c>
      <c r="Q442" s="174">
        <f>W442*(1+(AG442/100)*(AI442/100-1))</f>
        <v>4488.2857176269872</v>
      </c>
      <c r="R442" s="175">
        <f>X442*(1+(AG442/100)*(AI442/100-1))</f>
        <v>0</v>
      </c>
      <c r="S442" s="173">
        <f>SUM(T442:X442)</f>
        <v>11291.192506292684</v>
      </c>
      <c r="T442" s="174">
        <f>AL442*AS442*AY442</f>
        <v>2822.798126573171</v>
      </c>
      <c r="U442" s="174">
        <f>AL442*AS442*AY442</f>
        <v>2822.798126573171</v>
      </c>
      <c r="V442" s="174">
        <f>AL442*AS442*AY442</f>
        <v>2822.798126573171</v>
      </c>
      <c r="W442" s="174">
        <f>IF(H442=4,AL442*AS442*IF(AT442=0,AY442,1),0)</f>
        <v>2822.798126573171</v>
      </c>
      <c r="X442" s="175">
        <f>AL442*IF(H442=3,11,IF(AT442=1,15,13))*IF(AW442=1,0,AW442)</f>
        <v>0</v>
      </c>
      <c r="Y442" s="173">
        <f>SUM(Z442:AD442)</f>
        <v>22582.385012585368</v>
      </c>
      <c r="Z442" s="174">
        <f>T442*AI442/100</f>
        <v>5645.596253146342</v>
      </c>
      <c r="AA442" s="174">
        <f>U442*AI442/100</f>
        <v>5645.596253146342</v>
      </c>
      <c r="AB442" s="174">
        <f>V442*AI442/100</f>
        <v>5645.596253146342</v>
      </c>
      <c r="AC442" s="174">
        <f>W442*AI442/100</f>
        <v>5645.596253146342</v>
      </c>
      <c r="AD442" s="175">
        <f>X442*AI442/100</f>
        <v>0</v>
      </c>
      <c r="AE442" s="173">
        <f>AO442*(1-$D$17/100)</f>
        <v>29.928540000000002</v>
      </c>
      <c r="AF442" s="174">
        <f>AP442</f>
        <v>36</v>
      </c>
      <c r="AG442" s="174">
        <f>IF($D$57+AX442&gt;100,100,$D$57+AX442)</f>
        <v>59.001300000000001</v>
      </c>
      <c r="AH442" s="174">
        <f>AQ442</f>
        <v>592</v>
      </c>
      <c r="AI442" s="174">
        <f>$D$58</f>
        <v>200</v>
      </c>
      <c r="AJ442" s="174">
        <f>10*AU442/IF(AT442=1,2.5,(IF(AY442=1,3,2.5)))</f>
        <v>2.6666666666666665</v>
      </c>
      <c r="AK442" s="174">
        <f>SUM(AL442:AN442)</f>
        <v>2258.2385012585369</v>
      </c>
      <c r="AL442" s="174">
        <f>((VLOOKUP(C442,$B$36:$AG$39,22,FALSE)+VLOOKUP(C442,$B$40:$AG$43,22,FALSE)*$D$54))*$D$59/100</f>
        <v>2258.2385012585369</v>
      </c>
      <c r="AM442" s="174"/>
      <c r="AN442" s="174"/>
      <c r="AO442" s="176">
        <v>30</v>
      </c>
      <c r="AP442" s="174">
        <v>36</v>
      </c>
      <c r="AQ442" s="175">
        <f>VLOOKUP(C442,$B$45:$AA$48,22,FALSE)</f>
        <v>592</v>
      </c>
      <c r="AR442" s="31">
        <f>IF(LEFT(E442,1)*1=1,$S$65,$R$65)</f>
        <v>0</v>
      </c>
      <c r="AS442" s="2">
        <f>IF(LEFT(E442,1)*1=2,$U$65,$T$65)</f>
        <v>1.25</v>
      </c>
      <c r="AT442" s="33">
        <f>IF(LEFT(E442,1)*1=3,$W$65,$V$65)</f>
        <v>0</v>
      </c>
      <c r="AU442" s="31">
        <f>IF(MID(E442,3,1)*1=1,$Y$65,$X$65)</f>
        <v>0.8</v>
      </c>
      <c r="AV442" s="2">
        <f>IF(MID(E442,3,1)*1=2,$AA$65,$Z$65)</f>
        <v>0</v>
      </c>
      <c r="AW442" s="33">
        <f>IF(MID(E442,3,1)*1=3,$AC$65,$AB$65)</f>
        <v>1</v>
      </c>
      <c r="AX442" s="31">
        <f>IF(MID(E442,5,1)*1=1,$AE$65,$AD$65)</f>
        <v>40</v>
      </c>
      <c r="AY442" s="33">
        <f>IF(MID(E442,5,1)*1=2,$AG$65,$AF$65)</f>
        <v>1</v>
      </c>
      <c r="AZ442" s="2"/>
      <c r="BA442" s="101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</row>
    <row r="443" spans="1:71" ht="12" customHeight="1">
      <c r="A443" s="2"/>
      <c r="B443" s="107">
        <v>5</v>
      </c>
      <c r="C443" s="31">
        <v>10</v>
      </c>
      <c r="D443" s="106" t="s">
        <v>2</v>
      </c>
      <c r="E443" s="2" t="s">
        <v>101</v>
      </c>
      <c r="F443" s="2"/>
      <c r="G443" s="2"/>
      <c r="H443" s="33"/>
      <c r="I443" s="173">
        <f>M443/AE443</f>
        <v>653.77206560264813</v>
      </c>
      <c r="J443" s="174">
        <f>AH443/AE443</f>
        <v>39.679447364138717</v>
      </c>
      <c r="K443" s="207">
        <f>RANK(I443,$I$76:$I$977)</f>
        <v>368</v>
      </c>
      <c r="L443" s="208">
        <f>RANK(I443,$I$76:$I$450)</f>
        <v>368</v>
      </c>
      <c r="M443" s="173">
        <f>SUM(N443:R443)</f>
        <v>4563.9461787364125</v>
      </c>
      <c r="N443" s="174">
        <f>T443*(1+((AG443+IF(F443="백어택",8,0))/100)*((AI443/100-1)))</f>
        <v>4563.9461787364125</v>
      </c>
      <c r="O443" s="174"/>
      <c r="P443" s="174"/>
      <c r="Q443" s="174"/>
      <c r="R443" s="175"/>
      <c r="S443" s="173">
        <f>SUM(T443:X443)</f>
        <v>3456.5335334181709</v>
      </c>
      <c r="T443" s="174">
        <f>AL443*AV443*AW443*AY443</f>
        <v>3456.5335334181709</v>
      </c>
      <c r="U443" s="174"/>
      <c r="V443" s="174"/>
      <c r="W443" s="174"/>
      <c r="X443" s="175"/>
      <c r="Y443" s="173">
        <f>SUM(Z443:AD443)</f>
        <v>6913.0670668363418</v>
      </c>
      <c r="Z443" s="174">
        <f>T443*$D$58/100</f>
        <v>6913.0670668363418</v>
      </c>
      <c r="AA443" s="174"/>
      <c r="AB443" s="174"/>
      <c r="AC443" s="174"/>
      <c r="AD443" s="175"/>
      <c r="AE443" s="173">
        <f>AO443*(1-$D$17/100)-AS443</f>
        <v>6.980944</v>
      </c>
      <c r="AF443" s="174"/>
      <c r="AG443" s="174">
        <f>IF($D$57+AT443&gt;100,100,$D$57+AT443)</f>
        <v>19.001300000000001</v>
      </c>
      <c r="AH443" s="174">
        <f>AQ443</f>
        <v>277</v>
      </c>
      <c r="AI443" s="174">
        <f>$D$58+$D$19</f>
        <v>268.61079999999998</v>
      </c>
      <c r="AJ443" s="174">
        <f>10*AY443/12</f>
        <v>0.83333333333333337</v>
      </c>
      <c r="AK443" s="174">
        <f>SUM(AL443:AN443)</f>
        <v>2929.2657062865856</v>
      </c>
      <c r="AL443" s="174">
        <f>(VLOOKUP(C443,$B$36:$AA$39,2,FALSE)+VLOOKUP(C443,$B$40:$AA$43,2,FALSE)*$D$54)*$D$59/100</f>
        <v>2929.2657062865856</v>
      </c>
      <c r="AM443" s="174"/>
      <c r="AN443" s="174"/>
      <c r="AO443" s="176">
        <v>8</v>
      </c>
      <c r="AP443" s="174">
        <v>15</v>
      </c>
      <c r="AQ443" s="175">
        <f>VLOOKUP(C443,$B$45:$AA$48,2,FALSE)</f>
        <v>277</v>
      </c>
      <c r="AR443" s="31">
        <f>IF(LEFT(E443,1)*1=1,$S$52,$R$52)</f>
        <v>0</v>
      </c>
      <c r="AS443" s="2">
        <f>IF(LEFT(E443,1)*1=2,$U$52,$T$52)</f>
        <v>1</v>
      </c>
      <c r="AT443" s="33">
        <f>IF(LEFT(E443,1)*1=3,$W$52,$V$52)</f>
        <v>0</v>
      </c>
      <c r="AU443" s="31">
        <f>IF(MID(E443,3,1)*1=1,$Y$52,$X$52)</f>
        <v>0</v>
      </c>
      <c r="AV443" s="2">
        <f>IF(MID(E443,3,1)*1=2,$AA$52,$Z$52)</f>
        <v>1.18</v>
      </c>
      <c r="AW443" s="33">
        <f>IF(MID(E443,3,1)*1=3,$AC$52,$AB$52)</f>
        <v>1</v>
      </c>
      <c r="AX443" s="31">
        <f>IF(MID(E443,5,1)*1=1,$AE$52,$AD$52)</f>
        <v>0</v>
      </c>
      <c r="AY443" s="33">
        <f>IF(MID(E443,5,1)*1=2,$AG$52,$AF$52)</f>
        <v>1</v>
      </c>
      <c r="AZ443" s="2"/>
      <c r="BA443" s="101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</row>
    <row r="444" spans="1:71" ht="12" customHeight="1">
      <c r="A444" s="2"/>
      <c r="B444" s="107">
        <v>14</v>
      </c>
      <c r="C444" s="31">
        <v>10</v>
      </c>
      <c r="D444" s="106" t="s">
        <v>2</v>
      </c>
      <c r="E444" s="2" t="s">
        <v>102</v>
      </c>
      <c r="F444" s="2"/>
      <c r="G444" s="2"/>
      <c r="H444" s="33"/>
      <c r="I444" s="173">
        <f>M444/AE444</f>
        <v>653.77206560264813</v>
      </c>
      <c r="J444" s="174">
        <f>AH444/AE444</f>
        <v>39.679447364138717</v>
      </c>
      <c r="K444" s="207">
        <f>RANK(I444,$I$76:$I$977)</f>
        <v>368</v>
      </c>
      <c r="L444" s="208">
        <f>RANK(I444,$I$76:$I$450)</f>
        <v>368</v>
      </c>
      <c r="M444" s="173">
        <f>SUM(N444:R444)</f>
        <v>4563.9461787364125</v>
      </c>
      <c r="N444" s="174">
        <f>T444*(1+((AG444+IF(F444="백어택",8,0))/100)*((AI444/100-1)))</f>
        <v>4563.9461787364125</v>
      </c>
      <c r="O444" s="174"/>
      <c r="P444" s="174"/>
      <c r="Q444" s="174"/>
      <c r="R444" s="175"/>
      <c r="S444" s="173">
        <f>SUM(T444:X444)</f>
        <v>3456.5335334181709</v>
      </c>
      <c r="T444" s="174">
        <f>AL444*AV444*AW444*AY444</f>
        <v>3456.5335334181709</v>
      </c>
      <c r="U444" s="174"/>
      <c r="V444" s="174"/>
      <c r="W444" s="174"/>
      <c r="X444" s="175"/>
      <c r="Y444" s="173">
        <f>SUM(Z444:AD444)</f>
        <v>6913.0670668363418</v>
      </c>
      <c r="Z444" s="174">
        <f>T444*$D$58/100</f>
        <v>6913.0670668363418</v>
      </c>
      <c r="AA444" s="174"/>
      <c r="AB444" s="174"/>
      <c r="AC444" s="174"/>
      <c r="AD444" s="175"/>
      <c r="AE444" s="173">
        <f>AO444*(1-$D$17/100)-AS444</f>
        <v>6.980944</v>
      </c>
      <c r="AF444" s="174"/>
      <c r="AG444" s="174">
        <f>IF($D$57+AT444&gt;100,100,$D$57+AT444)</f>
        <v>19.001300000000001</v>
      </c>
      <c r="AH444" s="174">
        <f>AQ444</f>
        <v>277</v>
      </c>
      <c r="AI444" s="174">
        <f>$D$58+$D$19</f>
        <v>268.61079999999998</v>
      </c>
      <c r="AJ444" s="174">
        <f>10*AY444/12</f>
        <v>0.83333333333333337</v>
      </c>
      <c r="AK444" s="174">
        <f>SUM(AL444:AN444)</f>
        <v>2929.2657062865856</v>
      </c>
      <c r="AL444" s="174">
        <f>(VLOOKUP(C444,$B$36:$AA$39,2,FALSE)+VLOOKUP(C444,$B$40:$AA$43,2,FALSE)*$D$54)*$D$59/100</f>
        <v>2929.2657062865856</v>
      </c>
      <c r="AM444" s="174"/>
      <c r="AN444" s="174"/>
      <c r="AO444" s="176">
        <v>8</v>
      </c>
      <c r="AP444" s="174">
        <v>15</v>
      </c>
      <c r="AQ444" s="175">
        <f>VLOOKUP(C444,$B$45:$AA$48,2,FALSE)</f>
        <v>277</v>
      </c>
      <c r="AR444" s="31">
        <f>IF(LEFT(E444,1)*1=1,$S$52,$R$52)</f>
        <v>0</v>
      </c>
      <c r="AS444" s="2">
        <f>IF(LEFT(E444,1)*1=2,$U$52,$T$52)</f>
        <v>1</v>
      </c>
      <c r="AT444" s="33">
        <f>IF(LEFT(E444,1)*1=3,$W$52,$V$52)</f>
        <v>0</v>
      </c>
      <c r="AU444" s="31">
        <f>IF(MID(E444,3,1)*1=1,$Y$52,$X$52)</f>
        <v>0</v>
      </c>
      <c r="AV444" s="2">
        <f>IF(MID(E444,3,1)*1=2,$AA$52,$Z$52)</f>
        <v>1.18</v>
      </c>
      <c r="AW444" s="33">
        <f>IF(MID(E444,3,1)*1=3,$AC$52,$AB$52)</f>
        <v>1</v>
      </c>
      <c r="AX444" s="31">
        <f>IF(MID(E444,5,1)*1=1,$AE$52,$AD$52)</f>
        <v>0</v>
      </c>
      <c r="AY444" s="33">
        <f>IF(MID(E444,5,1)*1=2,$AG$52,$AF$52)</f>
        <v>1</v>
      </c>
      <c r="AZ444" s="2"/>
      <c r="BA444" s="101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</row>
    <row r="445" spans="1:71" ht="12" customHeight="1">
      <c r="A445" s="2"/>
      <c r="B445" s="107">
        <v>717</v>
      </c>
      <c r="C445" s="31">
        <v>7</v>
      </c>
      <c r="D445" s="111" t="s">
        <v>18</v>
      </c>
      <c r="E445" s="2" t="s">
        <v>163</v>
      </c>
      <c r="F445" s="2" t="s">
        <v>149</v>
      </c>
      <c r="G445" s="2"/>
      <c r="H445" s="33" t="s">
        <v>80</v>
      </c>
      <c r="I445" s="173">
        <f>M445/AE445</f>
        <v>653.64482733040268</v>
      </c>
      <c r="J445" s="174">
        <f>AH445/AE445</f>
        <v>25.060794637183101</v>
      </c>
      <c r="K445" s="207">
        <f>RANK(I445,$I$76:$I$977)</f>
        <v>370</v>
      </c>
      <c r="L445" s="208" t="e">
        <f>RANK(I445,$I$451:$I$866)</f>
        <v>#N/A</v>
      </c>
      <c r="M445" s="173">
        <f>SUM(N445:R445)</f>
        <v>9467.8989934696765</v>
      </c>
      <c r="N445" s="174">
        <f>T445*(1+((AG445+IF(F445="백어택",8,0))/100)*(AI445/100-1))</f>
        <v>6255.3972887824402</v>
      </c>
      <c r="O445" s="174">
        <f>U445*(1+(($D$57+IF(F445="백어택",8,0))/100)*(AI445/100-1))</f>
        <v>3212.5017046872367</v>
      </c>
      <c r="P445" s="174"/>
      <c r="Q445" s="174"/>
      <c r="R445" s="175"/>
      <c r="S445" s="173">
        <f>SUM(T445:X445)</f>
        <v>6275.2207300068303</v>
      </c>
      <c r="T445" s="174">
        <f>AL445*IF(H445="근접",AT445,IF(AV445=1,AT445,1))*AX445*IF(F445="백어택",1.2,1)</f>
        <v>3745.7177212287811</v>
      </c>
      <c r="U445" s="174">
        <f>IF(AX445=1,AM445*IF(H445="근접",AT445,IF(AV445=1,AT445,1)),0)*AY445*IF(AX445=1,1,0)*IF(F445="백어택",1.2,1)</f>
        <v>2529.5030087780492</v>
      </c>
      <c r="V445" s="174"/>
      <c r="W445" s="174"/>
      <c r="X445" s="175"/>
      <c r="Y445" s="173">
        <f>SUM(Z445:AD445)</f>
        <v>12550.441460013661</v>
      </c>
      <c r="Z445" s="174">
        <f>T445*$D$58/100</f>
        <v>7491.4354424575622</v>
      </c>
      <c r="AA445" s="174">
        <f>U445*$D$58/100</f>
        <v>5059.0060175560984</v>
      </c>
      <c r="AB445" s="174"/>
      <c r="AC445" s="174"/>
      <c r="AD445" s="175"/>
      <c r="AE445" s="173">
        <f>(AO445*(1-$D$20/100)*(1-$D$17/100)-AR445)*IF(AW445="보스대상",1,POWER(0.85,AW445))</f>
        <v>14.484776131615998</v>
      </c>
      <c r="AF445" s="174">
        <f>AP445</f>
        <v>36</v>
      </c>
      <c r="AG445" s="174">
        <f>IF($D$57+AU445&gt;100,100,$D$57+AU445)</f>
        <v>59.001300000000001</v>
      </c>
      <c r="AH445" s="174">
        <f>AQ445</f>
        <v>363</v>
      </c>
      <c r="AI445" s="174">
        <f>$D$58</f>
        <v>200</v>
      </c>
      <c r="AJ445" s="174">
        <f>10*AS445/IF(AX445=1,IF(AY445=1,4.5,4),4)</f>
        <v>2.2222222222222223</v>
      </c>
      <c r="AK445" s="174">
        <f>SUM(AL445:AN445)</f>
        <v>5229.3506083390257</v>
      </c>
      <c r="AL445" s="174">
        <f>IF(AV445=1,$D$61*(VLOOKUP(C445,$B$36:$AG$39,25,FALSE)+VLOOKUP(C445,$B$40:$AG$43,25,FALSE)*$D$54),(IF(H445="근접",$D$61*(VLOOKUP(C445,$B$36:$AG$39,25,FALSE)+VLOOKUP(C445,$B$40:$AG$43,25,FALSE)*$D$54),$D$60*(VLOOKUP(C445,$B$36:$AG$39,25,FALSE)+VLOOKUP(C445,$B$40:$AG$43,25,FALSE)*$D$54))))*$D$59/100</f>
        <v>3121.4314343573178</v>
      </c>
      <c r="AM445" s="174">
        <f>(IF(AV445=1,$D$61*(VLOOKUP(C445,$B$36:$AG$39,26,FALSE)+VLOOKUP(C445,$B$40:$AG$43,26,FALSE)*$D$54),IF(H445="근접",$D$61*(VLOOKUP(C445,$B$36:$AG$39,26,FALSE)+VLOOKUP(C445,$B$40:$AG$43,26,FALSE)*$D$54),$D$60*(VLOOKUP(C445,$B$36:$AG$39,26,FALSE)+VLOOKUP(C445,$B$40:$AG$43,26,FALSE)*$D$54))))*$D$59/100</f>
        <v>2107.9191739817079</v>
      </c>
      <c r="AN445" s="174"/>
      <c r="AO445" s="176">
        <v>24</v>
      </c>
      <c r="AP445" s="174">
        <v>36</v>
      </c>
      <c r="AQ445" s="175">
        <f>VLOOKUP(C445,$B$45:$AA$48,25,FALSE)</f>
        <v>363</v>
      </c>
      <c r="AR445" s="31">
        <f>IF(LEFT(E445,1)*1=1,$S$68,$R$68)</f>
        <v>4</v>
      </c>
      <c r="AS445" s="2">
        <f>IF(LEFT(E445,1)*1=2,$U$68,$T$68)</f>
        <v>1</v>
      </c>
      <c r="AT445" s="33">
        <f>IF(LEFT(E445,1)*1=3,$W$68,$V$68)</f>
        <v>1</v>
      </c>
      <c r="AU445" s="31">
        <f>IF(MID(E445,3,1)*1=1,$Y$68,$X$68)</f>
        <v>40</v>
      </c>
      <c r="AV445" s="2">
        <f>IF(MID(E445,3,1)*1=2,$AA$68,$Z$68)</f>
        <v>0</v>
      </c>
      <c r="AW445" s="33" t="str">
        <f>IF(MID(E445,3,1)*1=3,$AC$68,$AB$68)</f>
        <v>보스대상</v>
      </c>
      <c r="AX445" s="31">
        <f>IF(MID(E445,5,1)*1=1,$AE$68,$AD$68)</f>
        <v>1</v>
      </c>
      <c r="AY445" s="33">
        <f>IF(MID(E445,5,1)*1=2,$AG$68,$AF$68)</f>
        <v>1</v>
      </c>
      <c r="AZ445" s="2"/>
      <c r="BA445" s="101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</row>
    <row r="446" spans="1:71" ht="12" customHeight="1">
      <c r="A446" s="2"/>
      <c r="B446" s="107">
        <v>572</v>
      </c>
      <c r="C446" s="31">
        <v>4</v>
      </c>
      <c r="D446" s="111" t="s">
        <v>14</v>
      </c>
      <c r="E446" s="2" t="s">
        <v>148</v>
      </c>
      <c r="F446" s="2" t="s">
        <v>149</v>
      </c>
      <c r="G446" s="2"/>
      <c r="H446" s="33" t="s">
        <v>81</v>
      </c>
      <c r="I446" s="173">
        <f>M446/AE446</f>
        <v>653.58867607639479</v>
      </c>
      <c r="J446" s="174">
        <f>AH446/AE446</f>
        <v>9.0885601645267471</v>
      </c>
      <c r="K446" s="207">
        <f>RANK(I446,$I$76:$I$977)</f>
        <v>371</v>
      </c>
      <c r="L446" s="208" t="e">
        <f>RANK(I446,$I$451:$I$866)</f>
        <v>#N/A</v>
      </c>
      <c r="M446" s="173">
        <f>SUM(N446:R446)</f>
        <v>18122.160539147168</v>
      </c>
      <c r="N446" s="174">
        <f>T446*(1+((AG446+IF(F446="백어택",8,0))/100)*(AI446/100-1))</f>
        <v>5408.7365588266293</v>
      </c>
      <c r="O446" s="174">
        <f>U446*(1+((AG446+IF(F446="백어택",8,0))/100)*(AI446/100-1))</f>
        <v>5408.7365588266293</v>
      </c>
      <c r="P446" s="174">
        <f>V446*(1+((AG446+IF(F446="백어택",8,0))/100)*(AI446*IF(AX446=1,AW446,1)/100-1))</f>
        <v>7304.687421493908</v>
      </c>
      <c r="Q446" s="174">
        <f>W446*(1+((AG446+IF(F446="백어택",8,0))/100)*(AI446*AW446/100-1))</f>
        <v>0</v>
      </c>
      <c r="R446" s="175"/>
      <c r="S446" s="173">
        <f>SUM(T446:X446)</f>
        <v>12898.155889756099</v>
      </c>
      <c r="T446" s="174">
        <f>AL446*AY446*IF(F446="백어택",1.2,1)</f>
        <v>3849.5811330921956</v>
      </c>
      <c r="U446" s="174">
        <f>AM446*AY446*IF(F446="백어택",1.2,1)</f>
        <v>3849.5811330921956</v>
      </c>
      <c r="V446" s="174">
        <f>AN446*AY446*IF(F446="백어택",1.2,1)</f>
        <v>5198.9936235717078</v>
      </c>
      <c r="W446" s="174">
        <f>(T446+U446+V446)*IF(AX446=1,0,0.6)*IF(F446="백어택",1.2,1)</f>
        <v>0</v>
      </c>
      <c r="X446" s="175"/>
      <c r="Y446" s="173">
        <f>SUM(Z446:AD446)</f>
        <v>32245.389724390247</v>
      </c>
      <c r="Z446" s="174">
        <f>T446*AI446/100</f>
        <v>9623.9528327304888</v>
      </c>
      <c r="AA446" s="174">
        <f>U446*AI446/100</f>
        <v>9623.9528327304888</v>
      </c>
      <c r="AB446" s="174">
        <f>V446*AI446*IF(AX446=1,AW446,1)/100</f>
        <v>12997.484058929269</v>
      </c>
      <c r="AC446" s="174">
        <f>W446*AI446*AW446/100</f>
        <v>0</v>
      </c>
      <c r="AD446" s="175"/>
      <c r="AE446" s="173">
        <f>AO446*(1-$D$20/100)*(1-$D$17/100)</f>
        <v>27.727164197424003</v>
      </c>
      <c r="AF446" s="174">
        <f>AP446</f>
        <v>36</v>
      </c>
      <c r="AG446" s="174">
        <f>IF($D$57+AU446&gt;100,100,$D$57+AU446)</f>
        <v>19.001300000000001</v>
      </c>
      <c r="AH446" s="174">
        <f>AQ446*AS446</f>
        <v>252</v>
      </c>
      <c r="AI446" s="174">
        <f>$D$58+IF(H446="근접",AR446,0)+IF(AY446=1,0,50)</f>
        <v>250</v>
      </c>
      <c r="AJ446" s="174">
        <f>10/3</f>
        <v>3.3333333333333335</v>
      </c>
      <c r="AK446" s="174">
        <f>SUM(AL446:AN446)</f>
        <v>10748.463241463416</v>
      </c>
      <c r="AL446" s="174">
        <f>(IF(H446="근접",$D$61*(VLOOKUP(C446,$B$36:$AG$39,19,FALSE)+VLOOKUP(C446,$B$40:$AG$43,19,FALSE)*$D$54),$D$60*(VLOOKUP(C446,$B$36:$AG$39,19,FALSE)+VLOOKUP(C446,$B$40:$AG$43,19,FALSE)*$D$54)))*$D$59/100</f>
        <v>3207.9842775768298</v>
      </c>
      <c r="AM446" s="174">
        <f>(IF(H446="근접",$D$61*(VLOOKUP(C446,$B$36:$AG$39,20,FALSE)+VLOOKUP(C446,$B$40:$AG$43,20,FALSE)*$D$54),$D$60*(VLOOKUP(C446,$B$36:$AG$39,20,FALSE)+VLOOKUP(C446,$B$40:$AG$43,20,FALSE)*$D$54)))*$D$59/100</f>
        <v>3207.9842775768298</v>
      </c>
      <c r="AN446" s="174">
        <f>(IF(H446="근접",$D$61*(VLOOKUP(C446,$B$36:$AG$39,21,FALSE)+VLOOKUP(C446,$B$40:$AG$43,21,FALSE)*$D$54),$D$60*(VLOOKUP(C446,$B$36:$AG$39,21,FALSE)+VLOOKUP(C446,$B$40:$AG$43,21,FALSE)*$D$54)))*$D$59/100</f>
        <v>4332.4946863097566</v>
      </c>
      <c r="AO446" s="176">
        <v>36</v>
      </c>
      <c r="AP446" s="174">
        <v>36</v>
      </c>
      <c r="AQ446" s="175">
        <f>VLOOKUP(C446,$B$45:$AA$48,19,FALSE)</f>
        <v>252</v>
      </c>
      <c r="AR446" s="31">
        <f>IF(LEFT(E446,1)*1=1,$S$64,$R$64)</f>
        <v>50</v>
      </c>
      <c r="AS446" s="2">
        <f>IF(LEFT(E446,1)*1=2,$U$64,$T$64)</f>
        <v>1</v>
      </c>
      <c r="AT446" s="33">
        <f>IF(LEFT(E446,1)*1=3,$W$64,$V$64)</f>
        <v>0</v>
      </c>
      <c r="AU446" s="31">
        <f>IF(MID(E446,3,1)*1=1,$Y$64,$X$64)</f>
        <v>0</v>
      </c>
      <c r="AV446" s="2">
        <f>IF(MID(E446,3,1)*1=2,$AA$64,$Z$64)</f>
        <v>0</v>
      </c>
      <c r="AW446" s="33">
        <f>IF(MID(E446,3,1)*1=3,$AC$64,$AB$64)</f>
        <v>1</v>
      </c>
      <c r="AX446" s="31">
        <f>IF(MID(E446,5,1)*1=1,$AE$64,$AD$64)</f>
        <v>1</v>
      </c>
      <c r="AY446" s="33">
        <f>IF(MID(E446,5,1)*1=2,$AG$64,$AF$64)</f>
        <v>1</v>
      </c>
      <c r="AZ446" s="2"/>
      <c r="BA446" s="101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</row>
    <row r="447" spans="1:71" ht="12" hidden="1" customHeight="1">
      <c r="A447" s="2"/>
      <c r="B447" s="107">
        <v>172</v>
      </c>
      <c r="C447" s="31">
        <v>10</v>
      </c>
      <c r="D447" s="106" t="s">
        <v>10</v>
      </c>
      <c r="E447" s="2" t="s">
        <v>170</v>
      </c>
      <c r="F447" s="2" t="s">
        <v>149</v>
      </c>
      <c r="G447" s="2" t="s">
        <v>184</v>
      </c>
      <c r="H447" s="33"/>
      <c r="I447" s="173">
        <f>M447/AE447</f>
        <v>653.42582316015148</v>
      </c>
      <c r="J447" s="174">
        <f>AH447/AE447</f>
        <v>25.811482952392598</v>
      </c>
      <c r="K447" s="207">
        <f>RANK(I447,$I$76:$I$977)</f>
        <v>372</v>
      </c>
      <c r="L447" s="208">
        <f>RANK(I447,$I$76:$I$450)</f>
        <v>372</v>
      </c>
      <c r="M447" s="173">
        <f>SUM(N447:R447)</f>
        <v>10429.909805590143</v>
      </c>
      <c r="N447" s="174">
        <f>T447*(1+((AG447+IF(F447="백어택",8,0))/100)*((AI447/100-1)))</f>
        <v>10429.909805590143</v>
      </c>
      <c r="O447" s="174"/>
      <c r="P447" s="174"/>
      <c r="Q447" s="174"/>
      <c r="R447" s="175"/>
      <c r="S447" s="173">
        <f>SUM(T447:X447)</f>
        <v>7166.9876170848302</v>
      </c>
      <c r="T447" s="174">
        <f>AL447*AS447*AU447*AX447*IF(AY447=0,1,0.5)*IF(F447="백어택",1.2,1)</f>
        <v>7166.9876170848302</v>
      </c>
      <c r="U447" s="174"/>
      <c r="V447" s="174"/>
      <c r="W447" s="174"/>
      <c r="X447" s="175"/>
      <c r="Y447" s="173">
        <f>SUM(Z447:AD447)</f>
        <v>19251.302774152497</v>
      </c>
      <c r="Z447" s="174">
        <f>T447*AI447/100</f>
        <v>19251.302774152497</v>
      </c>
      <c r="AA447" s="174"/>
      <c r="AB447" s="174"/>
      <c r="AC447" s="174"/>
      <c r="AD447" s="175"/>
      <c r="AE447" s="173">
        <f>AO447*(1-$D$17/100)</f>
        <v>15.961888</v>
      </c>
      <c r="AF447" s="174">
        <f>AP447</f>
        <v>36</v>
      </c>
      <c r="AG447" s="174">
        <f>IF($D$57+AV447&gt;100,100,$D$57+AV447)</f>
        <v>19.001300000000001</v>
      </c>
      <c r="AH447" s="174">
        <f>AQ447</f>
        <v>412</v>
      </c>
      <c r="AI447" s="174">
        <f>$D$58+$D$19</f>
        <v>268.61079999999998</v>
      </c>
      <c r="AJ447" s="174">
        <f>10*AR447/(7-IF(AX447=1,0,3))</f>
        <v>1.4285714285714286</v>
      </c>
      <c r="AK447" s="174">
        <f>SUM(AL447:AN447)</f>
        <v>8098.2910927512203</v>
      </c>
      <c r="AL447" s="174">
        <f>(VLOOKUP(C447,$B$36:$AG$39,13,FALSE)+VLOOKUP(C447,$B$40:$AG$43,13,FALSE)*$D$54)*$D$59/100</f>
        <v>8098.2910927512203</v>
      </c>
      <c r="AM447" s="174"/>
      <c r="AN447" s="174"/>
      <c r="AO447" s="176">
        <v>16</v>
      </c>
      <c r="AP447" s="174">
        <v>36</v>
      </c>
      <c r="AQ447" s="175">
        <f>VLOOKUP(C447,$B$45:$AA$48,13,FALSE)</f>
        <v>412</v>
      </c>
      <c r="AR447" s="31">
        <f>IF(LEFT(E447,1)*1=1,$S$60,$R$60)</f>
        <v>1</v>
      </c>
      <c r="AS447" s="2">
        <f>IF(LEFT(E447,1)*1=2,$U$60,$T$60)</f>
        <v>1.18</v>
      </c>
      <c r="AT447" s="33">
        <f>IF(LEFT(E447,1)*1=3,$W$60,$V$60)</f>
        <v>0</v>
      </c>
      <c r="AU447" s="31">
        <f>IF(MID(E447,3,1)*1=1,$Y$60,$X$60)</f>
        <v>1.25</v>
      </c>
      <c r="AV447" s="2">
        <f>IF(MID(E447,3,1)*1=2,$AA$60,$Z$60)</f>
        <v>0</v>
      </c>
      <c r="AW447" s="33">
        <f>IF(MID(E447,3,1)*1=3,$AC$60,$AB$60)</f>
        <v>0</v>
      </c>
      <c r="AX447" s="31">
        <f>IF(MID(E447,5,1)*1=1,$AE$60,$AD$60)</f>
        <v>1</v>
      </c>
      <c r="AY447" s="33">
        <f>IF(MID(E447,5,1)*1=2,$AG$60,$AF$60)</f>
        <v>100</v>
      </c>
      <c r="AZ447" s="2"/>
      <c r="BA447" s="101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</row>
    <row r="448" spans="1:71" ht="12" customHeight="1">
      <c r="A448" s="2"/>
      <c r="B448" s="107">
        <v>392</v>
      </c>
      <c r="C448" s="31">
        <v>7</v>
      </c>
      <c r="D448" s="111" t="s">
        <v>8</v>
      </c>
      <c r="E448" s="2" t="s">
        <v>163</v>
      </c>
      <c r="F448" s="2"/>
      <c r="G448" s="2"/>
      <c r="H448" s="33" t="s">
        <v>81</v>
      </c>
      <c r="I448" s="173">
        <f>M448/AE448</f>
        <v>652.79343974022163</v>
      </c>
      <c r="J448" s="174">
        <f>AH448/AE448</f>
        <v>19.637781784066725</v>
      </c>
      <c r="K448" s="207">
        <f>RANK(I448,$I$76:$I$977)</f>
        <v>373</v>
      </c>
      <c r="L448" s="208" t="e">
        <f>RANK(I448,$I$451:$I$866)</f>
        <v>#N/A</v>
      </c>
      <c r="M448" s="173">
        <f>SUM(N448:R448)</f>
        <v>12066.740593785555</v>
      </c>
      <c r="N448" s="174">
        <f>T448*(1+((AG448+IF(F448="백어택",8,0))/100)*(IF(AY448=1,$D$58,$D$58+50)/100-1))</f>
        <v>5298.4582076210972</v>
      </c>
      <c r="O448" s="174">
        <f>U448*(1+((AG448+IF(F448="백어택",8,0))/100)*(AI448/100-1))</f>
        <v>6768.2823861644565</v>
      </c>
      <c r="P448" s="174">
        <f>V448*(1+((AG448+IF(F448="백어택",8,0))/100)*(AI448/100-1))</f>
        <v>0</v>
      </c>
      <c r="Q448" s="174"/>
      <c r="R448" s="175"/>
      <c r="S448" s="173">
        <f>SUM(T448:X448)</f>
        <v>8379.6053186919526</v>
      </c>
      <c r="T448" s="174">
        <f>AL448*IF(H448="근접",AR448,1)*AY448*IF(F448="백어택",1.2,1)</f>
        <v>3679.4516491317077</v>
      </c>
      <c r="U448" s="174">
        <f>AM448*IF(H448="근접",AR448,1)*AY448*IF(F448="백어택",1.2,1)</f>
        <v>4700.1536695602445</v>
      </c>
      <c r="V448" s="174">
        <f>IF(AX448=1,0,AM448*IF(H448="근접",AR448,1)*AY448)*IF(F448="백어택",1.2,1)</f>
        <v>0</v>
      </c>
      <c r="W448" s="174"/>
      <c r="X448" s="175"/>
      <c r="Y448" s="173">
        <f>SUM(Z448:AD448)</f>
        <v>16759.210637383905</v>
      </c>
      <c r="Z448" s="174">
        <f>T448*IF(AY448=1,$D$58,$D$58+50)/100</f>
        <v>7358.9032982634144</v>
      </c>
      <c r="AA448" s="174">
        <f>U448*AI448/100</f>
        <v>9400.3073391204889</v>
      </c>
      <c r="AB448" s="174">
        <f>V448*AI448/100</f>
        <v>0</v>
      </c>
      <c r="AC448" s="174"/>
      <c r="AD448" s="175"/>
      <c r="AE448" s="173">
        <f>AO448*(1-$D$20/100)*(1-$D$17/100)</f>
        <v>18.484776131615998</v>
      </c>
      <c r="AF448" s="174">
        <f>AP448</f>
        <v>36</v>
      </c>
      <c r="AG448" s="174">
        <f>IF($D$57+AU448&gt;100,100,$D$57+AU448)</f>
        <v>44.001300000000001</v>
      </c>
      <c r="AH448" s="174">
        <f>IF(AX448=1,AQ448,AQ448*1.4)</f>
        <v>363</v>
      </c>
      <c r="AI448" s="174">
        <f>IF(AY448=1,$D$58,$D$58+50)*AW448</f>
        <v>200</v>
      </c>
      <c r="AJ448" s="174">
        <f>10/6/AX448</f>
        <v>1.6666666666666667</v>
      </c>
      <c r="AK448" s="174">
        <f>SUM(AL448:AN448)</f>
        <v>6983.0044322432941</v>
      </c>
      <c r="AL448" s="174">
        <f>(IF(H448="근접",$D$61*(VLOOKUP(C448,$B$36:$AG$39,9,FALSE)+VLOOKUP(C448,$B$40:$AG$43,9,FALSE)*$D$54),$D$60*(VLOOKUP(C448,$B$36:$AG$39,9,FALSE)+VLOOKUP(C448,$B$40:$AG$43,9,FALSE)*$D$54)))*$D$59/100</f>
        <v>3066.2097076097566</v>
      </c>
      <c r="AM448" s="174">
        <f>(IF(H448="근접",$D$61*(VLOOKUP(C448,$B$36:$AG$39,10,FALSE)+VLOOKUP(C448,$B$40:$AG$43,10,FALSE)*$D$54),$D$60*(VLOOKUP(C448,$B$36:$AG$39,10,FALSE)+VLOOKUP(C448,$B$40:$AG$43,10,FALSE)*$D$54)))*$D$59/100</f>
        <v>3916.7947246335375</v>
      </c>
      <c r="AN448" s="174"/>
      <c r="AO448" s="176">
        <v>24</v>
      </c>
      <c r="AP448" s="174">
        <v>36</v>
      </c>
      <c r="AQ448" s="175">
        <f>VLOOKUP(C448,$B$45:$AA$48,9,FALSE)</f>
        <v>363</v>
      </c>
      <c r="AR448" s="31">
        <f>IF(LEFT(E448,1)*1=1,$S$58,$R$58)</f>
        <v>1.2</v>
      </c>
      <c r="AS448" s="2">
        <f>IF(LEFT(E448,1)*1=2,$U$58,$T$58)</f>
        <v>0</v>
      </c>
      <c r="AT448" s="33">
        <f>IF(LEFT(E448,1)*1=3,$W$58,$V$58)</f>
        <v>0</v>
      </c>
      <c r="AU448" s="31">
        <f>IF(MID(E448,3,1)*1=1,$Y$58,$X$58)</f>
        <v>25</v>
      </c>
      <c r="AV448" s="2">
        <f>IF(MID(E448,3,1)*1=2,$AA$58,$Z$58)</f>
        <v>0</v>
      </c>
      <c r="AW448" s="33">
        <f>IF(MID(E448,3,1)*1=3,$AC$58,$AB$58)</f>
        <v>1</v>
      </c>
      <c r="AX448" s="31">
        <f>IF(MID(E448,5,1)*1=1,$AE$58,$AD$58)</f>
        <v>1</v>
      </c>
      <c r="AY448" s="33">
        <f>IF(MID(E448,5,1)*1=2,$AG$58,$AF$58)</f>
        <v>1</v>
      </c>
      <c r="AZ448" s="2"/>
      <c r="BA448" s="101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</row>
    <row r="449" spans="1:71" ht="12" customHeight="1">
      <c r="A449" s="2"/>
      <c r="B449" s="107">
        <v>26</v>
      </c>
      <c r="C449" s="31">
        <v>7</v>
      </c>
      <c r="D449" s="106" t="s">
        <v>2</v>
      </c>
      <c r="E449" s="2" t="s">
        <v>117</v>
      </c>
      <c r="F449" s="2"/>
      <c r="G449" s="2"/>
      <c r="H449" s="33"/>
      <c r="I449" s="173">
        <f>M449/AE449</f>
        <v>652.17418032776527</v>
      </c>
      <c r="J449" s="174">
        <f>AH449/AE449</f>
        <v>24.18260296025132</v>
      </c>
      <c r="K449" s="207">
        <f>RANK(I449,$I$76:$I$977)</f>
        <v>374</v>
      </c>
      <c r="L449" s="208">
        <f>RANK(I449,$I$76:$I$450)</f>
        <v>374</v>
      </c>
      <c r="M449" s="173">
        <f>SUM(N449:R449)</f>
        <v>5204.9656114417967</v>
      </c>
      <c r="N449" s="174">
        <f>T449*(1+((AG449+IF(F449="백어택",8,0))/100)*((AI449/100-1)))</f>
        <v>5204.9656114417967</v>
      </c>
      <c r="O449" s="174"/>
      <c r="P449" s="174"/>
      <c r="Q449" s="174"/>
      <c r="R449" s="175"/>
      <c r="S449" s="173">
        <f>SUM(T449:X449)</f>
        <v>3308.3138071062926</v>
      </c>
      <c r="T449" s="174">
        <f>AL449*AV449*AW449*AY449</f>
        <v>3308.3138071062926</v>
      </c>
      <c r="U449" s="174"/>
      <c r="V449" s="174"/>
      <c r="W449" s="174"/>
      <c r="X449" s="175"/>
      <c r="Y449" s="173">
        <f>SUM(Z449:AD449)</f>
        <v>6616.6276142125853</v>
      </c>
      <c r="Z449" s="174">
        <f>T449*$D$58/100</f>
        <v>6616.6276142125853</v>
      </c>
      <c r="AA449" s="174"/>
      <c r="AB449" s="174"/>
      <c r="AC449" s="174"/>
      <c r="AD449" s="175"/>
      <c r="AE449" s="173">
        <f>AO449*(1-$D$17/100)-AS449</f>
        <v>7.980944</v>
      </c>
      <c r="AF449" s="174"/>
      <c r="AG449" s="174">
        <f>IF($D$57+AT449&gt;100,100,$D$57+AT449)</f>
        <v>34.001300000000001</v>
      </c>
      <c r="AH449" s="174">
        <f>AQ449</f>
        <v>193</v>
      </c>
      <c r="AI449" s="174">
        <f>$D$58+$D$19</f>
        <v>268.61079999999998</v>
      </c>
      <c r="AJ449" s="174">
        <f>10*AY449/12</f>
        <v>0.83333333333333337</v>
      </c>
      <c r="AK449" s="174">
        <f>SUM(AL449:AN449)</f>
        <v>2803.6557687341465</v>
      </c>
      <c r="AL449" s="174">
        <f>(VLOOKUP(C449,$B$36:$AA$39,2,FALSE)+VLOOKUP(C449,$B$40:$AA$43,2,FALSE)*$D$54)*$D$59/100</f>
        <v>2803.6557687341465</v>
      </c>
      <c r="AM449" s="174"/>
      <c r="AN449" s="174"/>
      <c r="AO449" s="176">
        <v>8</v>
      </c>
      <c r="AP449" s="174">
        <v>15</v>
      </c>
      <c r="AQ449" s="175">
        <f>VLOOKUP(C449,$B$45:$AA$48,2,FALSE)</f>
        <v>193</v>
      </c>
      <c r="AR449" s="31">
        <f>IF(LEFT(E449,1)*1=1,$S$52,$R$52)</f>
        <v>0</v>
      </c>
      <c r="AS449" s="2">
        <f>IF(LEFT(E449,1)*1=2,$U$52,$T$52)</f>
        <v>0</v>
      </c>
      <c r="AT449" s="33">
        <f>IF(LEFT(E449,1)*1=3,$W$52,$V$52)</f>
        <v>15</v>
      </c>
      <c r="AU449" s="31">
        <f>IF(MID(E449,3,1)*1=1,$Y$52,$X$52)</f>
        <v>0</v>
      </c>
      <c r="AV449" s="2">
        <f>IF(MID(E449,3,1)*1=2,$AA$52,$Z$52)</f>
        <v>1.18</v>
      </c>
      <c r="AW449" s="33">
        <f>IF(MID(E449,3,1)*1=3,$AC$52,$AB$52)</f>
        <v>1</v>
      </c>
      <c r="AX449" s="31">
        <f>IF(MID(E449,5,1)*1=1,$AE$52,$AD$52)</f>
        <v>0</v>
      </c>
      <c r="AY449" s="33">
        <f>IF(MID(E449,5,1)*1=2,$AG$52,$AF$52)</f>
        <v>1</v>
      </c>
      <c r="AZ449" s="2"/>
      <c r="BA449" s="101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</row>
    <row r="450" spans="1:71" ht="12" customHeight="1">
      <c r="A450" s="2"/>
      <c r="B450" s="107">
        <v>105</v>
      </c>
      <c r="C450" s="31">
        <v>10</v>
      </c>
      <c r="D450" s="106" t="s">
        <v>6</v>
      </c>
      <c r="E450" s="2" t="s">
        <v>98</v>
      </c>
      <c r="F450" s="2"/>
      <c r="G450" s="2" t="s">
        <v>86</v>
      </c>
      <c r="H450" s="33"/>
      <c r="I450" s="173">
        <f>M450/AE450</f>
        <v>651.99074044302904</v>
      </c>
      <c r="J450" s="174">
        <f>AH450/AE450</f>
        <v>23.505991271208018</v>
      </c>
      <c r="K450" s="207">
        <f>RANK(I450,$I$76:$I$977)</f>
        <v>375</v>
      </c>
      <c r="L450" s="208">
        <f>RANK(I450,$I$76:$I$450)</f>
        <v>375</v>
      </c>
      <c r="M450" s="173">
        <f>SUM(N450:R450)</f>
        <v>13008.753969985873</v>
      </c>
      <c r="N450" s="174">
        <f>T450*(1+((AG450+IF(F450="백어택",8,0))/100)*((AI450/100-1)))</f>
        <v>13008.753969985873</v>
      </c>
      <c r="O450" s="174"/>
      <c r="P450" s="174"/>
      <c r="Q450" s="174"/>
      <c r="R450" s="175"/>
      <c r="S450" s="173">
        <f>SUM(T450:X450)</f>
        <v>9852.2621793257276</v>
      </c>
      <c r="T450" s="174">
        <f>AL450*AW450*AT450*AX450*AY450</f>
        <v>9852.2621793257276</v>
      </c>
      <c r="U450" s="174"/>
      <c r="V450" s="174"/>
      <c r="W450" s="174"/>
      <c r="X450" s="175"/>
      <c r="Y450" s="173">
        <f>SUM(Z450:AD450)</f>
        <v>19704.524358651455</v>
      </c>
      <c r="Z450" s="174">
        <f>T450*$D$58/100</f>
        <v>19704.524358651455</v>
      </c>
      <c r="AA450" s="174"/>
      <c r="AB450" s="174"/>
      <c r="AC450" s="174"/>
      <c r="AD450" s="175"/>
      <c r="AE450" s="173">
        <f>AO450*(1-$D$17/100)</f>
        <v>19.952359999999999</v>
      </c>
      <c r="AF450" s="174">
        <f>AP450</f>
        <v>36</v>
      </c>
      <c r="AG450" s="174">
        <f>IF($D$57+AV450&gt;100,100,$D$57+AV450)</f>
        <v>19.001300000000001</v>
      </c>
      <c r="AH450" s="174">
        <f>AQ450*AR450</f>
        <v>469</v>
      </c>
      <c r="AI450" s="174">
        <f>$D$58+$D$19</f>
        <v>268.61079999999998</v>
      </c>
      <c r="AJ450" s="174">
        <f>10/IF(AX450=1,IF(AY450=1,5,6),4)</f>
        <v>1.6666666666666667</v>
      </c>
      <c r="AK450" s="174">
        <f>SUM(AL450:AN450)</f>
        <v>5675.2662323304885</v>
      </c>
      <c r="AL450" s="174">
        <f>(VLOOKUP(C450,$B$36:$AG$39,7,FALSE)+VLOOKUP(C450,$B$40:$AG$43,7,FALSE)*$D$54)*$D$59/100</f>
        <v>5675.2662323304885</v>
      </c>
      <c r="AM450" s="174"/>
      <c r="AN450" s="174"/>
      <c r="AO450" s="176">
        <v>20</v>
      </c>
      <c r="AP450" s="174">
        <v>36</v>
      </c>
      <c r="AQ450" s="175">
        <f>VLOOKUP(C450,$B$45:$AA$48,7,FALSE)</f>
        <v>469</v>
      </c>
      <c r="AR450" s="31">
        <f>IF(LEFT(E450,1)*1=1,$S$56,$R$56)</f>
        <v>1</v>
      </c>
      <c r="AS450" s="2">
        <f>IF(LEFT(E450,1)*1=2,$U$56,$T$56)</f>
        <v>0</v>
      </c>
      <c r="AT450" s="33">
        <f>IF(LEFT(E450,1)*1=3,$W$56,$V$56)</f>
        <v>1</v>
      </c>
      <c r="AU450" s="31">
        <f>IF(MID(E450,3,1)*1=1,$Y$56,$X$56)</f>
        <v>0</v>
      </c>
      <c r="AV450" s="2">
        <f>IF(MID(E450,3,1)*1=2,$AA$56,$Z$56)</f>
        <v>0</v>
      </c>
      <c r="AW450" s="33">
        <f>IF(MID(E450,3,1)*1=3,$AC$56,$AB$56)</f>
        <v>1.24</v>
      </c>
      <c r="AX450" s="31">
        <f>IF(MID(E450,5,1)*1=1,$AE$56,$AD$56)</f>
        <v>1</v>
      </c>
      <c r="AY450" s="33">
        <f>IF(MID(E450,5,1)*1=2,$AG$56,$AF$56)</f>
        <v>1.4</v>
      </c>
      <c r="AZ450" s="2"/>
      <c r="BA450" s="101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</row>
    <row r="451" spans="1:71" ht="12" customHeight="1">
      <c r="A451" s="2"/>
      <c r="B451" s="107">
        <v>108</v>
      </c>
      <c r="C451" s="31">
        <v>10</v>
      </c>
      <c r="D451" s="106" t="s">
        <v>6</v>
      </c>
      <c r="E451" s="2" t="s">
        <v>157</v>
      </c>
      <c r="F451" s="2"/>
      <c r="G451" s="2" t="s">
        <v>86</v>
      </c>
      <c r="H451" s="33"/>
      <c r="I451" s="173">
        <f>M451/AE451</f>
        <v>651.99074044302904</v>
      </c>
      <c r="J451" s="174">
        <f>AH451/AE451</f>
        <v>11.752995635604009</v>
      </c>
      <c r="K451" s="207">
        <f>RANK(I451,$I$76:$I$977)</f>
        <v>375</v>
      </c>
      <c r="L451" s="208">
        <f>RANK(I451,$I$76:$I$450)</f>
        <v>375</v>
      </c>
      <c r="M451" s="173">
        <f>SUM(N451:R451)</f>
        <v>13008.753969985873</v>
      </c>
      <c r="N451" s="174">
        <f>T451*(1+((AG451+IF(F451="백어택",8,0))/100)*((AI451/100-1)))</f>
        <v>13008.753969985873</v>
      </c>
      <c r="O451" s="174"/>
      <c r="P451" s="174"/>
      <c r="Q451" s="174"/>
      <c r="R451" s="175"/>
      <c r="S451" s="173">
        <f>SUM(T451:X451)</f>
        <v>9852.2621793257276</v>
      </c>
      <c r="T451" s="174">
        <f>AL451*AW451*AT451*AX451*AY451</f>
        <v>9852.2621793257276</v>
      </c>
      <c r="U451" s="174"/>
      <c r="V451" s="174"/>
      <c r="W451" s="174"/>
      <c r="X451" s="175"/>
      <c r="Y451" s="173">
        <f>SUM(Z451:AD451)</f>
        <v>19704.524358651455</v>
      </c>
      <c r="Z451" s="174">
        <f>T451*$D$58/100</f>
        <v>19704.524358651455</v>
      </c>
      <c r="AA451" s="174"/>
      <c r="AB451" s="174"/>
      <c r="AC451" s="174"/>
      <c r="AD451" s="175"/>
      <c r="AE451" s="173">
        <f>AO451*(1-$D$17/100)</f>
        <v>19.952359999999999</v>
      </c>
      <c r="AF451" s="174">
        <f>AP451</f>
        <v>36</v>
      </c>
      <c r="AG451" s="174">
        <f>IF($D$57+AV451&gt;100,100,$D$57+AV451)</f>
        <v>19.001300000000001</v>
      </c>
      <c r="AH451" s="174">
        <f>AQ451*AR451</f>
        <v>234.5</v>
      </c>
      <c r="AI451" s="174">
        <f>$D$58+$D$19</f>
        <v>268.61079999999998</v>
      </c>
      <c r="AJ451" s="174">
        <f>10/IF(AX451=1,IF(AY451=1,5,6),4)</f>
        <v>1.6666666666666667</v>
      </c>
      <c r="AK451" s="174">
        <f>SUM(AL451:AN451)</f>
        <v>5675.2662323304885</v>
      </c>
      <c r="AL451" s="174">
        <f>(VLOOKUP(C451,$B$36:$AG$39,7,FALSE)+VLOOKUP(C451,$B$40:$AG$43,7,FALSE)*$D$54)*$D$59/100</f>
        <v>5675.2662323304885</v>
      </c>
      <c r="AM451" s="174"/>
      <c r="AN451" s="174"/>
      <c r="AO451" s="176">
        <v>20</v>
      </c>
      <c r="AP451" s="174">
        <v>36</v>
      </c>
      <c r="AQ451" s="175">
        <f>VLOOKUP(C451,$B$45:$AA$48,7,FALSE)</f>
        <v>469</v>
      </c>
      <c r="AR451" s="31">
        <f>IF(LEFT(E451,1)*1=1,$S$56,$R$56)</f>
        <v>0.5</v>
      </c>
      <c r="AS451" s="2">
        <f>IF(LEFT(E451,1)*1=2,$U$56,$T$56)</f>
        <v>0</v>
      </c>
      <c r="AT451" s="33">
        <f>IF(LEFT(E451,1)*1=3,$W$56,$V$56)</f>
        <v>1</v>
      </c>
      <c r="AU451" s="31">
        <f>IF(MID(E451,3,1)*1=1,$Y$56,$X$56)</f>
        <v>0</v>
      </c>
      <c r="AV451" s="2">
        <f>IF(MID(E451,3,1)*1=2,$AA$56,$Z$56)</f>
        <v>0</v>
      </c>
      <c r="AW451" s="33">
        <f>IF(MID(E451,3,1)*1=3,$AC$56,$AB$56)</f>
        <v>1.24</v>
      </c>
      <c r="AX451" s="31">
        <f>IF(MID(E451,5,1)*1=1,$AE$56,$AD$56)</f>
        <v>1</v>
      </c>
      <c r="AY451" s="33">
        <f>IF(MID(E451,5,1)*1=2,$AG$56,$AF$56)</f>
        <v>1.4</v>
      </c>
      <c r="AZ451" s="2"/>
      <c r="BA451" s="101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</row>
    <row r="452" spans="1:71" ht="12" customHeight="1">
      <c r="A452" s="2"/>
      <c r="B452" s="107">
        <v>314</v>
      </c>
      <c r="C452" s="31">
        <v>10</v>
      </c>
      <c r="D452" s="106" t="s">
        <v>20</v>
      </c>
      <c r="E452" s="2" t="s">
        <v>144</v>
      </c>
      <c r="F452" s="2" t="s">
        <v>149</v>
      </c>
      <c r="G452" s="2"/>
      <c r="H452" s="33"/>
      <c r="I452" s="173">
        <f>M452/AE452</f>
        <v>650.87175174297579</v>
      </c>
      <c r="J452" s="174">
        <f>AH452/AE452</f>
        <v>24.558498343053152</v>
      </c>
      <c r="K452" s="207">
        <f>RANK(I452,$I$76:$I$977)</f>
        <v>377</v>
      </c>
      <c r="L452" s="208" t="e">
        <f>RANK(I452,$I$76:$I$450)</f>
        <v>#N/A</v>
      </c>
      <c r="M452" s="173">
        <f>SUM(N452:R452)</f>
        <v>11687.784754145832</v>
      </c>
      <c r="N452" s="174">
        <f>T452*(1+((AG452+IF(F452="백어택",8,0))/100)*((AI452/100-1)))</f>
        <v>4257.7169845901626</v>
      </c>
      <c r="O452" s="174">
        <f>U452*(1+(($D$57+IF(F452="백어택",8,0))/100)*($D$58/100-1))</f>
        <v>7430.0677695556687</v>
      </c>
      <c r="P452" s="174"/>
      <c r="Q452" s="174"/>
      <c r="R452" s="175"/>
      <c r="S452" s="173">
        <f>SUM(T452:X452)</f>
        <v>8776.1080578321944</v>
      </c>
      <c r="T452" s="174">
        <f>AL452*AV452*IF(F452="백어택",1.2,1)</f>
        <v>2925.720881042927</v>
      </c>
      <c r="U452" s="174">
        <f>AM452*AX452*AY452*IF(F452="백어택",1.2,1)</f>
        <v>5850.3871767892679</v>
      </c>
      <c r="V452" s="174"/>
      <c r="W452" s="174"/>
      <c r="X452" s="175"/>
      <c r="Y452" s="173">
        <f>SUM(Z452:AD452)</f>
        <v>17552.216115664389</v>
      </c>
      <c r="Z452" s="174">
        <f>T452*$D$58/100</f>
        <v>5851.441762085854</v>
      </c>
      <c r="AA452" s="174">
        <f>U452*$D$58/100</f>
        <v>11700.774353578536</v>
      </c>
      <c r="AB452" s="174"/>
      <c r="AC452" s="174"/>
      <c r="AD452" s="175"/>
      <c r="AE452" s="173">
        <f>AO452*(1-$D$17/100)-AR452</f>
        <v>17.957124</v>
      </c>
      <c r="AF452" s="174">
        <f>AP452</f>
        <v>36</v>
      </c>
      <c r="AG452" s="174">
        <f>IF($D$57+AU452&gt;100,100,$D$57+AU452)</f>
        <v>19.001300000000001</v>
      </c>
      <c r="AH452" s="174">
        <f>AQ452*AS452</f>
        <v>441</v>
      </c>
      <c r="AI452" s="174">
        <f>$D$58+$D$19</f>
        <v>268.61079999999998</v>
      </c>
      <c r="AJ452" s="174">
        <f>10*IF(AV452=1,1,5/4.5)/IF(AX452=1,5,3.5)</f>
        <v>2.8571428571428572</v>
      </c>
      <c r="AK452" s="174">
        <f>SUM(AL452:AN452)</f>
        <v>4875.7620578646347</v>
      </c>
      <c r="AL452" s="174">
        <f>(VLOOKUP(C452,$B$36:$AG$39,29,FALSE)+VLOOKUP(C452,$B$40:$AG$43,29,FALSE)*$D$54)*$D$59/100</f>
        <v>2438.1007342024391</v>
      </c>
      <c r="AM452" s="174">
        <f>(VLOOKUP(C452,$B$36:$AG$39,30,FALSE)+VLOOKUP(C452,$B$40:$AG$43,30,FALSE)*$D$54)*$D$59/100</f>
        <v>2437.6613236621952</v>
      </c>
      <c r="AN452" s="174"/>
      <c r="AO452" s="176">
        <v>18</v>
      </c>
      <c r="AP452" s="174">
        <v>36</v>
      </c>
      <c r="AQ452" s="175">
        <f>VLOOKUP(C452,$B$45:$AG$48,29,FALSE)</f>
        <v>441</v>
      </c>
      <c r="AR452" s="31">
        <f>IF(LEFT(E452,1)*1=1,$S$70,$R$70)</f>
        <v>0</v>
      </c>
      <c r="AS452" s="2">
        <f>IF(LEFT(E452,1)*1=2,$U$70,$T$70)</f>
        <v>1</v>
      </c>
      <c r="AT452" s="33">
        <f>IF(LEFT(E452,1)*1=3,$W$70,$V$70)</f>
        <v>0</v>
      </c>
      <c r="AU452" s="31">
        <f>IF(MID(E452,3,1)*1=1,$Y$70,$X$70)</f>
        <v>0</v>
      </c>
      <c r="AV452" s="2">
        <f>IF(MID(E452,3,1)*1=2,$AA$70,$Z$70)</f>
        <v>1</v>
      </c>
      <c r="AW452" s="33">
        <f>IF(MID(E452,3,1)*1=3,$AC$70,$AB$70)</f>
        <v>0</v>
      </c>
      <c r="AX452" s="31">
        <f>IF(MID(E452,5,1)*1=1,$AE$70,$AD$70)</f>
        <v>2</v>
      </c>
      <c r="AY452" s="33">
        <f>IF(MID(E452,5,1)*1=2,$AG$70,$AF$70)</f>
        <v>1</v>
      </c>
      <c r="AZ452" s="2"/>
      <c r="BA452" s="101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</row>
    <row r="453" spans="1:71" ht="12" customHeight="1">
      <c r="A453" s="2"/>
      <c r="B453" s="107">
        <v>320</v>
      </c>
      <c r="C453" s="31">
        <v>10</v>
      </c>
      <c r="D453" s="106" t="s">
        <v>20</v>
      </c>
      <c r="E453" s="2" t="s">
        <v>161</v>
      </c>
      <c r="F453" s="2" t="s">
        <v>149</v>
      </c>
      <c r="G453" s="2"/>
      <c r="H453" s="33"/>
      <c r="I453" s="173">
        <f>M453/AE453</f>
        <v>650.87175174297579</v>
      </c>
      <c r="J453" s="174">
        <f>AH453/AE453</f>
        <v>12.279249171526576</v>
      </c>
      <c r="K453" s="207">
        <f>RANK(I453,$I$76:$I$977)</f>
        <v>377</v>
      </c>
      <c r="L453" s="208" t="e">
        <f>RANK(I453,$I$76:$I$450)</f>
        <v>#N/A</v>
      </c>
      <c r="M453" s="173">
        <f>SUM(N453:R453)</f>
        <v>11687.784754145832</v>
      </c>
      <c r="N453" s="174">
        <f>T453*(1+((AG453+IF(F453="백어택",8,0))/100)*((AI453/100-1)))</f>
        <v>4257.7169845901626</v>
      </c>
      <c r="O453" s="174">
        <f>U453*(1+(($D$57+IF(F453="백어택",8,0))/100)*($D$58/100-1))</f>
        <v>7430.0677695556687</v>
      </c>
      <c r="P453" s="174"/>
      <c r="Q453" s="174"/>
      <c r="R453" s="175"/>
      <c r="S453" s="173">
        <f>SUM(T453:X453)</f>
        <v>8776.1080578321944</v>
      </c>
      <c r="T453" s="174">
        <f>AL453*AV453*IF(F453="백어택",1.2,1)</f>
        <v>2925.720881042927</v>
      </c>
      <c r="U453" s="174">
        <f>AM453*AX453*AY453*IF(F453="백어택",1.2,1)</f>
        <v>5850.3871767892679</v>
      </c>
      <c r="V453" s="174"/>
      <c r="W453" s="174"/>
      <c r="X453" s="175"/>
      <c r="Y453" s="173">
        <f>SUM(Z453:AD453)</f>
        <v>17552.216115664389</v>
      </c>
      <c r="Z453" s="174">
        <f>T453*$D$58/100</f>
        <v>5851.441762085854</v>
      </c>
      <c r="AA453" s="174">
        <f>U453*$D$58/100</f>
        <v>11700.774353578536</v>
      </c>
      <c r="AB453" s="174"/>
      <c r="AC453" s="174"/>
      <c r="AD453" s="175"/>
      <c r="AE453" s="173">
        <f>AO453*(1-$D$17/100)-AR453</f>
        <v>17.957124</v>
      </c>
      <c r="AF453" s="174">
        <f>AP453</f>
        <v>36</v>
      </c>
      <c r="AG453" s="174">
        <f>IF($D$57+AU453&gt;100,100,$D$57+AU453)</f>
        <v>19.001300000000001</v>
      </c>
      <c r="AH453" s="174">
        <f>AQ453*AS453</f>
        <v>220.5</v>
      </c>
      <c r="AI453" s="174">
        <f>$D$58+$D$19</f>
        <v>268.61079999999998</v>
      </c>
      <c r="AJ453" s="174">
        <f>10*IF(AV453=1,1,5/4.5)/IF(AX453=1,5,3.5)</f>
        <v>2.8571428571428572</v>
      </c>
      <c r="AK453" s="174">
        <f>SUM(AL453:AN453)</f>
        <v>4875.7620578646347</v>
      </c>
      <c r="AL453" s="174">
        <f>(VLOOKUP(C453,$B$36:$AG$39,29,FALSE)+VLOOKUP(C453,$B$40:$AG$43,29,FALSE)*$D$54)*$D$59/100</f>
        <v>2438.1007342024391</v>
      </c>
      <c r="AM453" s="174">
        <f>(VLOOKUP(C453,$B$36:$AG$39,30,FALSE)+VLOOKUP(C453,$B$40:$AG$43,30,FALSE)*$D$54)*$D$59/100</f>
        <v>2437.6613236621952</v>
      </c>
      <c r="AN453" s="174"/>
      <c r="AO453" s="176">
        <v>18</v>
      </c>
      <c r="AP453" s="174">
        <v>36</v>
      </c>
      <c r="AQ453" s="175">
        <f>VLOOKUP(C453,$B$45:$AG$48,29,FALSE)</f>
        <v>441</v>
      </c>
      <c r="AR453" s="31">
        <f>IF(LEFT(E453,1)*1=1,$S$70,$R$70)</f>
        <v>0</v>
      </c>
      <c r="AS453" s="2">
        <f>IF(LEFT(E453,1)*1=2,$U$70,$T$70)</f>
        <v>0.5</v>
      </c>
      <c r="AT453" s="33">
        <f>IF(LEFT(E453,1)*1=3,$W$70,$V$70)</f>
        <v>0</v>
      </c>
      <c r="AU453" s="31">
        <f>IF(MID(E453,3,1)*1=1,$Y$70,$X$70)</f>
        <v>0</v>
      </c>
      <c r="AV453" s="2">
        <f>IF(MID(E453,3,1)*1=2,$AA$70,$Z$70)</f>
        <v>1</v>
      </c>
      <c r="AW453" s="33">
        <f>IF(MID(E453,3,1)*1=3,$AC$70,$AB$70)</f>
        <v>0</v>
      </c>
      <c r="AX453" s="31">
        <f>IF(MID(E453,5,1)*1=1,$AE$70,$AD$70)</f>
        <v>2</v>
      </c>
      <c r="AY453" s="33">
        <f>IF(MID(E453,5,1)*1=2,$AG$70,$AF$70)</f>
        <v>1</v>
      </c>
      <c r="AZ453" s="2"/>
      <c r="BA453" s="101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</row>
    <row r="454" spans="1:71" ht="12" customHeight="1">
      <c r="A454" s="2"/>
      <c r="B454" s="107">
        <v>323</v>
      </c>
      <c r="C454" s="31">
        <v>10</v>
      </c>
      <c r="D454" s="106" t="s">
        <v>20</v>
      </c>
      <c r="E454" s="2" t="s">
        <v>92</v>
      </c>
      <c r="F454" s="2" t="s">
        <v>149</v>
      </c>
      <c r="G454" s="2"/>
      <c r="H454" s="33"/>
      <c r="I454" s="173">
        <f>M454/AE454</f>
        <v>650.87175174297579</v>
      </c>
      <c r="J454" s="174">
        <f>AH454/AE454</f>
        <v>24.558498343053152</v>
      </c>
      <c r="K454" s="207">
        <f>RANK(I454,$I$76:$I$977)</f>
        <v>377</v>
      </c>
      <c r="L454" s="208" t="e">
        <f>RANK(I454,$I$76:$I$450)</f>
        <v>#N/A</v>
      </c>
      <c r="M454" s="173">
        <f>SUM(N454:R454)</f>
        <v>11687.784754145832</v>
      </c>
      <c r="N454" s="174">
        <f>T454*(1+((AG454+IF(F454="백어택",8,0))/100)*((AI454/100-1)))</f>
        <v>4257.7169845901626</v>
      </c>
      <c r="O454" s="174">
        <f>U454*(1+(($D$57+IF(F454="백어택",8,0))/100)*($D$58/100-1))</f>
        <v>7430.0677695556687</v>
      </c>
      <c r="P454" s="174"/>
      <c r="Q454" s="174"/>
      <c r="R454" s="175"/>
      <c r="S454" s="173">
        <f>SUM(T454:X454)</f>
        <v>8776.1080578321944</v>
      </c>
      <c r="T454" s="174">
        <f>AL454*AV454*IF(F454="백어택",1.2,1)</f>
        <v>2925.720881042927</v>
      </c>
      <c r="U454" s="174">
        <f>AM454*AX454*AY454*IF(F454="백어택",1.2,1)</f>
        <v>5850.3871767892679</v>
      </c>
      <c r="V454" s="174"/>
      <c r="W454" s="174"/>
      <c r="X454" s="175"/>
      <c r="Y454" s="173">
        <f>SUM(Z454:AD454)</f>
        <v>17552.216115664389</v>
      </c>
      <c r="Z454" s="174">
        <f>T454*$D$58/100</f>
        <v>5851.441762085854</v>
      </c>
      <c r="AA454" s="174">
        <f>U454*$D$58/100</f>
        <v>11700.774353578536</v>
      </c>
      <c r="AB454" s="174"/>
      <c r="AC454" s="174"/>
      <c r="AD454" s="175"/>
      <c r="AE454" s="173">
        <f>AO454*(1-$D$17/100)-AR454</f>
        <v>17.957124</v>
      </c>
      <c r="AF454" s="174">
        <f>AP454</f>
        <v>36</v>
      </c>
      <c r="AG454" s="174">
        <f>IF($D$57+AU454&gt;100,100,$D$57+AU454)</f>
        <v>19.001300000000001</v>
      </c>
      <c r="AH454" s="174">
        <f>AQ454*AS454</f>
        <v>441</v>
      </c>
      <c r="AI454" s="174">
        <f>$D$58+$D$19</f>
        <v>268.61079999999998</v>
      </c>
      <c r="AJ454" s="174">
        <f>10*IF(AV454=1,1,5/4.5)/IF(AX454=1,5,3.5)</f>
        <v>2</v>
      </c>
      <c r="AK454" s="174">
        <f>SUM(AL454:AN454)</f>
        <v>4875.7620578646347</v>
      </c>
      <c r="AL454" s="174">
        <f>(VLOOKUP(C454,$B$36:$AG$39,29,FALSE)+VLOOKUP(C454,$B$40:$AG$43,29,FALSE)*$D$54)*$D$59/100</f>
        <v>2438.1007342024391</v>
      </c>
      <c r="AM454" s="174">
        <f>(VLOOKUP(C454,$B$36:$AG$39,30,FALSE)+VLOOKUP(C454,$B$40:$AG$43,30,FALSE)*$D$54)*$D$59/100</f>
        <v>2437.6613236621952</v>
      </c>
      <c r="AN454" s="174"/>
      <c r="AO454" s="176">
        <v>18</v>
      </c>
      <c r="AP454" s="174">
        <v>36</v>
      </c>
      <c r="AQ454" s="175">
        <f>VLOOKUP(C454,$B$45:$AG$48,29,FALSE)</f>
        <v>441</v>
      </c>
      <c r="AR454" s="31">
        <f>IF(LEFT(E454,1)*1=1,$S$70,$R$70)</f>
        <v>0</v>
      </c>
      <c r="AS454" s="2">
        <f>IF(LEFT(E454,1)*1=2,$U$70,$T$70)</f>
        <v>1</v>
      </c>
      <c r="AT454" s="33">
        <f>IF(LEFT(E454,1)*1=3,$W$70,$V$70)</f>
        <v>0</v>
      </c>
      <c r="AU454" s="31">
        <f>IF(MID(E454,3,1)*1=1,$Y$70,$X$70)</f>
        <v>0</v>
      </c>
      <c r="AV454" s="2">
        <f>IF(MID(E454,3,1)*1=2,$AA$70,$Z$70)</f>
        <v>1</v>
      </c>
      <c r="AW454" s="33">
        <f>IF(MID(E454,3,1)*1=3,$AC$70,$AB$70)</f>
        <v>0</v>
      </c>
      <c r="AX454" s="31">
        <f>IF(MID(E454,5,1)*1=1,$AE$70,$AD$70)</f>
        <v>1</v>
      </c>
      <c r="AY454" s="33">
        <f>IF(MID(E454,5,1)*1=2,$AG$70,$AF$70)</f>
        <v>2</v>
      </c>
      <c r="AZ454" s="2"/>
      <c r="BA454" s="101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</row>
    <row r="455" spans="1:71" ht="12" customHeight="1">
      <c r="A455" s="2"/>
      <c r="B455" s="107">
        <v>329</v>
      </c>
      <c r="C455" s="31">
        <v>10</v>
      </c>
      <c r="D455" s="106" t="s">
        <v>20</v>
      </c>
      <c r="E455" s="2" t="s">
        <v>99</v>
      </c>
      <c r="F455" s="2" t="s">
        <v>149</v>
      </c>
      <c r="G455" s="2"/>
      <c r="H455" s="33"/>
      <c r="I455" s="173">
        <f>M455/AE455</f>
        <v>650.87175174297579</v>
      </c>
      <c r="J455" s="174">
        <f>AH455/AE455</f>
        <v>12.279249171526576</v>
      </c>
      <c r="K455" s="207">
        <f>RANK(I455,$I$76:$I$977)</f>
        <v>377</v>
      </c>
      <c r="L455" s="208" t="e">
        <f>RANK(I455,$I$76:$I$450)</f>
        <v>#N/A</v>
      </c>
      <c r="M455" s="173">
        <f>SUM(N455:R455)</f>
        <v>11687.784754145832</v>
      </c>
      <c r="N455" s="174">
        <f>T455*(1+((AG455+IF(F455="백어택",8,0))/100)*((AI455/100-1)))</f>
        <v>4257.7169845901626</v>
      </c>
      <c r="O455" s="174">
        <f>U455*(1+(($D$57+IF(F455="백어택",8,0))/100)*($D$58/100-1))</f>
        <v>7430.0677695556687</v>
      </c>
      <c r="P455" s="174"/>
      <c r="Q455" s="174"/>
      <c r="R455" s="175"/>
      <c r="S455" s="173">
        <f>SUM(T455:X455)</f>
        <v>8776.1080578321944</v>
      </c>
      <c r="T455" s="174">
        <f>AL455*AV455*IF(F455="백어택",1.2,1)</f>
        <v>2925.720881042927</v>
      </c>
      <c r="U455" s="174">
        <f>AM455*AX455*AY455*IF(F455="백어택",1.2,1)</f>
        <v>5850.3871767892679</v>
      </c>
      <c r="V455" s="174"/>
      <c r="W455" s="174"/>
      <c r="X455" s="175"/>
      <c r="Y455" s="173">
        <f>SUM(Z455:AD455)</f>
        <v>17552.216115664389</v>
      </c>
      <c r="Z455" s="174">
        <f>T455*$D$58/100</f>
        <v>5851.441762085854</v>
      </c>
      <c r="AA455" s="174">
        <f>U455*$D$58/100</f>
        <v>11700.774353578536</v>
      </c>
      <c r="AB455" s="174"/>
      <c r="AC455" s="174"/>
      <c r="AD455" s="175"/>
      <c r="AE455" s="173">
        <f>AO455*(1-$D$17/100)-AR455</f>
        <v>17.957124</v>
      </c>
      <c r="AF455" s="174">
        <f>AP455</f>
        <v>36</v>
      </c>
      <c r="AG455" s="174">
        <f>IF($D$57+AU455&gt;100,100,$D$57+AU455)</f>
        <v>19.001300000000001</v>
      </c>
      <c r="AH455" s="174">
        <f>AQ455*AS455</f>
        <v>220.5</v>
      </c>
      <c r="AI455" s="174">
        <f>$D$58+$D$19</f>
        <v>268.61079999999998</v>
      </c>
      <c r="AJ455" s="174">
        <f>10*IF(AV455=1,1,5/4.5)/IF(AX455=1,5,3.5)</f>
        <v>2</v>
      </c>
      <c r="AK455" s="174">
        <f>SUM(AL455:AN455)</f>
        <v>4875.7620578646347</v>
      </c>
      <c r="AL455" s="174">
        <f>(VLOOKUP(C455,$B$36:$AG$39,29,FALSE)+VLOOKUP(C455,$B$40:$AG$43,29,FALSE)*$D$54)*$D$59/100</f>
        <v>2438.1007342024391</v>
      </c>
      <c r="AM455" s="174">
        <f>(VLOOKUP(C455,$B$36:$AG$39,30,FALSE)+VLOOKUP(C455,$B$40:$AG$43,30,FALSE)*$D$54)*$D$59/100</f>
        <v>2437.6613236621952</v>
      </c>
      <c r="AN455" s="174"/>
      <c r="AO455" s="176">
        <v>18</v>
      </c>
      <c r="AP455" s="174">
        <v>36</v>
      </c>
      <c r="AQ455" s="175">
        <f>VLOOKUP(C455,$B$45:$AG$48,29,FALSE)</f>
        <v>441</v>
      </c>
      <c r="AR455" s="31">
        <f>IF(LEFT(E455,1)*1=1,$S$70,$R$70)</f>
        <v>0</v>
      </c>
      <c r="AS455" s="2">
        <f>IF(LEFT(E455,1)*1=2,$U$70,$T$70)</f>
        <v>0.5</v>
      </c>
      <c r="AT455" s="33">
        <f>IF(LEFT(E455,1)*1=3,$W$70,$V$70)</f>
        <v>0</v>
      </c>
      <c r="AU455" s="31">
        <f>IF(MID(E455,3,1)*1=1,$Y$70,$X$70)</f>
        <v>0</v>
      </c>
      <c r="AV455" s="2">
        <f>IF(MID(E455,3,1)*1=2,$AA$70,$Z$70)</f>
        <v>1</v>
      </c>
      <c r="AW455" s="33">
        <f>IF(MID(E455,3,1)*1=3,$AC$70,$AB$70)</f>
        <v>0</v>
      </c>
      <c r="AX455" s="31">
        <f>IF(MID(E455,5,1)*1=1,$AE$70,$AD$70)</f>
        <v>1</v>
      </c>
      <c r="AY455" s="33">
        <f>IF(MID(E455,5,1)*1=2,$AG$70,$AF$70)</f>
        <v>2</v>
      </c>
      <c r="AZ455" s="2"/>
      <c r="BA455" s="101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</row>
    <row r="456" spans="1:71" ht="12" customHeight="1">
      <c r="A456" s="2"/>
      <c r="B456" s="107">
        <v>291</v>
      </c>
      <c r="C456" s="31">
        <v>10</v>
      </c>
      <c r="D456" s="106" t="s">
        <v>17</v>
      </c>
      <c r="E456" s="2" t="s">
        <v>147</v>
      </c>
      <c r="F456" s="2"/>
      <c r="G456" s="2"/>
      <c r="H456" s="33">
        <f>IF(AT456=1,3,IF(AY456=1,3,2))</f>
        <v>3</v>
      </c>
      <c r="I456" s="173">
        <f>M456/AE456</f>
        <v>649.23289174419187</v>
      </c>
      <c r="J456" s="174">
        <f>AH456/AE456</f>
        <v>34.707673678702669</v>
      </c>
      <c r="K456" s="207">
        <f>RANK(I456,$I$76:$I$977)</f>
        <v>381</v>
      </c>
      <c r="L456" s="208" t="e">
        <f>RANK(I456,$I$76:$I$450)</f>
        <v>#N/A</v>
      </c>
      <c r="M456" s="173">
        <f>SUM(N456:R456)</f>
        <v>5181.4913519684578</v>
      </c>
      <c r="N456" s="174">
        <f>T456*(1+((AG456+IF(F456="백어택",8,0))/100)*((AI456/100-1)))</f>
        <v>1233.6884171353472</v>
      </c>
      <c r="O456" s="174">
        <f>U456*(1+(AG456/100)*(AI456/100-1))</f>
        <v>1727.1637839894863</v>
      </c>
      <c r="P456" s="174">
        <f>V456*(1+(AG456/100)*(AI456/100-1))</f>
        <v>2220.639150843625</v>
      </c>
      <c r="Q456" s="174"/>
      <c r="R456" s="175"/>
      <c r="S456" s="173">
        <f>SUM(T456:X456)</f>
        <v>3924.2352801263414</v>
      </c>
      <c r="T456" s="174">
        <f>AL456*AV456</f>
        <v>934.34173336341473</v>
      </c>
      <c r="U456" s="174">
        <f>AL456*AW456</f>
        <v>1308.0784267087806</v>
      </c>
      <c r="V456" s="174">
        <f>IF(H456=3,AL456,0)*(1+AW456-1+AW456-1)</f>
        <v>1681.8151200541463</v>
      </c>
      <c r="W456" s="174"/>
      <c r="X456" s="175"/>
      <c r="Y456" s="173">
        <f>SUM(Z456:AD456)</f>
        <v>10540.919779829606</v>
      </c>
      <c r="Z456" s="174">
        <f>T456*AI456/100</f>
        <v>2509.7428047213352</v>
      </c>
      <c r="AA456" s="174">
        <f>U456*AI456/100</f>
        <v>3513.6399266098688</v>
      </c>
      <c r="AB456" s="174">
        <f>V456*AI456/100</f>
        <v>4517.5370484984023</v>
      </c>
      <c r="AC456" s="174"/>
      <c r="AD456" s="175"/>
      <c r="AE456" s="173">
        <f>AO456*(1-$D$17/100)</f>
        <v>7.980944</v>
      </c>
      <c r="AF456" s="174">
        <f>AP456</f>
        <v>36</v>
      </c>
      <c r="AG456" s="174">
        <f>IF($D$57&gt;100,100,$D$57)</f>
        <v>19.001300000000001</v>
      </c>
      <c r="AH456" s="174">
        <f>AQ456</f>
        <v>277</v>
      </c>
      <c r="AI456" s="174">
        <f>$D$58+$D$19</f>
        <v>268.61079999999998</v>
      </c>
      <c r="AJ456" s="174">
        <f>10*AR456/IF(AT456=0,IF(AY456=0,8,5),5)</f>
        <v>2</v>
      </c>
      <c r="AK456" s="174">
        <f>H456*SUM(AL456:AN456)</f>
        <v>2803.0252000902442</v>
      </c>
      <c r="AL456" s="174">
        <f>((VLOOKUP(C456,$B$36:$AG$39,24,FALSE)+VLOOKUP(C456,$B$40:$AG$43,24,FALSE)*$D$54))*$D$59/100</f>
        <v>934.34173336341473</v>
      </c>
      <c r="AM456" s="174"/>
      <c r="AN456" s="174"/>
      <c r="AO456" s="176">
        <v>8</v>
      </c>
      <c r="AP456" s="174">
        <v>36</v>
      </c>
      <c r="AQ456" s="175">
        <f>VLOOKUP(C456,$B$45:$AA$48,24,FALSE)</f>
        <v>277</v>
      </c>
      <c r="AR456" s="31">
        <f>IF(LEFT(E456,1)*1=1,$S$67,$R$67)</f>
        <v>1</v>
      </c>
      <c r="AS456" s="2">
        <f>IF(LEFT(E456,1)*1=2,$U$67,$T$67)</f>
        <v>0</v>
      </c>
      <c r="AT456" s="33">
        <f>IF(LEFT(E456,1)*1=3,$W$67,$V$67)</f>
        <v>1</v>
      </c>
      <c r="AU456" s="31">
        <f>IF(MID(E456,3,1)*1=1,$Y$67,$X$67)</f>
        <v>0</v>
      </c>
      <c r="AV456" s="2">
        <f>IF(MID(E456,3,1)*1=2,$AA$67,$Z$67)</f>
        <v>1</v>
      </c>
      <c r="AW456" s="33">
        <f>IF(MID(E456,3,1)*1=3,$AC$67,$AB$67)</f>
        <v>1.4</v>
      </c>
      <c r="AX456" s="31">
        <f>IF(MID(E456,5,1)*1=1,$AE$67,$AD$67)</f>
        <v>150</v>
      </c>
      <c r="AY456" s="33">
        <f>IF(MID(E456,5,1)*1=2,$AG$67,$AF$67)</f>
        <v>0</v>
      </c>
      <c r="AZ456" s="2"/>
      <c r="BA456" s="101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</row>
    <row r="457" spans="1:71" ht="12" customHeight="1">
      <c r="A457" s="2"/>
      <c r="B457" s="107">
        <v>294</v>
      </c>
      <c r="C457" s="31">
        <v>10</v>
      </c>
      <c r="D457" s="106" t="s">
        <v>17</v>
      </c>
      <c r="E457" s="2" t="s">
        <v>98</v>
      </c>
      <c r="F457" s="2"/>
      <c r="G457" s="2"/>
      <c r="H457" s="33">
        <f>IF(AT457=1,3,IF(AY457=1,3,2))</f>
        <v>3</v>
      </c>
      <c r="I457" s="173">
        <f>M457/AE457</f>
        <v>649.23289174419187</v>
      </c>
      <c r="J457" s="174">
        <f>AH457/AE457</f>
        <v>34.707673678702669</v>
      </c>
      <c r="K457" s="207">
        <f>RANK(I457,$I$76:$I$977)</f>
        <v>381</v>
      </c>
      <c r="L457" s="208" t="e">
        <f>RANK(I457,$I$76:$I$450)</f>
        <v>#N/A</v>
      </c>
      <c r="M457" s="173">
        <f>SUM(N457:R457)</f>
        <v>5181.4913519684578</v>
      </c>
      <c r="N457" s="174">
        <f>T457*(1+((AG457+IF(F457="백어택",8,0))/100)*((AI457/100-1)))</f>
        <v>1233.6884171353472</v>
      </c>
      <c r="O457" s="174">
        <f>U457*(1+(AG457/100)*(AI457/100-1))</f>
        <v>1727.1637839894863</v>
      </c>
      <c r="P457" s="174">
        <f>V457*(1+(AG457/100)*(AI457/100-1))</f>
        <v>2220.639150843625</v>
      </c>
      <c r="Q457" s="174"/>
      <c r="R457" s="175"/>
      <c r="S457" s="173">
        <f>SUM(T457:X457)</f>
        <v>3924.2352801263414</v>
      </c>
      <c r="T457" s="174">
        <f>AL457*AV457</f>
        <v>934.34173336341473</v>
      </c>
      <c r="U457" s="174">
        <f>AL457*AW457</f>
        <v>1308.0784267087806</v>
      </c>
      <c r="V457" s="174">
        <f>IF(H457=3,AL457,0)*(1+AW457-1+AW457-1)</f>
        <v>1681.8151200541463</v>
      </c>
      <c r="W457" s="174"/>
      <c r="X457" s="175"/>
      <c r="Y457" s="173">
        <f>SUM(Z457:AD457)</f>
        <v>10540.919779829606</v>
      </c>
      <c r="Z457" s="174">
        <f>T457*AI457/100</f>
        <v>2509.7428047213352</v>
      </c>
      <c r="AA457" s="174">
        <f>U457*AI457/100</f>
        <v>3513.6399266098688</v>
      </c>
      <c r="AB457" s="174">
        <f>V457*AI457/100</f>
        <v>4517.5370484984023</v>
      </c>
      <c r="AC457" s="174"/>
      <c r="AD457" s="175"/>
      <c r="AE457" s="173">
        <f>AO457*(1-$D$17/100)</f>
        <v>7.980944</v>
      </c>
      <c r="AF457" s="174">
        <f>AP457</f>
        <v>36</v>
      </c>
      <c r="AG457" s="174">
        <f>IF($D$57&gt;100,100,$D$57)</f>
        <v>19.001300000000001</v>
      </c>
      <c r="AH457" s="174">
        <f>AQ457</f>
        <v>277</v>
      </c>
      <c r="AI457" s="174">
        <f>$D$58+$D$19</f>
        <v>268.61079999999998</v>
      </c>
      <c r="AJ457" s="174">
        <f>10*AR457/IF(AT457=0,IF(AY457=0,8,5),5)</f>
        <v>2</v>
      </c>
      <c r="AK457" s="174">
        <f>H457*SUM(AL457:AN457)</f>
        <v>2803.0252000902442</v>
      </c>
      <c r="AL457" s="174">
        <f>((VLOOKUP(C457,$B$36:$AG$39,24,FALSE)+VLOOKUP(C457,$B$40:$AG$43,24,FALSE)*$D$54))*$D$59/100</f>
        <v>934.34173336341473</v>
      </c>
      <c r="AM457" s="174"/>
      <c r="AN457" s="174"/>
      <c r="AO457" s="176">
        <v>8</v>
      </c>
      <c r="AP457" s="174">
        <v>36</v>
      </c>
      <c r="AQ457" s="175">
        <f>VLOOKUP(C457,$B$45:$AA$48,24,FALSE)</f>
        <v>277</v>
      </c>
      <c r="AR457" s="31">
        <f>IF(LEFT(E457,1)*1=1,$S$67,$R$67)</f>
        <v>1</v>
      </c>
      <c r="AS457" s="2">
        <f>IF(LEFT(E457,1)*1=2,$U$67,$T$67)</f>
        <v>0</v>
      </c>
      <c r="AT457" s="33">
        <f>IF(LEFT(E457,1)*1=3,$W$67,$V$67)</f>
        <v>0</v>
      </c>
      <c r="AU457" s="31">
        <f>IF(MID(E457,3,1)*1=1,$Y$67,$X$67)</f>
        <v>0</v>
      </c>
      <c r="AV457" s="2">
        <f>IF(MID(E457,3,1)*1=2,$AA$67,$Z$67)</f>
        <v>1</v>
      </c>
      <c r="AW457" s="33">
        <f>IF(MID(E457,3,1)*1=3,$AC$67,$AB$67)</f>
        <v>1.4</v>
      </c>
      <c r="AX457" s="31">
        <f>IF(MID(E457,5,1)*1=1,$AE$67,$AD$67)</f>
        <v>0</v>
      </c>
      <c r="AY457" s="33">
        <f>IF(MID(E457,5,1)*1=2,$AG$67,$AF$67)</f>
        <v>1</v>
      </c>
      <c r="AZ457" s="2"/>
      <c r="BA457" s="101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</row>
    <row r="458" spans="1:71" ht="12" customHeight="1">
      <c r="A458" s="2"/>
      <c r="B458" s="107">
        <v>297</v>
      </c>
      <c r="C458" s="31">
        <v>10</v>
      </c>
      <c r="D458" s="106" t="s">
        <v>17</v>
      </c>
      <c r="E458" s="2" t="s">
        <v>157</v>
      </c>
      <c r="F458" s="2"/>
      <c r="G458" s="2"/>
      <c r="H458" s="33">
        <f>IF(AT458=1,3,IF(AY458=1,3,2))</f>
        <v>3</v>
      </c>
      <c r="I458" s="173">
        <f>M458/AE458</f>
        <v>649.23289174419187</v>
      </c>
      <c r="J458" s="174">
        <f>AH458/AE458</f>
        <v>34.707673678702669</v>
      </c>
      <c r="K458" s="207">
        <f>RANK(I458,$I$76:$I$977)</f>
        <v>381</v>
      </c>
      <c r="L458" s="208" t="e">
        <f>RANK(I458,$I$76:$I$450)</f>
        <v>#N/A</v>
      </c>
      <c r="M458" s="173">
        <f>SUM(N458:R458)</f>
        <v>5181.4913519684578</v>
      </c>
      <c r="N458" s="174">
        <f>T458*(1+((AG458+IF(F458="백어택",8,0))/100)*((AI458/100-1)))</f>
        <v>1233.6884171353472</v>
      </c>
      <c r="O458" s="174">
        <f>U458*(1+(AG458/100)*(AI458/100-1))</f>
        <v>1727.1637839894863</v>
      </c>
      <c r="P458" s="174">
        <f>V458*(1+(AG458/100)*(AI458/100-1))</f>
        <v>2220.639150843625</v>
      </c>
      <c r="Q458" s="174"/>
      <c r="R458" s="175"/>
      <c r="S458" s="173">
        <f>SUM(T458:X458)</f>
        <v>3924.2352801263414</v>
      </c>
      <c r="T458" s="174">
        <f>AL458*AV458</f>
        <v>934.34173336341473</v>
      </c>
      <c r="U458" s="174">
        <f>AL458*AW458</f>
        <v>1308.0784267087806</v>
      </c>
      <c r="V458" s="174">
        <f>IF(H458=3,AL458,0)*(1+AW458-1+AW458-1)</f>
        <v>1681.8151200541463</v>
      </c>
      <c r="W458" s="174"/>
      <c r="X458" s="175"/>
      <c r="Y458" s="173">
        <f>SUM(Z458:AD458)</f>
        <v>10540.919779829606</v>
      </c>
      <c r="Z458" s="174">
        <f>T458*AI458/100</f>
        <v>2509.7428047213352</v>
      </c>
      <c r="AA458" s="174">
        <f>U458*AI458/100</f>
        <v>3513.6399266098688</v>
      </c>
      <c r="AB458" s="174">
        <f>V458*AI458/100</f>
        <v>4517.5370484984023</v>
      </c>
      <c r="AC458" s="174"/>
      <c r="AD458" s="175"/>
      <c r="AE458" s="173">
        <f>AO458*(1-$D$17/100)</f>
        <v>7.980944</v>
      </c>
      <c r="AF458" s="174">
        <f>AP458</f>
        <v>36</v>
      </c>
      <c r="AG458" s="174">
        <f>IF($D$57&gt;100,100,$D$57)</f>
        <v>19.001300000000001</v>
      </c>
      <c r="AH458" s="174">
        <f>AQ458</f>
        <v>277</v>
      </c>
      <c r="AI458" s="174">
        <f>$D$58+$D$19</f>
        <v>268.61079999999998</v>
      </c>
      <c r="AJ458" s="174">
        <f>10*AR458/IF(AT458=0,IF(AY458=0,8,5),5)</f>
        <v>1.6</v>
      </c>
      <c r="AK458" s="174">
        <f>H458*SUM(AL458:AN458)</f>
        <v>2803.0252000902442</v>
      </c>
      <c r="AL458" s="174">
        <f>((VLOOKUP(C458,$B$36:$AG$39,24,FALSE)+VLOOKUP(C458,$B$40:$AG$43,24,FALSE)*$D$54))*$D$59/100</f>
        <v>934.34173336341473</v>
      </c>
      <c r="AM458" s="174"/>
      <c r="AN458" s="174"/>
      <c r="AO458" s="176">
        <v>8</v>
      </c>
      <c r="AP458" s="174">
        <v>36</v>
      </c>
      <c r="AQ458" s="175">
        <f>VLOOKUP(C458,$B$45:$AA$48,24,FALSE)</f>
        <v>277</v>
      </c>
      <c r="AR458" s="31">
        <f>IF(LEFT(E458,1)*1=1,$S$67,$R$67)</f>
        <v>0.8</v>
      </c>
      <c r="AS458" s="2">
        <f>IF(LEFT(E458,1)*1=2,$U$67,$T$67)</f>
        <v>0</v>
      </c>
      <c r="AT458" s="33">
        <f>IF(LEFT(E458,1)*1=3,$W$67,$V$67)</f>
        <v>0</v>
      </c>
      <c r="AU458" s="31">
        <f>IF(MID(E458,3,1)*1=1,$Y$67,$X$67)</f>
        <v>0</v>
      </c>
      <c r="AV458" s="2">
        <f>IF(MID(E458,3,1)*1=2,$AA$67,$Z$67)</f>
        <v>1</v>
      </c>
      <c r="AW458" s="33">
        <f>IF(MID(E458,3,1)*1=3,$AC$67,$AB$67)</f>
        <v>1.4</v>
      </c>
      <c r="AX458" s="31">
        <f>IF(MID(E458,5,1)*1=1,$AE$67,$AD$67)</f>
        <v>0</v>
      </c>
      <c r="AY458" s="33">
        <f>IF(MID(E458,5,1)*1=2,$AG$67,$AF$67)</f>
        <v>1</v>
      </c>
      <c r="AZ458" s="2"/>
      <c r="BA458" s="101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</row>
    <row r="459" spans="1:71" ht="12" customHeight="1">
      <c r="A459" s="2"/>
      <c r="B459" s="107">
        <v>300</v>
      </c>
      <c r="C459" s="31">
        <v>10</v>
      </c>
      <c r="D459" s="106" t="s">
        <v>17</v>
      </c>
      <c r="E459" s="2" t="s">
        <v>135</v>
      </c>
      <c r="F459" s="2"/>
      <c r="G459" s="2"/>
      <c r="H459" s="33">
        <f>IF(AT459=1,3,IF(AY459=1,3,2))</f>
        <v>3</v>
      </c>
      <c r="I459" s="173">
        <f>M459/AE459</f>
        <v>649.23289174419187</v>
      </c>
      <c r="J459" s="174">
        <f>AH459/AE459</f>
        <v>34.707673678702669</v>
      </c>
      <c r="K459" s="207">
        <f>RANK(I459,$I$76:$I$977)</f>
        <v>381</v>
      </c>
      <c r="L459" s="208" t="e">
        <f>RANK(I459,$I$76:$I$450)</f>
        <v>#N/A</v>
      </c>
      <c r="M459" s="173">
        <f>SUM(N459:R459)</f>
        <v>5181.4913519684578</v>
      </c>
      <c r="N459" s="174">
        <f>T459*(1+((AG459+IF(F459="백어택",8,0))/100)*((AI459/100-1)))</f>
        <v>1233.6884171353472</v>
      </c>
      <c r="O459" s="174">
        <f>U459*(1+(AG459/100)*(AI459/100-1))</f>
        <v>1727.1637839894863</v>
      </c>
      <c r="P459" s="174">
        <f>V459*(1+(AG459/100)*(AI459/100-1))</f>
        <v>2220.639150843625</v>
      </c>
      <c r="Q459" s="174"/>
      <c r="R459" s="175"/>
      <c r="S459" s="173">
        <f>SUM(T459:X459)</f>
        <v>3924.2352801263414</v>
      </c>
      <c r="T459" s="174">
        <f>AL459*AV459</f>
        <v>934.34173336341473</v>
      </c>
      <c r="U459" s="174">
        <f>AL459*AW459</f>
        <v>1308.0784267087806</v>
      </c>
      <c r="V459" s="174">
        <f>IF(H459=3,AL459,0)*(1+AW459-1+AW459-1)</f>
        <v>1681.8151200541463</v>
      </c>
      <c r="W459" s="174"/>
      <c r="X459" s="175"/>
      <c r="Y459" s="173">
        <f>SUM(Z459:AD459)</f>
        <v>10540.919779829606</v>
      </c>
      <c r="Z459" s="174">
        <f>T459*AI459/100</f>
        <v>2509.7428047213352</v>
      </c>
      <c r="AA459" s="174">
        <f>U459*AI459/100</f>
        <v>3513.6399266098688</v>
      </c>
      <c r="AB459" s="174">
        <f>V459*AI459/100</f>
        <v>4517.5370484984023</v>
      </c>
      <c r="AC459" s="174"/>
      <c r="AD459" s="175"/>
      <c r="AE459" s="173">
        <f>AO459*(1-$D$17/100)</f>
        <v>7.980944</v>
      </c>
      <c r="AF459" s="174">
        <f>AP459</f>
        <v>36</v>
      </c>
      <c r="AG459" s="174">
        <f>IF($D$57&gt;100,100,$D$57)</f>
        <v>19.001300000000001</v>
      </c>
      <c r="AH459" s="174">
        <f>AQ459</f>
        <v>277</v>
      </c>
      <c r="AI459" s="174">
        <f>$D$58+$D$19</f>
        <v>268.61079999999998</v>
      </c>
      <c r="AJ459" s="174">
        <f>10*AR459/IF(AT459=0,IF(AY459=0,8,5),5)</f>
        <v>2</v>
      </c>
      <c r="AK459" s="174">
        <f>H459*SUM(AL459:AN459)</f>
        <v>2803.0252000902442</v>
      </c>
      <c r="AL459" s="174">
        <f>((VLOOKUP(C459,$B$36:$AG$39,24,FALSE)+VLOOKUP(C459,$B$40:$AG$43,24,FALSE)*$D$54))*$D$59/100</f>
        <v>934.34173336341473</v>
      </c>
      <c r="AM459" s="174"/>
      <c r="AN459" s="174"/>
      <c r="AO459" s="176">
        <v>8</v>
      </c>
      <c r="AP459" s="174">
        <v>36</v>
      </c>
      <c r="AQ459" s="175">
        <f>VLOOKUP(C459,$B$45:$AA$48,24,FALSE)</f>
        <v>277</v>
      </c>
      <c r="AR459" s="31">
        <f>IF(LEFT(E459,1)*1=1,$S$67,$R$67)</f>
        <v>1</v>
      </c>
      <c r="AS459" s="2">
        <f>IF(LEFT(E459,1)*1=2,$U$67,$T$67)</f>
        <v>0</v>
      </c>
      <c r="AT459" s="33">
        <f>IF(LEFT(E459,1)*1=3,$W$67,$V$67)</f>
        <v>1</v>
      </c>
      <c r="AU459" s="31">
        <f>IF(MID(E459,3,1)*1=1,$Y$67,$X$67)</f>
        <v>0</v>
      </c>
      <c r="AV459" s="2">
        <f>IF(MID(E459,3,1)*1=2,$AA$67,$Z$67)</f>
        <v>1</v>
      </c>
      <c r="AW459" s="33">
        <f>IF(MID(E459,3,1)*1=3,$AC$67,$AB$67)</f>
        <v>1.4</v>
      </c>
      <c r="AX459" s="31">
        <f>IF(MID(E459,5,1)*1=1,$AE$67,$AD$67)</f>
        <v>0</v>
      </c>
      <c r="AY459" s="33">
        <f>IF(MID(E459,5,1)*1=2,$AG$67,$AF$67)</f>
        <v>1</v>
      </c>
      <c r="AZ459" s="2"/>
      <c r="BA459" s="101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</row>
    <row r="460" spans="1:71" ht="12" customHeight="1">
      <c r="A460" s="2"/>
      <c r="B460" s="107">
        <v>878</v>
      </c>
      <c r="C460" s="31">
        <v>7</v>
      </c>
      <c r="D460" s="113" t="s">
        <v>19</v>
      </c>
      <c r="E460" s="2" t="s">
        <v>179</v>
      </c>
      <c r="F460" s="2"/>
      <c r="G460" s="2"/>
      <c r="H460" s="33">
        <f>IF(AY460=1,4,6)</f>
        <v>4</v>
      </c>
      <c r="I460" s="173">
        <f>M460/AE460</f>
        <v>648.79856554282833</v>
      </c>
      <c r="J460" s="174">
        <f>AH460/AE460</f>
        <v>15.161113773007305</v>
      </c>
      <c r="K460" s="207">
        <f>RANK(I460,$I$76:$I$977)</f>
        <v>385</v>
      </c>
      <c r="L460" s="208" t="e">
        <f>RANK(I460,$I$867:$I$977)</f>
        <v>#N/A</v>
      </c>
      <c r="M460" s="173">
        <f>SUM(N460:R460)*(1+$D$22/100)</f>
        <v>15534.075056632928</v>
      </c>
      <c r="N460" s="174">
        <f>T460*(1+($D$57/100)*($D$58/100-1))</f>
        <v>7195.4114046212871</v>
      </c>
      <c r="O460" s="174">
        <f>U460*(1+(AG460/100)*(AI460/100-1))</f>
        <v>6800.8042624085374</v>
      </c>
      <c r="P460" s="174"/>
      <c r="Q460" s="174"/>
      <c r="R460" s="175"/>
      <c r="S460" s="173">
        <f>SUM(T460:X460)</f>
        <v>9446.9002825868902</v>
      </c>
      <c r="T460" s="174">
        <f>AL460*AU460</f>
        <v>6046.4981513826215</v>
      </c>
      <c r="U460" s="174">
        <f>AM460*AU460</f>
        <v>3400.4021312042687</v>
      </c>
      <c r="V460" s="174"/>
      <c r="W460" s="174"/>
      <c r="X460" s="175"/>
      <c r="Y460" s="173">
        <f>SUM(Z460:AD460)</f>
        <v>18893.80056517378</v>
      </c>
      <c r="Z460" s="174">
        <f>T460*$D$58/100</f>
        <v>12092.996302765243</v>
      </c>
      <c r="AA460" s="174">
        <f>U460*$D$58/100</f>
        <v>6800.8042624085374</v>
      </c>
      <c r="AB460" s="174"/>
      <c r="AC460" s="174"/>
      <c r="AD460" s="175"/>
      <c r="AE460" s="173">
        <f>AO460*(1-$D$17/100)</f>
        <v>23.942831999999999</v>
      </c>
      <c r="AF460" s="174">
        <f>AP460</f>
        <v>36</v>
      </c>
      <c r="AG460" s="174">
        <f>IF($D$57+AT460&gt;100,100,$D$57+AT460)</f>
        <v>100</v>
      </c>
      <c r="AH460" s="174">
        <f>AQ460</f>
        <v>363</v>
      </c>
      <c r="AI460" s="174">
        <f>$D$58</f>
        <v>200</v>
      </c>
      <c r="AJ460" s="174">
        <f>10/IF(AY460=1,(2.5+AX460),2)</f>
        <v>4</v>
      </c>
      <c r="AK460" s="174">
        <f>SUM(AL460:AN460)</f>
        <v>7557.5202260695123</v>
      </c>
      <c r="AL460" s="174">
        <f>(H460-1)*(VLOOKUP(C460,$B$36:$AG$39,27,FALSE)+VLOOKUP(C460,$B$40:$AG$43,27,FALSE)*$D$54)*$D$59/100</f>
        <v>4837.1985211060974</v>
      </c>
      <c r="AM460" s="174">
        <f>(VLOOKUP(C460,$B$36:$AG$39,28,FALSE)+VLOOKUP(C460,$B$40:$AG$43,28,FALSE)*$D$54)*$D$59/100</f>
        <v>2720.321704963415</v>
      </c>
      <c r="AN460" s="174"/>
      <c r="AO460" s="176">
        <v>24</v>
      </c>
      <c r="AP460" s="174">
        <v>36</v>
      </c>
      <c r="AQ460" s="175">
        <f>VLOOKUP(C460,$B$45:$AG$48,27,FALSE)</f>
        <v>363</v>
      </c>
      <c r="AR460" s="31">
        <f>IF(LEFT(E460,1)*1=1,$S$69,$R$69)</f>
        <v>0</v>
      </c>
      <c r="AS460" s="2">
        <f>IF(LEFT(E460,1)*1=2,$U$69,$T$69)</f>
        <v>0</v>
      </c>
      <c r="AT460" s="33">
        <f>IF(LEFT(E460,1)*1=3,$W$69,$V$69)</f>
        <v>100</v>
      </c>
      <c r="AU460" s="31">
        <f>IF(MID(E460,3,1)*1=1,$Y$69,$X$69)</f>
        <v>1.25</v>
      </c>
      <c r="AV460" s="2">
        <f>IF(MID(E460,3,1)*1=2,$AA$69,$Z$69)</f>
        <v>0</v>
      </c>
      <c r="AW460" s="33">
        <f>IF(MID(E460,3,1)*1=3,$AC$69,$AB$69)</f>
        <v>0</v>
      </c>
      <c r="AX460" s="31">
        <f>IF(MID(E460,5,1)*1=1,$AE$69,$AD$69)</f>
        <v>0</v>
      </c>
      <c r="AY460" s="33">
        <f>IF(MID(E460,5,1)*1=2,$AG$69,$AF$69)</f>
        <v>1</v>
      </c>
      <c r="AZ460" s="2"/>
      <c r="BA460" s="101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</row>
    <row r="461" spans="1:71" ht="12" customHeight="1">
      <c r="A461" s="2"/>
      <c r="B461" s="107">
        <v>337</v>
      </c>
      <c r="C461" s="31">
        <v>7</v>
      </c>
      <c r="D461" s="106" t="s">
        <v>20</v>
      </c>
      <c r="E461" s="2" t="s">
        <v>152</v>
      </c>
      <c r="F461" s="2" t="s">
        <v>149</v>
      </c>
      <c r="G461" s="2"/>
      <c r="H461" s="33"/>
      <c r="I461" s="173">
        <f>M461/AE461</f>
        <v>646.75987591700471</v>
      </c>
      <c r="J461" s="174">
        <f>AH461/AE461</f>
        <v>20.525336287912033</v>
      </c>
      <c r="K461" s="207">
        <f>RANK(I461,$I$76:$I$977)</f>
        <v>386</v>
      </c>
      <c r="L461" s="208" t="e">
        <f>RANK(I461,$I$76:$I$450)</f>
        <v>#N/A</v>
      </c>
      <c r="M461" s="173">
        <f>SUM(N461:R461)</f>
        <v>9673.6676623152525</v>
      </c>
      <c r="N461" s="174">
        <f>T461*(1+((AG461+IF(F461="백어택",8,0))/100)*((AI461/100-1)))</f>
        <v>6115.9963781791357</v>
      </c>
      <c r="O461" s="174">
        <f>U461*(1+(($D$57+IF(F461="백어택",8,0))/100)*($D$58/100-1))</f>
        <v>3557.6712841361177</v>
      </c>
      <c r="P461" s="174"/>
      <c r="Q461" s="174"/>
      <c r="R461" s="175"/>
      <c r="S461" s="173">
        <f>SUM(T461:X461)</f>
        <v>7003.938242915855</v>
      </c>
      <c r="T461" s="174">
        <f>AL461*AV461*IF(F461="백어택",1.2,1)</f>
        <v>4202.6509457495131</v>
      </c>
      <c r="U461" s="174">
        <f>AM461*AX461*AY461*IF(F461="백어택",1.2,1)</f>
        <v>2801.2872971663419</v>
      </c>
      <c r="V461" s="174"/>
      <c r="W461" s="174"/>
      <c r="X461" s="175"/>
      <c r="Y461" s="173">
        <f>SUM(Z461:AD461)</f>
        <v>14007.87648583171</v>
      </c>
      <c r="Z461" s="174">
        <f>T461*$D$58/100</f>
        <v>8405.3018914990262</v>
      </c>
      <c r="AA461" s="174">
        <f>U461*$D$58/100</f>
        <v>5602.5745943326838</v>
      </c>
      <c r="AB461" s="174"/>
      <c r="AC461" s="174"/>
      <c r="AD461" s="175"/>
      <c r="AE461" s="173">
        <f>AO461*(1-$D$17/100)-AR461</f>
        <v>14.957124</v>
      </c>
      <c r="AF461" s="174">
        <f>AP461</f>
        <v>36</v>
      </c>
      <c r="AG461" s="174">
        <f>IF($D$57+AU461&gt;100,100,$D$57+AU461)</f>
        <v>19.001300000000001</v>
      </c>
      <c r="AH461" s="174">
        <f>AQ461*AS461</f>
        <v>307</v>
      </c>
      <c r="AI461" s="174">
        <f>$D$58+$D$19</f>
        <v>268.61079999999998</v>
      </c>
      <c r="AJ461" s="174">
        <f>10*IF(AV461=1,1,5/4.5)/IF(AX461=1,5,3.5)</f>
        <v>2.2222222222222223</v>
      </c>
      <c r="AK461" s="174">
        <f>SUM(AL461:AN461)</f>
        <v>4669.212161943904</v>
      </c>
      <c r="AL461" s="174">
        <f>(VLOOKUP(C461,$B$36:$AG$39,29,FALSE)+VLOOKUP(C461,$B$40:$AG$43,29,FALSE)*$D$54)*$D$59/100</f>
        <v>2334.8060809719518</v>
      </c>
      <c r="AM461" s="174">
        <f>(VLOOKUP(C461,$B$36:$AG$39,30,FALSE)+VLOOKUP(C461,$B$40:$AG$43,30,FALSE)*$D$54)*$D$59/100</f>
        <v>2334.4060809719517</v>
      </c>
      <c r="AN461" s="174"/>
      <c r="AO461" s="176">
        <v>18</v>
      </c>
      <c r="AP461" s="174">
        <v>36</v>
      </c>
      <c r="AQ461" s="175">
        <f>VLOOKUP(C461,$B$45:$AG$48,29,FALSE)</f>
        <v>307</v>
      </c>
      <c r="AR461" s="31">
        <f>IF(LEFT(E461,1)*1=1,$S$70,$R$70)</f>
        <v>3</v>
      </c>
      <c r="AS461" s="2">
        <f>IF(LEFT(E461,1)*1=2,$U$70,$T$70)</f>
        <v>1</v>
      </c>
      <c r="AT461" s="33">
        <f>IF(LEFT(E461,1)*1=3,$W$70,$V$70)</f>
        <v>0</v>
      </c>
      <c r="AU461" s="31">
        <f>IF(MID(E461,3,1)*1=1,$Y$70,$X$70)</f>
        <v>0</v>
      </c>
      <c r="AV461" s="2">
        <f>IF(MID(E461,3,1)*1=2,$AA$70,$Z$70)</f>
        <v>1.5</v>
      </c>
      <c r="AW461" s="33">
        <f>IF(MID(E461,3,1)*1=3,$AC$70,$AB$70)</f>
        <v>0</v>
      </c>
      <c r="AX461" s="31">
        <f>IF(MID(E461,5,1)*1=1,$AE$70,$AD$70)</f>
        <v>1</v>
      </c>
      <c r="AY461" s="33">
        <f>IF(MID(E461,5,1)*1=2,$AG$70,$AF$70)</f>
        <v>1</v>
      </c>
      <c r="AZ461" s="2"/>
      <c r="BA461" s="101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</row>
    <row r="462" spans="1:71" ht="12" customHeight="1">
      <c r="A462" s="2"/>
      <c r="B462" s="107">
        <v>690</v>
      </c>
      <c r="C462" s="31">
        <v>7</v>
      </c>
      <c r="D462" s="111" t="s">
        <v>18</v>
      </c>
      <c r="E462" s="2" t="s">
        <v>101</v>
      </c>
      <c r="F462" s="2" t="s">
        <v>149</v>
      </c>
      <c r="G462" s="2"/>
      <c r="H462" s="33" t="s">
        <v>81</v>
      </c>
      <c r="I462" s="173">
        <f>M462/AE462</f>
        <v>646.71694005645247</v>
      </c>
      <c r="J462" s="174">
        <f>AH462/AE462</f>
        <v>19.637781784066725</v>
      </c>
      <c r="K462" s="207">
        <f>RANK(I462,$I$76:$I$977)</f>
        <v>387</v>
      </c>
      <c r="L462" s="208">
        <f>RANK(I462,$I$451:$I$866)</f>
        <v>12</v>
      </c>
      <c r="M462" s="173">
        <f>SUM(N462:R462)</f>
        <v>11954.417857467246</v>
      </c>
      <c r="N462" s="174">
        <f>T462*(1+((AG462+IF(F462="백어택",8,0))/100)*(AI462/100-1))</f>
        <v>7135.6653004363916</v>
      </c>
      <c r="O462" s="174">
        <f>U462*(1+(($D$57+IF(F462="백어택",8,0))/100)*(AI462/100-1))</f>
        <v>4818.7525570308544</v>
      </c>
      <c r="P462" s="174"/>
      <c r="Q462" s="174"/>
      <c r="R462" s="175"/>
      <c r="S462" s="173">
        <f>SUM(T462:X462)</f>
        <v>9412.8310950102441</v>
      </c>
      <c r="T462" s="174">
        <f>AL462*IF(H462="근접",AT462,IF(AV462=1,AT462,1))*AX462*IF(F462="백어택",1.2,1)</f>
        <v>5618.576581843171</v>
      </c>
      <c r="U462" s="174">
        <f>IF(AX462=1,AM462*IF(H462="근접",AT462,IF(AV462=1,AT462,1)),0)*AY462*IF(AX462=1,1,0)*IF(F462="백어택",1.2,1)</f>
        <v>3794.2545131670736</v>
      </c>
      <c r="V462" s="174"/>
      <c r="W462" s="174"/>
      <c r="X462" s="175"/>
      <c r="Y462" s="173">
        <f>SUM(Z462:AD462)</f>
        <v>18825.662190020488</v>
      </c>
      <c r="Z462" s="174">
        <f>T462*$D$58/100</f>
        <v>11237.153163686342</v>
      </c>
      <c r="AA462" s="174">
        <f>U462*$D$58/100</f>
        <v>7588.5090263341472</v>
      </c>
      <c r="AB462" s="174"/>
      <c r="AC462" s="174"/>
      <c r="AD462" s="175"/>
      <c r="AE462" s="173">
        <f>(AO462*(1-$D$20/100)*(1-$D$17/100)-AR462)*IF(AW462="보스대상",1,POWER(0.85,AW462))</f>
        <v>18.484776131615998</v>
      </c>
      <c r="AF462" s="174">
        <f>AP462</f>
        <v>36</v>
      </c>
      <c r="AG462" s="174">
        <f>IF($D$57+AU462&gt;100,100,$D$57+AU462)</f>
        <v>19.001300000000001</v>
      </c>
      <c r="AH462" s="174">
        <f>AQ462</f>
        <v>363</v>
      </c>
      <c r="AI462" s="174">
        <f>$D$58</f>
        <v>200</v>
      </c>
      <c r="AJ462" s="174">
        <f>10*AS462/IF(AX462=1,IF(AY462=1,4.5,4),4)</f>
        <v>1.7777777777777777</v>
      </c>
      <c r="AK462" s="174">
        <f>SUM(AL462:AN462)</f>
        <v>7844.0259125085377</v>
      </c>
      <c r="AL462" s="174">
        <f>IF(AV462=1,$D$61*(VLOOKUP(C462,$B$36:$AG$39,25,FALSE)+VLOOKUP(C462,$B$40:$AG$43,25,FALSE)*$D$54),(IF(H462="근접",$D$61*(VLOOKUP(C462,$B$36:$AG$39,25,FALSE)+VLOOKUP(C462,$B$40:$AG$43,25,FALSE)*$D$54),$D$60*(VLOOKUP(C462,$B$36:$AG$39,25,FALSE)+VLOOKUP(C462,$B$40:$AG$43,25,FALSE)*$D$54))))*$D$59/100</f>
        <v>4682.1471515359763</v>
      </c>
      <c r="AM462" s="174">
        <f>(IF(AV462=1,$D$61*(VLOOKUP(C462,$B$36:$AG$39,26,FALSE)+VLOOKUP(C462,$B$40:$AG$43,26,FALSE)*$D$54),IF(H462="근접",$D$61*(VLOOKUP(C462,$B$36:$AG$39,26,FALSE)+VLOOKUP(C462,$B$40:$AG$43,26,FALSE)*$D$54),$D$60*(VLOOKUP(C462,$B$36:$AG$39,26,FALSE)+VLOOKUP(C462,$B$40:$AG$43,26,FALSE)*$D$54))))*$D$59/100</f>
        <v>3161.8787609725614</v>
      </c>
      <c r="AN462" s="174"/>
      <c r="AO462" s="176">
        <v>24</v>
      </c>
      <c r="AP462" s="174">
        <v>36</v>
      </c>
      <c r="AQ462" s="175">
        <f>VLOOKUP(C462,$B$45:$AA$48,25,FALSE)</f>
        <v>363</v>
      </c>
      <c r="AR462" s="31">
        <f>IF(LEFT(E462,1)*1=1,$S$68,$R$68)</f>
        <v>0</v>
      </c>
      <c r="AS462" s="2">
        <f>IF(LEFT(E462,1)*1=2,$U$68,$T$68)</f>
        <v>0.8</v>
      </c>
      <c r="AT462" s="33">
        <f>IF(LEFT(E462,1)*1=3,$W$68,$V$68)</f>
        <v>1</v>
      </c>
      <c r="AU462" s="31">
        <f>IF(MID(E462,3,1)*1=1,$Y$68,$X$68)</f>
        <v>0</v>
      </c>
      <c r="AV462" s="2">
        <f>IF(MID(E462,3,1)*1=2,$AA$68,$Z$68)</f>
        <v>1</v>
      </c>
      <c r="AW462" s="33" t="str">
        <f>IF(MID(E462,3,1)*1=3,$AC$68,$AB$68)</f>
        <v>보스대상</v>
      </c>
      <c r="AX462" s="31">
        <f>IF(MID(E462,5,1)*1=1,$AE$68,$AD$68)</f>
        <v>1</v>
      </c>
      <c r="AY462" s="33">
        <f>IF(MID(E462,5,1)*1=2,$AG$68,$AF$68)</f>
        <v>1</v>
      </c>
      <c r="AZ462" s="2"/>
      <c r="BA462" s="101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</row>
    <row r="463" spans="1:71" ht="12" customHeight="1">
      <c r="A463" s="2"/>
      <c r="B463" s="107">
        <v>721</v>
      </c>
      <c r="C463" s="31">
        <v>7</v>
      </c>
      <c r="D463" s="111" t="s">
        <v>18</v>
      </c>
      <c r="E463" s="2" t="s">
        <v>101</v>
      </c>
      <c r="F463" s="2" t="s">
        <v>149</v>
      </c>
      <c r="G463" s="2"/>
      <c r="H463" s="33" t="s">
        <v>80</v>
      </c>
      <c r="I463" s="173">
        <f>M463/AE463</f>
        <v>646.71694005645247</v>
      </c>
      <c r="J463" s="174">
        <f>AH463/AE463</f>
        <v>19.637781784066725</v>
      </c>
      <c r="K463" s="207">
        <f>RANK(I463,$I$76:$I$977)</f>
        <v>387</v>
      </c>
      <c r="L463" s="208">
        <f>RANK(I463,$I$451:$I$866)</f>
        <v>12</v>
      </c>
      <c r="M463" s="173">
        <f>SUM(N463:R463)</f>
        <v>11954.417857467246</v>
      </c>
      <c r="N463" s="174">
        <f>T463*(1+((AG463+IF(F463="백어택",8,0))/100)*(AI463/100-1))</f>
        <v>7135.6653004363916</v>
      </c>
      <c r="O463" s="174">
        <f>U463*(1+(($D$57+IF(F463="백어택",8,0))/100)*(AI463/100-1))</f>
        <v>4818.7525570308544</v>
      </c>
      <c r="P463" s="174"/>
      <c r="Q463" s="174"/>
      <c r="R463" s="175"/>
      <c r="S463" s="173">
        <f>SUM(T463:X463)</f>
        <v>9412.8310950102441</v>
      </c>
      <c r="T463" s="174">
        <f>AL463*IF(H463="근접",AT463,IF(AV463=1,AT463,1))*AX463*IF(F463="백어택",1.2,1)</f>
        <v>5618.576581843171</v>
      </c>
      <c r="U463" s="174">
        <f>IF(AX463=1,AM463*IF(H463="근접",AT463,IF(AV463=1,AT463,1)),0)*AY463*IF(AX463=1,1,0)*IF(F463="백어택",1.2,1)</f>
        <v>3794.2545131670736</v>
      </c>
      <c r="V463" s="174"/>
      <c r="W463" s="174"/>
      <c r="X463" s="175"/>
      <c r="Y463" s="173">
        <f>SUM(Z463:AD463)</f>
        <v>18825.662190020488</v>
      </c>
      <c r="Z463" s="174">
        <f>T463*$D$58/100</f>
        <v>11237.153163686342</v>
      </c>
      <c r="AA463" s="174">
        <f>U463*$D$58/100</f>
        <v>7588.5090263341472</v>
      </c>
      <c r="AB463" s="174"/>
      <c r="AC463" s="174"/>
      <c r="AD463" s="175"/>
      <c r="AE463" s="173">
        <f>(AO463*(1-$D$20/100)*(1-$D$17/100)-AR463)*IF(AW463="보스대상",1,POWER(0.85,AW463))</f>
        <v>18.484776131615998</v>
      </c>
      <c r="AF463" s="174">
        <f>AP463</f>
        <v>36</v>
      </c>
      <c r="AG463" s="174">
        <f>IF($D$57+AU463&gt;100,100,$D$57+AU463)</f>
        <v>19.001300000000001</v>
      </c>
      <c r="AH463" s="174">
        <f>AQ463</f>
        <v>363</v>
      </c>
      <c r="AI463" s="174">
        <f>$D$58</f>
        <v>200</v>
      </c>
      <c r="AJ463" s="174">
        <f>10*AS463/IF(AX463=1,IF(AY463=1,4.5,4),4)</f>
        <v>1.7777777777777777</v>
      </c>
      <c r="AK463" s="174">
        <f>SUM(AL463:AN463)</f>
        <v>7844.0259125085377</v>
      </c>
      <c r="AL463" s="174">
        <f>IF(AV463=1,$D$61*(VLOOKUP(C463,$B$36:$AG$39,25,FALSE)+VLOOKUP(C463,$B$40:$AG$43,25,FALSE)*$D$54),(IF(H463="근접",$D$61*(VLOOKUP(C463,$B$36:$AG$39,25,FALSE)+VLOOKUP(C463,$B$40:$AG$43,25,FALSE)*$D$54),$D$60*(VLOOKUP(C463,$B$36:$AG$39,25,FALSE)+VLOOKUP(C463,$B$40:$AG$43,25,FALSE)*$D$54))))*$D$59/100</f>
        <v>4682.1471515359763</v>
      </c>
      <c r="AM463" s="174">
        <f>(IF(AV463=1,$D$61*(VLOOKUP(C463,$B$36:$AG$39,26,FALSE)+VLOOKUP(C463,$B$40:$AG$43,26,FALSE)*$D$54),IF(H463="근접",$D$61*(VLOOKUP(C463,$B$36:$AG$39,26,FALSE)+VLOOKUP(C463,$B$40:$AG$43,26,FALSE)*$D$54),$D$60*(VLOOKUP(C463,$B$36:$AG$39,26,FALSE)+VLOOKUP(C463,$B$40:$AG$43,26,FALSE)*$D$54))))*$D$59/100</f>
        <v>3161.8787609725614</v>
      </c>
      <c r="AN463" s="174"/>
      <c r="AO463" s="176">
        <v>24</v>
      </c>
      <c r="AP463" s="174">
        <v>36</v>
      </c>
      <c r="AQ463" s="175">
        <f>VLOOKUP(C463,$B$45:$AA$48,25,FALSE)</f>
        <v>363</v>
      </c>
      <c r="AR463" s="31">
        <f>IF(LEFT(E463,1)*1=1,$S$68,$R$68)</f>
        <v>0</v>
      </c>
      <c r="AS463" s="2">
        <f>IF(LEFT(E463,1)*1=2,$U$68,$T$68)</f>
        <v>0.8</v>
      </c>
      <c r="AT463" s="33">
        <f>IF(LEFT(E463,1)*1=3,$W$68,$V$68)</f>
        <v>1</v>
      </c>
      <c r="AU463" s="31">
        <f>IF(MID(E463,3,1)*1=1,$Y$68,$X$68)</f>
        <v>0</v>
      </c>
      <c r="AV463" s="2">
        <f>IF(MID(E463,3,1)*1=2,$AA$68,$Z$68)</f>
        <v>1</v>
      </c>
      <c r="AW463" s="33" t="str">
        <f>IF(MID(E463,3,1)*1=3,$AC$68,$AB$68)</f>
        <v>보스대상</v>
      </c>
      <c r="AX463" s="31">
        <f>IF(MID(E463,5,1)*1=1,$AE$68,$AD$68)</f>
        <v>1</v>
      </c>
      <c r="AY463" s="33">
        <f>IF(MID(E463,5,1)*1=2,$AG$68,$AF$68)</f>
        <v>1</v>
      </c>
      <c r="AZ463" s="2"/>
      <c r="BA463" s="101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</row>
    <row r="464" spans="1:71" ht="12" customHeight="1">
      <c r="A464" s="2"/>
      <c r="B464" s="107">
        <v>63</v>
      </c>
      <c r="C464" s="31">
        <v>10</v>
      </c>
      <c r="D464" s="106" t="s">
        <v>4</v>
      </c>
      <c r="E464" s="2" t="s">
        <v>98</v>
      </c>
      <c r="F464" s="2"/>
      <c r="G464" s="2" t="s">
        <v>143</v>
      </c>
      <c r="H464" s="33"/>
      <c r="I464" s="173">
        <f>M464/AE464</f>
        <v>646.16663612677212</v>
      </c>
      <c r="J464" s="174">
        <f>AH464/AE464</f>
        <v>29.152775243964456</v>
      </c>
      <c r="K464" s="207">
        <f>RANK(I464,$I$76:$I$977)</f>
        <v>389</v>
      </c>
      <c r="L464" s="208" t="e">
        <f>RANK(I464,$I$76:$I$450)</f>
        <v>#N/A</v>
      </c>
      <c r="M464" s="173">
        <f>SUM(N464:R464)</f>
        <v>7735.5296063942178</v>
      </c>
      <c r="N464" s="174">
        <f>T464*(1+((AG464+IF(F464="백어택",8,0))/100)*((AI464/100-1)))</f>
        <v>726.40092698422472</v>
      </c>
      <c r="O464" s="174">
        <f>U464*(1+((AG464+IF(F464="백어택",8,0))/100)*(AI464/100-1))</f>
        <v>7009.1286794099933</v>
      </c>
      <c r="P464" s="174"/>
      <c r="Q464" s="174"/>
      <c r="R464" s="175"/>
      <c r="S464" s="173">
        <f>SUM(T464:X464)</f>
        <v>5858.5523220726227</v>
      </c>
      <c r="T464" s="174">
        <f>AT464*AL464*IF(F464="백어택",1.2,1)</f>
        <v>550.14434099268294</v>
      </c>
      <c r="U464" s="174">
        <f>AM464*AW464*AX464*AY464*IF(F464="백어택",1.2,1)</f>
        <v>5308.4079810799394</v>
      </c>
      <c r="V464" s="174"/>
      <c r="W464" s="174"/>
      <c r="X464" s="175"/>
      <c r="Y464" s="173">
        <f>SUM(Z464:AD464)</f>
        <v>11717.104644145245</v>
      </c>
      <c r="Z464" s="174">
        <f>T464*$D$58/100</f>
        <v>1100.2886819853659</v>
      </c>
      <c r="AA464" s="174">
        <f>U464*$D$58/100</f>
        <v>10616.815962159879</v>
      </c>
      <c r="AB464" s="174"/>
      <c r="AC464" s="174"/>
      <c r="AD464" s="175"/>
      <c r="AE464" s="173">
        <f>AO464*(1-$D$17/100)</f>
        <v>11.971416</v>
      </c>
      <c r="AF464" s="174">
        <f>AP464</f>
        <v>36</v>
      </c>
      <c r="AG464" s="174">
        <f>IF($D$57&gt;100,100,$D$57)</f>
        <v>19.001300000000001</v>
      </c>
      <c r="AH464" s="174">
        <f>AQ464</f>
        <v>349</v>
      </c>
      <c r="AI464" s="174">
        <f>$D$58+$D$19</f>
        <v>268.61079999999998</v>
      </c>
      <c r="AJ464" s="174">
        <f>10/IF(AY464=1,5,4)</f>
        <v>2.5</v>
      </c>
      <c r="AK464" s="174">
        <f>SUM(AL464:AN464)</f>
        <v>2748.2428838829269</v>
      </c>
      <c r="AL464" s="174">
        <f>(VLOOKUP(C464,$B$36:$AG$39,4,FALSE)+VLOOKUP(C464,$B$40:$AG$43,4,FALSE)*$D$54)*$D$59/100</f>
        <v>550.14434099268294</v>
      </c>
      <c r="AM464" s="174">
        <f>(VLOOKUP(C464,$B$36:$AG$39,5,FALSE)+VLOOKUP(C464,$B$40:$AG$43,5,FALSE)*$D$54)*$D$59/100</f>
        <v>2198.0985428902441</v>
      </c>
      <c r="AN464" s="174"/>
      <c r="AO464" s="176">
        <v>12</v>
      </c>
      <c r="AP464" s="174">
        <v>36</v>
      </c>
      <c r="AQ464" s="175">
        <f>VLOOKUP(C464,$B$45:$AA$48,4,FALSE)</f>
        <v>349</v>
      </c>
      <c r="AR464" s="31">
        <f>IF(LEFT(E464,1)*1=1,$S$54,$R$54)</f>
        <v>0</v>
      </c>
      <c r="AS464" s="2">
        <f>IF(LEFT(E464,1)*1=2,$U$54,$T$54)</f>
        <v>0</v>
      </c>
      <c r="AT464" s="33">
        <f>IF(LEFT(E464,1)*1=3,$W$54,$V$54)</f>
        <v>1</v>
      </c>
      <c r="AU464" s="31">
        <f>IF(MID(E464,3,1)*1=1,$Y$54,$X$54)</f>
        <v>0</v>
      </c>
      <c r="AV464" s="2">
        <f>IF(MID(E464,3,1)*1=2,$AA$54,$Z$54)</f>
        <v>0</v>
      </c>
      <c r="AW464" s="33">
        <f>IF(MID(E464,3,1)*1=3,$AC$54,$AB$54)</f>
        <v>1.4</v>
      </c>
      <c r="AX464" s="31">
        <f>IF(MID(E464,5,1)*1=1,$AE$54,$AD$54)</f>
        <v>1</v>
      </c>
      <c r="AY464" s="33">
        <f>IF(MID(E464,5,1)*1=2,$AG$54,$AF$54)</f>
        <v>1.7250000000000001</v>
      </c>
      <c r="AZ464" s="2"/>
      <c r="BA464" s="101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</row>
    <row r="465" spans="1:71" ht="12" customHeight="1">
      <c r="A465" s="2"/>
      <c r="B465" s="107">
        <v>625</v>
      </c>
      <c r="C465" s="31">
        <v>7</v>
      </c>
      <c r="D465" s="111" t="s">
        <v>18</v>
      </c>
      <c r="E465" s="2" t="s">
        <v>152</v>
      </c>
      <c r="F465" s="2"/>
      <c r="G465" s="2"/>
      <c r="H465" s="33" t="s">
        <v>81</v>
      </c>
      <c r="I465" s="173">
        <f>M465/AE465</f>
        <v>644.43473087910388</v>
      </c>
      <c r="J465" s="174">
        <f>AH465/AE465</f>
        <v>25.060794637183101</v>
      </c>
      <c r="K465" s="207">
        <f>RANK(I465,$I$76:$I$977)</f>
        <v>390</v>
      </c>
      <c r="L465" s="208">
        <f>RANK(I465,$I$451:$I$866)</f>
        <v>15</v>
      </c>
      <c r="M465" s="173">
        <f>SUM(N465:R465)</f>
        <v>9334.4928082220231</v>
      </c>
      <c r="N465" s="174">
        <f>T465*(1+((AG465+IF(F465="백어택",8,0))/100)*(AI465/100-1))</f>
        <v>5571.815978240782</v>
      </c>
      <c r="O465" s="174">
        <f>U465*(1+(($D$57+IF(F465="백어택",8,0))/100)*(AI465/100-1))</f>
        <v>3762.6768299812406</v>
      </c>
      <c r="P465" s="174"/>
      <c r="Q465" s="174"/>
      <c r="R465" s="175"/>
      <c r="S465" s="173">
        <f>SUM(T465:X465)</f>
        <v>7844.0259125085377</v>
      </c>
      <c r="T465" s="174">
        <f>AL465*IF(H465="근접",AT465,IF(AV465=1,AT465,1))*AX465*IF(F465="백어택",1.2,1)</f>
        <v>4682.1471515359763</v>
      </c>
      <c r="U465" s="174">
        <f>IF(AX465=1,AM465*IF(H465="근접",AT465,IF(AV465=1,AT465,1)),0)*AY465*IF(AX465=1,1,0)*IF(F465="백어택",1.2,1)</f>
        <v>3161.8787609725614</v>
      </c>
      <c r="V465" s="174"/>
      <c r="W465" s="174"/>
      <c r="X465" s="175"/>
      <c r="Y465" s="173">
        <f>SUM(Z465:AD465)</f>
        <v>15688.051825017075</v>
      </c>
      <c r="Z465" s="174">
        <f>T465*$D$58/100</f>
        <v>9364.2943030719525</v>
      </c>
      <c r="AA465" s="174">
        <f>U465*$D$58/100</f>
        <v>6323.7575219451228</v>
      </c>
      <c r="AB465" s="174"/>
      <c r="AC465" s="174"/>
      <c r="AD465" s="175"/>
      <c r="AE465" s="173">
        <f>(AO465*(1-$D$20/100)*(1-$D$17/100)-AR465)*IF(AW465="보스대상",1,POWER(0.85,AW465))</f>
        <v>14.484776131615998</v>
      </c>
      <c r="AF465" s="174">
        <f>AP465</f>
        <v>36</v>
      </c>
      <c r="AG465" s="174">
        <f>IF($D$57+AU465&gt;100,100,$D$57+AU465)</f>
        <v>19.001300000000001</v>
      </c>
      <c r="AH465" s="174">
        <f>AQ465</f>
        <v>363</v>
      </c>
      <c r="AI465" s="174">
        <f>$D$58</f>
        <v>200</v>
      </c>
      <c r="AJ465" s="174">
        <f>10*AS465/IF(AX465=1,IF(AY465=1,4.5,4),4)</f>
        <v>2.2222222222222223</v>
      </c>
      <c r="AK465" s="174">
        <f>SUM(AL465:AN465)</f>
        <v>7844.0259125085377</v>
      </c>
      <c r="AL465" s="174">
        <f>IF(AV465=1,$D$61*(VLOOKUP(C465,$B$36:$AG$39,25,FALSE)+VLOOKUP(C465,$B$40:$AG$43,25,FALSE)*$D$54),(IF(H465="근접",$D$61*(VLOOKUP(C465,$B$36:$AG$39,25,FALSE)+VLOOKUP(C465,$B$40:$AG$43,25,FALSE)*$D$54),$D$60*(VLOOKUP(C465,$B$36:$AG$39,25,FALSE)+VLOOKUP(C465,$B$40:$AG$43,25,FALSE)*$D$54))))*$D$59/100</f>
        <v>4682.1471515359763</v>
      </c>
      <c r="AM465" s="174">
        <f>(IF(AV465=1,$D$61*(VLOOKUP(C465,$B$36:$AG$39,26,FALSE)+VLOOKUP(C465,$B$40:$AG$43,26,FALSE)*$D$54),IF(H465="근접",$D$61*(VLOOKUP(C465,$B$36:$AG$39,26,FALSE)+VLOOKUP(C465,$B$40:$AG$43,26,FALSE)*$D$54),$D$60*(VLOOKUP(C465,$B$36:$AG$39,26,FALSE)+VLOOKUP(C465,$B$40:$AG$43,26,FALSE)*$D$54))))*$D$59/100</f>
        <v>3161.8787609725614</v>
      </c>
      <c r="AN465" s="174"/>
      <c r="AO465" s="176">
        <v>24</v>
      </c>
      <c r="AP465" s="174">
        <v>36</v>
      </c>
      <c r="AQ465" s="175">
        <f>VLOOKUP(C465,$B$45:$AA$48,25,FALSE)</f>
        <v>363</v>
      </c>
      <c r="AR465" s="31">
        <f>IF(LEFT(E465,1)*1=1,$S$68,$R$68)</f>
        <v>4</v>
      </c>
      <c r="AS465" s="2">
        <f>IF(LEFT(E465,1)*1=2,$U$68,$T$68)</f>
        <v>1</v>
      </c>
      <c r="AT465" s="33">
        <f>IF(LEFT(E465,1)*1=3,$W$68,$V$68)</f>
        <v>1</v>
      </c>
      <c r="AU465" s="31">
        <f>IF(MID(E465,3,1)*1=1,$Y$68,$X$68)</f>
        <v>0</v>
      </c>
      <c r="AV465" s="2">
        <f>IF(MID(E465,3,1)*1=2,$AA$68,$Z$68)</f>
        <v>1</v>
      </c>
      <c r="AW465" s="33" t="str">
        <f>IF(MID(E465,3,1)*1=3,$AC$68,$AB$68)</f>
        <v>보스대상</v>
      </c>
      <c r="AX465" s="31">
        <f>IF(MID(E465,5,1)*1=1,$AE$68,$AD$68)</f>
        <v>1</v>
      </c>
      <c r="AY465" s="33">
        <f>IF(MID(E465,5,1)*1=2,$AG$68,$AF$68)</f>
        <v>1</v>
      </c>
      <c r="AZ465" s="2"/>
      <c r="BA465" s="101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</row>
    <row r="466" spans="1:71" ht="12" customHeight="1">
      <c r="A466" s="2"/>
      <c r="B466" s="107">
        <v>656</v>
      </c>
      <c r="C466" s="31">
        <v>7</v>
      </c>
      <c r="D466" s="111" t="s">
        <v>18</v>
      </c>
      <c r="E466" s="2" t="s">
        <v>152</v>
      </c>
      <c r="F466" s="2"/>
      <c r="G466" s="2"/>
      <c r="H466" s="33" t="s">
        <v>80</v>
      </c>
      <c r="I466" s="173">
        <f>M466/AE466</f>
        <v>644.43473087910388</v>
      </c>
      <c r="J466" s="174">
        <f>AH466/AE466</f>
        <v>25.060794637183101</v>
      </c>
      <c r="K466" s="207">
        <f>RANK(I466,$I$76:$I$977)</f>
        <v>390</v>
      </c>
      <c r="L466" s="208">
        <f>RANK(I466,$I$451:$I$866)</f>
        <v>15</v>
      </c>
      <c r="M466" s="173">
        <f>SUM(N466:R466)</f>
        <v>9334.4928082220231</v>
      </c>
      <c r="N466" s="174">
        <f>T466*(1+((AG466+IF(F466="백어택",8,0))/100)*(AI466/100-1))</f>
        <v>5571.815978240782</v>
      </c>
      <c r="O466" s="174">
        <f>U466*(1+(($D$57+IF(F466="백어택",8,0))/100)*(AI466/100-1))</f>
        <v>3762.6768299812406</v>
      </c>
      <c r="P466" s="174"/>
      <c r="Q466" s="174"/>
      <c r="R466" s="175"/>
      <c r="S466" s="173">
        <f>SUM(T466:X466)</f>
        <v>7844.0259125085377</v>
      </c>
      <c r="T466" s="174">
        <f>AL466*IF(H466="근접",AT466,IF(AV466=1,AT466,1))*AX466*IF(F466="백어택",1.2,1)</f>
        <v>4682.1471515359763</v>
      </c>
      <c r="U466" s="174">
        <f>IF(AX466=1,AM466*IF(H466="근접",AT466,IF(AV466=1,AT466,1)),0)*AY466*IF(AX466=1,1,0)*IF(F466="백어택",1.2,1)</f>
        <v>3161.8787609725614</v>
      </c>
      <c r="V466" s="174"/>
      <c r="W466" s="174"/>
      <c r="X466" s="175"/>
      <c r="Y466" s="173">
        <f>SUM(Z466:AD466)</f>
        <v>15688.051825017075</v>
      </c>
      <c r="Z466" s="174">
        <f>T466*$D$58/100</f>
        <v>9364.2943030719525</v>
      </c>
      <c r="AA466" s="174">
        <f>U466*$D$58/100</f>
        <v>6323.7575219451228</v>
      </c>
      <c r="AB466" s="174"/>
      <c r="AC466" s="174"/>
      <c r="AD466" s="175"/>
      <c r="AE466" s="173">
        <f>(AO466*(1-$D$20/100)*(1-$D$17/100)-AR466)*IF(AW466="보스대상",1,POWER(0.85,AW466))</f>
        <v>14.484776131615998</v>
      </c>
      <c r="AF466" s="174">
        <f>AP466</f>
        <v>36</v>
      </c>
      <c r="AG466" s="174">
        <f>IF($D$57+AU466&gt;100,100,$D$57+AU466)</f>
        <v>19.001300000000001</v>
      </c>
      <c r="AH466" s="174">
        <f>AQ466</f>
        <v>363</v>
      </c>
      <c r="AI466" s="174">
        <f>$D$58</f>
        <v>200</v>
      </c>
      <c r="AJ466" s="174">
        <f>10*AS466/IF(AX466=1,IF(AY466=1,4.5,4),4)</f>
        <v>2.2222222222222223</v>
      </c>
      <c r="AK466" s="174">
        <f>SUM(AL466:AN466)</f>
        <v>7844.0259125085377</v>
      </c>
      <c r="AL466" s="174">
        <f>IF(AV466=1,$D$61*(VLOOKUP(C466,$B$36:$AG$39,25,FALSE)+VLOOKUP(C466,$B$40:$AG$43,25,FALSE)*$D$54),(IF(H466="근접",$D$61*(VLOOKUP(C466,$B$36:$AG$39,25,FALSE)+VLOOKUP(C466,$B$40:$AG$43,25,FALSE)*$D$54),$D$60*(VLOOKUP(C466,$B$36:$AG$39,25,FALSE)+VLOOKUP(C466,$B$40:$AG$43,25,FALSE)*$D$54))))*$D$59/100</f>
        <v>4682.1471515359763</v>
      </c>
      <c r="AM466" s="174">
        <f>(IF(AV466=1,$D$61*(VLOOKUP(C466,$B$36:$AG$39,26,FALSE)+VLOOKUP(C466,$B$40:$AG$43,26,FALSE)*$D$54),IF(H466="근접",$D$61*(VLOOKUP(C466,$B$36:$AG$39,26,FALSE)+VLOOKUP(C466,$B$40:$AG$43,26,FALSE)*$D$54),$D$60*(VLOOKUP(C466,$B$36:$AG$39,26,FALSE)+VLOOKUP(C466,$B$40:$AG$43,26,FALSE)*$D$54))))*$D$59/100</f>
        <v>3161.8787609725614</v>
      </c>
      <c r="AN466" s="174"/>
      <c r="AO466" s="176">
        <v>24</v>
      </c>
      <c r="AP466" s="174">
        <v>36</v>
      </c>
      <c r="AQ466" s="175">
        <f>VLOOKUP(C466,$B$45:$AA$48,25,FALSE)</f>
        <v>363</v>
      </c>
      <c r="AR466" s="31">
        <f>IF(LEFT(E466,1)*1=1,$S$68,$R$68)</f>
        <v>4</v>
      </c>
      <c r="AS466" s="2">
        <f>IF(LEFT(E466,1)*1=2,$U$68,$T$68)</f>
        <v>1</v>
      </c>
      <c r="AT466" s="33">
        <f>IF(LEFT(E466,1)*1=3,$W$68,$V$68)</f>
        <v>1</v>
      </c>
      <c r="AU466" s="31">
        <f>IF(MID(E466,3,1)*1=1,$Y$68,$X$68)</f>
        <v>0</v>
      </c>
      <c r="AV466" s="2">
        <f>IF(MID(E466,3,1)*1=2,$AA$68,$Z$68)</f>
        <v>1</v>
      </c>
      <c r="AW466" s="33" t="str">
        <f>IF(MID(E466,3,1)*1=3,$AC$68,$AB$68)</f>
        <v>보스대상</v>
      </c>
      <c r="AX466" s="31">
        <f>IF(MID(E466,5,1)*1=1,$AE$68,$AD$68)</f>
        <v>1</v>
      </c>
      <c r="AY466" s="33">
        <f>IF(MID(E466,5,1)*1=2,$AG$68,$AF$68)</f>
        <v>1</v>
      </c>
      <c r="AZ466" s="2"/>
      <c r="BA466" s="101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</row>
    <row r="467" spans="1:71" ht="12" customHeight="1">
      <c r="A467" s="2"/>
      <c r="B467" s="107">
        <v>780</v>
      </c>
      <c r="C467" s="31">
        <v>7</v>
      </c>
      <c r="D467" s="111" t="s">
        <v>21</v>
      </c>
      <c r="E467" s="2" t="s">
        <v>136</v>
      </c>
      <c r="F467" s="2" t="s">
        <v>149</v>
      </c>
      <c r="G467" s="2"/>
      <c r="H467" s="33"/>
      <c r="I467" s="173">
        <f>M467/AE467</f>
        <v>644.3128613888689</v>
      </c>
      <c r="J467" s="174">
        <f>AH467/AE467</f>
        <v>16.518097441877977</v>
      </c>
      <c r="K467" s="207">
        <f>RANK(I467,$I$76:$I$977)</f>
        <v>392</v>
      </c>
      <c r="L467" s="208">
        <f>RANK(I467,$I$451:$I$866)</f>
        <v>17</v>
      </c>
      <c r="M467" s="173">
        <f>SUM(N467:R467)</f>
        <v>17864.96850224126</v>
      </c>
      <c r="N467" s="174">
        <f>T467*(1+((AG467+IF(F467="백어택",8,0))/100)*(AI467/100-1))</f>
        <v>14474.326656860449</v>
      </c>
      <c r="O467" s="174"/>
      <c r="P467" s="174"/>
      <c r="Q467" s="174"/>
      <c r="R467" s="175">
        <f>X467*(1+(AG467/100)*(AI467/100-1))</f>
        <v>3390.6418453808096</v>
      </c>
      <c r="S467" s="173">
        <f>SUM(T467:X467)</f>
        <v>14246.238677143903</v>
      </c>
      <c r="T467" s="174">
        <f>AL467*AW467*AX467*AY467*IF(F467="백어택",1.2,1)</f>
        <v>11396.990941715123</v>
      </c>
      <c r="U467" s="174"/>
      <c r="V467" s="174"/>
      <c r="W467" s="174"/>
      <c r="X467" s="175">
        <f>AL467*AS467+IF(AX467=1,AL467*AU467,AL467*AU467*2)</f>
        <v>2849.2477354287807</v>
      </c>
      <c r="Y467" s="173">
        <f>SUM(Z467:AD467)</f>
        <v>28492.47735428781</v>
      </c>
      <c r="Z467" s="174">
        <f>T467*$D$58/100</f>
        <v>22793.98188343025</v>
      </c>
      <c r="AA467" s="174"/>
      <c r="AB467" s="174"/>
      <c r="AC467" s="174"/>
      <c r="AD467" s="175">
        <f>X467*$D$58/100</f>
        <v>5698.4954708575624</v>
      </c>
      <c r="AE467" s="173">
        <f>AO467*(1-$D$20/100)*(1-$D$17/100)-AR467</f>
        <v>27.727164197424003</v>
      </c>
      <c r="AF467" s="174">
        <f>AP467</f>
        <v>36</v>
      </c>
      <c r="AG467" s="174">
        <f>IF($D$57&gt;100,100,$D$57)</f>
        <v>19.001300000000001</v>
      </c>
      <c r="AH467" s="174">
        <f>AQ467</f>
        <v>458</v>
      </c>
      <c r="AI467" s="174">
        <f>$D$58</f>
        <v>200</v>
      </c>
      <c r="AJ467" s="174">
        <f>10/6</f>
        <v>1.6666666666666667</v>
      </c>
      <c r="AK467" s="174">
        <f>SUM(AL467:AN467)</f>
        <v>9497.4924514292688</v>
      </c>
      <c r="AL467" s="174">
        <f>(VLOOKUP(C467,$B$36:$AG$39,31,FALSE)+VLOOKUP(C467,$B$40:$AG$43,31,FALSE)*$D$54)*$D$59/100</f>
        <v>9497.4924514292688</v>
      </c>
      <c r="AM467" s="174"/>
      <c r="AN467" s="174"/>
      <c r="AO467" s="176">
        <v>36</v>
      </c>
      <c r="AP467" s="174">
        <v>36</v>
      </c>
      <c r="AQ467" s="175">
        <f>VLOOKUP(C467,$B$45:$AG$48,31,FALSE)</f>
        <v>458</v>
      </c>
      <c r="AR467" s="31">
        <f>IF(LEFT(E467,1)*1=1,$S$71,$R$71)</f>
        <v>0</v>
      </c>
      <c r="AS467" s="2">
        <f>IF(LEFT(E467,1)*1=2,$U$71,$T$71)</f>
        <v>0</v>
      </c>
      <c r="AT467" s="33">
        <f>IF(LEFT(E467,1)*1=3,$W$71,$V$71)</f>
        <v>0</v>
      </c>
      <c r="AU467" s="31">
        <f>IF(MID(E467,3,1)*1=1,$Y$71,$X$71)</f>
        <v>0.3</v>
      </c>
      <c r="AV467" s="2">
        <f>IF(MID(E467,3,1)*1=2,$AA$71,$Z$71)</f>
        <v>0</v>
      </c>
      <c r="AW467" s="33">
        <f>IF(MID(E467,3,1)*1=3,$AC$71,$AB$71)</f>
        <v>1</v>
      </c>
      <c r="AX467" s="31">
        <f>IF(MID(E467,5,1)*1=1,$AE$71,$AD$71)</f>
        <v>1</v>
      </c>
      <c r="AY467" s="33">
        <f>IF(MID(E467,5,1)*1=2,$AG$71,$AF$71)</f>
        <v>1</v>
      </c>
      <c r="AZ467" s="2"/>
      <c r="BA467" s="101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</row>
    <row r="468" spans="1:71" ht="12" customHeight="1">
      <c r="A468" s="2"/>
      <c r="B468" s="107">
        <v>884</v>
      </c>
      <c r="C468" s="31">
        <v>10</v>
      </c>
      <c r="D468" s="113" t="s">
        <v>22</v>
      </c>
      <c r="E468" s="2" t="s">
        <v>91</v>
      </c>
      <c r="F468" s="2"/>
      <c r="G468" s="2"/>
      <c r="H468" s="33"/>
      <c r="I468" s="173">
        <f>M468/AE468</f>
        <v>643.96849282916571</v>
      </c>
      <c r="J468" s="174">
        <f>AH468/AE468</f>
        <v>19.780450366105395</v>
      </c>
      <c r="K468" s="207">
        <f>RANK(I468,$I$76:$I$977)</f>
        <v>393</v>
      </c>
      <c r="L468" s="208" t="e">
        <f>RANK(I468,$I$867:$I$977)</f>
        <v>#N/A</v>
      </c>
      <c r="M468" s="173">
        <f>SUM(N468:R468)*(1+$D$22/100)</f>
        <v>19273.036796377401</v>
      </c>
      <c r="N468" s="174">
        <f>T468*(1+((AG468+IF(F468="백어택",8,0))/100)*(AI468/100-1))</f>
        <v>12403.588267234059</v>
      </c>
      <c r="O468" s="174"/>
      <c r="P468" s="174"/>
      <c r="Q468" s="174"/>
      <c r="R468" s="175">
        <f>X468*(1+($D$57/100)*(AI468/100-1))</f>
        <v>4961.4353068936234</v>
      </c>
      <c r="S468" s="173">
        <f>SUM(T468:X468)</f>
        <v>14592.297373329267</v>
      </c>
      <c r="T468" s="174">
        <f>AL468*AU468</f>
        <v>10423.069552378049</v>
      </c>
      <c r="U468" s="174"/>
      <c r="V468" s="174"/>
      <c r="W468" s="174"/>
      <c r="X468" s="175">
        <f>AL468*AW468</f>
        <v>4169.2278209512197</v>
      </c>
      <c r="Y468" s="173">
        <f>SUM(Z468:AD468)</f>
        <v>20846.139104756097</v>
      </c>
      <c r="Z468" s="174">
        <f>T468*$D$58/100</f>
        <v>20846.139104756097</v>
      </c>
      <c r="AA468" s="174"/>
      <c r="AB468" s="174"/>
      <c r="AC468" s="174"/>
      <c r="AD468" s="175"/>
      <c r="AE468" s="173">
        <f>AO468*(1-$D$17/100)</f>
        <v>29.928540000000002</v>
      </c>
      <c r="AF468" s="174">
        <f>AP468+AV468</f>
        <v>36</v>
      </c>
      <c r="AG468" s="174">
        <f>IF($D$57+AY468&gt;100,100,$D$57+AY468)</f>
        <v>19.001300000000001</v>
      </c>
      <c r="AH468" s="174">
        <f>AQ468*AR468</f>
        <v>592</v>
      </c>
      <c r="AI468" s="174">
        <f>$D$58</f>
        <v>200</v>
      </c>
      <c r="AJ468" s="174">
        <f>10/5</f>
        <v>2</v>
      </c>
      <c r="AK468" s="174">
        <f>SUM(AL468:AN468)</f>
        <v>10423.069552378049</v>
      </c>
      <c r="AL468" s="174">
        <f>(VLOOKUP(C468,$B$36:$AG$39,32,FALSE)+VLOOKUP(C468,$B$40:$AG$43,32,FALSE)*$D$54)*$D$59/100</f>
        <v>10423.069552378049</v>
      </c>
      <c r="AM468" s="174"/>
      <c r="AN468" s="174"/>
      <c r="AO468" s="176">
        <v>30</v>
      </c>
      <c r="AP468" s="174">
        <v>36</v>
      </c>
      <c r="AQ468" s="175">
        <f>VLOOKUP(C468,$B$45:$AG$48,32,FALSE)</f>
        <v>592</v>
      </c>
      <c r="AR468" s="31">
        <f>IF(LEFT(E468,1)*1=1,$S$72,$R$72)</f>
        <v>1</v>
      </c>
      <c r="AS468" s="2">
        <f>IF(LEFT(E468,1)*1=2,$U$72,$T$72)</f>
        <v>0</v>
      </c>
      <c r="AT468" s="33">
        <f>IF(LEFT(E468,1)*1=3,$W$72,$V$72)</f>
        <v>0</v>
      </c>
      <c r="AU468" s="31">
        <f>IF(MID(E468,3,1)*1=1,$Y$72,$X$72)</f>
        <v>1</v>
      </c>
      <c r="AV468" s="2">
        <f>IF(MID(E468,3,1)*1=2,$AA$72,$Z$72)</f>
        <v>0</v>
      </c>
      <c r="AW468" s="33">
        <f>IF(MID(E468,3,1)*1=3,$AC$72,$AB$72)</f>
        <v>0.4</v>
      </c>
      <c r="AX468" s="31">
        <f>IF(MID(E468,5,1)*1=1,$AE$72,$AD$72)</f>
        <v>0</v>
      </c>
      <c r="AY468" s="33">
        <f>IF(MID(E468,5,1)*1=2,$AG$72,$AF$72)</f>
        <v>0</v>
      </c>
      <c r="AZ468" s="2"/>
      <c r="BA468" s="101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</row>
    <row r="469" spans="1:71" ht="12" customHeight="1">
      <c r="A469" s="2"/>
      <c r="B469" s="107">
        <v>887</v>
      </c>
      <c r="C469" s="31">
        <v>10</v>
      </c>
      <c r="D469" s="113" t="s">
        <v>22</v>
      </c>
      <c r="E469" s="2" t="s">
        <v>155</v>
      </c>
      <c r="F469" s="2"/>
      <c r="G469" s="2"/>
      <c r="H469" s="33"/>
      <c r="I469" s="173">
        <f>M469/AE469</f>
        <v>643.96849282916571</v>
      </c>
      <c r="J469" s="174">
        <f>AH469/AE469</f>
        <v>9.8902251830526975</v>
      </c>
      <c r="K469" s="207">
        <f>RANK(I469,$I$76:$I$977)</f>
        <v>393</v>
      </c>
      <c r="L469" s="208" t="e">
        <f>RANK(I469,$I$867:$I$977)</f>
        <v>#N/A</v>
      </c>
      <c r="M469" s="173">
        <f>SUM(N469:R469)*(1+$D$22/100)</f>
        <v>19273.036796377401</v>
      </c>
      <c r="N469" s="174">
        <f>T469*(1+((AG469+IF(F469="백어택",8,0))/100)*(AI469/100-1))</f>
        <v>12403.588267234059</v>
      </c>
      <c r="O469" s="174"/>
      <c r="P469" s="174"/>
      <c r="Q469" s="174"/>
      <c r="R469" s="175">
        <f>X469*(1+($D$57/100)*(AI469/100-1))</f>
        <v>4961.4353068936234</v>
      </c>
      <c r="S469" s="173">
        <f>SUM(T469:X469)</f>
        <v>14592.297373329267</v>
      </c>
      <c r="T469" s="174">
        <f>AL469*AU469</f>
        <v>10423.069552378049</v>
      </c>
      <c r="U469" s="174"/>
      <c r="V469" s="174"/>
      <c r="W469" s="174"/>
      <c r="X469" s="175">
        <f>AL469*AW469</f>
        <v>4169.2278209512197</v>
      </c>
      <c r="Y469" s="173">
        <f>SUM(Z469:AD469)</f>
        <v>20846.139104756097</v>
      </c>
      <c r="Z469" s="174">
        <f>T469*$D$58/100</f>
        <v>20846.139104756097</v>
      </c>
      <c r="AA469" s="174"/>
      <c r="AB469" s="174"/>
      <c r="AC469" s="174"/>
      <c r="AD469" s="175"/>
      <c r="AE469" s="173">
        <f>AO469*(1-$D$17/100)</f>
        <v>29.928540000000002</v>
      </c>
      <c r="AF469" s="174">
        <f>AP469+AV469</f>
        <v>36</v>
      </c>
      <c r="AG469" s="174">
        <f>IF($D$57+AY469&gt;100,100,$D$57+AY469)</f>
        <v>19.001300000000001</v>
      </c>
      <c r="AH469" s="174">
        <f>AQ469*AR469</f>
        <v>296</v>
      </c>
      <c r="AI469" s="174">
        <f>$D$58</f>
        <v>200</v>
      </c>
      <c r="AJ469" s="174">
        <f>10/5</f>
        <v>2</v>
      </c>
      <c r="AK469" s="174">
        <f>SUM(AL469:AN469)</f>
        <v>10423.069552378049</v>
      </c>
      <c r="AL469" s="174">
        <f>(VLOOKUP(C469,$B$36:$AG$39,32,FALSE)+VLOOKUP(C469,$B$40:$AG$43,32,FALSE)*$D$54)*$D$59/100</f>
        <v>10423.069552378049</v>
      </c>
      <c r="AM469" s="174"/>
      <c r="AN469" s="174"/>
      <c r="AO469" s="176">
        <v>30</v>
      </c>
      <c r="AP469" s="174">
        <v>36</v>
      </c>
      <c r="AQ469" s="175">
        <f>VLOOKUP(C469,$B$45:$AG$48,32,FALSE)</f>
        <v>592</v>
      </c>
      <c r="AR469" s="31">
        <f>IF(LEFT(E469,1)*1=1,$S$72,$R$72)</f>
        <v>0.5</v>
      </c>
      <c r="AS469" s="2">
        <f>IF(LEFT(E469,1)*1=2,$U$72,$T$72)</f>
        <v>0</v>
      </c>
      <c r="AT469" s="33">
        <f>IF(LEFT(E469,1)*1=3,$W$72,$V$72)</f>
        <v>0</v>
      </c>
      <c r="AU469" s="31">
        <f>IF(MID(E469,3,1)*1=1,$Y$72,$X$72)</f>
        <v>1</v>
      </c>
      <c r="AV469" s="2">
        <f>IF(MID(E469,3,1)*1=2,$AA$72,$Z$72)</f>
        <v>0</v>
      </c>
      <c r="AW469" s="33">
        <f>IF(MID(E469,3,1)*1=3,$AC$72,$AB$72)</f>
        <v>0.4</v>
      </c>
      <c r="AX469" s="31">
        <f>IF(MID(E469,5,1)*1=1,$AE$72,$AD$72)</f>
        <v>0</v>
      </c>
      <c r="AY469" s="33">
        <f>IF(MID(E469,5,1)*1=2,$AG$72,$AF$72)</f>
        <v>0</v>
      </c>
      <c r="AZ469" s="2"/>
      <c r="BA469" s="101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</row>
    <row r="470" spans="1:71" ht="12" customHeight="1">
      <c r="A470" s="2"/>
      <c r="B470" s="107">
        <v>205</v>
      </c>
      <c r="C470" s="31">
        <v>7</v>
      </c>
      <c r="D470" s="106" t="s">
        <v>10</v>
      </c>
      <c r="E470" s="2" t="s">
        <v>67</v>
      </c>
      <c r="F470" s="2"/>
      <c r="G470" s="2"/>
      <c r="H470" s="33"/>
      <c r="I470" s="173">
        <f>M470/AE470</f>
        <v>641.37640689478621</v>
      </c>
      <c r="J470" s="174">
        <f>AH470/AE470</f>
        <v>17.980329144021059</v>
      </c>
      <c r="K470" s="207">
        <f>RANK(I470,$I$76:$I$977)</f>
        <v>395</v>
      </c>
      <c r="L470" s="208" t="e">
        <f>RANK(I470,$I$76:$I$450)</f>
        <v>#N/A</v>
      </c>
      <c r="M470" s="173">
        <f>SUM(N470:R470)</f>
        <v>10237.578372697006</v>
      </c>
      <c r="N470" s="174">
        <f>T470*(1+((AG470+IF(F470="백어택",8,0))/100)*((AI470/100-1)))</f>
        <v>10237.578372697006</v>
      </c>
      <c r="O470" s="174"/>
      <c r="P470" s="174"/>
      <c r="Q470" s="174"/>
      <c r="R470" s="175"/>
      <c r="S470" s="173">
        <f>SUM(T470:X470)</f>
        <v>7753.4947960365853</v>
      </c>
      <c r="T470" s="174">
        <f>AL470*AS470*AU470*AX470*IF(AY470=0,1,0.5)*IF(F470="백어택",1.2,1)</f>
        <v>7753.4947960365853</v>
      </c>
      <c r="U470" s="174"/>
      <c r="V470" s="174"/>
      <c r="W470" s="174"/>
      <c r="X470" s="175"/>
      <c r="Y470" s="173">
        <f>SUM(Z470:AD470)</f>
        <v>20826.72439959224</v>
      </c>
      <c r="Z470" s="174">
        <f>T470*AI470/100</f>
        <v>20826.72439959224</v>
      </c>
      <c r="AA470" s="174"/>
      <c r="AB470" s="174"/>
      <c r="AC470" s="174"/>
      <c r="AD470" s="175"/>
      <c r="AE470" s="173">
        <f>AO470*(1-$D$17/100)</f>
        <v>15.961888</v>
      </c>
      <c r="AF470" s="174">
        <f>AP470</f>
        <v>36</v>
      </c>
      <c r="AG470" s="174">
        <f>IF($D$57+AV470&gt;100,100,$D$57+AV470)</f>
        <v>19.001300000000001</v>
      </c>
      <c r="AH470" s="174">
        <f>AQ470</f>
        <v>287</v>
      </c>
      <c r="AI470" s="174">
        <f>$D$58+$D$19</f>
        <v>268.61079999999998</v>
      </c>
      <c r="AJ470" s="174">
        <f>10*AR470/(7-IF(AX470=1,0,3))</f>
        <v>1.4285714285714286</v>
      </c>
      <c r="AK470" s="174">
        <f>SUM(AL470:AN470)</f>
        <v>7753.4947960365853</v>
      </c>
      <c r="AL470" s="174">
        <f>(VLOOKUP(C470,$B$36:$AG$39,13,FALSE)+VLOOKUP(C470,$B$40:$AG$43,13,FALSE)*$D$54)*$D$59/100</f>
        <v>7753.4947960365853</v>
      </c>
      <c r="AM470" s="174"/>
      <c r="AN470" s="174"/>
      <c r="AO470" s="176">
        <v>16</v>
      </c>
      <c r="AP470" s="174">
        <v>36</v>
      </c>
      <c r="AQ470" s="175">
        <f>VLOOKUP(C470,$B$45:$AA$48,13,FALSE)</f>
        <v>287</v>
      </c>
      <c r="AR470" s="31">
        <f>IF(LEFT(E470,1)*1=1,$S$60,$R$60)</f>
        <v>1</v>
      </c>
      <c r="AS470" s="2">
        <f>IF(LEFT(E470,1)*1=2,$U$60,$T$60)</f>
        <v>1</v>
      </c>
      <c r="AT470" s="33">
        <f>IF(LEFT(E470,1)*1=3,$W$60,$V$60)</f>
        <v>0</v>
      </c>
      <c r="AU470" s="31">
        <f>IF(MID(E470,3,1)*1=1,$Y$60,$X$60)</f>
        <v>1</v>
      </c>
      <c r="AV470" s="2">
        <f>IF(MID(E470,3,1)*1=2,$AA$60,$Z$60)</f>
        <v>0</v>
      </c>
      <c r="AW470" s="33">
        <f>IF(MID(E470,3,1)*1=3,$AC$60,$AB$60)</f>
        <v>0</v>
      </c>
      <c r="AX470" s="31">
        <f>IF(MID(E470,5,1)*1=1,$AE$60,$AD$60)</f>
        <v>1</v>
      </c>
      <c r="AY470" s="33">
        <f>IF(MID(E470,5,1)*1=2,$AG$60,$AF$60)</f>
        <v>0</v>
      </c>
      <c r="AZ470" s="2"/>
      <c r="BA470" s="101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</row>
    <row r="471" spans="1:71" ht="12" customHeight="1">
      <c r="A471" s="2"/>
      <c r="B471" s="107">
        <v>208</v>
      </c>
      <c r="C471" s="31">
        <v>7</v>
      </c>
      <c r="D471" s="106" t="s">
        <v>10</v>
      </c>
      <c r="E471" s="2" t="s">
        <v>148</v>
      </c>
      <c r="F471" s="2"/>
      <c r="G471" s="2"/>
      <c r="H471" s="33"/>
      <c r="I471" s="173">
        <f>M471/AE471</f>
        <v>641.37640689478621</v>
      </c>
      <c r="J471" s="174">
        <f>AH471/AE471</f>
        <v>17.980329144021059</v>
      </c>
      <c r="K471" s="207">
        <f>RANK(I471,$I$76:$I$977)</f>
        <v>395</v>
      </c>
      <c r="L471" s="208" t="e">
        <f>RANK(I471,$I$76:$I$450)</f>
        <v>#N/A</v>
      </c>
      <c r="M471" s="173">
        <f>SUM(N471:R471)</f>
        <v>10237.578372697006</v>
      </c>
      <c r="N471" s="174">
        <f>T471*(1+((AG471+IF(F471="백어택",8,0))/100)*((AI471/100-1)))</f>
        <v>10237.578372697006</v>
      </c>
      <c r="O471" s="174"/>
      <c r="P471" s="174"/>
      <c r="Q471" s="174"/>
      <c r="R471" s="175"/>
      <c r="S471" s="173">
        <f>SUM(T471:X471)</f>
        <v>7753.4947960365853</v>
      </c>
      <c r="T471" s="174">
        <f>AL471*AS471*AU471*AX471*IF(AY471=0,1,0.5)*IF(F471="백어택",1.2,1)</f>
        <v>7753.4947960365853</v>
      </c>
      <c r="U471" s="174"/>
      <c r="V471" s="174"/>
      <c r="W471" s="174"/>
      <c r="X471" s="175"/>
      <c r="Y471" s="173">
        <f>SUM(Z471:AD471)</f>
        <v>20826.72439959224</v>
      </c>
      <c r="Z471" s="174">
        <f>T471*AI471/100</f>
        <v>20826.72439959224</v>
      </c>
      <c r="AA471" s="174"/>
      <c r="AB471" s="174"/>
      <c r="AC471" s="174"/>
      <c r="AD471" s="175"/>
      <c r="AE471" s="173">
        <f>AO471*(1-$D$17/100)</f>
        <v>15.961888</v>
      </c>
      <c r="AF471" s="174">
        <f>AP471</f>
        <v>36</v>
      </c>
      <c r="AG471" s="174">
        <f>IF($D$57+AV471&gt;100,100,$D$57+AV471)</f>
        <v>19.001300000000001</v>
      </c>
      <c r="AH471" s="174">
        <f>AQ471</f>
        <v>287</v>
      </c>
      <c r="AI471" s="174">
        <f>$D$58+$D$19</f>
        <v>268.61079999999998</v>
      </c>
      <c r="AJ471" s="174">
        <f>10*AR471/(7-IF(AX471=1,0,3))</f>
        <v>1.2142857142857142</v>
      </c>
      <c r="AK471" s="174">
        <f>SUM(AL471:AN471)</f>
        <v>7753.4947960365853</v>
      </c>
      <c r="AL471" s="174">
        <f>(VLOOKUP(C471,$B$36:$AG$39,13,FALSE)+VLOOKUP(C471,$B$40:$AG$43,13,FALSE)*$D$54)*$D$59/100</f>
        <v>7753.4947960365853</v>
      </c>
      <c r="AM471" s="174"/>
      <c r="AN471" s="174"/>
      <c r="AO471" s="176">
        <v>16</v>
      </c>
      <c r="AP471" s="174">
        <v>36</v>
      </c>
      <c r="AQ471" s="175">
        <f>VLOOKUP(C471,$B$45:$AA$48,13,FALSE)</f>
        <v>287</v>
      </c>
      <c r="AR471" s="31">
        <f>IF(LEFT(E471,1)*1=1,$S$60,$R$60)</f>
        <v>0.85</v>
      </c>
      <c r="AS471" s="2">
        <f>IF(LEFT(E471,1)*1=2,$U$60,$T$60)</f>
        <v>1</v>
      </c>
      <c r="AT471" s="33">
        <f>IF(LEFT(E471,1)*1=3,$W$60,$V$60)</f>
        <v>0</v>
      </c>
      <c r="AU471" s="31">
        <f>IF(MID(E471,3,1)*1=1,$Y$60,$X$60)</f>
        <v>1</v>
      </c>
      <c r="AV471" s="2">
        <f>IF(MID(E471,3,1)*1=2,$AA$60,$Z$60)</f>
        <v>0</v>
      </c>
      <c r="AW471" s="33">
        <f>IF(MID(E471,3,1)*1=3,$AC$60,$AB$60)</f>
        <v>0</v>
      </c>
      <c r="AX471" s="31">
        <f>IF(MID(E471,5,1)*1=1,$AE$60,$AD$60)</f>
        <v>1</v>
      </c>
      <c r="AY471" s="33">
        <f>IF(MID(E471,5,1)*1=2,$AG$60,$AF$60)</f>
        <v>0</v>
      </c>
      <c r="AZ471" s="2"/>
      <c r="BA471" s="101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</row>
    <row r="472" spans="1:71" ht="12" customHeight="1">
      <c r="A472" s="2"/>
      <c r="B472" s="107">
        <v>437</v>
      </c>
      <c r="C472" s="31">
        <v>4</v>
      </c>
      <c r="D472" s="111" t="s">
        <v>8</v>
      </c>
      <c r="E472" s="2" t="s">
        <v>148</v>
      </c>
      <c r="F472" s="2" t="s">
        <v>149</v>
      </c>
      <c r="G472" s="2"/>
      <c r="H472" s="33" t="s">
        <v>81</v>
      </c>
      <c r="I472" s="173">
        <f>M472/AE472</f>
        <v>640.04896696892285</v>
      </c>
      <c r="J472" s="174">
        <f>AH472/AE472</f>
        <v>10.765615909171565</v>
      </c>
      <c r="K472" s="207">
        <f>RANK(I472,$I$76:$I$977)</f>
        <v>397</v>
      </c>
      <c r="L472" s="208">
        <f>RANK(I472,$I$451:$I$866)</f>
        <v>22</v>
      </c>
      <c r="M472" s="173">
        <f>SUM(N472:R472)</f>
        <v>11831.161867692621</v>
      </c>
      <c r="N472" s="174">
        <f>T472*(1+((AG472+IF(F472="백어택",8,0))/100)*(IF(AY472=1,$D$58,$D$58+50)/100-1))</f>
        <v>5200.3274628024556</v>
      </c>
      <c r="O472" s="174">
        <f>U472*(1+((AG472+IF(F472="백어택",8,0))/100)*(AI472/100-1))</f>
        <v>6630.8344048901654</v>
      </c>
      <c r="P472" s="174">
        <f>V472*(1+((AG472+IF(F472="백어택",8,0))/100)*(AI472/100-1))</f>
        <v>0</v>
      </c>
      <c r="Q472" s="174"/>
      <c r="R472" s="175"/>
      <c r="S472" s="173">
        <f>SUM(T472:X472)</f>
        <v>9315.780127992879</v>
      </c>
      <c r="T472" s="174">
        <f>AL472*IF(H472="근접",AR472,1)*AY472*IF(F472="백어택",1.2,1)</f>
        <v>4094.704119408585</v>
      </c>
      <c r="U472" s="174">
        <f>AM472*IF(H472="근접",AR472,1)*AY472*IF(F472="백어택",1.2,1)</f>
        <v>5221.076008584294</v>
      </c>
      <c r="V472" s="174">
        <f>IF(AX472=1,0,AM472*IF(H472="근접",AR472,1)*AY472)*IF(F472="백어택",1.2,1)</f>
        <v>0</v>
      </c>
      <c r="W472" s="174"/>
      <c r="X472" s="175"/>
      <c r="Y472" s="173">
        <f>SUM(Z472:AD472)</f>
        <v>18631.560255985758</v>
      </c>
      <c r="Z472" s="174">
        <f>T472*IF(AY472=1,$D$58,$D$58+50)/100</f>
        <v>8189.4082388171701</v>
      </c>
      <c r="AA472" s="174">
        <f>U472*AI472/100</f>
        <v>10442.152017168588</v>
      </c>
      <c r="AB472" s="174">
        <f>V472*AI472/100</f>
        <v>0</v>
      </c>
      <c r="AC472" s="174"/>
      <c r="AD472" s="175"/>
      <c r="AE472" s="173">
        <f>AO472*(1-$D$20/100)*(1-$D$17/100)</f>
        <v>18.484776131615998</v>
      </c>
      <c r="AF472" s="174">
        <f>AP472</f>
        <v>36</v>
      </c>
      <c r="AG472" s="174">
        <f>IF($D$57+AU472&gt;100,100,$D$57+AU472)</f>
        <v>19.001300000000001</v>
      </c>
      <c r="AH472" s="174">
        <f>IF(AX472=1,AQ472,AQ472*1.4)</f>
        <v>199</v>
      </c>
      <c r="AI472" s="174">
        <f>IF(AY472=1,$D$58,$D$58+50)*AW472</f>
        <v>200</v>
      </c>
      <c r="AJ472" s="174">
        <f>10/6/AX472</f>
        <v>1.6666666666666667</v>
      </c>
      <c r="AK472" s="174">
        <f>SUM(AL472:AN472)</f>
        <v>6469.291755550611</v>
      </c>
      <c r="AL472" s="174">
        <f>(IF(H472="근접",$D$61*(VLOOKUP(C472,$B$36:$AG$39,9,FALSE)+VLOOKUP(C472,$B$40:$AG$43,9,FALSE)*$D$54),$D$60*(VLOOKUP(C472,$B$36:$AG$39,9,FALSE)+VLOOKUP(C472,$B$40:$AG$43,9,FALSE)*$D$54)))*$D$59/100</f>
        <v>2843.544527367073</v>
      </c>
      <c r="AM472" s="174">
        <f>(IF(H472="근접",$D$61*(VLOOKUP(C472,$B$36:$AG$39,10,FALSE)+VLOOKUP(C472,$B$40:$AG$43,10,FALSE)*$D$54),$D$60*(VLOOKUP(C472,$B$36:$AG$39,10,FALSE)+VLOOKUP(C472,$B$40:$AG$43,10,FALSE)*$D$54)))*$D$59/100</f>
        <v>3625.747228183538</v>
      </c>
      <c r="AN472" s="174"/>
      <c r="AO472" s="176">
        <v>24</v>
      </c>
      <c r="AP472" s="174">
        <v>36</v>
      </c>
      <c r="AQ472" s="175">
        <f>VLOOKUP(C472,$B$45:$AA$48,9,FALSE)</f>
        <v>199</v>
      </c>
      <c r="AR472" s="31">
        <f>IF(LEFT(E472,1)*1=1,$S$58,$R$58)</f>
        <v>1.2</v>
      </c>
      <c r="AS472" s="2">
        <f>IF(LEFT(E472,1)*1=2,$U$58,$T$58)</f>
        <v>0</v>
      </c>
      <c r="AT472" s="33">
        <f>IF(LEFT(E472,1)*1=3,$W$58,$V$58)</f>
        <v>0</v>
      </c>
      <c r="AU472" s="31">
        <f>IF(MID(E472,3,1)*1=1,$Y$58,$X$58)</f>
        <v>0</v>
      </c>
      <c r="AV472" s="2">
        <f>IF(MID(E472,3,1)*1=2,$AA$58,$Z$58)</f>
        <v>0</v>
      </c>
      <c r="AW472" s="33">
        <f>IF(MID(E472,3,1)*1=3,$AC$58,$AB$58)</f>
        <v>1</v>
      </c>
      <c r="AX472" s="31">
        <f>IF(MID(E472,5,1)*1=1,$AE$58,$AD$58)</f>
        <v>1</v>
      </c>
      <c r="AY472" s="33">
        <f>IF(MID(E472,5,1)*1=2,$AG$58,$AF$58)</f>
        <v>1</v>
      </c>
      <c r="AZ472" s="2"/>
      <c r="BA472" s="101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</row>
    <row r="473" spans="1:71" ht="12" customHeight="1">
      <c r="A473" s="2"/>
      <c r="B473" s="107">
        <v>346</v>
      </c>
      <c r="C473" s="31">
        <v>10</v>
      </c>
      <c r="D473" s="106" t="s">
        <v>20</v>
      </c>
      <c r="E473" s="2" t="s">
        <v>138</v>
      </c>
      <c r="F473" s="2"/>
      <c r="G473" s="2"/>
      <c r="H473" s="33"/>
      <c r="I473" s="173">
        <f>M473/AE473</f>
        <v>639.71621603192716</v>
      </c>
      <c r="J473" s="174">
        <f>AH473/AE473</f>
        <v>24.558498343053152</v>
      </c>
      <c r="K473" s="207">
        <f>RANK(I473,$I$76:$I$977)</f>
        <v>398</v>
      </c>
      <c r="L473" s="208" t="e">
        <f>RANK(I473,$I$76:$I$450)</f>
        <v>#N/A</v>
      </c>
      <c r="M473" s="173">
        <f>SUM(N473:R473)</f>
        <v>11487.463416096103</v>
      </c>
      <c r="N473" s="174">
        <f>T473*(1+((AG473+IF(F473="백어택",8,0))/100)*((AI473/100-1)))</f>
        <v>5685.7660865856633</v>
      </c>
      <c r="O473" s="174">
        <f>U473*(1+(($D$57+IF(F473="백어택",8,0))/100)*($D$58/100-1))</f>
        <v>5801.6973295104399</v>
      </c>
      <c r="P473" s="174"/>
      <c r="Q473" s="174"/>
      <c r="R473" s="175"/>
      <c r="S473" s="173">
        <f>SUM(T473:X473)</f>
        <v>7313.423381526829</v>
      </c>
      <c r="T473" s="174">
        <f>AL473*AV473*IF(F473="백어택",1.2,1)</f>
        <v>2438.1007342024391</v>
      </c>
      <c r="U473" s="174">
        <f>AM473*AX473*AY473*IF(F473="백어택",1.2,1)</f>
        <v>4875.3226473243903</v>
      </c>
      <c r="V473" s="174"/>
      <c r="W473" s="174"/>
      <c r="X473" s="175"/>
      <c r="Y473" s="173">
        <f>SUM(Z473:AD473)</f>
        <v>14626.846763053658</v>
      </c>
      <c r="Z473" s="174">
        <f>T473*$D$58/100</f>
        <v>4876.2014684048781</v>
      </c>
      <c r="AA473" s="174">
        <f>U473*$D$58/100</f>
        <v>9750.6452946487807</v>
      </c>
      <c r="AB473" s="174"/>
      <c r="AC473" s="174"/>
      <c r="AD473" s="175"/>
      <c r="AE473" s="173">
        <f>AO473*(1-$D$17/100)-AR473</f>
        <v>17.957124</v>
      </c>
      <c r="AF473" s="174">
        <f>AP473</f>
        <v>36</v>
      </c>
      <c r="AG473" s="174">
        <f>IF($D$57+AU473&gt;100,100,$D$57+AU473)</f>
        <v>79.001300000000001</v>
      </c>
      <c r="AH473" s="174">
        <f>AQ473*AS473</f>
        <v>441</v>
      </c>
      <c r="AI473" s="174">
        <f>$D$58+$D$19</f>
        <v>268.61079999999998</v>
      </c>
      <c r="AJ473" s="174">
        <f>10*IF(AV473=1,1,5/4.5)/IF(AX473=1,5,3.5)</f>
        <v>2.8571428571428572</v>
      </c>
      <c r="AK473" s="174">
        <f>SUM(AL473:AN473)</f>
        <v>4875.7620578646347</v>
      </c>
      <c r="AL473" s="174">
        <f>(VLOOKUP(C473,$B$36:$AG$39,29,FALSE)+VLOOKUP(C473,$B$40:$AG$43,29,FALSE)*$D$54)*$D$59/100</f>
        <v>2438.1007342024391</v>
      </c>
      <c r="AM473" s="174">
        <f>(VLOOKUP(C473,$B$36:$AG$39,30,FALSE)+VLOOKUP(C473,$B$40:$AG$43,30,FALSE)*$D$54)*$D$59/100</f>
        <v>2437.6613236621952</v>
      </c>
      <c r="AN473" s="174"/>
      <c r="AO473" s="176">
        <v>18</v>
      </c>
      <c r="AP473" s="174">
        <v>36</v>
      </c>
      <c r="AQ473" s="175">
        <f>VLOOKUP(C473,$B$45:$AG$48,29,FALSE)</f>
        <v>441</v>
      </c>
      <c r="AR473" s="31">
        <f>IF(LEFT(E473,1)*1=1,$S$70,$R$70)</f>
        <v>0</v>
      </c>
      <c r="AS473" s="2">
        <f>IF(LEFT(E473,1)*1=2,$U$70,$T$70)</f>
        <v>1</v>
      </c>
      <c r="AT473" s="33">
        <f>IF(LEFT(E473,1)*1=3,$W$70,$V$70)</f>
        <v>0</v>
      </c>
      <c r="AU473" s="31">
        <f>IF(MID(E473,3,1)*1=1,$Y$70,$X$70)</f>
        <v>60</v>
      </c>
      <c r="AV473" s="2">
        <f>IF(MID(E473,3,1)*1=2,$AA$70,$Z$70)</f>
        <v>1</v>
      </c>
      <c r="AW473" s="33">
        <f>IF(MID(E473,3,1)*1=3,$AC$70,$AB$70)</f>
        <v>0</v>
      </c>
      <c r="AX473" s="31">
        <f>IF(MID(E473,5,1)*1=1,$AE$70,$AD$70)</f>
        <v>2</v>
      </c>
      <c r="AY473" s="33">
        <f>IF(MID(E473,5,1)*1=2,$AG$70,$AF$70)</f>
        <v>1</v>
      </c>
      <c r="AZ473" s="2"/>
      <c r="BA473" s="101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</row>
    <row r="474" spans="1:71" ht="12" customHeight="1">
      <c r="A474" s="2"/>
      <c r="B474" s="107">
        <v>352</v>
      </c>
      <c r="C474" s="31">
        <v>10</v>
      </c>
      <c r="D474" s="106" t="s">
        <v>20</v>
      </c>
      <c r="E474" s="2" t="s">
        <v>169</v>
      </c>
      <c r="F474" s="2"/>
      <c r="G474" s="2"/>
      <c r="H474" s="33"/>
      <c r="I474" s="173">
        <f>M474/AE474</f>
        <v>639.71621603192716</v>
      </c>
      <c r="J474" s="174">
        <f>AH474/AE474</f>
        <v>12.279249171526576</v>
      </c>
      <c r="K474" s="207">
        <f>RANK(I474,$I$76:$I$977)</f>
        <v>398</v>
      </c>
      <c r="L474" s="208" t="e">
        <f>RANK(I474,$I$76:$I$450)</f>
        <v>#N/A</v>
      </c>
      <c r="M474" s="173">
        <f>SUM(N474:R474)</f>
        <v>11487.463416096103</v>
      </c>
      <c r="N474" s="174">
        <f>T474*(1+((AG474+IF(F474="백어택",8,0))/100)*((AI474/100-1)))</f>
        <v>5685.7660865856633</v>
      </c>
      <c r="O474" s="174">
        <f>U474*(1+(($D$57+IF(F474="백어택",8,0))/100)*($D$58/100-1))</f>
        <v>5801.6973295104399</v>
      </c>
      <c r="P474" s="174"/>
      <c r="Q474" s="174"/>
      <c r="R474" s="175"/>
      <c r="S474" s="173">
        <f>SUM(T474:X474)</f>
        <v>7313.423381526829</v>
      </c>
      <c r="T474" s="174">
        <f>AL474*AV474*IF(F474="백어택",1.2,1)</f>
        <v>2438.1007342024391</v>
      </c>
      <c r="U474" s="174">
        <f>AM474*AX474*AY474*IF(F474="백어택",1.2,1)</f>
        <v>4875.3226473243903</v>
      </c>
      <c r="V474" s="174"/>
      <c r="W474" s="174"/>
      <c r="X474" s="175"/>
      <c r="Y474" s="173">
        <f>SUM(Z474:AD474)</f>
        <v>14626.846763053658</v>
      </c>
      <c r="Z474" s="174">
        <f>T474*$D$58/100</f>
        <v>4876.2014684048781</v>
      </c>
      <c r="AA474" s="174">
        <f>U474*$D$58/100</f>
        <v>9750.6452946487807</v>
      </c>
      <c r="AB474" s="174"/>
      <c r="AC474" s="174"/>
      <c r="AD474" s="175"/>
      <c r="AE474" s="173">
        <f>AO474*(1-$D$17/100)-AR474</f>
        <v>17.957124</v>
      </c>
      <c r="AF474" s="174">
        <f>AP474</f>
        <v>36</v>
      </c>
      <c r="AG474" s="174">
        <f>IF($D$57+AU474&gt;100,100,$D$57+AU474)</f>
        <v>79.001300000000001</v>
      </c>
      <c r="AH474" s="174">
        <f>AQ474*AS474</f>
        <v>220.5</v>
      </c>
      <c r="AI474" s="174">
        <f>$D$58+$D$19</f>
        <v>268.61079999999998</v>
      </c>
      <c r="AJ474" s="174">
        <f>10*IF(AV474=1,1,5/4.5)/IF(AX474=1,5,3.5)</f>
        <v>2.8571428571428572</v>
      </c>
      <c r="AK474" s="174">
        <f>SUM(AL474:AN474)</f>
        <v>4875.7620578646347</v>
      </c>
      <c r="AL474" s="174">
        <f>(VLOOKUP(C474,$B$36:$AG$39,29,FALSE)+VLOOKUP(C474,$B$40:$AG$43,29,FALSE)*$D$54)*$D$59/100</f>
        <v>2438.1007342024391</v>
      </c>
      <c r="AM474" s="174">
        <f>(VLOOKUP(C474,$B$36:$AG$39,30,FALSE)+VLOOKUP(C474,$B$40:$AG$43,30,FALSE)*$D$54)*$D$59/100</f>
        <v>2437.6613236621952</v>
      </c>
      <c r="AN474" s="174"/>
      <c r="AO474" s="176">
        <v>18</v>
      </c>
      <c r="AP474" s="174">
        <v>36</v>
      </c>
      <c r="AQ474" s="175">
        <f>VLOOKUP(C474,$B$45:$AG$48,29,FALSE)</f>
        <v>441</v>
      </c>
      <c r="AR474" s="31">
        <f>IF(LEFT(E474,1)*1=1,$S$70,$R$70)</f>
        <v>0</v>
      </c>
      <c r="AS474" s="2">
        <f>IF(LEFT(E474,1)*1=2,$U$70,$T$70)</f>
        <v>0.5</v>
      </c>
      <c r="AT474" s="33">
        <f>IF(LEFT(E474,1)*1=3,$W$70,$V$70)</f>
        <v>0</v>
      </c>
      <c r="AU474" s="31">
        <f>IF(MID(E474,3,1)*1=1,$Y$70,$X$70)</f>
        <v>60</v>
      </c>
      <c r="AV474" s="2">
        <f>IF(MID(E474,3,1)*1=2,$AA$70,$Z$70)</f>
        <v>1</v>
      </c>
      <c r="AW474" s="33">
        <f>IF(MID(E474,3,1)*1=3,$AC$70,$AB$70)</f>
        <v>0</v>
      </c>
      <c r="AX474" s="31">
        <f>IF(MID(E474,5,1)*1=1,$AE$70,$AD$70)</f>
        <v>2</v>
      </c>
      <c r="AY474" s="33">
        <f>IF(MID(E474,5,1)*1=2,$AG$70,$AF$70)</f>
        <v>1</v>
      </c>
      <c r="AZ474" s="2"/>
      <c r="BA474" s="101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</row>
    <row r="475" spans="1:71" ht="12" customHeight="1">
      <c r="A475" s="2"/>
      <c r="B475" s="107">
        <v>355</v>
      </c>
      <c r="C475" s="31">
        <v>10</v>
      </c>
      <c r="D475" s="106" t="s">
        <v>20</v>
      </c>
      <c r="E475" s="2" t="s">
        <v>139</v>
      </c>
      <c r="F475" s="2"/>
      <c r="G475" s="2"/>
      <c r="H475" s="33"/>
      <c r="I475" s="173">
        <f>M475/AE475</f>
        <v>639.71621603192716</v>
      </c>
      <c r="J475" s="174">
        <f>AH475/AE475</f>
        <v>24.558498343053152</v>
      </c>
      <c r="K475" s="207">
        <f>RANK(I475,$I$76:$I$977)</f>
        <v>398</v>
      </c>
      <c r="L475" s="208" t="e">
        <f>RANK(I475,$I$76:$I$450)</f>
        <v>#N/A</v>
      </c>
      <c r="M475" s="173">
        <f>SUM(N475:R475)</f>
        <v>11487.463416096103</v>
      </c>
      <c r="N475" s="174">
        <f>T475*(1+((AG475+IF(F475="백어택",8,0))/100)*((AI475/100-1)))</f>
        <v>5685.7660865856633</v>
      </c>
      <c r="O475" s="174">
        <f>U475*(1+(($D$57+IF(F475="백어택",8,0))/100)*($D$58/100-1))</f>
        <v>5801.6973295104399</v>
      </c>
      <c r="P475" s="174"/>
      <c r="Q475" s="174"/>
      <c r="R475" s="175"/>
      <c r="S475" s="173">
        <f>SUM(T475:X475)</f>
        <v>7313.423381526829</v>
      </c>
      <c r="T475" s="174">
        <f>AL475*AV475*IF(F475="백어택",1.2,1)</f>
        <v>2438.1007342024391</v>
      </c>
      <c r="U475" s="174">
        <f>AM475*AX475*AY475*IF(F475="백어택",1.2,1)</f>
        <v>4875.3226473243903</v>
      </c>
      <c r="V475" s="174"/>
      <c r="W475" s="174"/>
      <c r="X475" s="175"/>
      <c r="Y475" s="173">
        <f>SUM(Z475:AD475)</f>
        <v>14626.846763053658</v>
      </c>
      <c r="Z475" s="174">
        <f>T475*$D$58/100</f>
        <v>4876.2014684048781</v>
      </c>
      <c r="AA475" s="174">
        <f>U475*$D$58/100</f>
        <v>9750.6452946487807</v>
      </c>
      <c r="AB475" s="174"/>
      <c r="AC475" s="174"/>
      <c r="AD475" s="175"/>
      <c r="AE475" s="173">
        <f>AO475*(1-$D$17/100)-AR475</f>
        <v>17.957124</v>
      </c>
      <c r="AF475" s="174">
        <f>AP475</f>
        <v>36</v>
      </c>
      <c r="AG475" s="174">
        <f>IF($D$57+AU475&gt;100,100,$D$57+AU475)</f>
        <v>79.001300000000001</v>
      </c>
      <c r="AH475" s="174">
        <f>AQ475*AS475</f>
        <v>441</v>
      </c>
      <c r="AI475" s="174">
        <f>$D$58+$D$19</f>
        <v>268.61079999999998</v>
      </c>
      <c r="AJ475" s="174">
        <f>10*IF(AV475=1,1,5/4.5)/IF(AX475=1,5,3.5)</f>
        <v>2</v>
      </c>
      <c r="AK475" s="174">
        <f>SUM(AL475:AN475)</f>
        <v>4875.7620578646347</v>
      </c>
      <c r="AL475" s="174">
        <f>(VLOOKUP(C475,$B$36:$AG$39,29,FALSE)+VLOOKUP(C475,$B$40:$AG$43,29,FALSE)*$D$54)*$D$59/100</f>
        <v>2438.1007342024391</v>
      </c>
      <c r="AM475" s="174">
        <f>(VLOOKUP(C475,$B$36:$AG$39,30,FALSE)+VLOOKUP(C475,$B$40:$AG$43,30,FALSE)*$D$54)*$D$59/100</f>
        <v>2437.6613236621952</v>
      </c>
      <c r="AN475" s="174"/>
      <c r="AO475" s="176">
        <v>18</v>
      </c>
      <c r="AP475" s="174">
        <v>36</v>
      </c>
      <c r="AQ475" s="175">
        <f>VLOOKUP(C475,$B$45:$AG$48,29,FALSE)</f>
        <v>441</v>
      </c>
      <c r="AR475" s="31">
        <f>IF(LEFT(E475,1)*1=1,$S$70,$R$70)</f>
        <v>0</v>
      </c>
      <c r="AS475" s="2">
        <f>IF(LEFT(E475,1)*1=2,$U$70,$T$70)</f>
        <v>1</v>
      </c>
      <c r="AT475" s="33">
        <f>IF(LEFT(E475,1)*1=3,$W$70,$V$70)</f>
        <v>0</v>
      </c>
      <c r="AU475" s="31">
        <f>IF(MID(E475,3,1)*1=1,$Y$70,$X$70)</f>
        <v>60</v>
      </c>
      <c r="AV475" s="2">
        <f>IF(MID(E475,3,1)*1=2,$AA$70,$Z$70)</f>
        <v>1</v>
      </c>
      <c r="AW475" s="33">
        <f>IF(MID(E475,3,1)*1=3,$AC$70,$AB$70)</f>
        <v>0</v>
      </c>
      <c r="AX475" s="31">
        <f>IF(MID(E475,5,1)*1=1,$AE$70,$AD$70)</f>
        <v>1</v>
      </c>
      <c r="AY475" s="33">
        <f>IF(MID(E475,5,1)*1=2,$AG$70,$AF$70)</f>
        <v>2</v>
      </c>
      <c r="AZ475" s="2"/>
      <c r="BA475" s="101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</row>
    <row r="476" spans="1:71" ht="12" customHeight="1">
      <c r="A476" s="2"/>
      <c r="B476" s="107">
        <v>361</v>
      </c>
      <c r="C476" s="31">
        <v>10</v>
      </c>
      <c r="D476" s="106" t="s">
        <v>20</v>
      </c>
      <c r="E476" s="2" t="s">
        <v>170</v>
      </c>
      <c r="F476" s="2"/>
      <c r="G476" s="2"/>
      <c r="H476" s="33"/>
      <c r="I476" s="173">
        <f>M476/AE476</f>
        <v>639.71621603192716</v>
      </c>
      <c r="J476" s="174">
        <f>AH476/AE476</f>
        <v>12.279249171526576</v>
      </c>
      <c r="K476" s="207">
        <f>RANK(I476,$I$76:$I$977)</f>
        <v>398</v>
      </c>
      <c r="L476" s="208" t="e">
        <f>RANK(I476,$I$76:$I$450)</f>
        <v>#N/A</v>
      </c>
      <c r="M476" s="173">
        <f>SUM(N476:R476)</f>
        <v>11487.463416096103</v>
      </c>
      <c r="N476" s="174">
        <f>T476*(1+((AG476+IF(F476="백어택",8,0))/100)*((AI476/100-1)))</f>
        <v>5685.7660865856633</v>
      </c>
      <c r="O476" s="174">
        <f>U476*(1+(($D$57+IF(F476="백어택",8,0))/100)*($D$58/100-1))</f>
        <v>5801.6973295104399</v>
      </c>
      <c r="P476" s="174"/>
      <c r="Q476" s="174"/>
      <c r="R476" s="175"/>
      <c r="S476" s="173">
        <f>SUM(T476:X476)</f>
        <v>7313.423381526829</v>
      </c>
      <c r="T476" s="174">
        <f>AL476*AV476*IF(F476="백어택",1.2,1)</f>
        <v>2438.1007342024391</v>
      </c>
      <c r="U476" s="174">
        <f>AM476*AX476*AY476*IF(F476="백어택",1.2,1)</f>
        <v>4875.3226473243903</v>
      </c>
      <c r="V476" s="174"/>
      <c r="W476" s="174"/>
      <c r="X476" s="175"/>
      <c r="Y476" s="173">
        <f>SUM(Z476:AD476)</f>
        <v>14626.846763053658</v>
      </c>
      <c r="Z476" s="174">
        <f>T476*$D$58/100</f>
        <v>4876.2014684048781</v>
      </c>
      <c r="AA476" s="174">
        <f>U476*$D$58/100</f>
        <v>9750.6452946487807</v>
      </c>
      <c r="AB476" s="174"/>
      <c r="AC476" s="174"/>
      <c r="AD476" s="175"/>
      <c r="AE476" s="173">
        <f>AO476*(1-$D$17/100)-AR476</f>
        <v>17.957124</v>
      </c>
      <c r="AF476" s="174">
        <f>AP476</f>
        <v>36</v>
      </c>
      <c r="AG476" s="174">
        <f>IF($D$57+AU476&gt;100,100,$D$57+AU476)</f>
        <v>79.001300000000001</v>
      </c>
      <c r="AH476" s="174">
        <f>AQ476*AS476</f>
        <v>220.5</v>
      </c>
      <c r="AI476" s="174">
        <f>$D$58+$D$19</f>
        <v>268.61079999999998</v>
      </c>
      <c r="AJ476" s="174">
        <f>10*IF(AV476=1,1,5/4.5)/IF(AX476=1,5,3.5)</f>
        <v>2</v>
      </c>
      <c r="AK476" s="174">
        <f>SUM(AL476:AN476)</f>
        <v>4875.7620578646347</v>
      </c>
      <c r="AL476" s="174">
        <f>(VLOOKUP(C476,$B$36:$AG$39,29,FALSE)+VLOOKUP(C476,$B$40:$AG$43,29,FALSE)*$D$54)*$D$59/100</f>
        <v>2438.1007342024391</v>
      </c>
      <c r="AM476" s="174">
        <f>(VLOOKUP(C476,$B$36:$AG$39,30,FALSE)+VLOOKUP(C476,$B$40:$AG$43,30,FALSE)*$D$54)*$D$59/100</f>
        <v>2437.6613236621952</v>
      </c>
      <c r="AN476" s="174"/>
      <c r="AO476" s="176">
        <v>18</v>
      </c>
      <c r="AP476" s="174">
        <v>36</v>
      </c>
      <c r="AQ476" s="175">
        <f>VLOOKUP(C476,$B$45:$AG$48,29,FALSE)</f>
        <v>441</v>
      </c>
      <c r="AR476" s="31">
        <f>IF(LEFT(E476,1)*1=1,$S$70,$R$70)</f>
        <v>0</v>
      </c>
      <c r="AS476" s="2">
        <f>IF(LEFT(E476,1)*1=2,$U$70,$T$70)</f>
        <v>0.5</v>
      </c>
      <c r="AT476" s="33">
        <f>IF(LEFT(E476,1)*1=3,$W$70,$V$70)</f>
        <v>0</v>
      </c>
      <c r="AU476" s="31">
        <f>IF(MID(E476,3,1)*1=1,$Y$70,$X$70)</f>
        <v>60</v>
      </c>
      <c r="AV476" s="2">
        <f>IF(MID(E476,3,1)*1=2,$AA$70,$Z$70)</f>
        <v>1</v>
      </c>
      <c r="AW476" s="33">
        <f>IF(MID(E476,3,1)*1=3,$AC$70,$AB$70)</f>
        <v>0</v>
      </c>
      <c r="AX476" s="31">
        <f>IF(MID(E476,5,1)*1=1,$AE$70,$AD$70)</f>
        <v>1</v>
      </c>
      <c r="AY476" s="33">
        <f>IF(MID(E476,5,1)*1=2,$AG$70,$AF$70)</f>
        <v>2</v>
      </c>
      <c r="AZ476" s="2"/>
      <c r="BA476" s="101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</row>
    <row r="477" spans="1:71" ht="12" customHeight="1">
      <c r="A477" s="2"/>
      <c r="B477" s="107">
        <v>384</v>
      </c>
      <c r="C477" s="31">
        <v>10</v>
      </c>
      <c r="D477" s="111" t="s">
        <v>8</v>
      </c>
      <c r="E477" s="2" t="s">
        <v>98</v>
      </c>
      <c r="F477" s="2"/>
      <c r="G477" s="2"/>
      <c r="H477" s="33" t="s">
        <v>81</v>
      </c>
      <c r="I477" s="173">
        <f>M477/AE477</f>
        <v>638.79787158502199</v>
      </c>
      <c r="J477" s="174">
        <f>AH477/AE477</f>
        <v>28.185356224514496</v>
      </c>
      <c r="K477" s="207">
        <f>RANK(I477,$I$76:$I$977)</f>
        <v>402</v>
      </c>
      <c r="L477" s="208">
        <f>RANK(I477,$I$451:$I$866)</f>
        <v>27</v>
      </c>
      <c r="M477" s="173">
        <f>SUM(N477:R477)</f>
        <v>11808.035649601916</v>
      </c>
      <c r="N477" s="174">
        <f>T477*(1+((AG477+IF(F477="백어택",8,0))/100)*(IF(AY477=1,$D$58,$D$58+50)/100-1))</f>
        <v>4941.6547081113786</v>
      </c>
      <c r="O477" s="174">
        <f>U477*(1+((AG477+IF(F477="백어택",8,0))/100)*(AI477/100-1))</f>
        <v>6866.3809414905381</v>
      </c>
      <c r="P477" s="174">
        <f>V477*(1+((AG477+IF(F477="백어택",8,0))/100)*(AI477/100-1))</f>
        <v>0</v>
      </c>
      <c r="Q477" s="174"/>
      <c r="R477" s="175"/>
      <c r="S477" s="173">
        <f>SUM(T477:X477)</f>
        <v>8753.5551313492688</v>
      </c>
      <c r="T477" s="174">
        <f>AL477*IF(H477="근접",AR477,1)*AY477*IF(F477="백어택",1.2,1)</f>
        <v>3845.5873300843905</v>
      </c>
      <c r="U477" s="174">
        <f>AM477*IF(H477="근접",AR477,1)*AY477*IF(F477="백어택",1.2,1)</f>
        <v>4907.9678012648774</v>
      </c>
      <c r="V477" s="174">
        <f>IF(AX477=1,0,AM477*IF(H477="근접",AR477,1)*AY477)*IF(F477="백어택",1.2,1)</f>
        <v>0</v>
      </c>
      <c r="W477" s="174"/>
      <c r="X477" s="175"/>
      <c r="Y477" s="173">
        <f>SUM(Z477:AD477)</f>
        <v>24828.668509132094</v>
      </c>
      <c r="Z477" s="174">
        <f>T477*IF(AY477=1,$D$58,$D$58+50)/100</f>
        <v>9613.9683252109753</v>
      </c>
      <c r="AA477" s="174">
        <f>U477*AI477/100</f>
        <v>15214.700183921119</v>
      </c>
      <c r="AB477" s="174">
        <f>V477*AI477/100</f>
        <v>0</v>
      </c>
      <c r="AC477" s="174"/>
      <c r="AD477" s="175"/>
      <c r="AE477" s="173">
        <f>AO477*(1-$D$20/100)*(1-$D$17/100)</f>
        <v>18.484776131615998</v>
      </c>
      <c r="AF477" s="174">
        <f>AP477</f>
        <v>36</v>
      </c>
      <c r="AG477" s="174">
        <f>IF($D$57+AU477&gt;100,100,$D$57+AU477)</f>
        <v>19.001300000000001</v>
      </c>
      <c r="AH477" s="174">
        <f>IF(AX477=1,AQ477,AQ477*1.4)</f>
        <v>521</v>
      </c>
      <c r="AI477" s="174">
        <f>IF(AY477=1,$D$58,$D$58+50)*AW477</f>
        <v>310</v>
      </c>
      <c r="AJ477" s="174">
        <f>10/6/AX477</f>
        <v>1.6666666666666667</v>
      </c>
      <c r="AK477" s="174">
        <f>SUM(AL477:AN477)</f>
        <v>7294.6292761243903</v>
      </c>
      <c r="AL477" s="174">
        <f>(IF(H477="근접",$D$61*(VLOOKUP(C477,$B$36:$AG$39,9,FALSE)+VLOOKUP(C477,$B$40:$AG$43,9,FALSE)*$D$54),$D$60*(VLOOKUP(C477,$B$36:$AG$39,9,FALSE)+VLOOKUP(C477,$B$40:$AG$43,9,FALSE)*$D$54)))*$D$59/100</f>
        <v>3204.6561084036589</v>
      </c>
      <c r="AM477" s="174">
        <f>(IF(H477="근접",$D$61*(VLOOKUP(C477,$B$36:$AG$39,10,FALSE)+VLOOKUP(C477,$B$40:$AG$43,10,FALSE)*$D$54),$D$60*(VLOOKUP(C477,$B$36:$AG$39,10,FALSE)+VLOOKUP(C477,$B$40:$AG$43,10,FALSE)*$D$54)))*$D$59/100</f>
        <v>4089.9731677207315</v>
      </c>
      <c r="AN477" s="174"/>
      <c r="AO477" s="176">
        <v>24</v>
      </c>
      <c r="AP477" s="174">
        <v>36</v>
      </c>
      <c r="AQ477" s="175">
        <f>VLOOKUP(C477,$B$45:$AA$48,9,FALSE)</f>
        <v>521</v>
      </c>
      <c r="AR477" s="31">
        <f>IF(LEFT(E477,1)*1=1,$S$58,$R$58)</f>
        <v>1</v>
      </c>
      <c r="AS477" s="2">
        <f>IF(LEFT(E477,1)*1=2,$U$58,$T$58)</f>
        <v>0</v>
      </c>
      <c r="AT477" s="33">
        <f>IF(LEFT(E477,1)*1=3,$W$58,$V$58)</f>
        <v>0</v>
      </c>
      <c r="AU477" s="31">
        <f>IF(MID(E477,3,1)*1=1,$Y$58,$X$58)</f>
        <v>0</v>
      </c>
      <c r="AV477" s="2">
        <f>IF(MID(E477,3,1)*1=2,$AA$58,$Z$58)</f>
        <v>0</v>
      </c>
      <c r="AW477" s="33">
        <f>IF(MID(E477,3,1)*1=3,$AC$58,$AB$58)</f>
        <v>1.24</v>
      </c>
      <c r="AX477" s="31">
        <f>IF(MID(E477,5,1)*1=1,$AE$58,$AD$58)</f>
        <v>1</v>
      </c>
      <c r="AY477" s="33">
        <f>IF(MID(E477,5,1)*1=2,$AG$58,$AF$58)</f>
        <v>1.2</v>
      </c>
      <c r="AZ477" s="2"/>
      <c r="BA477" s="101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</row>
    <row r="478" spans="1:71" ht="12" customHeight="1">
      <c r="A478" s="2"/>
      <c r="B478" s="107">
        <v>562</v>
      </c>
      <c r="C478" s="31">
        <v>7</v>
      </c>
      <c r="D478" s="111" t="s">
        <v>14</v>
      </c>
      <c r="E478" s="2" t="s">
        <v>67</v>
      </c>
      <c r="F478" s="2" t="s">
        <v>149</v>
      </c>
      <c r="G478" s="1"/>
      <c r="H478" s="33" t="s">
        <v>81</v>
      </c>
      <c r="I478" s="173">
        <f>M478/AE478</f>
        <v>637.532003319463</v>
      </c>
      <c r="J478" s="174">
        <f>AH478/AE478</f>
        <v>16.518097441877977</v>
      </c>
      <c r="K478" s="207">
        <f>RANK(I478,$I$76:$I$977)</f>
        <v>403</v>
      </c>
      <c r="L478" s="208">
        <f>RANK(I478,$I$451:$I$866)</f>
        <v>28</v>
      </c>
      <c r="M478" s="173">
        <f>SUM(N478:R478)</f>
        <v>17676.954537151414</v>
      </c>
      <c r="N478" s="174">
        <f>T478*(1+((AG478+IF(F478="백어택",8,0))/100)*(AI478/100-1))</f>
        <v>5275.8090099633182</v>
      </c>
      <c r="O478" s="174">
        <f>U478*(1+((AG478+IF(F478="백어택",8,0))/100)*(AI478/100-1))</f>
        <v>5275.8090099633182</v>
      </c>
      <c r="P478" s="174">
        <f>V478*(1+((AG478+IF(F478="백어택",8,0))/100)*(AI478*IF(AX478=1,AW478,1)/100-1))</f>
        <v>7125.3365172247786</v>
      </c>
      <c r="Q478" s="174">
        <f>W478*(1+((AG478+IF(F478="백어택",8,0))/100)*(AI478*AW478/100-1))</f>
        <v>0</v>
      </c>
      <c r="R478" s="175"/>
      <c r="S478" s="173">
        <f>SUM(T478:X478)</f>
        <v>13918.719365196586</v>
      </c>
      <c r="T478" s="174">
        <f>AL478*AY478*IF(F478="백어택",1.2,1)</f>
        <v>4154.1378001353669</v>
      </c>
      <c r="U478" s="174">
        <f>AM478*AY478*IF(F478="백어택",1.2,1)</f>
        <v>4154.1378001353669</v>
      </c>
      <c r="V478" s="174">
        <f>AN478*AY478*IF(F478="백어택",1.2,1)</f>
        <v>5610.4437649258534</v>
      </c>
      <c r="W478" s="174">
        <f>(T478+U478+V478)*IF(AX478=1,0,0.6)*IF(F478="백어택",1.2,1)</f>
        <v>0</v>
      </c>
      <c r="X478" s="175"/>
      <c r="Y478" s="173">
        <f>SUM(Z478:AD478)</f>
        <v>27837.438730393173</v>
      </c>
      <c r="Z478" s="174">
        <f>T478*AI478/100</f>
        <v>8308.2756002707338</v>
      </c>
      <c r="AA478" s="174">
        <f>U478*AI478/100</f>
        <v>8308.2756002707338</v>
      </c>
      <c r="AB478" s="174">
        <f>V478*AI478*IF(AX478=1,AW478,1)/100</f>
        <v>11220.887529851705</v>
      </c>
      <c r="AC478" s="174">
        <f>W478*AI478*AW478/100</f>
        <v>0</v>
      </c>
      <c r="AD478" s="175"/>
      <c r="AE478" s="173">
        <f>AO478*(1-$D$20/100)*(1-$D$17/100)</f>
        <v>27.727164197424003</v>
      </c>
      <c r="AF478" s="174">
        <f>AP478</f>
        <v>36</v>
      </c>
      <c r="AG478" s="174">
        <f>IF($D$57+AU478&gt;100,100,$D$57+AU478)</f>
        <v>19.001300000000001</v>
      </c>
      <c r="AH478" s="174">
        <f>AQ478*AS478</f>
        <v>458</v>
      </c>
      <c r="AI478" s="174">
        <f>$D$58+IF(H478="근접",AR478,0)+IF(AY478=1,0,50)</f>
        <v>200</v>
      </c>
      <c r="AJ478" s="174">
        <f>10/3</f>
        <v>3.3333333333333335</v>
      </c>
      <c r="AK478" s="174">
        <f>SUM(AL478:AN478)</f>
        <v>11598.932804330489</v>
      </c>
      <c r="AL478" s="174">
        <f>(IF(H478="근접",$D$61*(VLOOKUP(C478,$B$36:$AG$39,19,FALSE)+VLOOKUP(C478,$B$40:$AG$43,19,FALSE)*$D$54),$D$60*(VLOOKUP(C478,$B$36:$AG$39,19,FALSE)+VLOOKUP(C478,$B$40:$AG$43,19,FALSE)*$D$54)))*$D$59/100</f>
        <v>3461.7815001128056</v>
      </c>
      <c r="AM478" s="174">
        <f>(IF(H478="근접",$D$61*(VLOOKUP(C478,$B$36:$AG$39,20,FALSE)+VLOOKUP(C478,$B$40:$AG$43,20,FALSE)*$D$54),$D$60*(VLOOKUP(C478,$B$36:$AG$39,20,FALSE)+VLOOKUP(C478,$B$40:$AG$43,20,FALSE)*$D$54)))*$D$59/100</f>
        <v>3461.7815001128056</v>
      </c>
      <c r="AN478" s="174">
        <f>(IF(H478="근접",$D$61*(VLOOKUP(C478,$B$36:$AG$39,21,FALSE)+VLOOKUP(C478,$B$40:$AG$43,21,FALSE)*$D$54),$D$60*(VLOOKUP(C478,$B$36:$AG$39,21,FALSE)+VLOOKUP(C478,$B$40:$AG$43,21,FALSE)*$D$54)))*$D$59/100</f>
        <v>4675.3698041048783</v>
      </c>
      <c r="AO478" s="176">
        <v>36</v>
      </c>
      <c r="AP478" s="174">
        <v>36</v>
      </c>
      <c r="AQ478" s="175">
        <f>VLOOKUP(C478,$B$45:$AA$48,19,FALSE)</f>
        <v>458</v>
      </c>
      <c r="AR478" s="31">
        <f>IF(LEFT(E478,1)*1=1,$S$64,$R$64)</f>
        <v>0</v>
      </c>
      <c r="AS478" s="2">
        <f>IF(LEFT(E478,1)*1=2,$U$64,$T$64)</f>
        <v>1</v>
      </c>
      <c r="AT478" s="33">
        <f>IF(LEFT(E478,1)*1=3,$W$64,$V$64)</f>
        <v>0</v>
      </c>
      <c r="AU478" s="31">
        <f>IF(MID(E478,3,1)*1=1,$Y$64,$X$64)</f>
        <v>0</v>
      </c>
      <c r="AV478" s="2">
        <f>IF(MID(E478,3,1)*1=2,$AA$64,$Z$64)</f>
        <v>0</v>
      </c>
      <c r="AW478" s="33">
        <f>IF(MID(E478,3,1)*1=3,$AC$64,$AB$64)</f>
        <v>1</v>
      </c>
      <c r="AX478" s="31">
        <f>IF(MID(E478,5,1)*1=1,$AE$64,$AD$64)</f>
        <v>1</v>
      </c>
      <c r="AY478" s="33">
        <f>IF(MID(E478,5,1)*1=2,$AG$64,$AF$64)</f>
        <v>1</v>
      </c>
      <c r="AZ478" s="2"/>
      <c r="BA478" s="101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</row>
    <row r="479" spans="1:71" ht="12" customHeight="1">
      <c r="A479" s="2"/>
      <c r="B479" s="107">
        <v>568</v>
      </c>
      <c r="C479" s="31">
        <v>7</v>
      </c>
      <c r="D479" s="111" t="s">
        <v>14</v>
      </c>
      <c r="E479" s="2" t="s">
        <v>79</v>
      </c>
      <c r="F479" s="2" t="s">
        <v>149</v>
      </c>
      <c r="G479" s="2"/>
      <c r="H479" s="33" t="s">
        <v>81</v>
      </c>
      <c r="I479" s="173">
        <f>M479/AE479</f>
        <v>637.532003319463</v>
      </c>
      <c r="J479" s="174">
        <f>AH479/AE479</f>
        <v>8.2590487209389885</v>
      </c>
      <c r="K479" s="207">
        <f>RANK(I479,$I$76:$I$977)</f>
        <v>403</v>
      </c>
      <c r="L479" s="208">
        <f>RANK(I479,$I$451:$I$866)</f>
        <v>28</v>
      </c>
      <c r="M479" s="173">
        <f>SUM(N479:R479)</f>
        <v>17676.954537151414</v>
      </c>
      <c r="N479" s="174">
        <f>T479*(1+((AG479+IF(F479="백어택",8,0))/100)*(AI479/100-1))</f>
        <v>5275.8090099633182</v>
      </c>
      <c r="O479" s="174">
        <f>U479*(1+((AG479+IF(F479="백어택",8,0))/100)*(AI479/100-1))</f>
        <v>5275.8090099633182</v>
      </c>
      <c r="P479" s="174">
        <f>V479*(1+((AG479+IF(F479="백어택",8,0))/100)*(AI479*IF(AX479=1,AW479,1)/100-1))</f>
        <v>7125.3365172247786</v>
      </c>
      <c r="Q479" s="174">
        <f>W479*(1+((AG479+IF(F479="백어택",8,0))/100)*(AI479*AW479/100-1))</f>
        <v>0</v>
      </c>
      <c r="R479" s="175"/>
      <c r="S479" s="173">
        <f>SUM(T479:X479)</f>
        <v>13918.719365196586</v>
      </c>
      <c r="T479" s="174">
        <f>AL479*AY479*IF(F479="백어택",1.2,1)</f>
        <v>4154.1378001353669</v>
      </c>
      <c r="U479" s="174">
        <f>AM479*AY479*IF(F479="백어택",1.2,1)</f>
        <v>4154.1378001353669</v>
      </c>
      <c r="V479" s="174">
        <f>AN479*AY479*IF(F479="백어택",1.2,1)</f>
        <v>5610.4437649258534</v>
      </c>
      <c r="W479" s="174">
        <f>(T479+U479+V479)*IF(AX479=1,0,0.6)*IF(F479="백어택",1.2,1)</f>
        <v>0</v>
      </c>
      <c r="X479" s="175"/>
      <c r="Y479" s="173">
        <f>SUM(Z479:AD479)</f>
        <v>27837.438730393173</v>
      </c>
      <c r="Z479" s="174">
        <f>T479*AI479/100</f>
        <v>8308.2756002707338</v>
      </c>
      <c r="AA479" s="174">
        <f>U479*AI479/100</f>
        <v>8308.2756002707338</v>
      </c>
      <c r="AB479" s="174">
        <f>V479*AI479*IF(AX479=1,AW479,1)/100</f>
        <v>11220.887529851705</v>
      </c>
      <c r="AC479" s="174">
        <f>W479*AI479*AW479/100</f>
        <v>0</v>
      </c>
      <c r="AD479" s="175"/>
      <c r="AE479" s="173">
        <f>AO479*(1-$D$20/100)*(1-$D$17/100)</f>
        <v>27.727164197424003</v>
      </c>
      <c r="AF479" s="174">
        <f>AP479</f>
        <v>36</v>
      </c>
      <c r="AG479" s="174">
        <f>IF($D$57+AU479&gt;100,100,$D$57+AU479)</f>
        <v>19.001300000000001</v>
      </c>
      <c r="AH479" s="174">
        <f>AQ479*AS479</f>
        <v>229</v>
      </c>
      <c r="AI479" s="174">
        <f>$D$58+IF(H479="근접",AR479,0)+IF(AY479=1,0,50)</f>
        <v>200</v>
      </c>
      <c r="AJ479" s="174">
        <f>10/3</f>
        <v>3.3333333333333335</v>
      </c>
      <c r="AK479" s="174">
        <f>SUM(AL479:AN479)</f>
        <v>11598.932804330489</v>
      </c>
      <c r="AL479" s="174">
        <f>(IF(H479="근접",$D$61*(VLOOKUP(C479,$B$36:$AG$39,19,FALSE)+VLOOKUP(C479,$B$40:$AG$43,19,FALSE)*$D$54),$D$60*(VLOOKUP(C479,$B$36:$AG$39,19,FALSE)+VLOOKUP(C479,$B$40:$AG$43,19,FALSE)*$D$54)))*$D$59/100</f>
        <v>3461.7815001128056</v>
      </c>
      <c r="AM479" s="174">
        <f>(IF(H479="근접",$D$61*(VLOOKUP(C479,$B$36:$AG$39,20,FALSE)+VLOOKUP(C479,$B$40:$AG$43,20,FALSE)*$D$54),$D$60*(VLOOKUP(C479,$B$36:$AG$39,20,FALSE)+VLOOKUP(C479,$B$40:$AG$43,20,FALSE)*$D$54)))*$D$59/100</f>
        <v>3461.7815001128056</v>
      </c>
      <c r="AN479" s="174">
        <f>(IF(H479="근접",$D$61*(VLOOKUP(C479,$B$36:$AG$39,21,FALSE)+VLOOKUP(C479,$B$40:$AG$43,21,FALSE)*$D$54),$D$60*(VLOOKUP(C479,$B$36:$AG$39,21,FALSE)+VLOOKUP(C479,$B$40:$AG$43,21,FALSE)*$D$54)))*$D$59/100</f>
        <v>4675.3698041048783</v>
      </c>
      <c r="AO479" s="176">
        <v>36</v>
      </c>
      <c r="AP479" s="174">
        <v>36</v>
      </c>
      <c r="AQ479" s="175">
        <f>VLOOKUP(C479,$B$45:$AA$48,19,FALSE)</f>
        <v>458</v>
      </c>
      <c r="AR479" s="31">
        <f>IF(LEFT(E479,1)*1=1,$S$64,$R$64)</f>
        <v>0</v>
      </c>
      <c r="AS479" s="2">
        <f>IF(LEFT(E479,1)*1=2,$U$64,$T$64)</f>
        <v>0.5</v>
      </c>
      <c r="AT479" s="33">
        <f>IF(LEFT(E479,1)*1=3,$W$64,$V$64)</f>
        <v>0</v>
      </c>
      <c r="AU479" s="31">
        <f>IF(MID(E479,3,1)*1=1,$Y$64,$X$64)</f>
        <v>0</v>
      </c>
      <c r="AV479" s="2">
        <f>IF(MID(E479,3,1)*1=2,$AA$64,$Z$64)</f>
        <v>0</v>
      </c>
      <c r="AW479" s="33">
        <f>IF(MID(E479,3,1)*1=3,$AC$64,$AB$64)</f>
        <v>1</v>
      </c>
      <c r="AX479" s="31">
        <f>IF(MID(E479,5,1)*1=1,$AE$64,$AD$64)</f>
        <v>1</v>
      </c>
      <c r="AY479" s="33">
        <f>IF(MID(E479,5,1)*1=2,$AG$64,$AF$64)</f>
        <v>1</v>
      </c>
      <c r="AZ479" s="2"/>
      <c r="BA479" s="101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</row>
    <row r="480" spans="1:71" ht="12" customHeight="1">
      <c r="A480" s="2"/>
      <c r="B480" s="107">
        <v>797</v>
      </c>
      <c r="C480" s="31">
        <v>10</v>
      </c>
      <c r="D480" s="113" t="s">
        <v>9</v>
      </c>
      <c r="E480" s="2" t="s">
        <v>171</v>
      </c>
      <c r="F480" s="2"/>
      <c r="G480" s="2" t="s">
        <v>166</v>
      </c>
      <c r="H480" s="33"/>
      <c r="I480" s="173">
        <f>M480/AE480</f>
        <v>633.56220579303886</v>
      </c>
      <c r="J480" s="174">
        <f>AH480/AE480</f>
        <v>18.293575296355918</v>
      </c>
      <c r="K480" s="207">
        <f>RANK(I480,$I$76:$I$977)</f>
        <v>405</v>
      </c>
      <c r="L480" s="208" t="e">
        <f>RANK(I480,$I$867:$I$977)</f>
        <v>#N/A</v>
      </c>
      <c r="M480" s="173">
        <f>SUM(N480:R480)*(1+$D$22/100)</f>
        <v>22753.910182278236</v>
      </c>
      <c r="N480" s="174">
        <f>T480*(1+((AG480+IF(F480="백어택",8,0))/100)*(AI480/100-1))</f>
        <v>12323.666944622308</v>
      </c>
      <c r="O480" s="174">
        <f>U480*(1+($D$57/100)*(AI480/100-1))</f>
        <v>6133.2200223811205</v>
      </c>
      <c r="P480" s="174"/>
      <c r="Q480" s="174"/>
      <c r="R480" s="175">
        <f>X480*(1+($D$57/100)*(AI480/100-1))</f>
        <v>2044.4066741270403</v>
      </c>
      <c r="S480" s="173">
        <f>SUM(T480:X480)</f>
        <v>13756.560272380488</v>
      </c>
      <c r="T480" s="174">
        <f>AL480*AU480*AY480</f>
        <v>6884.6801361902444</v>
      </c>
      <c r="U480" s="174">
        <f>AM480*AX480</f>
        <v>5153.9101021426832</v>
      </c>
      <c r="V480" s="174"/>
      <c r="W480" s="174"/>
      <c r="X480" s="175">
        <f>AM480*AS480</f>
        <v>1717.9700340475611</v>
      </c>
      <c r="Y480" s="173">
        <f>SUM(Z480:AD480)</f>
        <v>27513.120544760975</v>
      </c>
      <c r="Z480" s="174">
        <f>T480*$D$58/100</f>
        <v>13769.360272380489</v>
      </c>
      <c r="AA480" s="174">
        <f>U480*$D$58/100</f>
        <v>10307.820204285366</v>
      </c>
      <c r="AB480" s="174"/>
      <c r="AC480" s="174"/>
      <c r="AD480" s="175">
        <f>X480*$D$58/100</f>
        <v>3435.9400680951221</v>
      </c>
      <c r="AE480" s="173">
        <f>AO480*(1-$D$17/100)</f>
        <v>35.914248000000001</v>
      </c>
      <c r="AF480" s="174">
        <f>AP480</f>
        <v>36</v>
      </c>
      <c r="AG480" s="174">
        <f>IF($D$57+AW480&gt;100,100,$D$57+AW480)</f>
        <v>79.001300000000001</v>
      </c>
      <c r="AH480" s="174">
        <f>AQ480</f>
        <v>657</v>
      </c>
      <c r="AI480" s="174">
        <f>$D$58</f>
        <v>200</v>
      </c>
      <c r="AJ480" s="174">
        <f>10/(6+AT480)</f>
        <v>1.6666666666666667</v>
      </c>
      <c r="AK480" s="174">
        <f>SUM(AL480:AN480)</f>
        <v>8602.6501702378046</v>
      </c>
      <c r="AL480" s="174">
        <f>(VLOOKUP(C480,$B$36:$AG$39,11,FALSE)+VLOOKUP(C480,$B$40:$AG$43,11,FALSE)*$D$54)*$D$59/100</f>
        <v>6884.6801361902444</v>
      </c>
      <c r="AM480" s="174">
        <f>(3*(VLOOKUP(C480,$B$36:$AG$39,12,FALSE)+VLOOKUP(C480,$B$40:$AG$43,12,FALSE)*$D$54))*$D$59/100</f>
        <v>1717.9700340475611</v>
      </c>
      <c r="AN480" s="174"/>
      <c r="AO480" s="176">
        <v>36</v>
      </c>
      <c r="AP480" s="174">
        <v>36</v>
      </c>
      <c r="AQ480" s="175">
        <f>VLOOKUP(C480,$B$45:$AA$48,11,FALSE)</f>
        <v>657</v>
      </c>
      <c r="AR480" s="31">
        <f>IF(LEFT(E480,1)*1=1,$S$59,$R$59)</f>
        <v>0</v>
      </c>
      <c r="AS480" s="2">
        <f>IF(LEFT(E480,1)*1=2,$U$59,$T$59)</f>
        <v>1</v>
      </c>
      <c r="AT480" s="33">
        <f>IF(LEFT(E480,1)*1=3,$W$59,$V$59)</f>
        <v>0</v>
      </c>
      <c r="AU480" s="31">
        <f>IF(MID(E480,3,1)*1=1,$Y$59,$X$59)</f>
        <v>1</v>
      </c>
      <c r="AV480" s="2">
        <f>IF(MID(E480,3,1)*1=2,$AA$59,$Z$59)</f>
        <v>0</v>
      </c>
      <c r="AW480" s="33">
        <f>IF(MID(E480,3,1)*1=3,$AC$59,$AB$59)</f>
        <v>60</v>
      </c>
      <c r="AX480" s="31">
        <f>IF(MID(E480,5,1)*1=1,$AE$59,$AD$59)</f>
        <v>3</v>
      </c>
      <c r="AY480" s="33">
        <f>IF(MID(E480,5,1)*1=2,$AG$59,$AF$59)</f>
        <v>1</v>
      </c>
      <c r="AZ480" s="2"/>
      <c r="BA480" s="101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</row>
    <row r="481" spans="1:71" ht="12" customHeight="1">
      <c r="A481" s="2"/>
      <c r="B481" s="107">
        <v>47</v>
      </c>
      <c r="C481" s="31">
        <v>10</v>
      </c>
      <c r="D481" s="106" t="s">
        <v>4</v>
      </c>
      <c r="E481" s="2" t="s">
        <v>92</v>
      </c>
      <c r="F481" s="2" t="s">
        <v>149</v>
      </c>
      <c r="G481" s="2"/>
      <c r="H481" s="33"/>
      <c r="I481" s="173">
        <f>M481/AE481</f>
        <v>633.3676403668685</v>
      </c>
      <c r="J481" s="174">
        <f>AH481/AE481</f>
        <v>29.152775243964456</v>
      </c>
      <c r="K481" s="207">
        <f>RANK(I481,$I$76:$I$977)</f>
        <v>406</v>
      </c>
      <c r="L481" s="208" t="e">
        <f>RANK(I481,$I$76:$I$450)</f>
        <v>#N/A</v>
      </c>
      <c r="M481" s="173">
        <f>SUM(N481:R481)</f>
        <v>7582.3075037701756</v>
      </c>
      <c r="N481" s="174">
        <f>T481*(1+((AG481+IF(F481="백어택",8,0))/100)*((AI481/100-1)))</f>
        <v>960.73097873330869</v>
      </c>
      <c r="O481" s="174">
        <f>U481*(1+((AG481+IF(F481="백어택",8,0))/100)*(AI481/100-1))</f>
        <v>6621.5765250368668</v>
      </c>
      <c r="P481" s="174"/>
      <c r="Q481" s="174"/>
      <c r="R481" s="175"/>
      <c r="S481" s="173">
        <f>SUM(T481:X481)</f>
        <v>5210.2371929740239</v>
      </c>
      <c r="T481" s="174">
        <f>AT481*AL481*IF(F481="백어택",1.2,1)</f>
        <v>660.17320919121948</v>
      </c>
      <c r="U481" s="174">
        <f>AM481*AW481*AX481*AY481*IF(F481="백어택",1.2,1)</f>
        <v>4550.0639837828048</v>
      </c>
      <c r="V481" s="174"/>
      <c r="W481" s="174"/>
      <c r="X481" s="175"/>
      <c r="Y481" s="173">
        <f>SUM(Z481:AD481)</f>
        <v>10420.474385948048</v>
      </c>
      <c r="Z481" s="174">
        <f>T481*$D$58/100</f>
        <v>1320.346418382439</v>
      </c>
      <c r="AA481" s="174">
        <f>U481*$D$58/100</f>
        <v>9100.1279675656097</v>
      </c>
      <c r="AB481" s="174"/>
      <c r="AC481" s="174"/>
      <c r="AD481" s="175"/>
      <c r="AE481" s="173">
        <f>AO481*(1-$D$17/100)</f>
        <v>11.971416</v>
      </c>
      <c r="AF481" s="174">
        <f>AP481</f>
        <v>36</v>
      </c>
      <c r="AG481" s="174">
        <f>IF($D$57&gt;100,100,$D$57)</f>
        <v>19.001300000000001</v>
      </c>
      <c r="AH481" s="174">
        <f>AQ481</f>
        <v>349</v>
      </c>
      <c r="AI481" s="174">
        <f>$D$58+$D$19</f>
        <v>268.61079999999998</v>
      </c>
      <c r="AJ481" s="174">
        <f>10/IF(AY481=1,5,4)</f>
        <v>2.5</v>
      </c>
      <c r="AK481" s="174">
        <f>SUM(AL481:AN481)</f>
        <v>2748.2428838829269</v>
      </c>
      <c r="AL481" s="174">
        <f>(VLOOKUP(C481,$B$36:$AG$39,4,FALSE)+VLOOKUP(C481,$B$40:$AG$43,4,FALSE)*$D$54)*$D$59/100</f>
        <v>550.14434099268294</v>
      </c>
      <c r="AM481" s="174">
        <f>(VLOOKUP(C481,$B$36:$AG$39,5,FALSE)+VLOOKUP(C481,$B$40:$AG$43,5,FALSE)*$D$54)*$D$59/100</f>
        <v>2198.0985428902441</v>
      </c>
      <c r="AN481" s="174"/>
      <c r="AO481" s="176">
        <v>12</v>
      </c>
      <c r="AP481" s="174">
        <v>36</v>
      </c>
      <c r="AQ481" s="175">
        <f>VLOOKUP(C481,$B$45:$AA$48,4,FALSE)</f>
        <v>349</v>
      </c>
      <c r="AR481" s="31">
        <f>IF(LEFT(E481,1)*1=1,$S$54,$R$54)</f>
        <v>0</v>
      </c>
      <c r="AS481" s="2">
        <f>IF(LEFT(E481,1)*1=2,$U$54,$T$54)</f>
        <v>0</v>
      </c>
      <c r="AT481" s="33">
        <f>IF(LEFT(E481,1)*1=3,$W$54,$V$54)</f>
        <v>1</v>
      </c>
      <c r="AU481" s="31">
        <f>IF(MID(E481,3,1)*1=1,$Y$54,$X$54)</f>
        <v>0</v>
      </c>
      <c r="AV481" s="2">
        <f>IF(MID(E481,3,1)*1=2,$AA$54,$Z$54)</f>
        <v>0</v>
      </c>
      <c r="AW481" s="33">
        <f>IF(MID(E481,3,1)*1=3,$AC$54,$AB$54)</f>
        <v>1</v>
      </c>
      <c r="AX481" s="31">
        <f>IF(MID(E481,5,1)*1=1,$AE$54,$AD$54)</f>
        <v>1</v>
      </c>
      <c r="AY481" s="33">
        <f>IF(MID(E481,5,1)*1=2,$AG$54,$AF$54)</f>
        <v>1.7250000000000001</v>
      </c>
      <c r="AZ481" s="2"/>
      <c r="BA481" s="101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</row>
    <row r="482" spans="1:71" ht="12" customHeight="1">
      <c r="A482" s="2"/>
      <c r="B482" s="107">
        <v>796</v>
      </c>
      <c r="C482" s="31">
        <v>10</v>
      </c>
      <c r="D482" s="113" t="s">
        <v>9</v>
      </c>
      <c r="E482" s="2" t="s">
        <v>169</v>
      </c>
      <c r="F482" s="2"/>
      <c r="G482" s="2"/>
      <c r="H482" s="33"/>
      <c r="I482" s="173">
        <f>M482/AE482</f>
        <v>632.49978437357993</v>
      </c>
      <c r="J482" s="174">
        <f>AH482/AE482</f>
        <v>18.293575296355918</v>
      </c>
      <c r="K482" s="207">
        <f>RANK(I482,$I$76:$I$977)</f>
        <v>407</v>
      </c>
      <c r="L482" s="208" t="e">
        <f>RANK(I482,$I$867:$I$977)</f>
        <v>#N/A</v>
      </c>
      <c r="M482" s="173">
        <f>SUM(N482:R482)*(1+$D$22/100)</f>
        <v>22715.754115939275</v>
      </c>
      <c r="N482" s="174">
        <f>T482*(1+((AG482+IF(F482="백어택",8,0))/100)*(AI482/100-1))</f>
        <v>12289.288294362243</v>
      </c>
      <c r="O482" s="174">
        <f>U482*(1+($D$57/100)*(AI482/100-1))</f>
        <v>6133.2200223811205</v>
      </c>
      <c r="P482" s="174"/>
      <c r="Q482" s="174"/>
      <c r="R482" s="175">
        <f>X482*(1+($D$57/100)*(AI482/100-1))</f>
        <v>2044.4066741270403</v>
      </c>
      <c r="S482" s="173">
        <f>SUM(T482:X482)</f>
        <v>17198.900340475611</v>
      </c>
      <c r="T482" s="174">
        <f>AL482*AU482*AY482</f>
        <v>10327.020204285367</v>
      </c>
      <c r="U482" s="174">
        <f>AM482*AX482</f>
        <v>5153.9101021426832</v>
      </c>
      <c r="V482" s="174"/>
      <c r="W482" s="174"/>
      <c r="X482" s="175">
        <f>AM482*AS482</f>
        <v>1717.9700340475611</v>
      </c>
      <c r="Y482" s="173">
        <f>SUM(Z482:AD482)</f>
        <v>34397.800680951223</v>
      </c>
      <c r="Z482" s="174">
        <f>T482*$D$58/100</f>
        <v>20654.040408570734</v>
      </c>
      <c r="AA482" s="174">
        <f>U482*$D$58/100</f>
        <v>10307.820204285366</v>
      </c>
      <c r="AB482" s="174"/>
      <c r="AC482" s="174"/>
      <c r="AD482" s="175">
        <f>X482*$D$58/100</f>
        <v>3435.9400680951221</v>
      </c>
      <c r="AE482" s="173">
        <f>AO482*(1-$D$17/100)</f>
        <v>35.914248000000001</v>
      </c>
      <c r="AF482" s="174">
        <f>AP482</f>
        <v>36</v>
      </c>
      <c r="AG482" s="174">
        <f>IF($D$57+AW482&gt;100,100,$D$57+AW482)</f>
        <v>19.001300000000001</v>
      </c>
      <c r="AH482" s="174">
        <f>AQ482</f>
        <v>657</v>
      </c>
      <c r="AI482" s="174">
        <f>$D$58</f>
        <v>200</v>
      </c>
      <c r="AJ482" s="174">
        <f>10/(6+AT482)</f>
        <v>1.6666666666666667</v>
      </c>
      <c r="AK482" s="174">
        <f>SUM(AL482:AN482)</f>
        <v>8602.6501702378046</v>
      </c>
      <c r="AL482" s="174">
        <f>(VLOOKUP(C482,$B$36:$AG$39,11,FALSE)+VLOOKUP(C482,$B$40:$AG$43,11,FALSE)*$D$54)*$D$59/100</f>
        <v>6884.6801361902444</v>
      </c>
      <c r="AM482" s="174">
        <f>(3*(VLOOKUP(C482,$B$36:$AG$39,12,FALSE)+VLOOKUP(C482,$B$40:$AG$43,12,FALSE)*$D$54))*$D$59/100</f>
        <v>1717.9700340475611</v>
      </c>
      <c r="AN482" s="174"/>
      <c r="AO482" s="176">
        <v>36</v>
      </c>
      <c r="AP482" s="174">
        <v>36</v>
      </c>
      <c r="AQ482" s="175">
        <f>VLOOKUP(C482,$B$45:$AA$48,11,FALSE)</f>
        <v>657</v>
      </c>
      <c r="AR482" s="31">
        <f>IF(LEFT(E482,1)*1=1,$S$59,$R$59)</f>
        <v>0</v>
      </c>
      <c r="AS482" s="2">
        <f>IF(LEFT(E482,1)*1=2,$U$59,$T$59)</f>
        <v>1</v>
      </c>
      <c r="AT482" s="33">
        <f>IF(LEFT(E482,1)*1=3,$W$59,$V$59)</f>
        <v>0</v>
      </c>
      <c r="AU482" s="31">
        <f>IF(MID(E482,3,1)*1=1,$Y$59,$X$59)</f>
        <v>1.5</v>
      </c>
      <c r="AV482" s="2">
        <f>IF(MID(E482,3,1)*1=2,$AA$59,$Z$59)</f>
        <v>0</v>
      </c>
      <c r="AW482" s="33">
        <f>IF(MID(E482,3,1)*1=3,$AC$59,$AB$59)</f>
        <v>0</v>
      </c>
      <c r="AX482" s="31">
        <f>IF(MID(E482,5,1)*1=1,$AE$59,$AD$59)</f>
        <v>3</v>
      </c>
      <c r="AY482" s="33">
        <f>IF(MID(E482,5,1)*1=2,$AG$59,$AF$59)</f>
        <v>1</v>
      </c>
      <c r="AZ482" s="2"/>
      <c r="BA482" s="101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</row>
    <row r="483" spans="1:71" ht="12" customHeight="1">
      <c r="A483" s="2"/>
      <c r="B483" s="107">
        <v>186</v>
      </c>
      <c r="C483" s="31">
        <v>1</v>
      </c>
      <c r="D483" s="106" t="s">
        <v>10</v>
      </c>
      <c r="E483" s="2" t="s">
        <v>67</v>
      </c>
      <c r="F483" s="2" t="s">
        <v>149</v>
      </c>
      <c r="G483" s="2"/>
      <c r="H483" s="33"/>
      <c r="I483" s="173">
        <f>M483/AE483</f>
        <v>631.18124794842799</v>
      </c>
      <c r="J483" s="174">
        <f>AH483/AE483</f>
        <v>5.0119384373577862</v>
      </c>
      <c r="K483" s="207">
        <f>RANK(I483,$I$76:$I$977)</f>
        <v>408</v>
      </c>
      <c r="L483" s="208" t="e">
        <f>RANK(I483,$I$76:$I$450)</f>
        <v>#N/A</v>
      </c>
      <c r="M483" s="173">
        <f>SUM(N483:R483)</f>
        <v>10074.844387453037</v>
      </c>
      <c r="N483" s="174">
        <f>T483*(1+((AG483+IF(F483="백어택",8,0))/100)*((AI483/100-1)))</f>
        <v>10074.844387453037</v>
      </c>
      <c r="O483" s="174"/>
      <c r="P483" s="174"/>
      <c r="Q483" s="174"/>
      <c r="R483" s="175"/>
      <c r="S483" s="173">
        <f>SUM(T483:X483)</f>
        <v>6923.0018585809767</v>
      </c>
      <c r="T483" s="174">
        <f>AL483*AS483*AU483*AX483*IF(AY483=0,1,0.5)*IF(F483="백어택",1.2,1)</f>
        <v>6923.0018585809767</v>
      </c>
      <c r="U483" s="174"/>
      <c r="V483" s="174"/>
      <c r="W483" s="174"/>
      <c r="X483" s="175"/>
      <c r="Y483" s="173">
        <f>SUM(Z483:AD483)</f>
        <v>18595.930676349228</v>
      </c>
      <c r="Z483" s="174">
        <f>T483*AI483/100</f>
        <v>18595.930676349228</v>
      </c>
      <c r="AA483" s="174"/>
      <c r="AB483" s="174"/>
      <c r="AC483" s="174"/>
      <c r="AD483" s="175"/>
      <c r="AE483" s="173">
        <f>AO483*(1-$D$17/100)</f>
        <v>15.961888</v>
      </c>
      <c r="AF483" s="174">
        <f>AP483</f>
        <v>36</v>
      </c>
      <c r="AG483" s="174">
        <f>IF($D$57+AV483&gt;100,100,$D$57+AV483)</f>
        <v>19.001300000000001</v>
      </c>
      <c r="AH483" s="174">
        <f>AQ483</f>
        <v>80</v>
      </c>
      <c r="AI483" s="174">
        <f>$D$58+$D$19</f>
        <v>268.61079999999998</v>
      </c>
      <c r="AJ483" s="174">
        <f>10*AR483/(7-IF(AX483=1,0,3))</f>
        <v>1.4285714285714286</v>
      </c>
      <c r="AK483" s="174">
        <f>SUM(AL483:AN483)</f>
        <v>5769.1682154841474</v>
      </c>
      <c r="AL483" s="174">
        <f>(VLOOKUP(C483,$B$36:$AG$39,13,FALSE)+VLOOKUP(C483,$B$40:$AG$43,13,FALSE)*$D$54)*$D$59/100</f>
        <v>5769.1682154841474</v>
      </c>
      <c r="AM483" s="174"/>
      <c r="AN483" s="174"/>
      <c r="AO483" s="176">
        <v>16</v>
      </c>
      <c r="AP483" s="174">
        <v>36</v>
      </c>
      <c r="AQ483" s="175">
        <f>VLOOKUP(C483,$B$45:$AA$48,13,FALSE)</f>
        <v>80</v>
      </c>
      <c r="AR483" s="31">
        <f>IF(LEFT(E483,1)*1=1,$S$60,$R$60)</f>
        <v>1</v>
      </c>
      <c r="AS483" s="2">
        <f>IF(LEFT(E483,1)*1=2,$U$60,$T$60)</f>
        <v>1</v>
      </c>
      <c r="AT483" s="33">
        <f>IF(LEFT(E483,1)*1=3,$W$60,$V$60)</f>
        <v>0</v>
      </c>
      <c r="AU483" s="31">
        <f>IF(MID(E483,3,1)*1=1,$Y$60,$X$60)</f>
        <v>1</v>
      </c>
      <c r="AV483" s="2">
        <f>IF(MID(E483,3,1)*1=2,$AA$60,$Z$60)</f>
        <v>0</v>
      </c>
      <c r="AW483" s="33">
        <f>IF(MID(E483,3,1)*1=3,$AC$60,$AB$60)</f>
        <v>0</v>
      </c>
      <c r="AX483" s="31">
        <f>IF(MID(E483,5,1)*1=1,$AE$60,$AD$60)</f>
        <v>1</v>
      </c>
      <c r="AY483" s="33">
        <f>IF(MID(E483,5,1)*1=2,$AG$60,$AF$60)</f>
        <v>0</v>
      </c>
      <c r="AZ483" s="2"/>
      <c r="BA483" s="101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</row>
    <row r="484" spans="1:71" ht="12" customHeight="1">
      <c r="A484" s="2"/>
      <c r="B484" s="107">
        <v>109</v>
      </c>
      <c r="C484" s="31">
        <v>10</v>
      </c>
      <c r="D484" s="106" t="s">
        <v>6</v>
      </c>
      <c r="E484" s="2" t="s">
        <v>111</v>
      </c>
      <c r="F484" s="2"/>
      <c r="G484" s="2"/>
      <c r="H484" s="33"/>
      <c r="I484" s="173">
        <f>M484/AE484</f>
        <v>630.95878107389899</v>
      </c>
      <c r="J484" s="174">
        <f>AH484/AE484</f>
        <v>23.505991271208018</v>
      </c>
      <c r="K484" s="207">
        <f>RANK(I484,$I$76:$I$977)</f>
        <v>409</v>
      </c>
      <c r="L484" s="208" t="e">
        <f>RANK(I484,$I$76:$I$450)</f>
        <v>#N/A</v>
      </c>
      <c r="M484" s="173">
        <f>SUM(N484:R484)</f>
        <v>12589.116745147618</v>
      </c>
      <c r="N484" s="174">
        <f>T484*(1+((AG484+IF(F484="백어택",8,0))/100)*((AI484/100-1)))</f>
        <v>12589.116745147618</v>
      </c>
      <c r="O484" s="174"/>
      <c r="P484" s="174"/>
      <c r="Q484" s="174"/>
      <c r="R484" s="175"/>
      <c r="S484" s="173">
        <f>SUM(T484:X484)</f>
        <v>9534.4472703152187</v>
      </c>
      <c r="T484" s="174">
        <f>AL484*AW484*AT484*AX484*AY484</f>
        <v>9534.4472703152187</v>
      </c>
      <c r="U484" s="174"/>
      <c r="V484" s="174"/>
      <c r="W484" s="174"/>
      <c r="X484" s="175"/>
      <c r="Y484" s="173">
        <f>SUM(Z484:AD484)</f>
        <v>19068.894540630437</v>
      </c>
      <c r="Z484" s="174">
        <f>T484*$D$58/100</f>
        <v>19068.894540630437</v>
      </c>
      <c r="AA484" s="174"/>
      <c r="AB484" s="174"/>
      <c r="AC484" s="174"/>
      <c r="AD484" s="175"/>
      <c r="AE484" s="173">
        <f>AO484*(1-$D$17/100)</f>
        <v>19.952359999999999</v>
      </c>
      <c r="AF484" s="174">
        <f>AP484</f>
        <v>36</v>
      </c>
      <c r="AG484" s="174">
        <f>IF($D$57+AV484&gt;100,100,$D$57+AV484)</f>
        <v>19.001300000000001</v>
      </c>
      <c r="AH484" s="174">
        <f>AQ484*AR484</f>
        <v>469</v>
      </c>
      <c r="AI484" s="174">
        <f>$D$58+$D$19</f>
        <v>268.61079999999998</v>
      </c>
      <c r="AJ484" s="174">
        <f>10/IF(AX484=1,IF(AY484=1,5,6),4)</f>
        <v>1.6666666666666667</v>
      </c>
      <c r="AK484" s="174">
        <f>SUM(AL484:AN484)</f>
        <v>5675.2662323304885</v>
      </c>
      <c r="AL484" s="174">
        <f>(VLOOKUP(C484,$B$36:$AG$39,7,FALSE)+VLOOKUP(C484,$B$40:$AG$43,7,FALSE)*$D$54)*$D$59/100</f>
        <v>5675.2662323304885</v>
      </c>
      <c r="AM484" s="174"/>
      <c r="AN484" s="174"/>
      <c r="AO484" s="176">
        <v>20</v>
      </c>
      <c r="AP484" s="174">
        <v>36</v>
      </c>
      <c r="AQ484" s="175">
        <f>VLOOKUP(C484,$B$45:$AA$48,7,FALSE)</f>
        <v>469</v>
      </c>
      <c r="AR484" s="31">
        <f>IF(LEFT(E484,1)*1=1,$S$56,$R$56)</f>
        <v>1</v>
      </c>
      <c r="AS484" s="2">
        <f>IF(LEFT(E484,1)*1=2,$U$56,$T$56)</f>
        <v>0</v>
      </c>
      <c r="AT484" s="33">
        <f>IF(LEFT(E484,1)*1=3,$W$56,$V$56)</f>
        <v>1.2</v>
      </c>
      <c r="AU484" s="31">
        <f>IF(MID(E484,3,1)*1=1,$Y$56,$X$56)</f>
        <v>0</v>
      </c>
      <c r="AV484" s="2">
        <f>IF(MID(E484,3,1)*1=2,$AA$56,$Z$56)</f>
        <v>0</v>
      </c>
      <c r="AW484" s="33">
        <f>IF(MID(E484,3,1)*1=3,$AC$56,$AB$56)</f>
        <v>1</v>
      </c>
      <c r="AX484" s="31">
        <f>IF(MID(E484,5,1)*1=1,$AE$56,$AD$56)</f>
        <v>1</v>
      </c>
      <c r="AY484" s="33">
        <f>IF(MID(E484,5,1)*1=2,$AG$56,$AF$56)</f>
        <v>1.4</v>
      </c>
      <c r="AZ484" s="2"/>
      <c r="BA484" s="101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</row>
    <row r="485" spans="1:71" ht="12" customHeight="1">
      <c r="A485" s="2"/>
      <c r="B485" s="107">
        <v>586</v>
      </c>
      <c r="C485" s="31">
        <v>10</v>
      </c>
      <c r="D485" s="111" t="s">
        <v>14</v>
      </c>
      <c r="E485" s="2" t="s">
        <v>98</v>
      </c>
      <c r="F485" s="2" t="s">
        <v>149</v>
      </c>
      <c r="G485" s="2"/>
      <c r="H485" s="33" t="s">
        <v>80</v>
      </c>
      <c r="I485" s="173">
        <f>M485/AE485</f>
        <v>630.63248081750987</v>
      </c>
      <c r="J485" s="174">
        <f>AH485/AE485</f>
        <v>23.695174714659018</v>
      </c>
      <c r="K485" s="207">
        <f>RANK(I485,$I$76:$I$977)</f>
        <v>410</v>
      </c>
      <c r="L485" s="208">
        <f>RANK(I485,$I$451:$I$866)</f>
        <v>35</v>
      </c>
      <c r="M485" s="173">
        <f>SUM(N485:R485)</f>
        <v>17485.650343855938</v>
      </c>
      <c r="N485" s="174">
        <f>T485*(1+((AG485+IF(F485="백어택",8,0))/100)*(AI485/100-1))</f>
        <v>4877.4153070879493</v>
      </c>
      <c r="O485" s="174">
        <f>U485*(1+((AG485+IF(F485="백어택",8,0))/100)*(AI485/100-1))</f>
        <v>4877.4153070879493</v>
      </c>
      <c r="P485" s="174">
        <f>V485*(1+((AG485+IF(F485="백어택",8,0))/100)*(AI485*IF(AX485=1,AW485,1)/100-1))</f>
        <v>7730.819729680039</v>
      </c>
      <c r="Q485" s="174">
        <f>W485*(1+((AG485+IF(F485="백어택",8,0))/100)*(AI485*AW485/100-1))</f>
        <v>0</v>
      </c>
      <c r="R485" s="175"/>
      <c r="S485" s="173">
        <f>SUM(T485:X485)</f>
        <v>11633.786159426341</v>
      </c>
      <c r="T485" s="174">
        <f>AL485*AY485*IF(F485="백어택",1.2,1)</f>
        <v>3471.4217895822439</v>
      </c>
      <c r="U485" s="174">
        <f>AM485*AY485*IF(F485="백어택",1.2,1)</f>
        <v>3471.4217895822439</v>
      </c>
      <c r="V485" s="174">
        <f>AN485*AY485*IF(F485="백어택",1.2,1)</f>
        <v>4690.9425802618534</v>
      </c>
      <c r="W485" s="174">
        <f>(T485+U485+V485)*IF(AX485=1,0,0.6)*IF(F485="백어택",1.2,1)</f>
        <v>0</v>
      </c>
      <c r="X485" s="175"/>
      <c r="Y485" s="173">
        <f>SUM(Z485:AD485)</f>
        <v>33306.313720801525</v>
      </c>
      <c r="Z485" s="174">
        <f>T485*AI485/100</f>
        <v>8678.5544739556099</v>
      </c>
      <c r="AA485" s="174">
        <f>U485*AI485/100</f>
        <v>8678.5544739556099</v>
      </c>
      <c r="AB485" s="174">
        <f>V485*AI485*IF(AX485=1,AW485,1)/100</f>
        <v>15949.204772890304</v>
      </c>
      <c r="AC485" s="174">
        <f>W485*AI485*AW485/100</f>
        <v>0</v>
      </c>
      <c r="AD485" s="175"/>
      <c r="AE485" s="173">
        <f>AO485*(1-$D$20/100)*(1-$D$17/100)</f>
        <v>27.727164197424003</v>
      </c>
      <c r="AF485" s="174">
        <f>AP485</f>
        <v>36</v>
      </c>
      <c r="AG485" s="174">
        <f>IF($D$57+AU485&gt;100,100,$D$57+AU485)</f>
        <v>19.001300000000001</v>
      </c>
      <c r="AH485" s="174">
        <f>AQ485*AS485</f>
        <v>657</v>
      </c>
      <c r="AI485" s="174">
        <f>$D$58+IF(H485="근접",AR485,0)+IF(AY485=1,0,50)</f>
        <v>250</v>
      </c>
      <c r="AJ485" s="174">
        <f>10/3</f>
        <v>3.3333333333333335</v>
      </c>
      <c r="AK485" s="174">
        <f>SUM(AL485:AN485)</f>
        <v>8079.0181662682935</v>
      </c>
      <c r="AL485" s="174">
        <f>(IF(H485="근접",$D$61*(VLOOKUP(C485,$B$36:$AG$39,19,FALSE)+VLOOKUP(C485,$B$40:$AG$43,19,FALSE)*$D$54),$D$60*(VLOOKUP(C485,$B$36:$AG$39,19,FALSE)+VLOOKUP(C485,$B$40:$AG$43,19,FALSE)*$D$54)))*$D$59/100</f>
        <v>2410.7095760987809</v>
      </c>
      <c r="AM485" s="174">
        <f>(IF(H485="근접",$D$61*(VLOOKUP(C485,$B$36:$AG$39,20,FALSE)+VLOOKUP(C485,$B$40:$AG$43,20,FALSE)*$D$54),$D$60*(VLOOKUP(C485,$B$36:$AG$39,20,FALSE)+VLOOKUP(C485,$B$40:$AG$43,20,FALSE)*$D$54)))*$D$59/100</f>
        <v>2410.7095760987809</v>
      </c>
      <c r="AN485" s="174">
        <f>(IF(H485="근접",$D$61*(VLOOKUP(C485,$B$36:$AG$39,21,FALSE)+VLOOKUP(C485,$B$40:$AG$43,21,FALSE)*$D$54),$D$60*(VLOOKUP(C485,$B$36:$AG$39,21,FALSE)+VLOOKUP(C485,$B$40:$AG$43,21,FALSE)*$D$54)))*$D$59/100</f>
        <v>3257.5990140707318</v>
      </c>
      <c r="AO485" s="176">
        <v>36</v>
      </c>
      <c r="AP485" s="174">
        <v>36</v>
      </c>
      <c r="AQ485" s="175">
        <f>VLOOKUP(C485,$B$45:$AA$48,19,FALSE)</f>
        <v>657</v>
      </c>
      <c r="AR485" s="31">
        <f>IF(LEFT(E485,1)*1=1,$S$64,$R$64)</f>
        <v>0</v>
      </c>
      <c r="AS485" s="2">
        <f>IF(LEFT(E485,1)*1=2,$U$64,$T$64)</f>
        <v>1</v>
      </c>
      <c r="AT485" s="33">
        <f>IF(LEFT(E485,1)*1=3,$W$64,$V$64)</f>
        <v>0</v>
      </c>
      <c r="AU485" s="31">
        <f>IF(MID(E485,3,1)*1=1,$Y$64,$X$64)</f>
        <v>0</v>
      </c>
      <c r="AV485" s="2">
        <f>IF(MID(E485,3,1)*1=2,$AA$64,$Z$64)</f>
        <v>0</v>
      </c>
      <c r="AW485" s="33">
        <f>IF(MID(E485,3,1)*1=3,$AC$64,$AB$64)</f>
        <v>1.36</v>
      </c>
      <c r="AX485" s="31">
        <f>IF(MID(E485,5,1)*1=1,$AE$64,$AD$64)</f>
        <v>1</v>
      </c>
      <c r="AY485" s="33">
        <f>IF(MID(E485,5,1)*1=2,$AG$64,$AF$64)</f>
        <v>1.2</v>
      </c>
      <c r="AZ485" s="2"/>
      <c r="BA485" s="101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</row>
    <row r="486" spans="1:71" ht="12" customHeight="1">
      <c r="A486" s="2"/>
      <c r="B486" s="107">
        <v>589</v>
      </c>
      <c r="C486" s="31">
        <v>10</v>
      </c>
      <c r="D486" s="111" t="s">
        <v>14</v>
      </c>
      <c r="E486" s="2" t="s">
        <v>157</v>
      </c>
      <c r="F486" s="2" t="s">
        <v>149</v>
      </c>
      <c r="G486" s="2"/>
      <c r="H486" s="33" t="s">
        <v>80</v>
      </c>
      <c r="I486" s="173">
        <f>M486/AE486</f>
        <v>630.63248081750987</v>
      </c>
      <c r="J486" s="174">
        <f>AH486/AE486</f>
        <v>23.695174714659018</v>
      </c>
      <c r="K486" s="207">
        <f>RANK(I486,$I$76:$I$977)</f>
        <v>410</v>
      </c>
      <c r="L486" s="208">
        <f>RANK(I486,$I$451:$I$866)</f>
        <v>35</v>
      </c>
      <c r="M486" s="173">
        <f>SUM(N486:R486)</f>
        <v>17485.650343855938</v>
      </c>
      <c r="N486" s="174">
        <f>T486*(1+((AG486+IF(F486="백어택",8,0))/100)*(AI486/100-1))</f>
        <v>4877.4153070879493</v>
      </c>
      <c r="O486" s="174">
        <f>U486*(1+((AG486+IF(F486="백어택",8,0))/100)*(AI486/100-1))</f>
        <v>4877.4153070879493</v>
      </c>
      <c r="P486" s="174">
        <f>V486*(1+((AG486+IF(F486="백어택",8,0))/100)*(AI486*IF(AX486=1,AW486,1)/100-1))</f>
        <v>7730.819729680039</v>
      </c>
      <c r="Q486" s="174">
        <f>W486*(1+((AG486+IF(F486="백어택",8,0))/100)*(AI486*AW486/100-1))</f>
        <v>0</v>
      </c>
      <c r="R486" s="175"/>
      <c r="S486" s="173">
        <f>SUM(T486:X486)</f>
        <v>11633.786159426341</v>
      </c>
      <c r="T486" s="174">
        <f>AL486*AY486*IF(F486="백어택",1.2,1)</f>
        <v>3471.4217895822439</v>
      </c>
      <c r="U486" s="174">
        <f>AM486*AY486*IF(F486="백어택",1.2,1)</f>
        <v>3471.4217895822439</v>
      </c>
      <c r="V486" s="174">
        <f>AN486*AY486*IF(F486="백어택",1.2,1)</f>
        <v>4690.9425802618534</v>
      </c>
      <c r="W486" s="174">
        <f>(T486+U486+V486)*IF(AX486=1,0,0.6)*IF(F486="백어택",1.2,1)</f>
        <v>0</v>
      </c>
      <c r="X486" s="175"/>
      <c r="Y486" s="173">
        <f>SUM(Z486:AD486)</f>
        <v>33306.313720801525</v>
      </c>
      <c r="Z486" s="174">
        <f>T486*AI486/100</f>
        <v>8678.5544739556099</v>
      </c>
      <c r="AA486" s="174">
        <f>U486*AI486/100</f>
        <v>8678.5544739556099</v>
      </c>
      <c r="AB486" s="174">
        <f>V486*AI486*IF(AX486=1,AW486,1)/100</f>
        <v>15949.204772890304</v>
      </c>
      <c r="AC486" s="174">
        <f>W486*AI486*AW486/100</f>
        <v>0</v>
      </c>
      <c r="AD486" s="175"/>
      <c r="AE486" s="173">
        <f>AO486*(1-$D$20/100)*(1-$D$17/100)</f>
        <v>27.727164197424003</v>
      </c>
      <c r="AF486" s="174">
        <f>AP486</f>
        <v>36</v>
      </c>
      <c r="AG486" s="174">
        <f>IF($D$57+AU486&gt;100,100,$D$57+AU486)</f>
        <v>19.001300000000001</v>
      </c>
      <c r="AH486" s="174">
        <f>AQ486*AS486</f>
        <v>657</v>
      </c>
      <c r="AI486" s="174">
        <f>$D$58+IF(H486="근접",AR486,0)+IF(AY486=1,0,50)</f>
        <v>250</v>
      </c>
      <c r="AJ486" s="174">
        <f>10/3</f>
        <v>3.3333333333333335</v>
      </c>
      <c r="AK486" s="174">
        <f>SUM(AL486:AN486)</f>
        <v>8079.0181662682935</v>
      </c>
      <c r="AL486" s="174">
        <f>(IF(H486="근접",$D$61*(VLOOKUP(C486,$B$36:$AG$39,19,FALSE)+VLOOKUP(C486,$B$40:$AG$43,19,FALSE)*$D$54),$D$60*(VLOOKUP(C486,$B$36:$AG$39,19,FALSE)+VLOOKUP(C486,$B$40:$AG$43,19,FALSE)*$D$54)))*$D$59/100</f>
        <v>2410.7095760987809</v>
      </c>
      <c r="AM486" s="174">
        <f>(IF(H486="근접",$D$61*(VLOOKUP(C486,$B$36:$AG$39,20,FALSE)+VLOOKUP(C486,$B$40:$AG$43,20,FALSE)*$D$54),$D$60*(VLOOKUP(C486,$B$36:$AG$39,20,FALSE)+VLOOKUP(C486,$B$40:$AG$43,20,FALSE)*$D$54)))*$D$59/100</f>
        <v>2410.7095760987809</v>
      </c>
      <c r="AN486" s="174">
        <f>(IF(H486="근접",$D$61*(VLOOKUP(C486,$B$36:$AG$39,21,FALSE)+VLOOKUP(C486,$B$40:$AG$43,21,FALSE)*$D$54),$D$60*(VLOOKUP(C486,$B$36:$AG$39,21,FALSE)+VLOOKUP(C486,$B$40:$AG$43,21,FALSE)*$D$54)))*$D$59/100</f>
        <v>3257.5990140707318</v>
      </c>
      <c r="AO486" s="176">
        <v>36</v>
      </c>
      <c r="AP486" s="174">
        <v>36</v>
      </c>
      <c r="AQ486" s="175">
        <f>VLOOKUP(C486,$B$45:$AA$48,19,FALSE)</f>
        <v>657</v>
      </c>
      <c r="AR486" s="31">
        <f>IF(LEFT(E486,1)*1=1,$S$64,$R$64)</f>
        <v>50</v>
      </c>
      <c r="AS486" s="2">
        <f>IF(LEFT(E486,1)*1=2,$U$64,$T$64)</f>
        <v>1</v>
      </c>
      <c r="AT486" s="33">
        <f>IF(LEFT(E486,1)*1=3,$W$64,$V$64)</f>
        <v>0</v>
      </c>
      <c r="AU486" s="31">
        <f>IF(MID(E486,3,1)*1=1,$Y$64,$X$64)</f>
        <v>0</v>
      </c>
      <c r="AV486" s="2">
        <f>IF(MID(E486,3,1)*1=2,$AA$64,$Z$64)</f>
        <v>0</v>
      </c>
      <c r="AW486" s="33">
        <f>IF(MID(E486,3,1)*1=3,$AC$64,$AB$64)</f>
        <v>1.36</v>
      </c>
      <c r="AX486" s="31">
        <f>IF(MID(E486,5,1)*1=1,$AE$64,$AD$64)</f>
        <v>1</v>
      </c>
      <c r="AY486" s="33">
        <f>IF(MID(E486,5,1)*1=2,$AG$64,$AF$64)</f>
        <v>1.2</v>
      </c>
      <c r="AZ486" s="2"/>
      <c r="BA486" s="101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</row>
    <row r="487" spans="1:71" ht="12" customHeight="1">
      <c r="A487" s="2"/>
      <c r="B487" s="107">
        <v>592</v>
      </c>
      <c r="C487" s="31">
        <v>10</v>
      </c>
      <c r="D487" s="111" t="s">
        <v>14</v>
      </c>
      <c r="E487" s="2" t="s">
        <v>108</v>
      </c>
      <c r="F487" s="2" t="s">
        <v>149</v>
      </c>
      <c r="G487" s="2"/>
      <c r="H487" s="33" t="s">
        <v>80</v>
      </c>
      <c r="I487" s="173">
        <f>M487/AE487</f>
        <v>630.63248081750987</v>
      </c>
      <c r="J487" s="174">
        <f>AH487/AE487</f>
        <v>11.847587357329509</v>
      </c>
      <c r="K487" s="207">
        <f>RANK(I487,$I$76:$I$977)</f>
        <v>410</v>
      </c>
      <c r="L487" s="208">
        <f>RANK(I487,$I$451:$I$866)</f>
        <v>35</v>
      </c>
      <c r="M487" s="173">
        <f>SUM(N487:R487)</f>
        <v>17485.650343855938</v>
      </c>
      <c r="N487" s="174">
        <f>T487*(1+((AG487+IF(F487="백어택",8,0))/100)*(AI487/100-1))</f>
        <v>4877.4153070879493</v>
      </c>
      <c r="O487" s="174">
        <f>U487*(1+((AG487+IF(F487="백어택",8,0))/100)*(AI487/100-1))</f>
        <v>4877.4153070879493</v>
      </c>
      <c r="P487" s="174">
        <f>V487*(1+((AG487+IF(F487="백어택",8,0))/100)*(AI487*IF(AX487=1,AW487,1)/100-1))</f>
        <v>7730.819729680039</v>
      </c>
      <c r="Q487" s="174">
        <f>W487*(1+((AG487+IF(F487="백어택",8,0))/100)*(AI487*AW487/100-1))</f>
        <v>0</v>
      </c>
      <c r="R487" s="175"/>
      <c r="S487" s="173">
        <f>SUM(T487:X487)</f>
        <v>11633.786159426341</v>
      </c>
      <c r="T487" s="174">
        <f>AL487*AY487*IF(F487="백어택",1.2,1)</f>
        <v>3471.4217895822439</v>
      </c>
      <c r="U487" s="174">
        <f>AM487*AY487*IF(F487="백어택",1.2,1)</f>
        <v>3471.4217895822439</v>
      </c>
      <c r="V487" s="174">
        <f>AN487*AY487*IF(F487="백어택",1.2,1)</f>
        <v>4690.9425802618534</v>
      </c>
      <c r="W487" s="174">
        <f>(T487+U487+V487)*IF(AX487=1,0,0.6)*IF(F487="백어택",1.2,1)</f>
        <v>0</v>
      </c>
      <c r="X487" s="175"/>
      <c r="Y487" s="173">
        <f>SUM(Z487:AD487)</f>
        <v>33306.313720801525</v>
      </c>
      <c r="Z487" s="174">
        <f>T487*AI487/100</f>
        <v>8678.5544739556099</v>
      </c>
      <c r="AA487" s="174">
        <f>U487*AI487/100</f>
        <v>8678.5544739556099</v>
      </c>
      <c r="AB487" s="174">
        <f>V487*AI487*IF(AX487=1,AW487,1)/100</f>
        <v>15949.204772890304</v>
      </c>
      <c r="AC487" s="174">
        <f>W487*AI487*AW487/100</f>
        <v>0</v>
      </c>
      <c r="AD487" s="175"/>
      <c r="AE487" s="173">
        <f>AO487*(1-$D$20/100)*(1-$D$17/100)</f>
        <v>27.727164197424003</v>
      </c>
      <c r="AF487" s="174">
        <f>AP487</f>
        <v>36</v>
      </c>
      <c r="AG487" s="174">
        <f>IF($D$57+AU487&gt;100,100,$D$57+AU487)</f>
        <v>19.001300000000001</v>
      </c>
      <c r="AH487" s="174">
        <f>AQ487*AS487</f>
        <v>328.5</v>
      </c>
      <c r="AI487" s="174">
        <f>$D$58+IF(H487="근접",AR487,0)+IF(AY487=1,0,50)</f>
        <v>250</v>
      </c>
      <c r="AJ487" s="174">
        <f>10/3</f>
        <v>3.3333333333333335</v>
      </c>
      <c r="AK487" s="174">
        <f>SUM(AL487:AN487)</f>
        <v>8079.0181662682935</v>
      </c>
      <c r="AL487" s="174">
        <f>(IF(H487="근접",$D$61*(VLOOKUP(C487,$B$36:$AG$39,19,FALSE)+VLOOKUP(C487,$B$40:$AG$43,19,FALSE)*$D$54),$D$60*(VLOOKUP(C487,$B$36:$AG$39,19,FALSE)+VLOOKUP(C487,$B$40:$AG$43,19,FALSE)*$D$54)))*$D$59/100</f>
        <v>2410.7095760987809</v>
      </c>
      <c r="AM487" s="174">
        <f>(IF(H487="근접",$D$61*(VLOOKUP(C487,$B$36:$AG$39,20,FALSE)+VLOOKUP(C487,$B$40:$AG$43,20,FALSE)*$D$54),$D$60*(VLOOKUP(C487,$B$36:$AG$39,20,FALSE)+VLOOKUP(C487,$B$40:$AG$43,20,FALSE)*$D$54)))*$D$59/100</f>
        <v>2410.7095760987809</v>
      </c>
      <c r="AN487" s="174">
        <f>(IF(H487="근접",$D$61*(VLOOKUP(C487,$B$36:$AG$39,21,FALSE)+VLOOKUP(C487,$B$40:$AG$43,21,FALSE)*$D$54),$D$60*(VLOOKUP(C487,$B$36:$AG$39,21,FALSE)+VLOOKUP(C487,$B$40:$AG$43,21,FALSE)*$D$54)))*$D$59/100</f>
        <v>3257.5990140707318</v>
      </c>
      <c r="AO487" s="176">
        <v>36</v>
      </c>
      <c r="AP487" s="174">
        <v>36</v>
      </c>
      <c r="AQ487" s="175">
        <f>VLOOKUP(C487,$B$45:$AA$48,19,FALSE)</f>
        <v>657</v>
      </c>
      <c r="AR487" s="31">
        <f>IF(LEFT(E487,1)*1=1,$S$64,$R$64)</f>
        <v>0</v>
      </c>
      <c r="AS487" s="2">
        <f>IF(LEFT(E487,1)*1=2,$U$64,$T$64)</f>
        <v>0.5</v>
      </c>
      <c r="AT487" s="33">
        <f>IF(LEFT(E487,1)*1=3,$W$64,$V$64)</f>
        <v>0</v>
      </c>
      <c r="AU487" s="31">
        <f>IF(MID(E487,3,1)*1=1,$Y$64,$X$64)</f>
        <v>0</v>
      </c>
      <c r="AV487" s="2">
        <f>IF(MID(E487,3,1)*1=2,$AA$64,$Z$64)</f>
        <v>0</v>
      </c>
      <c r="AW487" s="33">
        <f>IF(MID(E487,3,1)*1=3,$AC$64,$AB$64)</f>
        <v>1.36</v>
      </c>
      <c r="AX487" s="31">
        <f>IF(MID(E487,5,1)*1=1,$AE$64,$AD$64)</f>
        <v>1</v>
      </c>
      <c r="AY487" s="33">
        <f>IF(MID(E487,5,1)*1=2,$AG$64,$AF$64)</f>
        <v>1.2</v>
      </c>
      <c r="AZ487" s="2"/>
      <c r="BA487" s="101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</row>
    <row r="488" spans="1:71" ht="12" customHeight="1">
      <c r="A488" s="2"/>
      <c r="B488" s="107">
        <v>3</v>
      </c>
      <c r="C488" s="31">
        <v>10</v>
      </c>
      <c r="D488" s="106" t="s">
        <v>2</v>
      </c>
      <c r="E488" s="2" t="s">
        <v>91</v>
      </c>
      <c r="F488" s="2"/>
      <c r="G488" s="2" t="s">
        <v>133</v>
      </c>
      <c r="H488" s="33"/>
      <c r="I488" s="173">
        <f>M488/AE488</f>
        <v>630.01022167401641</v>
      </c>
      <c r="J488" s="174">
        <f>AH488/AE488</f>
        <v>34.707673678702669</v>
      </c>
      <c r="K488" s="207">
        <f>RANK(I488,$I$76:$I$977)</f>
        <v>413</v>
      </c>
      <c r="L488" s="208" t="e">
        <f>RANK(I488,$I$76:$I$450)</f>
        <v>#N/A</v>
      </c>
      <c r="M488" s="173">
        <f>SUM(N488:R488)</f>
        <v>5028.0762986079117</v>
      </c>
      <c r="N488" s="174">
        <f>T488*(1+((AG488+IF(F488="백어택",8,0))/100)*((AI488/100-1)))</f>
        <v>5028.0762986079117</v>
      </c>
      <c r="O488" s="174"/>
      <c r="P488" s="174"/>
      <c r="Q488" s="174"/>
      <c r="R488" s="175"/>
      <c r="S488" s="173">
        <f>SUM(T488:X488)</f>
        <v>3808.0454181725613</v>
      </c>
      <c r="T488" s="174">
        <f>AL488*AV488*AW488*AY488</f>
        <v>3808.0454181725613</v>
      </c>
      <c r="U488" s="174"/>
      <c r="V488" s="174"/>
      <c r="W488" s="174"/>
      <c r="X488" s="175"/>
      <c r="Y488" s="173">
        <f>SUM(Z488:AD488)</f>
        <v>7616.0908363451226</v>
      </c>
      <c r="Z488" s="174">
        <f>T488*$D$58/100</f>
        <v>7616.0908363451226</v>
      </c>
      <c r="AA488" s="174"/>
      <c r="AB488" s="174"/>
      <c r="AC488" s="174"/>
      <c r="AD488" s="175"/>
      <c r="AE488" s="173">
        <f>AO488*(1-$D$17/100)-AS488</f>
        <v>7.980944</v>
      </c>
      <c r="AF488" s="174"/>
      <c r="AG488" s="174">
        <f>IF($D$57+AT488&gt;100,100,$D$57+AT488)</f>
        <v>19.001300000000001</v>
      </c>
      <c r="AH488" s="174">
        <f>AQ488</f>
        <v>277</v>
      </c>
      <c r="AI488" s="174">
        <f>$D$58+$D$19</f>
        <v>268.61079999999998</v>
      </c>
      <c r="AJ488" s="174">
        <f>10*AY488/12</f>
        <v>0.83333333333333337</v>
      </c>
      <c r="AK488" s="174">
        <f>SUM(AL488:AN488)</f>
        <v>2929.2657062865856</v>
      </c>
      <c r="AL488" s="174">
        <f>(VLOOKUP(C488,$B$36:$AA$39,2,FALSE)+VLOOKUP(C488,$B$40:$AA$43,2,FALSE)*$D$54)*$D$59/100</f>
        <v>2929.2657062865856</v>
      </c>
      <c r="AM488" s="174"/>
      <c r="AN488" s="174"/>
      <c r="AO488" s="176">
        <v>8</v>
      </c>
      <c r="AP488" s="174">
        <v>15</v>
      </c>
      <c r="AQ488" s="175">
        <f>VLOOKUP(C488,$B$45:$AA$48,2,FALSE)</f>
        <v>277</v>
      </c>
      <c r="AR488" s="31">
        <f>IF(LEFT(E488,1)*1=1,$S$52,$R$52)</f>
        <v>0</v>
      </c>
      <c r="AS488" s="2">
        <f>IF(LEFT(E488,1)*1=2,$U$52,$T$52)</f>
        <v>0</v>
      </c>
      <c r="AT488" s="33">
        <f>IF(LEFT(E488,1)*1=3,$W$52,$V$52)</f>
        <v>0</v>
      </c>
      <c r="AU488" s="31">
        <f>IF(MID(E488,3,1)*1=1,$Y$52,$X$52)</f>
        <v>0</v>
      </c>
      <c r="AV488" s="2">
        <f>IF(MID(E488,3,1)*1=2,$AA$52,$Z$52)</f>
        <v>1</v>
      </c>
      <c r="AW488" s="33">
        <f>IF(MID(E488,3,1)*1=3,$AC$52,$AB$52)</f>
        <v>1.3</v>
      </c>
      <c r="AX488" s="31">
        <f>IF(MID(E488,5,1)*1=1,$AE$52,$AD$52)</f>
        <v>0</v>
      </c>
      <c r="AY488" s="33">
        <f>IF(MID(E488,5,1)*1=2,$AG$52,$AF$52)</f>
        <v>1</v>
      </c>
      <c r="AZ488" s="2"/>
      <c r="BA488" s="101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</row>
    <row r="489" spans="1:71" ht="12" customHeight="1">
      <c r="A489" s="2"/>
      <c r="B489" s="107">
        <v>12</v>
      </c>
      <c r="C489" s="31">
        <v>10</v>
      </c>
      <c r="D489" s="106" t="s">
        <v>2</v>
      </c>
      <c r="E489" s="2" t="s">
        <v>98</v>
      </c>
      <c r="F489" s="2"/>
      <c r="G489" s="2" t="s">
        <v>133</v>
      </c>
      <c r="H489" s="33"/>
      <c r="I489" s="173">
        <f>M489/AE489</f>
        <v>630.01022167401641</v>
      </c>
      <c r="J489" s="174">
        <f>AH489/AE489</f>
        <v>34.707673678702669</v>
      </c>
      <c r="K489" s="207">
        <f>RANK(I489,$I$76:$I$977)</f>
        <v>413</v>
      </c>
      <c r="L489" s="208" t="e">
        <f>RANK(I489,$I$76:$I$450)</f>
        <v>#N/A</v>
      </c>
      <c r="M489" s="173">
        <f>SUM(N489:R489)</f>
        <v>5028.0762986079117</v>
      </c>
      <c r="N489" s="174">
        <f>T489*(1+((AG489+IF(F489="백어택",8,0))/100)*((AI489/100-1)))</f>
        <v>5028.0762986079117</v>
      </c>
      <c r="O489" s="174"/>
      <c r="P489" s="174"/>
      <c r="Q489" s="174"/>
      <c r="R489" s="175"/>
      <c r="S489" s="173">
        <f>SUM(T489:X489)</f>
        <v>3808.0454181725613</v>
      </c>
      <c r="T489" s="174">
        <f>AL489*AV489*AW489*AY489</f>
        <v>3808.0454181725613</v>
      </c>
      <c r="U489" s="174"/>
      <c r="V489" s="174"/>
      <c r="W489" s="174"/>
      <c r="X489" s="175"/>
      <c r="Y489" s="173">
        <f>SUM(Z489:AD489)</f>
        <v>7616.0908363451226</v>
      </c>
      <c r="Z489" s="174">
        <f>T489*$D$58/100</f>
        <v>7616.0908363451226</v>
      </c>
      <c r="AA489" s="174"/>
      <c r="AB489" s="174"/>
      <c r="AC489" s="174"/>
      <c r="AD489" s="175"/>
      <c r="AE489" s="173">
        <f>AO489*(1-$D$17/100)-AS489</f>
        <v>7.980944</v>
      </c>
      <c r="AF489" s="174"/>
      <c r="AG489" s="174">
        <f>IF($D$57+AT489&gt;100,100,$D$57+AT489)</f>
        <v>19.001300000000001</v>
      </c>
      <c r="AH489" s="174">
        <f>AQ489</f>
        <v>277</v>
      </c>
      <c r="AI489" s="174">
        <f>$D$58+$D$19</f>
        <v>268.61079999999998</v>
      </c>
      <c r="AJ489" s="174">
        <f>10*AY489/12</f>
        <v>0.83333333333333337</v>
      </c>
      <c r="AK489" s="174">
        <f>SUM(AL489:AN489)</f>
        <v>2929.2657062865856</v>
      </c>
      <c r="AL489" s="174">
        <f>(VLOOKUP(C489,$B$36:$AA$39,2,FALSE)+VLOOKUP(C489,$B$40:$AA$43,2,FALSE)*$D$54)*$D$59/100</f>
        <v>2929.2657062865856</v>
      </c>
      <c r="AM489" s="174"/>
      <c r="AN489" s="174"/>
      <c r="AO489" s="176">
        <v>8</v>
      </c>
      <c r="AP489" s="174">
        <v>15</v>
      </c>
      <c r="AQ489" s="175">
        <f>VLOOKUP(C489,$B$45:$AA$48,2,FALSE)</f>
        <v>277</v>
      </c>
      <c r="AR489" s="31">
        <f>IF(LEFT(E489,1)*1=1,$S$52,$R$52)</f>
        <v>0</v>
      </c>
      <c r="AS489" s="2">
        <f>IF(LEFT(E489,1)*1=2,$U$52,$T$52)</f>
        <v>0</v>
      </c>
      <c r="AT489" s="33">
        <f>IF(LEFT(E489,1)*1=3,$W$52,$V$52)</f>
        <v>0</v>
      </c>
      <c r="AU489" s="31">
        <f>IF(MID(E489,3,1)*1=1,$Y$52,$X$52)</f>
        <v>0</v>
      </c>
      <c r="AV489" s="2">
        <f>IF(MID(E489,3,1)*1=2,$AA$52,$Z$52)</f>
        <v>1</v>
      </c>
      <c r="AW489" s="33">
        <f>IF(MID(E489,3,1)*1=3,$AC$52,$AB$52)</f>
        <v>1.3</v>
      </c>
      <c r="AX489" s="31">
        <f>IF(MID(E489,5,1)*1=1,$AE$52,$AD$52)</f>
        <v>0</v>
      </c>
      <c r="AY489" s="33">
        <f>IF(MID(E489,5,1)*1=2,$AG$52,$AF$52)</f>
        <v>1</v>
      </c>
      <c r="AZ489" s="2"/>
      <c r="BA489" s="101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</row>
    <row r="490" spans="1:71" ht="12" customHeight="1">
      <c r="A490" s="2"/>
      <c r="B490" s="107">
        <v>439</v>
      </c>
      <c r="C490" s="31">
        <v>10</v>
      </c>
      <c r="D490" s="111" t="s">
        <v>8</v>
      </c>
      <c r="E490" s="2" t="s">
        <v>144</v>
      </c>
      <c r="F490" s="2" t="s">
        <v>149</v>
      </c>
      <c r="G490" s="2"/>
      <c r="H490" s="33" t="s">
        <v>80</v>
      </c>
      <c r="I490" s="173">
        <f>M490/AE490</f>
        <v>625.75139674146806</v>
      </c>
      <c r="J490" s="174">
        <f>AH490/AE490</f>
        <v>39.459498714320297</v>
      </c>
      <c r="K490" s="207">
        <f>RANK(I490,$I$76:$I$977)</f>
        <v>415</v>
      </c>
      <c r="L490" s="208">
        <f>RANK(I490,$I$451:$I$866)</f>
        <v>40</v>
      </c>
      <c r="M490" s="173">
        <f>SUM(N490:R490)</f>
        <v>11566.874482812062</v>
      </c>
      <c r="N490" s="174">
        <f>T490*(1+((AG490+IF(F490="백어택",8,0))/100)*(IF(AY490=1,$D$58,$D$58+50)/100-1))</f>
        <v>3255.9639345616447</v>
      </c>
      <c r="O490" s="174">
        <f>U490*(1+((AG490+IF(F490="백어택",8,0))/100)*(AI490/100-1))</f>
        <v>4155.4552741252082</v>
      </c>
      <c r="P490" s="174">
        <f>V490*(1+((AG490+IF(F490="백어택",8,0))/100)*(AI490/100-1))</f>
        <v>4155.4552741252082</v>
      </c>
      <c r="Q490" s="174"/>
      <c r="R490" s="175"/>
      <c r="S490" s="173">
        <f>SUM(T490:X490)</f>
        <v>9107.6819550760974</v>
      </c>
      <c r="T490" s="174">
        <f>AL490*IF(H490="근접",AR490,1)*AY490*IF(F490="백어택",1.2,1)</f>
        <v>2563.7248867229268</v>
      </c>
      <c r="U490" s="174">
        <f>AM490*IF(H490="근접",AR490,1)*AY490*IF(F490="백어택",1.2,1)</f>
        <v>3271.9785341765855</v>
      </c>
      <c r="V490" s="174">
        <f>IF(AX490=1,0,AM490*IF(H490="근접",AR490,1)*AY490)*IF(F490="백어택",1.2,1)</f>
        <v>3271.9785341765855</v>
      </c>
      <c r="W490" s="174"/>
      <c r="X490" s="175"/>
      <c r="Y490" s="173">
        <f>SUM(Z490:AD490)</f>
        <v>18215.363910152195</v>
      </c>
      <c r="Z490" s="174">
        <f>T490*IF(AY490=1,$D$58,$D$58+50)/100</f>
        <v>5127.4497734458537</v>
      </c>
      <c r="AA490" s="174">
        <f>U490*AI490/100</f>
        <v>6543.9570683531711</v>
      </c>
      <c r="AB490" s="174">
        <f>V490*AI490/100</f>
        <v>6543.9570683531711</v>
      </c>
      <c r="AC490" s="174"/>
      <c r="AD490" s="175"/>
      <c r="AE490" s="173">
        <f>AO490*(1-$D$20/100)*(1-$D$17/100)</f>
        <v>18.484776131615998</v>
      </c>
      <c r="AF490" s="174">
        <f>AP490</f>
        <v>36</v>
      </c>
      <c r="AG490" s="174">
        <f>IF($D$57+AU490&gt;100,100,$D$57+AU490)</f>
        <v>19.001300000000001</v>
      </c>
      <c r="AH490" s="174">
        <f>IF(AX490=1,AQ490,AQ490*1.4)</f>
        <v>729.4</v>
      </c>
      <c r="AI490" s="174">
        <f>IF(AY490=1,$D$58,$D$58+50)*AW490</f>
        <v>200</v>
      </c>
      <c r="AJ490" s="174">
        <f>10/6/AX490</f>
        <v>1.1111111111111112</v>
      </c>
      <c r="AK490" s="174">
        <f>SUM(AL490:AN490)</f>
        <v>4863.0861840829275</v>
      </c>
      <c r="AL490" s="174">
        <f>(IF(H490="근접",$D$61*(VLOOKUP(C490,$B$36:$AG$39,9,FALSE)+VLOOKUP(C490,$B$40:$AG$43,9,FALSE)*$D$54),$D$60*(VLOOKUP(C490,$B$36:$AG$39,9,FALSE)+VLOOKUP(C490,$B$40:$AG$43,9,FALSE)*$D$54)))*$D$59/100</f>
        <v>2136.437405602439</v>
      </c>
      <c r="AM490" s="174">
        <f>(IF(H490="근접",$D$61*(VLOOKUP(C490,$B$36:$AG$39,10,FALSE)+VLOOKUP(C490,$B$40:$AG$43,10,FALSE)*$D$54),$D$60*(VLOOKUP(C490,$B$36:$AG$39,10,FALSE)+VLOOKUP(C490,$B$40:$AG$43,10,FALSE)*$D$54)))*$D$59/100</f>
        <v>2726.6487784804881</v>
      </c>
      <c r="AN490" s="174"/>
      <c r="AO490" s="176">
        <v>24</v>
      </c>
      <c r="AP490" s="174">
        <v>36</v>
      </c>
      <c r="AQ490" s="175">
        <f>VLOOKUP(C490,$B$45:$AA$48,9,FALSE)</f>
        <v>521</v>
      </c>
      <c r="AR490" s="31">
        <f>IF(LEFT(E490,1)*1=1,$S$58,$R$58)</f>
        <v>1</v>
      </c>
      <c r="AS490" s="2">
        <f>IF(LEFT(E490,1)*1=2,$U$58,$T$58)</f>
        <v>0</v>
      </c>
      <c r="AT490" s="33">
        <f>IF(LEFT(E490,1)*1=3,$W$58,$V$58)</f>
        <v>0</v>
      </c>
      <c r="AU490" s="31">
        <f>IF(MID(E490,3,1)*1=1,$Y$58,$X$58)</f>
        <v>0</v>
      </c>
      <c r="AV490" s="2">
        <f>IF(MID(E490,3,1)*1=2,$AA$58,$Z$58)</f>
        <v>0</v>
      </c>
      <c r="AW490" s="33">
        <f>IF(MID(E490,3,1)*1=3,$AC$58,$AB$58)</f>
        <v>1</v>
      </c>
      <c r="AX490" s="31">
        <f>IF(MID(E490,5,1)*1=1,$AE$58,$AD$58)</f>
        <v>1.5</v>
      </c>
      <c r="AY490" s="33">
        <f>IF(MID(E490,5,1)*1=2,$AG$58,$AF$58)</f>
        <v>1</v>
      </c>
      <c r="AZ490" s="2"/>
      <c r="BA490" s="101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</row>
    <row r="491" spans="1:71" ht="12" customHeight="1">
      <c r="A491" s="2"/>
      <c r="B491" s="107">
        <v>442</v>
      </c>
      <c r="C491" s="31">
        <v>10</v>
      </c>
      <c r="D491" s="111" t="s">
        <v>8</v>
      </c>
      <c r="E491" s="2" t="s">
        <v>150</v>
      </c>
      <c r="F491" s="2" t="s">
        <v>149</v>
      </c>
      <c r="G491" s="2"/>
      <c r="H491" s="33" t="s">
        <v>80</v>
      </c>
      <c r="I491" s="173">
        <f>M491/AE491</f>
        <v>625.75139674146806</v>
      </c>
      <c r="J491" s="174">
        <f>AH491/AE491</f>
        <v>39.459498714320297</v>
      </c>
      <c r="K491" s="207">
        <f>RANK(I491,$I$76:$I$977)</f>
        <v>415</v>
      </c>
      <c r="L491" s="208">
        <f>RANK(I491,$I$451:$I$866)</f>
        <v>40</v>
      </c>
      <c r="M491" s="173">
        <f>SUM(N491:R491)</f>
        <v>11566.874482812062</v>
      </c>
      <c r="N491" s="174">
        <f>T491*(1+((AG491+IF(F491="백어택",8,0))/100)*(IF(AY491=1,$D$58,$D$58+50)/100-1))</f>
        <v>3255.9639345616447</v>
      </c>
      <c r="O491" s="174">
        <f>U491*(1+((AG491+IF(F491="백어택",8,0))/100)*(AI491/100-1))</f>
        <v>4155.4552741252082</v>
      </c>
      <c r="P491" s="174">
        <f>V491*(1+((AG491+IF(F491="백어택",8,0))/100)*(AI491/100-1))</f>
        <v>4155.4552741252082</v>
      </c>
      <c r="Q491" s="174"/>
      <c r="R491" s="175"/>
      <c r="S491" s="173">
        <f>SUM(T491:X491)</f>
        <v>9107.6819550760974</v>
      </c>
      <c r="T491" s="174">
        <f>AL491*IF(H491="근접",AR491,1)*AY491*IF(F491="백어택",1.2,1)</f>
        <v>2563.7248867229268</v>
      </c>
      <c r="U491" s="174">
        <f>AM491*IF(H491="근접",AR491,1)*AY491*IF(F491="백어택",1.2,1)</f>
        <v>3271.9785341765855</v>
      </c>
      <c r="V491" s="174">
        <f>IF(AX491=1,0,AM491*IF(H491="근접",AR491,1)*AY491)*IF(F491="백어택",1.2,1)</f>
        <v>3271.9785341765855</v>
      </c>
      <c r="W491" s="174"/>
      <c r="X491" s="175"/>
      <c r="Y491" s="173">
        <f>SUM(Z491:AD491)</f>
        <v>18215.363910152195</v>
      </c>
      <c r="Z491" s="174">
        <f>T491*IF(AY491=1,$D$58,$D$58+50)/100</f>
        <v>5127.4497734458537</v>
      </c>
      <c r="AA491" s="174">
        <f>U491*AI491/100</f>
        <v>6543.9570683531711</v>
      </c>
      <c r="AB491" s="174">
        <f>V491*AI491/100</f>
        <v>6543.9570683531711</v>
      </c>
      <c r="AC491" s="174"/>
      <c r="AD491" s="175"/>
      <c r="AE491" s="173">
        <f>AO491*(1-$D$20/100)*(1-$D$17/100)</f>
        <v>18.484776131615998</v>
      </c>
      <c r="AF491" s="174">
        <f>AP491</f>
        <v>36</v>
      </c>
      <c r="AG491" s="174">
        <f>IF($D$57+AU491&gt;100,100,$D$57+AU491)</f>
        <v>19.001300000000001</v>
      </c>
      <c r="AH491" s="174">
        <f>IF(AX491=1,AQ491,AQ491*1.4)</f>
        <v>729.4</v>
      </c>
      <c r="AI491" s="174">
        <f>IF(AY491=1,$D$58,$D$58+50)*AW491</f>
        <v>200</v>
      </c>
      <c r="AJ491" s="174">
        <f>10/6/AX491</f>
        <v>1.1111111111111112</v>
      </c>
      <c r="AK491" s="174">
        <f>SUM(AL491:AN491)</f>
        <v>4863.0861840829275</v>
      </c>
      <c r="AL491" s="174">
        <f>(IF(H491="근접",$D$61*(VLOOKUP(C491,$B$36:$AG$39,9,FALSE)+VLOOKUP(C491,$B$40:$AG$43,9,FALSE)*$D$54),$D$60*(VLOOKUP(C491,$B$36:$AG$39,9,FALSE)+VLOOKUP(C491,$B$40:$AG$43,9,FALSE)*$D$54)))*$D$59/100</f>
        <v>2136.437405602439</v>
      </c>
      <c r="AM491" s="174">
        <f>(IF(H491="근접",$D$61*(VLOOKUP(C491,$B$36:$AG$39,10,FALSE)+VLOOKUP(C491,$B$40:$AG$43,10,FALSE)*$D$54),$D$60*(VLOOKUP(C491,$B$36:$AG$39,10,FALSE)+VLOOKUP(C491,$B$40:$AG$43,10,FALSE)*$D$54)))*$D$59/100</f>
        <v>2726.6487784804881</v>
      </c>
      <c r="AN491" s="174"/>
      <c r="AO491" s="176">
        <v>24</v>
      </c>
      <c r="AP491" s="174">
        <v>36</v>
      </c>
      <c r="AQ491" s="175">
        <f>VLOOKUP(C491,$B$45:$AA$48,9,FALSE)</f>
        <v>521</v>
      </c>
      <c r="AR491" s="31">
        <f>IF(LEFT(E491,1)*1=1,$S$58,$R$58)</f>
        <v>1.2</v>
      </c>
      <c r="AS491" s="2">
        <f>IF(LEFT(E491,1)*1=2,$U$58,$T$58)</f>
        <v>0</v>
      </c>
      <c r="AT491" s="33">
        <f>IF(LEFT(E491,1)*1=3,$W$58,$V$58)</f>
        <v>0</v>
      </c>
      <c r="AU491" s="31">
        <f>IF(MID(E491,3,1)*1=1,$Y$58,$X$58)</f>
        <v>0</v>
      </c>
      <c r="AV491" s="2">
        <f>IF(MID(E491,3,1)*1=2,$AA$58,$Z$58)</f>
        <v>0</v>
      </c>
      <c r="AW491" s="33">
        <f>IF(MID(E491,3,1)*1=3,$AC$58,$AB$58)</f>
        <v>1</v>
      </c>
      <c r="AX491" s="31">
        <f>IF(MID(E491,5,1)*1=1,$AE$58,$AD$58)</f>
        <v>1.5</v>
      </c>
      <c r="AY491" s="33">
        <f>IF(MID(E491,5,1)*1=2,$AG$58,$AF$58)</f>
        <v>1</v>
      </c>
      <c r="AZ491" s="2"/>
      <c r="BA491" s="101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</row>
    <row r="492" spans="1:71" ht="12" customHeight="1">
      <c r="A492" s="2"/>
      <c r="B492" s="107">
        <v>23</v>
      </c>
      <c r="C492" s="31">
        <v>7</v>
      </c>
      <c r="D492" s="106" t="s">
        <v>2</v>
      </c>
      <c r="E492" s="2" t="s">
        <v>101</v>
      </c>
      <c r="F492" s="2"/>
      <c r="G492" s="2"/>
      <c r="H492" s="33"/>
      <c r="I492" s="173">
        <f>M492/AE492</f>
        <v>625.73764449921691</v>
      </c>
      <c r="J492" s="174">
        <f>AH492/AE492</f>
        <v>27.646690762739251</v>
      </c>
      <c r="K492" s="207">
        <f>RANK(I492,$I$76:$I$977)</f>
        <v>417</v>
      </c>
      <c r="L492" s="208" t="e">
        <f>RANK(I492,$I$76:$I$450)</f>
        <v>#N/A</v>
      </c>
      <c r="M492" s="173">
        <f>SUM(N492:R492)</f>
        <v>4368.239454940941</v>
      </c>
      <c r="N492" s="174">
        <f>T492*(1+((AG492+IF(F492="백어택",8,0))/100)*((AI492/100-1)))</f>
        <v>4368.239454940941</v>
      </c>
      <c r="O492" s="174"/>
      <c r="P492" s="174"/>
      <c r="Q492" s="174"/>
      <c r="R492" s="175"/>
      <c r="S492" s="173">
        <f>SUM(T492:X492)</f>
        <v>3308.3138071062926</v>
      </c>
      <c r="T492" s="174">
        <f>AL492*AV492*AW492*AY492</f>
        <v>3308.3138071062926</v>
      </c>
      <c r="U492" s="174"/>
      <c r="V492" s="174"/>
      <c r="W492" s="174"/>
      <c r="X492" s="175"/>
      <c r="Y492" s="173">
        <f>SUM(Z492:AD492)</f>
        <v>6616.6276142125853</v>
      </c>
      <c r="Z492" s="174">
        <f>T492*$D$58/100</f>
        <v>6616.6276142125853</v>
      </c>
      <c r="AA492" s="174"/>
      <c r="AB492" s="174"/>
      <c r="AC492" s="174"/>
      <c r="AD492" s="175"/>
      <c r="AE492" s="173">
        <f>AO492*(1-$D$17/100)-AS492</f>
        <v>6.980944</v>
      </c>
      <c r="AF492" s="174"/>
      <c r="AG492" s="174">
        <f>IF($D$57+AT492&gt;100,100,$D$57+AT492)</f>
        <v>19.001300000000001</v>
      </c>
      <c r="AH492" s="174">
        <f>AQ492</f>
        <v>193</v>
      </c>
      <c r="AI492" s="174">
        <f>$D$58+$D$19</f>
        <v>268.61079999999998</v>
      </c>
      <c r="AJ492" s="174">
        <f>10*AY492/12</f>
        <v>0.83333333333333337</v>
      </c>
      <c r="AK492" s="174">
        <f>SUM(AL492:AN492)</f>
        <v>2803.6557687341465</v>
      </c>
      <c r="AL492" s="174">
        <f>(VLOOKUP(C492,$B$36:$AA$39,2,FALSE)+VLOOKUP(C492,$B$40:$AA$43,2,FALSE)*$D$54)*$D$59/100</f>
        <v>2803.6557687341465</v>
      </c>
      <c r="AM492" s="174"/>
      <c r="AN492" s="174"/>
      <c r="AO492" s="176">
        <v>8</v>
      </c>
      <c r="AP492" s="174">
        <v>15</v>
      </c>
      <c r="AQ492" s="175">
        <f>VLOOKUP(C492,$B$45:$AA$48,2,FALSE)</f>
        <v>193</v>
      </c>
      <c r="AR492" s="31">
        <f>IF(LEFT(E492,1)*1=1,$S$52,$R$52)</f>
        <v>0</v>
      </c>
      <c r="AS492" s="2">
        <f>IF(LEFT(E492,1)*1=2,$U$52,$T$52)</f>
        <v>1</v>
      </c>
      <c r="AT492" s="33">
        <f>IF(LEFT(E492,1)*1=3,$W$52,$V$52)</f>
        <v>0</v>
      </c>
      <c r="AU492" s="31">
        <f>IF(MID(E492,3,1)*1=1,$Y$52,$X$52)</f>
        <v>0</v>
      </c>
      <c r="AV492" s="2">
        <f>IF(MID(E492,3,1)*1=2,$AA$52,$Z$52)</f>
        <v>1.18</v>
      </c>
      <c r="AW492" s="33">
        <f>IF(MID(E492,3,1)*1=3,$AC$52,$AB$52)</f>
        <v>1</v>
      </c>
      <c r="AX492" s="31">
        <f>IF(MID(E492,5,1)*1=1,$AE$52,$AD$52)</f>
        <v>0</v>
      </c>
      <c r="AY492" s="33">
        <f>IF(MID(E492,5,1)*1=2,$AG$52,$AF$52)</f>
        <v>1</v>
      </c>
      <c r="AZ492" s="2"/>
      <c r="BA492" s="101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</row>
    <row r="493" spans="1:71" ht="12" customHeight="1">
      <c r="A493" s="2"/>
      <c r="B493" s="107">
        <v>471</v>
      </c>
      <c r="C493" s="31">
        <v>10</v>
      </c>
      <c r="D493" s="111" t="s">
        <v>11</v>
      </c>
      <c r="E493" s="2" t="s">
        <v>162</v>
      </c>
      <c r="F493" s="2"/>
      <c r="G493" s="2"/>
      <c r="H493" s="33">
        <f>IF(AX493=1,5,1)</f>
        <v>1</v>
      </c>
      <c r="I493" s="173">
        <f>M493/AE493</f>
        <v>623.80344072190189</v>
      </c>
      <c r="J493" s="174">
        <f>AH493/AE493</f>
        <v>25.621083892380163</v>
      </c>
      <c r="K493" s="207">
        <f>RANK(I493,$I$76:$I$977)</f>
        <v>418</v>
      </c>
      <c r="L493" s="208">
        <f>RANK(I493,$I$451:$I$866)</f>
        <v>43</v>
      </c>
      <c r="M493" s="173">
        <f>SUM(N493:R493)</f>
        <v>14413.583689845185</v>
      </c>
      <c r="N493" s="174">
        <f>T493*(1+(AG493/100)*(AI493/100-1))</f>
        <v>13105.640040343476</v>
      </c>
      <c r="O493" s="174">
        <f>U493*(1+(AG493/100)*(AI493/100-1))</f>
        <v>1307.9436495017098</v>
      </c>
      <c r="P493" s="174"/>
      <c r="Q493" s="174"/>
      <c r="R493" s="175"/>
      <c r="S493" s="173">
        <f>T493</f>
        <v>9780.2335054536616</v>
      </c>
      <c r="T493" s="174">
        <f>H493*AL493*AX493</f>
        <v>9780.2335054536616</v>
      </c>
      <c r="U493" s="174">
        <f>AM493*AV493</f>
        <v>976.06788105914632</v>
      </c>
      <c r="V493" s="174"/>
      <c r="W493" s="174"/>
      <c r="X493" s="175"/>
      <c r="Y493" s="173">
        <f>SUM(Z493:AD493)</f>
        <v>21512.602773025617</v>
      </c>
      <c r="Z493" s="174">
        <f>T493*$D$58/100</f>
        <v>19560.467010907323</v>
      </c>
      <c r="AA493" s="174">
        <f>U493*$D$58/100</f>
        <v>1952.1357621182926</v>
      </c>
      <c r="AB493" s="174"/>
      <c r="AC493" s="174"/>
      <c r="AD493" s="175"/>
      <c r="AE493" s="173">
        <f>AO493*(1-$D$20/100)*(1-$D$17/100)-AR493</f>
        <v>23.105970164519999</v>
      </c>
      <c r="AF493" s="174">
        <f>AP493</f>
        <v>36</v>
      </c>
      <c r="AG493" s="174">
        <f>IF($D$57+AS493&gt;100,100,$D$57+AS493)</f>
        <v>34.001300000000001</v>
      </c>
      <c r="AH493" s="174">
        <f>AQ493</f>
        <v>592</v>
      </c>
      <c r="AI493" s="174">
        <f>$D$58</f>
        <v>200</v>
      </c>
      <c r="AJ493" s="174">
        <f>10/IF(AX493=1,7,6)</f>
        <v>1.6666666666666667</v>
      </c>
      <c r="AK493" s="174">
        <f>SUM(AL493:AN493)</f>
        <v>2280.7508382817077</v>
      </c>
      <c r="AL493" s="174">
        <f>(VLOOKUP(C493,$B$36:$AG$39,14,FALSE)+VLOOKUP(C493,$B$40:$AG$43,14,FALSE)*$D$54)*$D$59/100</f>
        <v>1630.0389175756102</v>
      </c>
      <c r="AM493" s="174">
        <f>(VLOOKUP(C493,$B$36:$AG$39,15,FALSE)+VLOOKUP(C493,$B$40:$AG$43,15,FALSE)*$D$54)*$D$59/100</f>
        <v>650.71192070609754</v>
      </c>
      <c r="AN493" s="174"/>
      <c r="AO493" s="176">
        <v>30</v>
      </c>
      <c r="AP493" s="174">
        <v>36</v>
      </c>
      <c r="AQ493" s="175">
        <f>VLOOKUP(C493,$B$45:$AA$48,14,FALSE)</f>
        <v>592</v>
      </c>
      <c r="AR493" s="31">
        <f>IF(LEFT(E493,1)*1=1,$S$61,$R$61)</f>
        <v>0</v>
      </c>
      <c r="AS493" s="2">
        <f>IF(LEFT(E493,1)*1=2,$U$61,$T$61)</f>
        <v>15</v>
      </c>
      <c r="AT493" s="33">
        <f>IF(LEFT(E493,1)*1=3,$W$61,$V$61)</f>
        <v>0</v>
      </c>
      <c r="AU493" s="31">
        <f>IF(MID(E493,3,1)*1=1,$Y$61,$X$61)</f>
        <v>0</v>
      </c>
      <c r="AV493" s="2">
        <f>IF(MID(E493,3,1)*1=2,$AA$61,$Z$61)</f>
        <v>1.5</v>
      </c>
      <c r="AW493" s="33">
        <f>IF(MID(E493,3,1)*1=3,$AC$61,$AB$61)</f>
        <v>0</v>
      </c>
      <c r="AX493" s="31">
        <f>IF(MID(E493,5,1)*1=1,$AE$61,$AD$61)</f>
        <v>6</v>
      </c>
      <c r="AY493" s="33">
        <f>IF(MID(E493,5,1)*1=2,$AG$61,$AF$61)</f>
        <v>0</v>
      </c>
      <c r="AZ493" s="2"/>
      <c r="BA493" s="101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</row>
    <row r="494" spans="1:71" ht="12" customHeight="1">
      <c r="A494" s="2"/>
      <c r="B494" s="107">
        <v>871</v>
      </c>
      <c r="C494" s="31">
        <v>10</v>
      </c>
      <c r="D494" s="113" t="s">
        <v>19</v>
      </c>
      <c r="E494" s="2" t="s">
        <v>92</v>
      </c>
      <c r="F494" s="2"/>
      <c r="G494" s="2"/>
      <c r="H494" s="33">
        <f>IF(AY494=1,4,6)</f>
        <v>6</v>
      </c>
      <c r="I494" s="173">
        <f>M494/AE494</f>
        <v>621.59220490115513</v>
      </c>
      <c r="J494" s="174">
        <f>AH494/AE494</f>
        <v>21.760166048861723</v>
      </c>
      <c r="K494" s="207">
        <f>RANK(I494,$I$76:$I$977)</f>
        <v>419</v>
      </c>
      <c r="L494" s="208" t="e">
        <f>RANK(I494,$I$867:$I$977)</f>
        <v>#N/A</v>
      </c>
      <c r="M494" s="173">
        <f>SUM(N494:R494)*(1+$D$22/100)</f>
        <v>14882.677734457933</v>
      </c>
      <c r="N494" s="174">
        <f>T494*(1+($D$57/100)*($D$58/100-1))</f>
        <v>10026.941385112475</v>
      </c>
      <c r="O494" s="174">
        <f>U494*(1+(AG494/100)*(AI494/100-1))</f>
        <v>3382.3647058499914</v>
      </c>
      <c r="P494" s="174"/>
      <c r="Q494" s="174"/>
      <c r="R494" s="175"/>
      <c r="S494" s="173">
        <f>SUM(T494:X494)</f>
        <v>11268.201348189024</v>
      </c>
      <c r="T494" s="174">
        <f>AL494*AU494</f>
        <v>8425.9091162134155</v>
      </c>
      <c r="U494" s="174">
        <f>AM494*AU494</f>
        <v>2842.2922319756099</v>
      </c>
      <c r="V494" s="174"/>
      <c r="W494" s="174"/>
      <c r="X494" s="175"/>
      <c r="Y494" s="173">
        <f>SUM(Z494:AD494)</f>
        <v>22536.402696378049</v>
      </c>
      <c r="Z494" s="174">
        <f>T494*$D$58/100</f>
        <v>16851.818232426831</v>
      </c>
      <c r="AA494" s="174">
        <f>U494*$D$58/100</f>
        <v>5684.5844639512197</v>
      </c>
      <c r="AB494" s="174"/>
      <c r="AC494" s="174"/>
      <c r="AD494" s="175"/>
      <c r="AE494" s="173">
        <f>AO494*(1-$D$17/100)</f>
        <v>23.942831999999999</v>
      </c>
      <c r="AF494" s="174">
        <f>AP494</f>
        <v>36</v>
      </c>
      <c r="AG494" s="174">
        <f>IF($D$57+AT494&gt;100,100,$D$57+AT494)</f>
        <v>19.001300000000001</v>
      </c>
      <c r="AH494" s="174">
        <f>AQ494</f>
        <v>521</v>
      </c>
      <c r="AI494" s="174">
        <f>$D$58</f>
        <v>200</v>
      </c>
      <c r="AJ494" s="174">
        <f>10/IF(AY494=1,(2.5+AX494),2)</f>
        <v>5</v>
      </c>
      <c r="AK494" s="174">
        <f>SUM(AL494:AN494)</f>
        <v>11268.201348189024</v>
      </c>
      <c r="AL494" s="174">
        <f>(H494-1)*(VLOOKUP(C494,$B$36:$AG$39,27,FALSE)+VLOOKUP(C494,$B$40:$AG$43,27,FALSE)*$D$54)*$D$59/100</f>
        <v>8425.9091162134155</v>
      </c>
      <c r="AM494" s="174">
        <f>(VLOOKUP(C494,$B$36:$AG$39,28,FALSE)+VLOOKUP(C494,$B$40:$AG$43,28,FALSE)*$D$54)*$D$59/100</f>
        <v>2842.2922319756099</v>
      </c>
      <c r="AN494" s="174"/>
      <c r="AO494" s="176">
        <v>24</v>
      </c>
      <c r="AP494" s="174">
        <v>36</v>
      </c>
      <c r="AQ494" s="175">
        <f>VLOOKUP(C494,$B$45:$AG$48,27,FALSE)</f>
        <v>521</v>
      </c>
      <c r="AR494" s="31">
        <f>IF(LEFT(E494,1)*1=1,$S$69,$R$69)</f>
        <v>0</v>
      </c>
      <c r="AS494" s="2">
        <f>IF(LEFT(E494,1)*1=2,$U$69,$T$69)</f>
        <v>0</v>
      </c>
      <c r="AT494" s="33">
        <f>IF(LEFT(E494,1)*1=3,$W$69,$V$69)</f>
        <v>0</v>
      </c>
      <c r="AU494" s="31">
        <f>IF(MID(E494,3,1)*1=1,$Y$69,$X$69)</f>
        <v>1</v>
      </c>
      <c r="AV494" s="2">
        <f>IF(MID(E494,3,1)*1=2,$AA$69,$Z$69)</f>
        <v>0</v>
      </c>
      <c r="AW494" s="33">
        <f>IF(MID(E494,3,1)*1=3,$AC$69,$AB$69)</f>
        <v>0</v>
      </c>
      <c r="AX494" s="31">
        <f>IF(MID(E494,5,1)*1=1,$AE$69,$AD$69)</f>
        <v>0</v>
      </c>
      <c r="AY494" s="33">
        <f>IF(MID(E494,5,1)*1=2,$AG$69,$AF$69)</f>
        <v>2</v>
      </c>
      <c r="AZ494" s="2"/>
      <c r="BA494" s="101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</row>
    <row r="495" spans="1:71" ht="12" customHeight="1">
      <c r="A495" s="2"/>
      <c r="B495" s="107">
        <v>309</v>
      </c>
      <c r="C495" s="31">
        <v>7</v>
      </c>
      <c r="D495" s="106" t="s">
        <v>17</v>
      </c>
      <c r="E495" s="2" t="s">
        <v>134</v>
      </c>
      <c r="F495" s="2"/>
      <c r="G495" s="2"/>
      <c r="H495" s="33">
        <f>IF(AT495=1,3,IF(AY495=1,3,2))</f>
        <v>3</v>
      </c>
      <c r="I495" s="173">
        <f>M495/AE495</f>
        <v>621.55638502602494</v>
      </c>
      <c r="J495" s="174">
        <f>AH495/AE495</f>
        <v>24.18260296025132</v>
      </c>
      <c r="K495" s="207">
        <f>RANK(I495,$I$76:$I$977)</f>
        <v>420</v>
      </c>
      <c r="L495" s="208" t="e">
        <f>RANK(I495,$I$76:$I$450)</f>
        <v>#N/A</v>
      </c>
      <c r="M495" s="173">
        <f>SUM(N495:R495)</f>
        <v>4960.6067017351434</v>
      </c>
      <c r="N495" s="174">
        <f>T495*(1+((AG495+IF(F495="백어택",8,0))/100)*((AI495/100-1)))</f>
        <v>1181.0968337464628</v>
      </c>
      <c r="O495" s="174">
        <f>U495*(1+(AG495/100)*(AI495/100-1))</f>
        <v>1653.535567245048</v>
      </c>
      <c r="P495" s="174">
        <f>V495*(1+(AG495/100)*(AI495/100-1))</f>
        <v>2125.9743007436332</v>
      </c>
      <c r="Q495" s="174"/>
      <c r="R495" s="175"/>
      <c r="S495" s="173">
        <f>SUM(T495:X495)</f>
        <v>3756.9468918219518</v>
      </c>
      <c r="T495" s="174">
        <f>AL495*AV495</f>
        <v>894.51116471951229</v>
      </c>
      <c r="U495" s="174">
        <f>AL495*AW495</f>
        <v>1252.3156306073172</v>
      </c>
      <c r="V495" s="174">
        <f>IF(H495=3,AL495,0)*(1+AW495-1+AW495-1)</f>
        <v>1610.120096495122</v>
      </c>
      <c r="W495" s="174"/>
      <c r="X495" s="175"/>
      <c r="Y495" s="173">
        <f>SUM(Z495:AD495)</f>
        <v>10091.565101698077</v>
      </c>
      <c r="Z495" s="174">
        <f>T495*AI495/100</f>
        <v>2402.7535956423994</v>
      </c>
      <c r="AA495" s="174">
        <f>U495*AI495/100</f>
        <v>3363.8550338993596</v>
      </c>
      <c r="AB495" s="174">
        <f>V495*AI495/100</f>
        <v>4324.9564721563193</v>
      </c>
      <c r="AC495" s="174"/>
      <c r="AD495" s="175"/>
      <c r="AE495" s="173">
        <f>AO495*(1-$D$17/100)</f>
        <v>7.980944</v>
      </c>
      <c r="AF495" s="174">
        <f>AP495</f>
        <v>36</v>
      </c>
      <c r="AG495" s="174">
        <f>IF($D$57&gt;100,100,$D$57)</f>
        <v>19.001300000000001</v>
      </c>
      <c r="AH495" s="174">
        <f>AQ495</f>
        <v>193</v>
      </c>
      <c r="AI495" s="174">
        <f>$D$58+$D$19</f>
        <v>268.61079999999998</v>
      </c>
      <c r="AJ495" s="174">
        <f>10*AR495/IF(AT495=0,IF(AY495=0,8,5),5)</f>
        <v>2</v>
      </c>
      <c r="AK495" s="174">
        <f>H495*SUM(AL495:AN495)</f>
        <v>2683.533494158537</v>
      </c>
      <c r="AL495" s="174">
        <f>((VLOOKUP(C495,$B$36:$AG$39,24,FALSE)+VLOOKUP(C495,$B$40:$AG$43,24,FALSE)*$D$54))*$D$59/100</f>
        <v>894.51116471951229</v>
      </c>
      <c r="AM495" s="174"/>
      <c r="AN495" s="174"/>
      <c r="AO495" s="176">
        <v>8</v>
      </c>
      <c r="AP495" s="174">
        <v>36</v>
      </c>
      <c r="AQ495" s="175">
        <f>VLOOKUP(C495,$B$45:$AA$48,24,FALSE)</f>
        <v>193</v>
      </c>
      <c r="AR495" s="31">
        <f>IF(LEFT(E495,1)*1=1,$S$67,$R$67)</f>
        <v>1</v>
      </c>
      <c r="AS495" s="2">
        <f>IF(LEFT(E495,1)*1=2,$U$67,$T$67)</f>
        <v>0</v>
      </c>
      <c r="AT495" s="33">
        <f>IF(LEFT(E495,1)*1=3,$W$67,$V$67)</f>
        <v>1</v>
      </c>
      <c r="AU495" s="31">
        <f>IF(MID(E495,3,1)*1=1,$Y$67,$X$67)</f>
        <v>0</v>
      </c>
      <c r="AV495" s="2">
        <f>IF(MID(E495,3,1)*1=2,$AA$67,$Z$67)</f>
        <v>1</v>
      </c>
      <c r="AW495" s="33">
        <f>IF(MID(E495,3,1)*1=3,$AC$67,$AB$67)</f>
        <v>1.4</v>
      </c>
      <c r="AX495" s="31">
        <f>IF(MID(E495,5,1)*1=1,$AE$67,$AD$67)</f>
        <v>0</v>
      </c>
      <c r="AY495" s="33">
        <f>IF(MID(E495,5,1)*1=2,$AG$67,$AF$67)</f>
        <v>0</v>
      </c>
      <c r="AZ495" s="2"/>
      <c r="BA495" s="101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</row>
    <row r="496" spans="1:71" ht="12" customHeight="1">
      <c r="A496" s="2"/>
      <c r="B496" s="107">
        <v>806</v>
      </c>
      <c r="C496" s="31">
        <v>10</v>
      </c>
      <c r="D496" s="113" t="s">
        <v>9</v>
      </c>
      <c r="E496" s="2" t="s">
        <v>108</v>
      </c>
      <c r="F496" s="2"/>
      <c r="G496" s="2" t="s">
        <v>166</v>
      </c>
      <c r="H496" s="33"/>
      <c r="I496" s="173">
        <f>M496/AE496</f>
        <v>621.45688578387239</v>
      </c>
      <c r="J496" s="174">
        <f>AH496/AE496</f>
        <v>18.293575296355918</v>
      </c>
      <c r="K496" s="207">
        <f>RANK(I496,$I$76:$I$977)</f>
        <v>421</v>
      </c>
      <c r="L496" s="208" t="e">
        <f>RANK(I496,$I$867:$I$977)</f>
        <v>#N/A</v>
      </c>
      <c r="M496" s="173">
        <f>SUM(N496:R496)*(1+$D$22/100)</f>
        <v>22319.156717349666</v>
      </c>
      <c r="N496" s="174">
        <f>T496*(1+((AG496+IF(F496="백어택",8,0))/100)*(AI496/100-1))</f>
        <v>16020.767028009002</v>
      </c>
      <c r="O496" s="174">
        <f>U496*(1+($D$57/100)*(AI496/100-1))</f>
        <v>2044.4066741270403</v>
      </c>
      <c r="P496" s="174"/>
      <c r="Q496" s="174"/>
      <c r="R496" s="175">
        <f>X496*(1+($D$57/100)*(AI496/100-1))</f>
        <v>2044.4066741270403</v>
      </c>
      <c r="S496" s="173">
        <f>SUM(T496:X496)</f>
        <v>12386.02424514244</v>
      </c>
      <c r="T496" s="174">
        <f>AL496*AU496*AY496</f>
        <v>8950.084177047318</v>
      </c>
      <c r="U496" s="174">
        <f>AM496*AX496</f>
        <v>1717.9700340475611</v>
      </c>
      <c r="V496" s="174"/>
      <c r="W496" s="174"/>
      <c r="X496" s="175">
        <f>AM496*AS496</f>
        <v>1717.9700340475611</v>
      </c>
      <c r="Y496" s="173">
        <f>SUM(Z496:AD496)</f>
        <v>24772.04849028488</v>
      </c>
      <c r="Z496" s="174">
        <f>T496*$D$58/100</f>
        <v>17900.168354094636</v>
      </c>
      <c r="AA496" s="174">
        <f>U496*$D$58/100</f>
        <v>3435.9400680951221</v>
      </c>
      <c r="AB496" s="174"/>
      <c r="AC496" s="174"/>
      <c r="AD496" s="175">
        <f>X496*$D$58/100</f>
        <v>3435.9400680951221</v>
      </c>
      <c r="AE496" s="173">
        <f>AO496*(1-$D$17/100)</f>
        <v>35.914248000000001</v>
      </c>
      <c r="AF496" s="174">
        <f>AP496</f>
        <v>36</v>
      </c>
      <c r="AG496" s="174">
        <f>IF($D$57+AW496&gt;100,100,$D$57+AW496)</f>
        <v>79.001300000000001</v>
      </c>
      <c r="AH496" s="174">
        <f>AQ496</f>
        <v>657</v>
      </c>
      <c r="AI496" s="174">
        <f>$D$58</f>
        <v>200</v>
      </c>
      <c r="AJ496" s="174">
        <f>10/(6+AT496)</f>
        <v>1.6666666666666667</v>
      </c>
      <c r="AK496" s="174">
        <f>SUM(AL496:AN496)</f>
        <v>8602.6501702378046</v>
      </c>
      <c r="AL496" s="174">
        <f>(VLOOKUP(C496,$B$36:$AG$39,11,FALSE)+VLOOKUP(C496,$B$40:$AG$43,11,FALSE)*$D$54)*$D$59/100</f>
        <v>6884.6801361902444</v>
      </c>
      <c r="AM496" s="174">
        <f>(3*(VLOOKUP(C496,$B$36:$AG$39,12,FALSE)+VLOOKUP(C496,$B$40:$AG$43,12,FALSE)*$D$54))*$D$59/100</f>
        <v>1717.9700340475611</v>
      </c>
      <c r="AN496" s="174"/>
      <c r="AO496" s="176">
        <v>36</v>
      </c>
      <c r="AP496" s="174">
        <v>36</v>
      </c>
      <c r="AQ496" s="175">
        <f>VLOOKUP(C496,$B$45:$AA$48,11,FALSE)</f>
        <v>657</v>
      </c>
      <c r="AR496" s="31">
        <f>IF(LEFT(E496,1)*1=1,$S$59,$R$59)</f>
        <v>0</v>
      </c>
      <c r="AS496" s="2">
        <f>IF(LEFT(E496,1)*1=2,$U$59,$T$59)</f>
        <v>1</v>
      </c>
      <c r="AT496" s="33">
        <f>IF(LEFT(E496,1)*1=3,$W$59,$V$59)</f>
        <v>0</v>
      </c>
      <c r="AU496" s="31">
        <f>IF(MID(E496,3,1)*1=1,$Y$59,$X$59)</f>
        <v>1</v>
      </c>
      <c r="AV496" s="2">
        <f>IF(MID(E496,3,1)*1=2,$AA$59,$Z$59)</f>
        <v>0</v>
      </c>
      <c r="AW496" s="33">
        <f>IF(MID(E496,3,1)*1=3,$AC$59,$AB$59)</f>
        <v>60</v>
      </c>
      <c r="AX496" s="31">
        <f>IF(MID(E496,5,1)*1=1,$AE$59,$AD$59)</f>
        <v>1</v>
      </c>
      <c r="AY496" s="33">
        <f>IF(MID(E496,5,1)*1=2,$AG$59,$AF$59)</f>
        <v>1.3</v>
      </c>
      <c r="AZ496" s="2"/>
      <c r="BA496" s="101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</row>
    <row r="497" spans="1:71" ht="12" customHeight="1">
      <c r="A497" s="2"/>
      <c r="B497" s="107">
        <v>240</v>
      </c>
      <c r="C497" s="31">
        <v>10</v>
      </c>
      <c r="D497" s="106" t="s">
        <v>16</v>
      </c>
      <c r="E497" s="2" t="s">
        <v>164</v>
      </c>
      <c r="F497" s="2" t="s">
        <v>149</v>
      </c>
      <c r="G497" s="2"/>
      <c r="H497" s="33">
        <f>AX497*2</f>
        <v>3</v>
      </c>
      <c r="I497" s="173">
        <f>M497/AE497</f>
        <v>621.0278901799137</v>
      </c>
      <c r="J497" s="174">
        <f>AH497/AE497</f>
        <v>19.630092212984664</v>
      </c>
      <c r="K497" s="207">
        <f>RANK(I497,$I$76:$I$977)</f>
        <v>422</v>
      </c>
      <c r="L497" s="208" t="e">
        <f>RANK(I497,$I$76:$I$450)</f>
        <v>#N/A</v>
      </c>
      <c r="M497" s="173">
        <f>SUM(N497:R497)</f>
        <v>3717.2916104730307</v>
      </c>
      <c r="N497" s="174">
        <f>T497*(1+((AG497+IF(F497="백어택",8,0))/100)*((AI497/100-1)))</f>
        <v>3717.2916104730307</v>
      </c>
      <c r="O497" s="174"/>
      <c r="P497" s="174"/>
      <c r="Q497" s="174"/>
      <c r="R497" s="175"/>
      <c r="S497" s="173">
        <f>SUM(T497:X497)*H497</f>
        <v>7663.0910826499039</v>
      </c>
      <c r="T497" s="174">
        <f>AL497*AU497*AX497*IF(F497="백어택",1.2,1)</f>
        <v>2554.3636942166345</v>
      </c>
      <c r="U497" s="174"/>
      <c r="V497" s="174"/>
      <c r="W497" s="174"/>
      <c r="X497" s="175"/>
      <c r="Y497" s="173">
        <f>SUM(Z497:AD497)</f>
        <v>5108.727388433269</v>
      </c>
      <c r="Z497" s="174">
        <f>T497*$D$58/100</f>
        <v>5108.727388433269</v>
      </c>
      <c r="AA497" s="174"/>
      <c r="AB497" s="174"/>
      <c r="AC497" s="174"/>
      <c r="AD497" s="175"/>
      <c r="AE497" s="173">
        <f>AO497*(1-$D$17/100)</f>
        <v>5.9857079999999998</v>
      </c>
      <c r="AF497" s="174">
        <f>AP497</f>
        <v>36</v>
      </c>
      <c r="AG497" s="174">
        <f>IF($D$57+AT497&gt;100,100,$D$57+AT497)</f>
        <v>19.001300000000001</v>
      </c>
      <c r="AH497" s="174">
        <f>AQ497*AR497</f>
        <v>117.5</v>
      </c>
      <c r="AI497" s="174">
        <f>$D$58+$D$19</f>
        <v>268.61079999999998</v>
      </c>
      <c r="AJ497" s="174">
        <f>10*AS497/IF(AX497=1,5,3.5)</f>
        <v>2.8571428571428572</v>
      </c>
      <c r="AK497" s="174">
        <f>SUM(AL497:AN497)</f>
        <v>1013.6363865939026</v>
      </c>
      <c r="AL497" s="174">
        <f>((VLOOKUP(C497,$B$36:$AG$39,23,FALSE)+VLOOKUP(C497,$B$40:$AG$43,23,FALSE)*$D$54))*$D$59/100</f>
        <v>1013.6363865939026</v>
      </c>
      <c r="AM497" s="174"/>
      <c r="AN497" s="174"/>
      <c r="AO497" s="176">
        <v>6</v>
      </c>
      <c r="AP497" s="174">
        <v>36</v>
      </c>
      <c r="AQ497" s="175">
        <f>VLOOKUP(C497,$B$45:$AA$48,23,FALSE)</f>
        <v>235</v>
      </c>
      <c r="AR497" s="31">
        <f>IF(LEFT(E497,1)*1=1,$S$66,$R$66)</f>
        <v>0.5</v>
      </c>
      <c r="AS497" s="2">
        <f>IF(LEFT(E497,1)*1=2,$U$66,$T$66)</f>
        <v>1</v>
      </c>
      <c r="AT497" s="33">
        <f>IF(LEFT(E497,1)*1=3,$W$66,$V$66)</f>
        <v>0</v>
      </c>
      <c r="AU497" s="31">
        <f>IF(MID(E497,3,1)*1=1,$Y$66,$X$66)</f>
        <v>1.4</v>
      </c>
      <c r="AV497" s="2">
        <f>IF(MID(E497,3,1)*1=2,$AA$66,$Z$66)</f>
        <v>0</v>
      </c>
      <c r="AW497" s="33">
        <f>IF(MID(E497,3,1)*1=3,$AC$66,$AB$66)</f>
        <v>0</v>
      </c>
      <c r="AX497" s="31">
        <f>IF(MID(E497,5,1)*1=1,$AE$66,$AD$66)</f>
        <v>1.5</v>
      </c>
      <c r="AY497" s="33">
        <f>IF(MID(E497,5,1)*1=2,$AG$66,$AF$66)</f>
        <v>1</v>
      </c>
      <c r="AZ497" s="2"/>
      <c r="BA497" s="101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</row>
    <row r="498" spans="1:71" ht="12" customHeight="1">
      <c r="A498" s="2"/>
      <c r="B498" s="107">
        <v>242</v>
      </c>
      <c r="C498" s="31">
        <v>10</v>
      </c>
      <c r="D498" s="106" t="s">
        <v>16</v>
      </c>
      <c r="E498" s="2" t="s">
        <v>169</v>
      </c>
      <c r="F498" s="2" t="s">
        <v>149</v>
      </c>
      <c r="G498" s="2"/>
      <c r="H498" s="33">
        <f>AX498*2</f>
        <v>3</v>
      </c>
      <c r="I498" s="173">
        <f>M498/AE498</f>
        <v>621.0278901799137</v>
      </c>
      <c r="J498" s="174">
        <f>AH498/AE498</f>
        <v>39.260184425969328</v>
      </c>
      <c r="K498" s="207">
        <f>RANK(I498,$I$76:$I$977)</f>
        <v>422</v>
      </c>
      <c r="L498" s="208" t="e">
        <f>RANK(I498,$I$76:$I$450)</f>
        <v>#N/A</v>
      </c>
      <c r="M498" s="173">
        <f>SUM(N498:R498)</f>
        <v>3717.2916104730307</v>
      </c>
      <c r="N498" s="174">
        <f>T498*(1+((AG498+IF(F498="백어택",8,0))/100)*((AI498/100-1)))</f>
        <v>3717.2916104730307</v>
      </c>
      <c r="O498" s="174"/>
      <c r="P498" s="174"/>
      <c r="Q498" s="174"/>
      <c r="R498" s="175"/>
      <c r="S498" s="173">
        <f>SUM(T498:X498)*H498</f>
        <v>7663.0910826499039</v>
      </c>
      <c r="T498" s="174">
        <f>AL498*AU498*AX498*IF(F498="백어택",1.2,1)</f>
        <v>2554.3636942166345</v>
      </c>
      <c r="U498" s="174"/>
      <c r="V498" s="174"/>
      <c r="W498" s="174"/>
      <c r="X498" s="175"/>
      <c r="Y498" s="173">
        <f>SUM(Z498:AD498)</f>
        <v>5108.727388433269</v>
      </c>
      <c r="Z498" s="174">
        <f>T498*$D$58/100</f>
        <v>5108.727388433269</v>
      </c>
      <c r="AA498" s="174"/>
      <c r="AB498" s="174"/>
      <c r="AC498" s="174"/>
      <c r="AD498" s="175"/>
      <c r="AE498" s="173">
        <f>AO498*(1-$D$17/100)</f>
        <v>5.9857079999999998</v>
      </c>
      <c r="AF498" s="174">
        <f>AP498</f>
        <v>36</v>
      </c>
      <c r="AG498" s="174">
        <f>IF($D$57+AT498&gt;100,100,$D$57+AT498)</f>
        <v>19.001300000000001</v>
      </c>
      <c r="AH498" s="174">
        <f>AQ498*AR498</f>
        <v>235</v>
      </c>
      <c r="AI498" s="174">
        <f>$D$58+$D$19</f>
        <v>268.61079999999998</v>
      </c>
      <c r="AJ498" s="174">
        <f>10*AS498/IF(AX498=1,5,3.5)</f>
        <v>2.5714285714285716</v>
      </c>
      <c r="AK498" s="174">
        <f>SUM(AL498:AN498)</f>
        <v>1013.6363865939026</v>
      </c>
      <c r="AL498" s="174">
        <f>((VLOOKUP(C498,$B$36:$AG$39,23,FALSE)+VLOOKUP(C498,$B$40:$AG$43,23,FALSE)*$D$54))*$D$59/100</f>
        <v>1013.6363865939026</v>
      </c>
      <c r="AM498" s="174"/>
      <c r="AN498" s="174"/>
      <c r="AO498" s="176">
        <v>6</v>
      </c>
      <c r="AP498" s="174">
        <v>36</v>
      </c>
      <c r="AQ498" s="175">
        <f>VLOOKUP(C498,$B$45:$AA$48,23,FALSE)</f>
        <v>235</v>
      </c>
      <c r="AR498" s="31">
        <f>IF(LEFT(E498,1)*1=1,$S$66,$R$66)</f>
        <v>1</v>
      </c>
      <c r="AS498" s="2">
        <f>IF(LEFT(E498,1)*1=2,$U$66,$T$66)</f>
        <v>0.9</v>
      </c>
      <c r="AT498" s="33">
        <f>IF(LEFT(E498,1)*1=3,$W$66,$V$66)</f>
        <v>0</v>
      </c>
      <c r="AU498" s="31">
        <f>IF(MID(E498,3,1)*1=1,$Y$66,$X$66)</f>
        <v>1.4</v>
      </c>
      <c r="AV498" s="2">
        <f>IF(MID(E498,3,1)*1=2,$AA$66,$Z$66)</f>
        <v>0</v>
      </c>
      <c r="AW498" s="33">
        <f>IF(MID(E498,3,1)*1=3,$AC$66,$AB$66)</f>
        <v>0</v>
      </c>
      <c r="AX498" s="31">
        <f>IF(MID(E498,5,1)*1=1,$AE$66,$AD$66)</f>
        <v>1.5</v>
      </c>
      <c r="AY498" s="33">
        <f>IF(MID(E498,5,1)*1=2,$AG$66,$AF$66)</f>
        <v>1</v>
      </c>
      <c r="AZ498" s="2"/>
      <c r="BA498" s="101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</row>
    <row r="499" spans="1:71" ht="12" customHeight="1">
      <c r="A499" s="2"/>
      <c r="B499" s="107">
        <v>246</v>
      </c>
      <c r="C499" s="31">
        <v>10</v>
      </c>
      <c r="D499" s="106" t="s">
        <v>16</v>
      </c>
      <c r="E499" s="2" t="s">
        <v>165</v>
      </c>
      <c r="F499" s="2" t="s">
        <v>149</v>
      </c>
      <c r="G499" s="2"/>
      <c r="H499" s="33">
        <f>AX499*2</f>
        <v>2</v>
      </c>
      <c r="I499" s="173">
        <f>M499/AE499</f>
        <v>621.0278901799137</v>
      </c>
      <c r="J499" s="174">
        <f>AH499/AE499</f>
        <v>19.630092212984664</v>
      </c>
      <c r="K499" s="207">
        <f>RANK(I499,$I$76:$I$977)</f>
        <v>422</v>
      </c>
      <c r="L499" s="208" t="e">
        <f>RANK(I499,$I$76:$I$450)</f>
        <v>#N/A</v>
      </c>
      <c r="M499" s="173">
        <f>SUM(N499:R499)</f>
        <v>3717.2916104730307</v>
      </c>
      <c r="N499" s="174">
        <f>T499*(1+((AG499+IF(F499="백어택",8,0))/100)*((AI499/100-1)))</f>
        <v>3717.2916104730307</v>
      </c>
      <c r="O499" s="174"/>
      <c r="P499" s="174"/>
      <c r="Q499" s="174"/>
      <c r="R499" s="175"/>
      <c r="S499" s="173">
        <f>SUM(T499:X499)*H499</f>
        <v>5108.727388433269</v>
      </c>
      <c r="T499" s="174">
        <f>AL499*AU499*AY499*IF(F499="백어택",1.2,1)</f>
        <v>2554.3636942166345</v>
      </c>
      <c r="U499" s="174"/>
      <c r="V499" s="174"/>
      <c r="W499" s="174"/>
      <c r="X499" s="175"/>
      <c r="Y499" s="173">
        <f>SUM(Z499:AD499)</f>
        <v>5108.727388433269</v>
      </c>
      <c r="Z499" s="174">
        <f>T499*$D$58/100</f>
        <v>5108.727388433269</v>
      </c>
      <c r="AA499" s="174"/>
      <c r="AB499" s="174"/>
      <c r="AC499" s="174"/>
      <c r="AD499" s="175"/>
      <c r="AE499" s="173">
        <f>AO499*(1-$D$17/100)</f>
        <v>5.9857079999999998</v>
      </c>
      <c r="AF499" s="174">
        <f>AP499</f>
        <v>36</v>
      </c>
      <c r="AG499" s="174">
        <f>IF($D$57+AT499&gt;100,100,$D$57+AT499)</f>
        <v>19.001300000000001</v>
      </c>
      <c r="AH499" s="174">
        <f>AQ499*AR499</f>
        <v>117.5</v>
      </c>
      <c r="AI499" s="174">
        <f>$D$58+$D$19</f>
        <v>268.61079999999998</v>
      </c>
      <c r="AJ499" s="174">
        <f>10*AS499/IF(AX499=1,5,3.5)</f>
        <v>2</v>
      </c>
      <c r="AK499" s="174">
        <f>SUM(AL499:AN499)</f>
        <v>1013.6363865939026</v>
      </c>
      <c r="AL499" s="174">
        <f>((VLOOKUP(C499,$B$36:$AG$39,23,FALSE)+VLOOKUP(C499,$B$40:$AG$43,23,FALSE)*$D$54))*$D$59/100</f>
        <v>1013.6363865939026</v>
      </c>
      <c r="AM499" s="174"/>
      <c r="AN499" s="174"/>
      <c r="AO499" s="176">
        <v>6</v>
      </c>
      <c r="AP499" s="174">
        <v>36</v>
      </c>
      <c r="AQ499" s="175">
        <f>VLOOKUP(C499,$B$45:$AA$48,23,FALSE)</f>
        <v>235</v>
      </c>
      <c r="AR499" s="31">
        <f>IF(LEFT(E499,1)*1=1,$S$66,$R$66)</f>
        <v>0.5</v>
      </c>
      <c r="AS499" s="2">
        <f>IF(LEFT(E499,1)*1=2,$U$66,$T$66)</f>
        <v>1</v>
      </c>
      <c r="AT499" s="33">
        <f>IF(LEFT(E499,1)*1=3,$W$66,$V$66)</f>
        <v>0</v>
      </c>
      <c r="AU499" s="31">
        <f>IF(MID(E499,3,1)*1=1,$Y$66,$X$66)</f>
        <v>1.4</v>
      </c>
      <c r="AV499" s="2">
        <f>IF(MID(E499,3,1)*1=2,$AA$66,$Z$66)</f>
        <v>0</v>
      </c>
      <c r="AW499" s="33">
        <f>IF(MID(E499,3,1)*1=3,$AC$66,$AB$66)</f>
        <v>0</v>
      </c>
      <c r="AX499" s="31">
        <f>IF(MID(E499,5,1)*1=1,$AE$66,$AD$66)</f>
        <v>1</v>
      </c>
      <c r="AY499" s="33">
        <f>IF(MID(E499,5,1)*1=2,$AG$66,$AF$66)</f>
        <v>1.5</v>
      </c>
      <c r="AZ499" s="2"/>
      <c r="BA499" s="101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</row>
    <row r="500" spans="1:71" ht="12" customHeight="1">
      <c r="A500" s="2"/>
      <c r="B500" s="107">
        <v>248</v>
      </c>
      <c r="C500" s="31">
        <v>10</v>
      </c>
      <c r="D500" s="106" t="s">
        <v>16</v>
      </c>
      <c r="E500" s="2" t="s">
        <v>170</v>
      </c>
      <c r="F500" s="2" t="s">
        <v>149</v>
      </c>
      <c r="G500" s="2"/>
      <c r="H500" s="33">
        <f>AX500*2</f>
        <v>2</v>
      </c>
      <c r="I500" s="173">
        <f>M500/AE500</f>
        <v>621.0278901799137</v>
      </c>
      <c r="J500" s="174">
        <f>AH500/AE500</f>
        <v>39.260184425969328</v>
      </c>
      <c r="K500" s="207">
        <f>RANK(I500,$I$76:$I$977)</f>
        <v>422</v>
      </c>
      <c r="L500" s="208" t="e">
        <f>RANK(I500,$I$76:$I$450)</f>
        <v>#N/A</v>
      </c>
      <c r="M500" s="173">
        <f>SUM(N500:R500)</f>
        <v>3717.2916104730307</v>
      </c>
      <c r="N500" s="174">
        <f>T500*(1+((AG500+IF(F500="백어택",8,0))/100)*((AI500/100-1)))</f>
        <v>3717.2916104730307</v>
      </c>
      <c r="O500" s="174"/>
      <c r="P500" s="174"/>
      <c r="Q500" s="174"/>
      <c r="R500" s="175"/>
      <c r="S500" s="173">
        <f>SUM(T500:X500)*H500</f>
        <v>5108.727388433269</v>
      </c>
      <c r="T500" s="174">
        <f>AL500*AU500*AY500*IF(F500="백어택",1.2,1)</f>
        <v>2554.3636942166345</v>
      </c>
      <c r="U500" s="174"/>
      <c r="V500" s="174"/>
      <c r="W500" s="174"/>
      <c r="X500" s="175"/>
      <c r="Y500" s="173">
        <f>SUM(Z500:AD500)</f>
        <v>5108.727388433269</v>
      </c>
      <c r="Z500" s="174">
        <f>T500*$D$58/100</f>
        <v>5108.727388433269</v>
      </c>
      <c r="AA500" s="174"/>
      <c r="AB500" s="174"/>
      <c r="AC500" s="174"/>
      <c r="AD500" s="175"/>
      <c r="AE500" s="173">
        <f>AO500*(1-$D$17/100)</f>
        <v>5.9857079999999998</v>
      </c>
      <c r="AF500" s="174">
        <f>AP500</f>
        <v>36</v>
      </c>
      <c r="AG500" s="174">
        <f>IF($D$57+AT500&gt;100,100,$D$57+AT500)</f>
        <v>19.001300000000001</v>
      </c>
      <c r="AH500" s="174">
        <f>AQ500*AR500</f>
        <v>235</v>
      </c>
      <c r="AI500" s="174">
        <f>$D$58+$D$19</f>
        <v>268.61079999999998</v>
      </c>
      <c r="AJ500" s="174">
        <f>10*AS500/IF(AX500=1,5,3.5)</f>
        <v>1.8</v>
      </c>
      <c r="AK500" s="174">
        <f>SUM(AL500:AN500)</f>
        <v>1013.6363865939026</v>
      </c>
      <c r="AL500" s="174">
        <f>((VLOOKUP(C500,$B$36:$AG$39,23,FALSE)+VLOOKUP(C500,$B$40:$AG$43,23,FALSE)*$D$54))*$D$59/100</f>
        <v>1013.6363865939026</v>
      </c>
      <c r="AM500" s="174"/>
      <c r="AN500" s="174"/>
      <c r="AO500" s="176">
        <v>6</v>
      </c>
      <c r="AP500" s="174">
        <v>36</v>
      </c>
      <c r="AQ500" s="175">
        <f>VLOOKUP(C500,$B$45:$AA$48,23,FALSE)</f>
        <v>235</v>
      </c>
      <c r="AR500" s="31">
        <f>IF(LEFT(E500,1)*1=1,$S$66,$R$66)</f>
        <v>1</v>
      </c>
      <c r="AS500" s="2">
        <f>IF(LEFT(E500,1)*1=2,$U$66,$T$66)</f>
        <v>0.9</v>
      </c>
      <c r="AT500" s="33">
        <f>IF(LEFT(E500,1)*1=3,$W$66,$V$66)</f>
        <v>0</v>
      </c>
      <c r="AU500" s="31">
        <f>IF(MID(E500,3,1)*1=1,$Y$66,$X$66)</f>
        <v>1.4</v>
      </c>
      <c r="AV500" s="2">
        <f>IF(MID(E500,3,1)*1=2,$AA$66,$Z$66)</f>
        <v>0</v>
      </c>
      <c r="AW500" s="33">
        <f>IF(MID(E500,3,1)*1=3,$AC$66,$AB$66)</f>
        <v>0</v>
      </c>
      <c r="AX500" s="31">
        <f>IF(MID(E500,5,1)*1=1,$AE$66,$AD$66)</f>
        <v>1</v>
      </c>
      <c r="AY500" s="33">
        <f>IF(MID(E500,5,1)*1=2,$AG$66,$AF$66)</f>
        <v>1.5</v>
      </c>
      <c r="AZ500" s="2"/>
      <c r="BA500" s="101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</row>
    <row r="501" spans="1:71" ht="12" customHeight="1">
      <c r="A501" s="2"/>
      <c r="B501" s="107">
        <v>805</v>
      </c>
      <c r="C501" s="31">
        <v>10</v>
      </c>
      <c r="D501" s="113" t="s">
        <v>9</v>
      </c>
      <c r="E501" s="2" t="s">
        <v>170</v>
      </c>
      <c r="F501" s="2"/>
      <c r="G501" s="2"/>
      <c r="H501" s="33"/>
      <c r="I501" s="173">
        <f>M501/AE501</f>
        <v>620.07573793857568</v>
      </c>
      <c r="J501" s="174">
        <f>AH501/AE501</f>
        <v>18.293575296355918</v>
      </c>
      <c r="K501" s="207">
        <f>RANK(I501,$I$76:$I$977)</f>
        <v>426</v>
      </c>
      <c r="L501" s="208" t="e">
        <f>RANK(I501,$I$867:$I$977)</f>
        <v>#N/A</v>
      </c>
      <c r="M501" s="173">
        <f>SUM(N501:R501)*(1+$D$22/100)</f>
        <v>22269.553831109017</v>
      </c>
      <c r="N501" s="174">
        <f>T501*(1+((AG501+IF(F501="백어택",8,0))/100)*(AI501/100-1))</f>
        <v>15976.074782670916</v>
      </c>
      <c r="O501" s="174">
        <f>U501*(1+($D$57/100)*(AI501/100-1))</f>
        <v>2044.4066741270403</v>
      </c>
      <c r="P501" s="174"/>
      <c r="Q501" s="174"/>
      <c r="R501" s="175">
        <f>X501*(1+($D$57/100)*(AI501/100-1))</f>
        <v>2044.4066741270403</v>
      </c>
      <c r="S501" s="173">
        <f>SUM(T501:X501)</f>
        <v>16861.066333666102</v>
      </c>
      <c r="T501" s="174">
        <f>AL501*AU501*AY501</f>
        <v>13425.126265570978</v>
      </c>
      <c r="U501" s="174">
        <f>AM501*AX501</f>
        <v>1717.9700340475611</v>
      </c>
      <c r="V501" s="174"/>
      <c r="W501" s="174"/>
      <c r="X501" s="175">
        <f>AM501*AS501</f>
        <v>1717.9700340475611</v>
      </c>
      <c r="Y501" s="173">
        <f>SUM(Z501:AD501)</f>
        <v>33722.132667332204</v>
      </c>
      <c r="Z501" s="174">
        <f>T501*$D$58/100</f>
        <v>26850.252531141956</v>
      </c>
      <c r="AA501" s="174">
        <f>U501*$D$58/100</f>
        <v>3435.9400680951221</v>
      </c>
      <c r="AB501" s="174"/>
      <c r="AC501" s="174"/>
      <c r="AD501" s="175">
        <f>X501*$D$58/100</f>
        <v>3435.9400680951221</v>
      </c>
      <c r="AE501" s="173">
        <f>AO501*(1-$D$17/100)</f>
        <v>35.914248000000001</v>
      </c>
      <c r="AF501" s="174">
        <f>AP501</f>
        <v>36</v>
      </c>
      <c r="AG501" s="174">
        <f>IF($D$57+AW501&gt;100,100,$D$57+AW501)</f>
        <v>19.001300000000001</v>
      </c>
      <c r="AH501" s="174">
        <f>AQ501</f>
        <v>657</v>
      </c>
      <c r="AI501" s="174">
        <f>$D$58</f>
        <v>200</v>
      </c>
      <c r="AJ501" s="174">
        <f>10/(6+AT501)</f>
        <v>1.6666666666666667</v>
      </c>
      <c r="AK501" s="174">
        <f>SUM(AL501:AN501)</f>
        <v>8602.6501702378046</v>
      </c>
      <c r="AL501" s="174">
        <f>(VLOOKUP(C501,$B$36:$AG$39,11,FALSE)+VLOOKUP(C501,$B$40:$AG$43,11,FALSE)*$D$54)*$D$59/100</f>
        <v>6884.6801361902444</v>
      </c>
      <c r="AM501" s="174">
        <f>(3*(VLOOKUP(C501,$B$36:$AG$39,12,FALSE)+VLOOKUP(C501,$B$40:$AG$43,12,FALSE)*$D$54))*$D$59/100</f>
        <v>1717.9700340475611</v>
      </c>
      <c r="AN501" s="174"/>
      <c r="AO501" s="176">
        <v>36</v>
      </c>
      <c r="AP501" s="174">
        <v>36</v>
      </c>
      <c r="AQ501" s="175">
        <f>VLOOKUP(C501,$B$45:$AA$48,11,FALSE)</f>
        <v>657</v>
      </c>
      <c r="AR501" s="31">
        <f>IF(LEFT(E501,1)*1=1,$S$59,$R$59)</f>
        <v>0</v>
      </c>
      <c r="AS501" s="2">
        <f>IF(LEFT(E501,1)*1=2,$U$59,$T$59)</f>
        <v>1</v>
      </c>
      <c r="AT501" s="33">
        <f>IF(LEFT(E501,1)*1=3,$W$59,$V$59)</f>
        <v>0</v>
      </c>
      <c r="AU501" s="31">
        <f>IF(MID(E501,3,1)*1=1,$Y$59,$X$59)</f>
        <v>1.5</v>
      </c>
      <c r="AV501" s="2">
        <f>IF(MID(E501,3,1)*1=2,$AA$59,$Z$59)</f>
        <v>0</v>
      </c>
      <c r="AW501" s="33">
        <f>IF(MID(E501,3,1)*1=3,$AC$59,$AB$59)</f>
        <v>0</v>
      </c>
      <c r="AX501" s="31">
        <f>IF(MID(E501,5,1)*1=1,$AE$59,$AD$59)</f>
        <v>1</v>
      </c>
      <c r="AY501" s="33">
        <f>IF(MID(E501,5,1)*1=2,$AG$59,$AF$59)</f>
        <v>1.3</v>
      </c>
      <c r="AZ501" s="2"/>
      <c r="BA501" s="101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</row>
    <row r="502" spans="1:71" ht="12" customHeight="1">
      <c r="A502" s="2"/>
      <c r="B502" s="107">
        <v>789</v>
      </c>
      <c r="C502" s="31">
        <v>4</v>
      </c>
      <c r="D502" s="111" t="s">
        <v>21</v>
      </c>
      <c r="E502" s="2" t="s">
        <v>148</v>
      </c>
      <c r="F502" s="2" t="s">
        <v>149</v>
      </c>
      <c r="G502" s="2"/>
      <c r="H502" s="33"/>
      <c r="I502" s="173">
        <f>M502/AE502</f>
        <v>617.25743801193403</v>
      </c>
      <c r="J502" s="174">
        <f>AH502/AE502</f>
        <v>11.598384294894656</v>
      </c>
      <c r="K502" s="207">
        <f>RANK(I502,$I$76:$I$977)</f>
        <v>427</v>
      </c>
      <c r="L502" s="208">
        <f>RANK(I502,$I$451:$I$866)</f>
        <v>52</v>
      </c>
      <c r="M502" s="173">
        <f>SUM(N502:R502)</f>
        <v>13411.253707766558</v>
      </c>
      <c r="N502" s="174">
        <f>T502*(1+((AG502+IF(F502="백어택",8,0))/100)*(AI502/100-1))</f>
        <v>13411.253707766558</v>
      </c>
      <c r="O502" s="174"/>
      <c r="P502" s="174"/>
      <c r="Q502" s="174"/>
      <c r="R502" s="175">
        <f>X502*(1+(AG502/100)*(AI502/100-1))</f>
        <v>0</v>
      </c>
      <c r="S502" s="173">
        <f>SUM(T502:X502)</f>
        <v>10559.934195765365</v>
      </c>
      <c r="T502" s="174">
        <f>AL502*AW502*AX502*AY502*IF(F502="백어택",1.2,1)</f>
        <v>10559.934195765365</v>
      </c>
      <c r="U502" s="174"/>
      <c r="V502" s="174"/>
      <c r="W502" s="174"/>
      <c r="X502" s="175">
        <f>AL502*AS502+IF(AX502=1,AL502*AU502,AL502*AU502*2)</f>
        <v>0</v>
      </c>
      <c r="Y502" s="173">
        <f>SUM(Z502:AD502)</f>
        <v>21119.868391530727</v>
      </c>
      <c r="Z502" s="174">
        <f>T502*$D$58/100</f>
        <v>21119.868391530727</v>
      </c>
      <c r="AA502" s="174"/>
      <c r="AB502" s="174"/>
      <c r="AC502" s="174"/>
      <c r="AD502" s="175">
        <f>X502*$D$58/100</f>
        <v>0</v>
      </c>
      <c r="AE502" s="173">
        <f>AO502*(1-$D$20/100)*(1-$D$17/100)-AR502</f>
        <v>21.727164197424003</v>
      </c>
      <c r="AF502" s="174">
        <f>AP502</f>
        <v>36</v>
      </c>
      <c r="AG502" s="174">
        <f>IF($D$57&gt;100,100,$D$57)</f>
        <v>19.001300000000001</v>
      </c>
      <c r="AH502" s="174">
        <f>AQ502</f>
        <v>252</v>
      </c>
      <c r="AI502" s="174">
        <f>$D$58</f>
        <v>200</v>
      </c>
      <c r="AJ502" s="174">
        <f>10/6</f>
        <v>1.6666666666666667</v>
      </c>
      <c r="AK502" s="174">
        <f>SUM(AL502:AN502)</f>
        <v>8799.9451631378051</v>
      </c>
      <c r="AL502" s="174">
        <f>(VLOOKUP(C502,$B$36:$AG$39,31,FALSE)+VLOOKUP(C502,$B$40:$AG$43,31,FALSE)*$D$54)*$D$59/100</f>
        <v>8799.9451631378051</v>
      </c>
      <c r="AM502" s="174"/>
      <c r="AN502" s="174"/>
      <c r="AO502" s="176">
        <v>36</v>
      </c>
      <c r="AP502" s="174">
        <v>36</v>
      </c>
      <c r="AQ502" s="175">
        <f>VLOOKUP(C502,$B$45:$AG$48,31,FALSE)</f>
        <v>252</v>
      </c>
      <c r="AR502" s="31">
        <f>IF(LEFT(E502,1)*1=1,$S$71,$R$71)</f>
        <v>6</v>
      </c>
      <c r="AS502" s="2">
        <f>IF(LEFT(E502,1)*1=2,$U$71,$T$71)</f>
        <v>0</v>
      </c>
      <c r="AT502" s="33">
        <f>IF(LEFT(E502,1)*1=3,$W$71,$V$71)</f>
        <v>0</v>
      </c>
      <c r="AU502" s="31">
        <f>IF(MID(E502,3,1)*1=1,$Y$71,$X$71)</f>
        <v>0</v>
      </c>
      <c r="AV502" s="2">
        <f>IF(MID(E502,3,1)*1=2,$AA$71,$Z$71)</f>
        <v>0</v>
      </c>
      <c r="AW502" s="33">
        <f>IF(MID(E502,3,1)*1=3,$AC$71,$AB$71)</f>
        <v>1</v>
      </c>
      <c r="AX502" s="31">
        <f>IF(MID(E502,5,1)*1=1,$AE$71,$AD$71)</f>
        <v>1</v>
      </c>
      <c r="AY502" s="33">
        <f>IF(MID(E502,5,1)*1=2,$AG$71,$AF$71)</f>
        <v>1</v>
      </c>
      <c r="AZ502" s="2"/>
      <c r="BA502" s="101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</row>
    <row r="503" spans="1:71" ht="12" customHeight="1">
      <c r="A503" s="2"/>
      <c r="B503" s="107">
        <v>896</v>
      </c>
      <c r="C503" s="31">
        <v>7</v>
      </c>
      <c r="D503" s="113" t="s">
        <v>22</v>
      </c>
      <c r="E503" s="2" t="s">
        <v>91</v>
      </c>
      <c r="F503" s="2"/>
      <c r="G503" s="2"/>
      <c r="H503" s="33"/>
      <c r="I503" s="173">
        <f>M503/AE503</f>
        <v>616.53852694052819</v>
      </c>
      <c r="J503" s="174">
        <f>AH503/AE503</f>
        <v>13.766124241276053</v>
      </c>
      <c r="K503" s="207">
        <f>RANK(I503,$I$76:$I$977)</f>
        <v>428</v>
      </c>
      <c r="L503" s="208" t="e">
        <f>RANK(I503,$I$867:$I$977)</f>
        <v>#N/A</v>
      </c>
      <c r="M503" s="173">
        <f>SUM(N503:R503)*(1+$D$22/100)</f>
        <v>18452.097965080677</v>
      </c>
      <c r="N503" s="174">
        <f>T503*(1+((AG503+IF(F503="백어택",8,0))/100)*(AI503/100-1))</f>
        <v>11875.254960782697</v>
      </c>
      <c r="O503" s="174"/>
      <c r="P503" s="174"/>
      <c r="Q503" s="174"/>
      <c r="R503" s="175">
        <f>X503*(1+($D$57/100)*(AI503/100-1))</f>
        <v>4750.1019843130789</v>
      </c>
      <c r="S503" s="173">
        <f>SUM(T503:X503)</f>
        <v>13970.735567675121</v>
      </c>
      <c r="T503" s="174">
        <f>AL503*AU503</f>
        <v>9979.0968340536583</v>
      </c>
      <c r="U503" s="174"/>
      <c r="V503" s="174"/>
      <c r="W503" s="174"/>
      <c r="X503" s="175">
        <f>AL503*AW503</f>
        <v>3991.6387336214634</v>
      </c>
      <c r="Y503" s="173">
        <f>SUM(Z503:AD503)</f>
        <v>19958.193668107317</v>
      </c>
      <c r="Z503" s="174">
        <f>T503*$D$58/100</f>
        <v>19958.193668107317</v>
      </c>
      <c r="AA503" s="174"/>
      <c r="AB503" s="174"/>
      <c r="AC503" s="174"/>
      <c r="AD503" s="175"/>
      <c r="AE503" s="173">
        <f>AO503*(1-$D$17/100)</f>
        <v>29.928540000000002</v>
      </c>
      <c r="AF503" s="174">
        <f>AP503+AV503</f>
        <v>36</v>
      </c>
      <c r="AG503" s="174">
        <f>IF($D$57+AY503&gt;100,100,$D$57+AY503)</f>
        <v>19.001300000000001</v>
      </c>
      <c r="AH503" s="174">
        <f>AQ503*AR503</f>
        <v>412</v>
      </c>
      <c r="AI503" s="174">
        <f>$D$58</f>
        <v>200</v>
      </c>
      <c r="AJ503" s="174">
        <f>10/5</f>
        <v>2</v>
      </c>
      <c r="AK503" s="174">
        <f>SUM(AL503:AN503)</f>
        <v>9979.0968340536583</v>
      </c>
      <c r="AL503" s="174">
        <f>(VLOOKUP(C503,$B$36:$AG$39,32,FALSE)+VLOOKUP(C503,$B$40:$AG$43,32,FALSE)*$D$54)*$D$59/100</f>
        <v>9979.0968340536583</v>
      </c>
      <c r="AM503" s="174"/>
      <c r="AN503" s="174"/>
      <c r="AO503" s="176">
        <v>30</v>
      </c>
      <c r="AP503" s="174">
        <v>36</v>
      </c>
      <c r="AQ503" s="175">
        <f>VLOOKUP(C503,$B$45:$AG$48,32,FALSE)</f>
        <v>412</v>
      </c>
      <c r="AR503" s="31">
        <f>IF(LEFT(E503,1)*1=1,$S$72,$R$72)</f>
        <v>1</v>
      </c>
      <c r="AS503" s="2">
        <f>IF(LEFT(E503,1)*1=2,$U$72,$T$72)</f>
        <v>0</v>
      </c>
      <c r="AT503" s="33">
        <f>IF(LEFT(E503,1)*1=3,$W$72,$V$72)</f>
        <v>0</v>
      </c>
      <c r="AU503" s="31">
        <f>IF(MID(E503,3,1)*1=1,$Y$72,$X$72)</f>
        <v>1</v>
      </c>
      <c r="AV503" s="2">
        <f>IF(MID(E503,3,1)*1=2,$AA$72,$Z$72)</f>
        <v>0</v>
      </c>
      <c r="AW503" s="33">
        <f>IF(MID(E503,3,1)*1=3,$AC$72,$AB$72)</f>
        <v>0.4</v>
      </c>
      <c r="AX503" s="31">
        <f>IF(MID(E503,5,1)*1=1,$AE$72,$AD$72)</f>
        <v>0</v>
      </c>
      <c r="AY503" s="33">
        <f>IF(MID(E503,5,1)*1=2,$AG$72,$AF$72)</f>
        <v>0</v>
      </c>
      <c r="AZ503" s="2"/>
      <c r="BA503" s="101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</row>
    <row r="504" spans="1:71" ht="12" customHeight="1">
      <c r="A504" s="2"/>
      <c r="B504" s="107">
        <v>899</v>
      </c>
      <c r="C504" s="31">
        <v>7</v>
      </c>
      <c r="D504" s="113" t="s">
        <v>22</v>
      </c>
      <c r="E504" s="2" t="s">
        <v>155</v>
      </c>
      <c r="F504" s="2"/>
      <c r="G504" s="2"/>
      <c r="H504" s="33"/>
      <c r="I504" s="173">
        <f>M504/AE504</f>
        <v>616.53852694052819</v>
      </c>
      <c r="J504" s="174">
        <f>AH504/AE504</f>
        <v>6.8830621206380265</v>
      </c>
      <c r="K504" s="207">
        <f>RANK(I504,$I$76:$I$977)</f>
        <v>428</v>
      </c>
      <c r="L504" s="208" t="e">
        <f>RANK(I504,$I$867:$I$977)</f>
        <v>#N/A</v>
      </c>
      <c r="M504" s="173">
        <f>SUM(N504:R504)*(1+$D$22/100)</f>
        <v>18452.097965080677</v>
      </c>
      <c r="N504" s="174">
        <f>T504*(1+((AG504+IF(F504="백어택",8,0))/100)*(AI504/100-1))</f>
        <v>11875.254960782697</v>
      </c>
      <c r="O504" s="174"/>
      <c r="P504" s="174"/>
      <c r="Q504" s="174"/>
      <c r="R504" s="175">
        <f>X504*(1+($D$57/100)*(AI504/100-1))</f>
        <v>4750.1019843130789</v>
      </c>
      <c r="S504" s="173">
        <f>SUM(T504:X504)</f>
        <v>13970.735567675121</v>
      </c>
      <c r="T504" s="174">
        <f>AL504*AU504</f>
        <v>9979.0968340536583</v>
      </c>
      <c r="U504" s="174"/>
      <c r="V504" s="174"/>
      <c r="W504" s="174"/>
      <c r="X504" s="175">
        <f>AL504*AW504</f>
        <v>3991.6387336214634</v>
      </c>
      <c r="Y504" s="173">
        <f>SUM(Z504:AD504)</f>
        <v>19958.193668107317</v>
      </c>
      <c r="Z504" s="174">
        <f>T504*$D$58/100</f>
        <v>19958.193668107317</v>
      </c>
      <c r="AA504" s="174"/>
      <c r="AB504" s="174"/>
      <c r="AC504" s="174"/>
      <c r="AD504" s="175"/>
      <c r="AE504" s="173">
        <f>AO504*(1-$D$17/100)</f>
        <v>29.928540000000002</v>
      </c>
      <c r="AF504" s="174">
        <f>AP504+AV504</f>
        <v>36</v>
      </c>
      <c r="AG504" s="174">
        <f>IF($D$57+AY504&gt;100,100,$D$57+AY504)</f>
        <v>19.001300000000001</v>
      </c>
      <c r="AH504" s="174">
        <f>AQ504*AR504</f>
        <v>206</v>
      </c>
      <c r="AI504" s="174">
        <f>$D$58</f>
        <v>200</v>
      </c>
      <c r="AJ504" s="174">
        <f>10/5</f>
        <v>2</v>
      </c>
      <c r="AK504" s="174">
        <f>SUM(AL504:AN504)</f>
        <v>9979.0968340536583</v>
      </c>
      <c r="AL504" s="174">
        <f>(VLOOKUP(C504,$B$36:$AG$39,32,FALSE)+VLOOKUP(C504,$B$40:$AG$43,32,FALSE)*$D$54)*$D$59/100</f>
        <v>9979.0968340536583</v>
      </c>
      <c r="AM504" s="174"/>
      <c r="AN504" s="174"/>
      <c r="AO504" s="176">
        <v>30</v>
      </c>
      <c r="AP504" s="174">
        <v>36</v>
      </c>
      <c r="AQ504" s="175">
        <f>VLOOKUP(C504,$B$45:$AG$48,32,FALSE)</f>
        <v>412</v>
      </c>
      <c r="AR504" s="31">
        <f>IF(LEFT(E504,1)*1=1,$S$72,$R$72)</f>
        <v>0.5</v>
      </c>
      <c r="AS504" s="2">
        <f>IF(LEFT(E504,1)*1=2,$U$72,$T$72)</f>
        <v>0</v>
      </c>
      <c r="AT504" s="33">
        <f>IF(LEFT(E504,1)*1=3,$W$72,$V$72)</f>
        <v>0</v>
      </c>
      <c r="AU504" s="31">
        <f>IF(MID(E504,3,1)*1=1,$Y$72,$X$72)</f>
        <v>1</v>
      </c>
      <c r="AV504" s="2">
        <f>IF(MID(E504,3,1)*1=2,$AA$72,$Z$72)</f>
        <v>0</v>
      </c>
      <c r="AW504" s="33">
        <f>IF(MID(E504,3,1)*1=3,$AC$72,$AB$72)</f>
        <v>0.4</v>
      </c>
      <c r="AX504" s="31">
        <f>IF(MID(E504,5,1)*1=1,$AE$72,$AD$72)</f>
        <v>0</v>
      </c>
      <c r="AY504" s="33">
        <f>IF(MID(E504,5,1)*1=2,$AG$72,$AF$72)</f>
        <v>0</v>
      </c>
      <c r="AZ504" s="2"/>
      <c r="BA504" s="101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</row>
    <row r="505" spans="1:71" ht="12" customHeight="1">
      <c r="A505" s="2"/>
      <c r="B505" s="107">
        <v>113</v>
      </c>
      <c r="C505" s="31">
        <v>7</v>
      </c>
      <c r="D505" s="106" t="s">
        <v>6</v>
      </c>
      <c r="E505" s="2" t="s">
        <v>89</v>
      </c>
      <c r="F505" s="2"/>
      <c r="G505" s="2" t="s">
        <v>183</v>
      </c>
      <c r="H505" s="33"/>
      <c r="I505" s="173">
        <f>M505/AE505</f>
        <v>615.79617962982309</v>
      </c>
      <c r="J505" s="174">
        <f>AH505/AE505</f>
        <v>16.338919305786384</v>
      </c>
      <c r="K505" s="207">
        <f>RANK(I505,$I$76:$I$977)</f>
        <v>430</v>
      </c>
      <c r="L505" s="208" t="e">
        <f>RANK(I505,$I$76:$I$450)</f>
        <v>#N/A</v>
      </c>
      <c r="M505" s="173">
        <f>SUM(N505:R505)</f>
        <v>12286.587062598897</v>
      </c>
      <c r="N505" s="174">
        <f>T505*(1+((AG505+IF(F505="백어택",8,0))/100)*((AI505/100-1)))</f>
        <v>12286.587062598897</v>
      </c>
      <c r="O505" s="174"/>
      <c r="P505" s="174"/>
      <c r="Q505" s="174"/>
      <c r="R505" s="175"/>
      <c r="S505" s="173">
        <f>SUM(T505:X505)</f>
        <v>5268.5841242817078</v>
      </c>
      <c r="T505" s="174">
        <f>AL505*AW505*AT505*AX505*AY505</f>
        <v>5268.5841242817078</v>
      </c>
      <c r="U505" s="174"/>
      <c r="V505" s="174"/>
      <c r="W505" s="174"/>
      <c r="X505" s="175"/>
      <c r="Y505" s="173">
        <f>SUM(Z505:AD505)</f>
        <v>10537.168248563416</v>
      </c>
      <c r="Z505" s="174">
        <f>T505*$D$58/100</f>
        <v>10537.168248563416</v>
      </c>
      <c r="AA505" s="174"/>
      <c r="AB505" s="174"/>
      <c r="AC505" s="174"/>
      <c r="AD505" s="175"/>
      <c r="AE505" s="173">
        <f>AO505*(1-$D$17/100)</f>
        <v>19.952359999999999</v>
      </c>
      <c r="AF505" s="174">
        <f>AP505</f>
        <v>36</v>
      </c>
      <c r="AG505" s="174">
        <f>IF($D$57+AV505&gt;100,100,$D$57+AV505)</f>
        <v>79.001300000000001</v>
      </c>
      <c r="AH505" s="174">
        <f>AQ505*AR505</f>
        <v>326</v>
      </c>
      <c r="AI505" s="174">
        <f>$D$58+$D$19</f>
        <v>268.61079999999998</v>
      </c>
      <c r="AJ505" s="174">
        <f>10/IF(AX505=1,IF(AY505=1,5,6),4)</f>
        <v>2</v>
      </c>
      <c r="AK505" s="174">
        <f>SUM(AL505:AN505)</f>
        <v>5268.5841242817078</v>
      </c>
      <c r="AL505" s="174">
        <f>(VLOOKUP(C505,$B$36:$AG$39,7,FALSE)+VLOOKUP(C505,$B$40:$AG$43,7,FALSE)*$D$54)*$D$59/100</f>
        <v>5268.5841242817078</v>
      </c>
      <c r="AM505" s="174"/>
      <c r="AN505" s="174"/>
      <c r="AO505" s="176">
        <v>20</v>
      </c>
      <c r="AP505" s="174">
        <v>36</v>
      </c>
      <c r="AQ505" s="175">
        <f>VLOOKUP(C505,$B$45:$AA$48,7,FALSE)</f>
        <v>326</v>
      </c>
      <c r="AR505" s="31">
        <f>IF(LEFT(E505,1)*1=1,$S$56,$R$56)</f>
        <v>1</v>
      </c>
      <c r="AS505" s="2">
        <f>IF(LEFT(E505,1)*1=2,$U$56,$T$56)</f>
        <v>0</v>
      </c>
      <c r="AT505" s="33">
        <f>IF(LEFT(E505,1)*1=3,$W$56,$V$56)</f>
        <v>1</v>
      </c>
      <c r="AU505" s="31">
        <f>IF(MID(E505,3,1)*1=1,$Y$56,$X$56)</f>
        <v>0</v>
      </c>
      <c r="AV505" s="2">
        <f>IF(MID(E505,3,1)*1=2,$AA$56,$Z$56)</f>
        <v>60</v>
      </c>
      <c r="AW505" s="33">
        <f>IF(MID(E505,3,1)*1=3,$AC$56,$AB$56)</f>
        <v>1</v>
      </c>
      <c r="AX505" s="31">
        <f>IF(MID(E505,5,1)*1=1,$AE$56,$AD$56)</f>
        <v>1</v>
      </c>
      <c r="AY505" s="33">
        <f>IF(MID(E505,5,1)*1=2,$AG$56,$AF$56)</f>
        <v>1</v>
      </c>
      <c r="AZ505" s="2"/>
      <c r="BA505" s="101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</row>
    <row r="506" spans="1:71" ht="12" customHeight="1">
      <c r="A506" s="2"/>
      <c r="B506" s="107">
        <v>116</v>
      </c>
      <c r="C506" s="31">
        <v>7</v>
      </c>
      <c r="D506" s="106" t="s">
        <v>6</v>
      </c>
      <c r="E506" s="2" t="s">
        <v>152</v>
      </c>
      <c r="F506" s="2"/>
      <c r="G506" s="2" t="s">
        <v>183</v>
      </c>
      <c r="H506" s="33"/>
      <c r="I506" s="173">
        <f>M506/AE506</f>
        <v>615.79617962982309</v>
      </c>
      <c r="J506" s="174">
        <f>AH506/AE506</f>
        <v>8.1694596528931918</v>
      </c>
      <c r="K506" s="207">
        <f>RANK(I506,$I$76:$I$977)</f>
        <v>430</v>
      </c>
      <c r="L506" s="208" t="e">
        <f>RANK(I506,$I$76:$I$450)</f>
        <v>#N/A</v>
      </c>
      <c r="M506" s="173">
        <f>SUM(N506:R506)</f>
        <v>12286.587062598897</v>
      </c>
      <c r="N506" s="174">
        <f>T506*(1+((AG506+IF(F506="백어택",8,0))/100)*((AI506/100-1)))</f>
        <v>12286.587062598897</v>
      </c>
      <c r="O506" s="174"/>
      <c r="P506" s="174"/>
      <c r="Q506" s="174"/>
      <c r="R506" s="175"/>
      <c r="S506" s="173">
        <f>SUM(T506:X506)</f>
        <v>5268.5841242817078</v>
      </c>
      <c r="T506" s="174">
        <f>AL506*AW506*AT506*AX506*AY506</f>
        <v>5268.5841242817078</v>
      </c>
      <c r="U506" s="174"/>
      <c r="V506" s="174"/>
      <c r="W506" s="174"/>
      <c r="X506" s="175"/>
      <c r="Y506" s="173">
        <f>SUM(Z506:AD506)</f>
        <v>10537.168248563416</v>
      </c>
      <c r="Z506" s="174">
        <f>T506*$D$58/100</f>
        <v>10537.168248563416</v>
      </c>
      <c r="AA506" s="174"/>
      <c r="AB506" s="174"/>
      <c r="AC506" s="174"/>
      <c r="AD506" s="175"/>
      <c r="AE506" s="173">
        <f>AO506*(1-$D$17/100)</f>
        <v>19.952359999999999</v>
      </c>
      <c r="AF506" s="174">
        <f>AP506</f>
        <v>36</v>
      </c>
      <c r="AG506" s="174">
        <f>IF($D$57+AV506&gt;100,100,$D$57+AV506)</f>
        <v>79.001300000000001</v>
      </c>
      <c r="AH506" s="174">
        <f>AQ506*AR506</f>
        <v>163</v>
      </c>
      <c r="AI506" s="174">
        <f>$D$58+$D$19</f>
        <v>268.61079999999998</v>
      </c>
      <c r="AJ506" s="174">
        <f>10/IF(AX506=1,IF(AY506=1,5,6),4)</f>
        <v>2</v>
      </c>
      <c r="AK506" s="174">
        <f>SUM(AL506:AN506)</f>
        <v>5268.5841242817078</v>
      </c>
      <c r="AL506" s="174">
        <f>(VLOOKUP(C506,$B$36:$AG$39,7,FALSE)+VLOOKUP(C506,$B$40:$AG$43,7,FALSE)*$D$54)*$D$59/100</f>
        <v>5268.5841242817078</v>
      </c>
      <c r="AM506" s="174"/>
      <c r="AN506" s="174"/>
      <c r="AO506" s="176">
        <v>20</v>
      </c>
      <c r="AP506" s="174">
        <v>36</v>
      </c>
      <c r="AQ506" s="175">
        <f>VLOOKUP(C506,$B$45:$AA$48,7,FALSE)</f>
        <v>326</v>
      </c>
      <c r="AR506" s="31">
        <f>IF(LEFT(E506,1)*1=1,$S$56,$R$56)</f>
        <v>0.5</v>
      </c>
      <c r="AS506" s="2">
        <f>IF(LEFT(E506,1)*1=2,$U$56,$T$56)</f>
        <v>0</v>
      </c>
      <c r="AT506" s="33">
        <f>IF(LEFT(E506,1)*1=3,$W$56,$V$56)</f>
        <v>1</v>
      </c>
      <c r="AU506" s="31">
        <f>IF(MID(E506,3,1)*1=1,$Y$56,$X$56)</f>
        <v>0</v>
      </c>
      <c r="AV506" s="2">
        <f>IF(MID(E506,3,1)*1=2,$AA$56,$Z$56)</f>
        <v>60</v>
      </c>
      <c r="AW506" s="33">
        <f>IF(MID(E506,3,1)*1=3,$AC$56,$AB$56)</f>
        <v>1</v>
      </c>
      <c r="AX506" s="31">
        <f>IF(MID(E506,5,1)*1=1,$AE$56,$AD$56)</f>
        <v>1</v>
      </c>
      <c r="AY506" s="33">
        <f>IF(MID(E506,5,1)*1=2,$AG$56,$AF$56)</f>
        <v>1</v>
      </c>
      <c r="AZ506" s="2"/>
      <c r="BA506" s="101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</row>
    <row r="507" spans="1:71" ht="12" customHeight="1">
      <c r="A507" s="2"/>
      <c r="B507" s="107">
        <v>219</v>
      </c>
      <c r="C507" s="31">
        <v>10</v>
      </c>
      <c r="D507" s="106" t="s">
        <v>13</v>
      </c>
      <c r="E507" s="2" t="s">
        <v>136</v>
      </c>
      <c r="F507" s="2"/>
      <c r="G507" s="2"/>
      <c r="H507" s="33"/>
      <c r="I507" s="173">
        <f>M507/AE507</f>
        <v>615.56881766812887</v>
      </c>
      <c r="J507" s="174">
        <f>AH507/AE507</f>
        <v>21.760166048861723</v>
      </c>
      <c r="K507" s="207">
        <f>RANK(I507,$I$76:$I$977)</f>
        <v>432</v>
      </c>
      <c r="L507" s="208" t="e">
        <f>RANK(I507,$I$76:$I$450)</f>
        <v>#N/A</v>
      </c>
      <c r="M507" s="173">
        <f>SUM(N507:R507)</f>
        <v>14738.46078586664</v>
      </c>
      <c r="N507" s="174">
        <f>T507*(1+((AG507+IF(F507="백어택",8,0))/100)*((AI507/100-1)))</f>
        <v>7126.6841578976055</v>
      </c>
      <c r="O507" s="174">
        <f>U507*(1+($D$57/100)*($D$58/100-1))</f>
        <v>4684.1702325963288</v>
      </c>
      <c r="P507" s="174"/>
      <c r="Q507" s="174"/>
      <c r="R507" s="175">
        <f>X507*(1+($D$57/100)*($D$58/100-1))</f>
        <v>2927.6063953727057</v>
      </c>
      <c r="S507" s="173">
        <f>SUM(T507:X507)</f>
        <v>11793.820438413217</v>
      </c>
      <c r="T507" s="174">
        <f>AL507*AY507</f>
        <v>5397.4393669719502</v>
      </c>
      <c r="U507" s="174">
        <f>AM507*AU507*AW507</f>
        <v>3936.234505502317</v>
      </c>
      <c r="V507" s="174"/>
      <c r="W507" s="174"/>
      <c r="X507" s="175">
        <f>IF(AU507=1,0,U507*0.625)</f>
        <v>2460.1465659389482</v>
      </c>
      <c r="Y507" s="173">
        <f>SUM(Z507:AD507)</f>
        <v>23587.64087682643</v>
      </c>
      <c r="Z507" s="174">
        <f>T507*$D$58/100</f>
        <v>10794.8787339439</v>
      </c>
      <c r="AA507" s="174">
        <f>U507*$D$58/100</f>
        <v>7872.4690110046331</v>
      </c>
      <c r="AB507" s="174"/>
      <c r="AC507" s="174"/>
      <c r="AD507" s="175">
        <f>X507*$D$58/100</f>
        <v>4920.2931318778965</v>
      </c>
      <c r="AE507" s="173">
        <f>AO507*(1-$D$17/100)</f>
        <v>23.942831999999999</v>
      </c>
      <c r="AF507" s="174">
        <f>AP507</f>
        <v>36</v>
      </c>
      <c r="AG507" s="174">
        <f>IF($D$57+AT507&gt;100,100,$D$57+AT507)</f>
        <v>19.001300000000001</v>
      </c>
      <c r="AH507" s="174">
        <f>AQ507</f>
        <v>521</v>
      </c>
      <c r="AI507" s="174">
        <f>$D$58+$D$19</f>
        <v>268.61079999999998</v>
      </c>
      <c r="AJ507" s="174">
        <f>10/IF(AY507=1,2.5,2)</f>
        <v>4</v>
      </c>
      <c r="AK507" s="174">
        <f>SUM(AL507:AN507)</f>
        <v>8425.3120635121941</v>
      </c>
      <c r="AL507" s="174">
        <f>(VLOOKUP(C507,$B$36:$AG$39,17,FALSE)+VLOOKUP(C507,$B$40:$AG$43,17,FALSE)*$D$54)*$D$59/100</f>
        <v>5397.4393669719502</v>
      </c>
      <c r="AM507" s="174">
        <f>(VLOOKUP(C507,$B$36:$AG$39,18,FALSE)+VLOOKUP(C507,$B$40:$AG$43,18,FALSE)*$D$54)*$D$59/100</f>
        <v>3027.8726965402439</v>
      </c>
      <c r="AN507" s="174"/>
      <c r="AO507" s="176">
        <v>24</v>
      </c>
      <c r="AP507" s="174">
        <v>36</v>
      </c>
      <c r="AQ507" s="175">
        <f>VLOOKUP(C507,$B$45:$AA$48,17,FALSE)</f>
        <v>521</v>
      </c>
      <c r="AR507" s="31">
        <f>IF(LEFT(E507,1)*1=1,$S$63,$R$63)</f>
        <v>0</v>
      </c>
      <c r="AS507" s="2">
        <f>IF(LEFT(E507,1)*1=2,$U$63,$T$63)</f>
        <v>0</v>
      </c>
      <c r="AT507" s="33">
        <f>IF(LEFT(E507,1)*1=3,$W$63,$V$63)</f>
        <v>0</v>
      </c>
      <c r="AU507" s="31">
        <f>IF(MID(E507,3,1)*1=1,$Y$63,$X$63)</f>
        <v>1.3</v>
      </c>
      <c r="AV507" s="2">
        <f>IF(MID(E507,3,1)*1=2,$AA$63,$Z$63)</f>
        <v>0</v>
      </c>
      <c r="AW507" s="33">
        <f>IF(MID(E507,3,1)*1=3,$AC$63,$AB$63)</f>
        <v>1</v>
      </c>
      <c r="AX507" s="31">
        <f>IF(MID(E507,5,1)*1=1,$AE$63,$AD$63)</f>
        <v>0</v>
      </c>
      <c r="AY507" s="33">
        <f>IF(MID(E507,5,1)*1=2,$AG$63,$AF$63)</f>
        <v>1</v>
      </c>
      <c r="AZ507" s="2"/>
      <c r="BA507" s="101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</row>
    <row r="508" spans="1:71" ht="12" customHeight="1">
      <c r="A508" s="2"/>
      <c r="B508" s="107">
        <v>750</v>
      </c>
      <c r="C508" s="31">
        <v>7</v>
      </c>
      <c r="D508" s="111" t="s">
        <v>21</v>
      </c>
      <c r="E508" s="2" t="s">
        <v>91</v>
      </c>
      <c r="F508" s="2"/>
      <c r="G508" s="2" t="s">
        <v>177</v>
      </c>
      <c r="H508" s="33"/>
      <c r="I508" s="173">
        <f>M508/AE508</f>
        <v>611.42961127193416</v>
      </c>
      <c r="J508" s="174">
        <f>AH508/AE508</f>
        <v>16.518097441877977</v>
      </c>
      <c r="K508" s="207">
        <f>RANK(I508,$I$76:$I$977)</f>
        <v>433</v>
      </c>
      <c r="L508" s="208">
        <f>RANK(I508,$I$451:$I$866)</f>
        <v>58</v>
      </c>
      <c r="M508" s="173">
        <f>SUM(N508:R508)</f>
        <v>16953.209226904048</v>
      </c>
      <c r="N508" s="174">
        <f>T508*(1+((AG508+IF(F508="백어택",8,0))/100)*(AI508/100-1))</f>
        <v>16953.209226904048</v>
      </c>
      <c r="O508" s="174"/>
      <c r="P508" s="174"/>
      <c r="Q508" s="174"/>
      <c r="R508" s="175">
        <f>X508*(1+(AG508/100)*(AI508/100-1))</f>
        <v>0</v>
      </c>
      <c r="S508" s="173">
        <f>SUM(T508:X508)</f>
        <v>14246.238677143903</v>
      </c>
      <c r="T508" s="174">
        <f>AL508*AW508*AX508*AY508*IF(F508="백어택",1.2,1)</f>
        <v>14246.238677143903</v>
      </c>
      <c r="U508" s="174"/>
      <c r="V508" s="174"/>
      <c r="W508" s="174"/>
      <c r="X508" s="175">
        <f>AL508*AS508+IF(AX508=1,AL508*AU508,AL508*AU508*2)</f>
        <v>0</v>
      </c>
      <c r="Y508" s="173">
        <f>SUM(Z508:AD508)</f>
        <v>28492.477354287807</v>
      </c>
      <c r="Z508" s="174">
        <f>T508*$D$58/100</f>
        <v>28492.477354287807</v>
      </c>
      <c r="AA508" s="174"/>
      <c r="AB508" s="174"/>
      <c r="AC508" s="174"/>
      <c r="AD508" s="175">
        <f>X508*$D$58/100</f>
        <v>0</v>
      </c>
      <c r="AE508" s="173">
        <f>AO508*(1-$D$20/100)*(1-$D$17/100)-AR508</f>
        <v>27.727164197424003</v>
      </c>
      <c r="AF508" s="174">
        <f>AP508</f>
        <v>36</v>
      </c>
      <c r="AG508" s="174">
        <f>IF($D$57&gt;100,100,$D$57)</f>
        <v>19.001300000000001</v>
      </c>
      <c r="AH508" s="174">
        <f>AQ508</f>
        <v>458</v>
      </c>
      <c r="AI508" s="174">
        <f>$D$58</f>
        <v>200</v>
      </c>
      <c r="AJ508" s="174">
        <f>10/6</f>
        <v>1.6666666666666667</v>
      </c>
      <c r="AK508" s="174">
        <f>SUM(AL508:AN508)</f>
        <v>9497.4924514292688</v>
      </c>
      <c r="AL508" s="174">
        <f>(VLOOKUP(C508,$B$36:$AG$39,31,FALSE)+VLOOKUP(C508,$B$40:$AG$43,31,FALSE)*$D$54)*$D$59/100</f>
        <v>9497.4924514292688</v>
      </c>
      <c r="AM508" s="174"/>
      <c r="AN508" s="174"/>
      <c r="AO508" s="176">
        <v>36</v>
      </c>
      <c r="AP508" s="174">
        <v>36</v>
      </c>
      <c r="AQ508" s="175">
        <f>VLOOKUP(C508,$B$45:$AG$48,31,FALSE)</f>
        <v>458</v>
      </c>
      <c r="AR508" s="31">
        <f>IF(LEFT(E508,1)*1=1,$S$71,$R$71)</f>
        <v>0</v>
      </c>
      <c r="AS508" s="2">
        <f>IF(LEFT(E508,1)*1=2,$U$71,$T$71)</f>
        <v>0</v>
      </c>
      <c r="AT508" s="33">
        <f>IF(LEFT(E508,1)*1=3,$W$71,$V$71)</f>
        <v>0</v>
      </c>
      <c r="AU508" s="31">
        <f>IF(MID(E508,3,1)*1=1,$Y$71,$X$71)</f>
        <v>0</v>
      </c>
      <c r="AV508" s="2">
        <f>IF(MID(E508,3,1)*1=2,$AA$71,$Z$71)</f>
        <v>0</v>
      </c>
      <c r="AW508" s="33">
        <f>IF(MID(E508,3,1)*1=3,$AC$71,$AB$71)</f>
        <v>1.5</v>
      </c>
      <c r="AX508" s="31">
        <f>IF(MID(E508,5,1)*1=1,$AE$71,$AD$71)</f>
        <v>1</v>
      </c>
      <c r="AY508" s="33">
        <f>IF(MID(E508,5,1)*1=2,$AG$71,$AF$71)</f>
        <v>1</v>
      </c>
      <c r="AZ508" s="2"/>
      <c r="BA508" s="101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</row>
    <row r="509" spans="1:71" ht="12" customHeight="1">
      <c r="A509" s="2"/>
      <c r="B509" s="107">
        <v>755</v>
      </c>
      <c r="C509" s="31">
        <v>7</v>
      </c>
      <c r="D509" s="111" t="s">
        <v>21</v>
      </c>
      <c r="E509" s="2" t="s">
        <v>168</v>
      </c>
      <c r="F509" s="2"/>
      <c r="G509" s="2"/>
      <c r="H509" s="33"/>
      <c r="I509" s="173">
        <f>M509/AE509</f>
        <v>611.42961127193416</v>
      </c>
      <c r="J509" s="174">
        <f>AH509/AE509</f>
        <v>16.518097441877977</v>
      </c>
      <c r="K509" s="207">
        <f>RANK(I509,$I$76:$I$977)</f>
        <v>433</v>
      </c>
      <c r="L509" s="208">
        <f>RANK(I509,$I$451:$I$866)</f>
        <v>58</v>
      </c>
      <c r="M509" s="173">
        <f>SUM(N509:R509)</f>
        <v>16953.209226904048</v>
      </c>
      <c r="N509" s="174">
        <f>T509*(1+((AG509+IF(F509="백어택",8,0))/100)*(AI509/100-1))</f>
        <v>11302.139484602698</v>
      </c>
      <c r="O509" s="174"/>
      <c r="P509" s="174"/>
      <c r="Q509" s="174"/>
      <c r="R509" s="175">
        <f>X509*(1+(AG509/100)*(AI509/100-1))</f>
        <v>5651.0697423013489</v>
      </c>
      <c r="S509" s="173">
        <f>SUM(T509:X509)</f>
        <v>14246.238677143903</v>
      </c>
      <c r="T509" s="174">
        <f>AL509*AW509*AX509*AY509*IF(F509="백어택",1.2,1)</f>
        <v>9497.4924514292688</v>
      </c>
      <c r="U509" s="174"/>
      <c r="V509" s="174"/>
      <c r="W509" s="174"/>
      <c r="X509" s="175">
        <f>AL509*AS509+IF(AX509=1,AL509*AU509,AL509*AU509*2)</f>
        <v>4748.7462257146344</v>
      </c>
      <c r="Y509" s="173">
        <f>SUM(Z509:AD509)</f>
        <v>28492.477354287807</v>
      </c>
      <c r="Z509" s="174">
        <f>T509*$D$58/100</f>
        <v>18994.984902858538</v>
      </c>
      <c r="AA509" s="174"/>
      <c r="AB509" s="174"/>
      <c r="AC509" s="174"/>
      <c r="AD509" s="175">
        <f>X509*$D$58/100</f>
        <v>9497.4924514292688</v>
      </c>
      <c r="AE509" s="173">
        <f>AO509*(1-$D$20/100)*(1-$D$17/100)-AR509</f>
        <v>27.727164197424003</v>
      </c>
      <c r="AF509" s="174">
        <f>AP509</f>
        <v>36</v>
      </c>
      <c r="AG509" s="174">
        <f>IF($D$57&gt;100,100,$D$57)</f>
        <v>19.001300000000001</v>
      </c>
      <c r="AH509" s="174">
        <f>AQ509</f>
        <v>458</v>
      </c>
      <c r="AI509" s="174">
        <f>$D$58</f>
        <v>200</v>
      </c>
      <c r="AJ509" s="174">
        <f>10/6</f>
        <v>1.6666666666666667</v>
      </c>
      <c r="AK509" s="174">
        <f>SUM(AL509:AN509)</f>
        <v>9497.4924514292688</v>
      </c>
      <c r="AL509" s="174">
        <f>(VLOOKUP(C509,$B$36:$AG$39,31,FALSE)+VLOOKUP(C509,$B$40:$AG$43,31,FALSE)*$D$54)*$D$59/100</f>
        <v>9497.4924514292688</v>
      </c>
      <c r="AM509" s="174"/>
      <c r="AN509" s="174"/>
      <c r="AO509" s="176">
        <v>36</v>
      </c>
      <c r="AP509" s="174">
        <v>36</v>
      </c>
      <c r="AQ509" s="175">
        <f>VLOOKUP(C509,$B$45:$AG$48,31,FALSE)</f>
        <v>458</v>
      </c>
      <c r="AR509" s="31">
        <f>IF(LEFT(E509,1)*1=1,$S$71,$R$71)</f>
        <v>0</v>
      </c>
      <c r="AS509" s="2">
        <f>IF(LEFT(E509,1)*1=2,$U$71,$T$71)</f>
        <v>0.2</v>
      </c>
      <c r="AT509" s="33">
        <f>IF(LEFT(E509,1)*1=3,$W$71,$V$71)</f>
        <v>0</v>
      </c>
      <c r="AU509" s="31">
        <f>IF(MID(E509,3,1)*1=1,$Y$71,$X$71)</f>
        <v>0.3</v>
      </c>
      <c r="AV509" s="2">
        <f>IF(MID(E509,3,1)*1=2,$AA$71,$Z$71)</f>
        <v>0</v>
      </c>
      <c r="AW509" s="33">
        <f>IF(MID(E509,3,1)*1=3,$AC$71,$AB$71)</f>
        <v>1</v>
      </c>
      <c r="AX509" s="31">
        <f>IF(MID(E509,5,1)*1=1,$AE$71,$AD$71)</f>
        <v>1</v>
      </c>
      <c r="AY509" s="33">
        <f>IF(MID(E509,5,1)*1=2,$AG$71,$AF$71)</f>
        <v>1</v>
      </c>
      <c r="AZ509" s="2"/>
      <c r="BA509" s="101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</row>
    <row r="510" spans="1:71" ht="12" customHeight="1">
      <c r="A510" s="2"/>
      <c r="B510" s="107">
        <v>824</v>
      </c>
      <c r="C510" s="31">
        <v>10</v>
      </c>
      <c r="D510" s="113" t="s">
        <v>12</v>
      </c>
      <c r="E510" s="2" t="s">
        <v>92</v>
      </c>
      <c r="F510" s="2"/>
      <c r="G510" s="2" t="s">
        <v>187</v>
      </c>
      <c r="H510" s="50"/>
      <c r="I510" s="173">
        <f>M510/AE510</f>
        <v>610.28458005269908</v>
      </c>
      <c r="J510" s="174">
        <f>AH510/AE510</f>
        <v>21.760166048861723</v>
      </c>
      <c r="K510" s="207">
        <f>RANK(I510,$I$76:$I$977)</f>
        <v>435</v>
      </c>
      <c r="L510" s="208" t="e">
        <f>RANK(I510,$I$867:$I$977)</f>
        <v>#N/A</v>
      </c>
      <c r="M510" s="173">
        <f>SUM(N510:R510)*(1+$D$22/100)</f>
        <v>14611.941172392324</v>
      </c>
      <c r="N510" s="174">
        <f>T510*(1+((AG510+IF(F510="백어택",8,0))/100)*(AI510/100-1))</f>
        <v>8228.3576273917988</v>
      </c>
      <c r="O510" s="174">
        <f>U510*(1+($D$57/100)*(AI510/100-1))</f>
        <v>0</v>
      </c>
      <c r="P510" s="174"/>
      <c r="Q510" s="174"/>
      <c r="R510" s="175">
        <f>X510*(1+($D$57/100)*(AI510/100-1))</f>
        <v>4937.0145764350782</v>
      </c>
      <c r="S510" s="173">
        <f>SUM(T510:X510)</f>
        <v>11063.217127734635</v>
      </c>
      <c r="T510" s="174">
        <f>AL510*AU510*AW510</f>
        <v>6914.5107048341479</v>
      </c>
      <c r="U510" s="174">
        <f>AL510*AU510*AW510*AX510</f>
        <v>0</v>
      </c>
      <c r="V510" s="174"/>
      <c r="W510" s="174"/>
      <c r="X510" s="175">
        <f>AL510*AY510</f>
        <v>4148.7064229004882</v>
      </c>
      <c r="Y510" s="173">
        <f>SUM(Z510:AD510)</f>
        <v>22126.43425546927</v>
      </c>
      <c r="Z510" s="174">
        <f>T510*$D$58/100</f>
        <v>13829.021409668296</v>
      </c>
      <c r="AA510" s="174">
        <f>U510*$D$58/100</f>
        <v>0</v>
      </c>
      <c r="AB510" s="174"/>
      <c r="AC510" s="174"/>
      <c r="AD510" s="175">
        <f>X510*$D$58/100</f>
        <v>8297.4128458009764</v>
      </c>
      <c r="AE510" s="173">
        <f>AO510*(1-$D$17/100)</f>
        <v>23.942831999999999</v>
      </c>
      <c r="AF510" s="174">
        <f>AP510</f>
        <v>36</v>
      </c>
      <c r="AG510" s="174">
        <f>IF($D$57+AV510&gt;100,100,$D$57+AV510)</f>
        <v>19.001300000000001</v>
      </c>
      <c r="AH510" s="174">
        <f>AQ510</f>
        <v>521</v>
      </c>
      <c r="AI510" s="174">
        <f>$D$58</f>
        <v>200</v>
      </c>
      <c r="AJ510" s="174">
        <f>10/7</f>
        <v>1.4285714285714286</v>
      </c>
      <c r="AK510" s="174">
        <f>SUM(AL510:AN510)</f>
        <v>6914.5107048341479</v>
      </c>
      <c r="AL510" s="174">
        <f>(VLOOKUP(C510,$B$36:$AG$39,16,FALSE)+VLOOKUP(C510,$B$40:$AG$43,16,FALSE)*$D$54)*$D$59/100</f>
        <v>6914.5107048341479</v>
      </c>
      <c r="AM510" s="174"/>
      <c r="AN510" s="174"/>
      <c r="AO510" s="176">
        <v>24</v>
      </c>
      <c r="AP510" s="174">
        <v>36</v>
      </c>
      <c r="AQ510" s="175">
        <f>VLOOKUP(C510,$B$45:$AA$48,16,FALSE)</f>
        <v>521</v>
      </c>
      <c r="AR510" s="31">
        <f>IF(LEFT(E510,1)*1=1,$S$62,$R$62)</f>
        <v>0</v>
      </c>
      <c r="AS510" s="2">
        <f>IF(LEFT(E510,1)*1=2,$U$62,$T$62)</f>
        <v>0</v>
      </c>
      <c r="AT510" s="33">
        <f>IF(LEFT(E510,1)*1=3,$W$62,$V$62)</f>
        <v>0</v>
      </c>
      <c r="AU510" s="31">
        <f>IF(MID(E510,3,1)*1=1,$Y$62,$X$62)</f>
        <v>1</v>
      </c>
      <c r="AV510" s="2">
        <f>IF(MID(E510,3,1)*1=2,$AA$62,$Z$62)</f>
        <v>0</v>
      </c>
      <c r="AW510" s="33">
        <f>IF(MID(E510,3,1)*1=3,$AC$62,$AB$62)</f>
        <v>1</v>
      </c>
      <c r="AX510" s="31">
        <f>IF(MID(E510,5,1)*1=1,$AE$62,$AD$62)</f>
        <v>0</v>
      </c>
      <c r="AY510" s="33">
        <f>IF(MID(E510,5,1)*1=2,$AG$62,$AF$62)</f>
        <v>0.6</v>
      </c>
      <c r="AZ510" s="2"/>
      <c r="BA510" s="101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</row>
    <row r="511" spans="1:71" ht="12" customHeight="1">
      <c r="A511" s="2"/>
      <c r="B511" s="107">
        <v>432</v>
      </c>
      <c r="C511" s="31">
        <v>7</v>
      </c>
      <c r="D511" s="111" t="s">
        <v>8</v>
      </c>
      <c r="E511" s="2" t="s">
        <v>91</v>
      </c>
      <c r="F511" s="2" t="s">
        <v>149</v>
      </c>
      <c r="G511" s="2"/>
      <c r="H511" s="33" t="s">
        <v>81</v>
      </c>
      <c r="I511" s="173">
        <f>M511/AE511</f>
        <v>608.68342976021734</v>
      </c>
      <c r="J511" s="174">
        <f>AH511/AE511</f>
        <v>19.637781784066725</v>
      </c>
      <c r="K511" s="207">
        <f>RANK(I511,$I$76:$I$977)</f>
        <v>436</v>
      </c>
      <c r="L511" s="208">
        <f>RANK(I511,$I$451:$I$866)</f>
        <v>61</v>
      </c>
      <c r="M511" s="173">
        <f>SUM(N511:R511)</f>
        <v>11251.376934141828</v>
      </c>
      <c r="N511" s="174">
        <f>T511*(1+((AG511+IF(F511="백어택",8,0))/100)*(IF(AY511=1,$D$58,$D$58+50)/100-1))</f>
        <v>4672.9514272687074</v>
      </c>
      <c r="O511" s="174">
        <f>U511*(1+((AG511+IF(F511="백어택",8,0))/100)*(AI511/100-1))</f>
        <v>6578.4255068731209</v>
      </c>
      <c r="P511" s="174">
        <f>V511*(1+((AG511+IF(F511="백어택",8,0))/100)*(AI511/100-1))</f>
        <v>0</v>
      </c>
      <c r="Q511" s="174"/>
      <c r="R511" s="175"/>
      <c r="S511" s="173">
        <f>SUM(T511:X511)</f>
        <v>8379.6053186919526</v>
      </c>
      <c r="T511" s="174">
        <f>AL511*IF(H511="근접",AR511,1)*AY511*IF(F511="백어택",1.2,1)</f>
        <v>3679.4516491317077</v>
      </c>
      <c r="U511" s="174">
        <f>AM511*IF(H511="근접",AR511,1)*AY511*IF(F511="백어택",1.2,1)</f>
        <v>4700.1536695602445</v>
      </c>
      <c r="V511" s="174">
        <f>IF(AX511=1,0,AM511*IF(H511="근접",AR511,1)*AY511)*IF(F511="백어택",1.2,1)</f>
        <v>0</v>
      </c>
      <c r="W511" s="174"/>
      <c r="X511" s="175"/>
      <c r="Y511" s="173">
        <f>SUM(Z511:AD511)</f>
        <v>19015.284398772819</v>
      </c>
      <c r="Z511" s="174">
        <f>T511*IF(AY511=1,$D$58,$D$58+50)/100</f>
        <v>7358.9032982634144</v>
      </c>
      <c r="AA511" s="174">
        <f>U511*AI511/100</f>
        <v>11656.381100509407</v>
      </c>
      <c r="AB511" s="174">
        <f>V511*AI511/100</f>
        <v>0</v>
      </c>
      <c r="AC511" s="174"/>
      <c r="AD511" s="175"/>
      <c r="AE511" s="173">
        <f>AO511*(1-$D$20/100)*(1-$D$17/100)</f>
        <v>18.484776131615998</v>
      </c>
      <c r="AF511" s="174">
        <f>AP511</f>
        <v>36</v>
      </c>
      <c r="AG511" s="174">
        <f>IF($D$57+AU511&gt;100,100,$D$57+AU511)</f>
        <v>19.001300000000001</v>
      </c>
      <c r="AH511" s="174">
        <f>IF(AX511=1,AQ511,AQ511*1.4)</f>
        <v>363</v>
      </c>
      <c r="AI511" s="174">
        <f>IF(AY511=1,$D$58,$D$58+50)*AW511</f>
        <v>248</v>
      </c>
      <c r="AJ511" s="174">
        <f>10/6/AX511</f>
        <v>1.6666666666666667</v>
      </c>
      <c r="AK511" s="174">
        <f>SUM(AL511:AN511)</f>
        <v>6983.0044322432941</v>
      </c>
      <c r="AL511" s="174">
        <f>(IF(H511="근접",$D$61*(VLOOKUP(C511,$B$36:$AG$39,9,FALSE)+VLOOKUP(C511,$B$40:$AG$43,9,FALSE)*$D$54),$D$60*(VLOOKUP(C511,$B$36:$AG$39,9,FALSE)+VLOOKUP(C511,$B$40:$AG$43,9,FALSE)*$D$54)))*$D$59/100</f>
        <v>3066.2097076097566</v>
      </c>
      <c r="AM511" s="174">
        <f>(IF(H511="근접",$D$61*(VLOOKUP(C511,$B$36:$AG$39,10,FALSE)+VLOOKUP(C511,$B$40:$AG$43,10,FALSE)*$D$54),$D$60*(VLOOKUP(C511,$B$36:$AG$39,10,FALSE)+VLOOKUP(C511,$B$40:$AG$43,10,FALSE)*$D$54)))*$D$59/100</f>
        <v>3916.7947246335375</v>
      </c>
      <c r="AN511" s="174"/>
      <c r="AO511" s="176">
        <v>24</v>
      </c>
      <c r="AP511" s="174">
        <v>36</v>
      </c>
      <c r="AQ511" s="175">
        <f>VLOOKUP(C511,$B$45:$AA$48,9,FALSE)</f>
        <v>363</v>
      </c>
      <c r="AR511" s="31">
        <f>IF(LEFT(E511,1)*1=1,$S$58,$R$58)</f>
        <v>1</v>
      </c>
      <c r="AS511" s="2">
        <f>IF(LEFT(E511,1)*1=2,$U$58,$T$58)</f>
        <v>0</v>
      </c>
      <c r="AT511" s="33">
        <f>IF(LEFT(E511,1)*1=3,$W$58,$V$58)</f>
        <v>0</v>
      </c>
      <c r="AU511" s="31">
        <f>IF(MID(E511,3,1)*1=1,$Y$58,$X$58)</f>
        <v>0</v>
      </c>
      <c r="AV511" s="2">
        <f>IF(MID(E511,3,1)*1=2,$AA$58,$Z$58)</f>
        <v>0</v>
      </c>
      <c r="AW511" s="33">
        <f>IF(MID(E511,3,1)*1=3,$AC$58,$AB$58)</f>
        <v>1.24</v>
      </c>
      <c r="AX511" s="31">
        <f>IF(MID(E511,5,1)*1=1,$AE$58,$AD$58)</f>
        <v>1</v>
      </c>
      <c r="AY511" s="33">
        <f>IF(MID(E511,5,1)*1=2,$AG$58,$AF$58)</f>
        <v>1</v>
      </c>
      <c r="AZ511" s="2"/>
      <c r="BA511" s="101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</row>
    <row r="512" spans="1:71" ht="12" customHeight="1">
      <c r="A512" s="2"/>
      <c r="B512" s="107">
        <v>382</v>
      </c>
      <c r="C512" s="31">
        <v>10</v>
      </c>
      <c r="D512" s="111" t="s">
        <v>8</v>
      </c>
      <c r="E512" s="2" t="s">
        <v>92</v>
      </c>
      <c r="F512" s="2"/>
      <c r="G512" s="2"/>
      <c r="H512" s="33" t="s">
        <v>81</v>
      </c>
      <c r="I512" s="173">
        <f>M512/AE512</f>
        <v>608.52719870757187</v>
      </c>
      <c r="J512" s="174">
        <f>AH512/AE512</f>
        <v>28.185356224514496</v>
      </c>
      <c r="K512" s="207">
        <f>RANK(I512,$I$76:$I$977)</f>
        <v>437</v>
      </c>
      <c r="L512" s="208">
        <f>RANK(I512,$I$451:$I$866)</f>
        <v>62</v>
      </c>
      <c r="M512" s="173">
        <f>SUM(N512:R512)</f>
        <v>11248.48903810887</v>
      </c>
      <c r="N512" s="174">
        <f>T512*(1+((AG512+IF(F512="백어택",8,0))/100)*(IF(AY512=1,$D$58,$D$58+50)/100-1))</f>
        <v>4941.6547081113786</v>
      </c>
      <c r="O512" s="174">
        <f>U512*(1+((AG512+IF(F512="백어택",8,0))/100)*(AI512/100-1))</f>
        <v>6306.8343299974922</v>
      </c>
      <c r="P512" s="174">
        <f>V512*(1+((AG512+IF(F512="백어택",8,0))/100)*(AI512/100-1))</f>
        <v>0</v>
      </c>
      <c r="Q512" s="174"/>
      <c r="R512" s="175"/>
      <c r="S512" s="173">
        <f>SUM(T512:X512)</f>
        <v>8753.5551313492688</v>
      </c>
      <c r="T512" s="174">
        <f>AL512*IF(H512="근접",AR512,1)*AY512*IF(F512="백어택",1.2,1)</f>
        <v>3845.5873300843905</v>
      </c>
      <c r="U512" s="174">
        <f>AM512*IF(H512="근접",AR512,1)*AY512*IF(F512="백어택",1.2,1)</f>
        <v>4907.9678012648774</v>
      </c>
      <c r="V512" s="174">
        <f>IF(AX512=1,0,AM512*IF(H512="근접",AR512,1)*AY512)*IF(F512="백어택",1.2,1)</f>
        <v>0</v>
      </c>
      <c r="W512" s="174"/>
      <c r="X512" s="175"/>
      <c r="Y512" s="173">
        <f>SUM(Z512:AD512)</f>
        <v>21883.887828373168</v>
      </c>
      <c r="Z512" s="174">
        <f>T512*IF(AY512=1,$D$58,$D$58+50)/100</f>
        <v>9613.9683252109753</v>
      </c>
      <c r="AA512" s="174">
        <f>U512*AI512/100</f>
        <v>12269.919503162193</v>
      </c>
      <c r="AB512" s="174">
        <f>V512*AI512/100</f>
        <v>0</v>
      </c>
      <c r="AC512" s="174"/>
      <c r="AD512" s="175"/>
      <c r="AE512" s="173">
        <f>AO512*(1-$D$20/100)*(1-$D$17/100)</f>
        <v>18.484776131615998</v>
      </c>
      <c r="AF512" s="174">
        <f>AP512</f>
        <v>36</v>
      </c>
      <c r="AG512" s="174">
        <f>IF($D$57+AU512&gt;100,100,$D$57+AU512)</f>
        <v>19.001300000000001</v>
      </c>
      <c r="AH512" s="174">
        <f>IF(AX512=1,AQ512,AQ512*1.4)</f>
        <v>521</v>
      </c>
      <c r="AI512" s="174">
        <f>IF(AY512=1,$D$58,$D$58+50)*AW512</f>
        <v>250</v>
      </c>
      <c r="AJ512" s="174">
        <f>10/6/AX512</f>
        <v>1.6666666666666667</v>
      </c>
      <c r="AK512" s="174">
        <f>SUM(AL512:AN512)</f>
        <v>7294.6292761243903</v>
      </c>
      <c r="AL512" s="174">
        <f>(IF(H512="근접",$D$61*(VLOOKUP(C512,$B$36:$AG$39,9,FALSE)+VLOOKUP(C512,$B$40:$AG$43,9,FALSE)*$D$54),$D$60*(VLOOKUP(C512,$B$36:$AG$39,9,FALSE)+VLOOKUP(C512,$B$40:$AG$43,9,FALSE)*$D$54)))*$D$59/100</f>
        <v>3204.6561084036589</v>
      </c>
      <c r="AM512" s="174">
        <f>(IF(H512="근접",$D$61*(VLOOKUP(C512,$B$36:$AG$39,10,FALSE)+VLOOKUP(C512,$B$40:$AG$43,10,FALSE)*$D$54),$D$60*(VLOOKUP(C512,$B$36:$AG$39,10,FALSE)+VLOOKUP(C512,$B$40:$AG$43,10,FALSE)*$D$54)))*$D$59/100</f>
        <v>4089.9731677207315</v>
      </c>
      <c r="AN512" s="174"/>
      <c r="AO512" s="176">
        <v>24</v>
      </c>
      <c r="AP512" s="174">
        <v>36</v>
      </c>
      <c r="AQ512" s="175">
        <f>VLOOKUP(C512,$B$45:$AA$48,9,FALSE)</f>
        <v>521</v>
      </c>
      <c r="AR512" s="31">
        <f>IF(LEFT(E512,1)*1=1,$S$58,$R$58)</f>
        <v>1</v>
      </c>
      <c r="AS512" s="2">
        <f>IF(LEFT(E512,1)*1=2,$U$58,$T$58)</f>
        <v>0</v>
      </c>
      <c r="AT512" s="33">
        <f>IF(LEFT(E512,1)*1=3,$W$58,$V$58)</f>
        <v>0</v>
      </c>
      <c r="AU512" s="31">
        <f>IF(MID(E512,3,1)*1=1,$Y$58,$X$58)</f>
        <v>0</v>
      </c>
      <c r="AV512" s="2">
        <f>IF(MID(E512,3,1)*1=2,$AA$58,$Z$58)</f>
        <v>0</v>
      </c>
      <c r="AW512" s="33">
        <f>IF(MID(E512,3,1)*1=3,$AC$58,$AB$58)</f>
        <v>1</v>
      </c>
      <c r="AX512" s="31">
        <f>IF(MID(E512,5,1)*1=1,$AE$58,$AD$58)</f>
        <v>1</v>
      </c>
      <c r="AY512" s="33">
        <f>IF(MID(E512,5,1)*1=2,$AG$58,$AF$58)</f>
        <v>1.2</v>
      </c>
      <c r="AZ512" s="2"/>
      <c r="BA512" s="101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</row>
    <row r="513" spans="1:71" ht="12" customHeight="1">
      <c r="A513" s="2"/>
      <c r="B513" s="107">
        <v>847</v>
      </c>
      <c r="C513" s="31">
        <v>10</v>
      </c>
      <c r="D513" s="113" t="s">
        <v>15</v>
      </c>
      <c r="E513" s="2" t="s">
        <v>98</v>
      </c>
      <c r="F513" s="2"/>
      <c r="G513" s="2"/>
      <c r="H513" s="33">
        <f>IF(AX513=AT513,3,4)</f>
        <v>3</v>
      </c>
      <c r="I513" s="173">
        <f>M513/AE513</f>
        <v>607.91182375774497</v>
      </c>
      <c r="J513" s="174">
        <f>AH513/AE513</f>
        <v>19.780450366105395</v>
      </c>
      <c r="K513" s="207">
        <f>RANK(I513,$I$76:$I$977)</f>
        <v>438</v>
      </c>
      <c r="L513" s="208" t="e">
        <f>RANK(I513,$I$867:$I$977)</f>
        <v>#N/A</v>
      </c>
      <c r="M513" s="173">
        <f>SUM(N513:R513)*(1+$D$22/100)</f>
        <v>18193.91333380662</v>
      </c>
      <c r="N513" s="174">
        <f>T513*(1+((AG513+IF(F513="백어택",8,0))/100)*(AI513/100-1))</f>
        <v>3493.5331256776276</v>
      </c>
      <c r="O513" s="174">
        <f>U513*(1+(AG513/100)*(AI513/100-1))</f>
        <v>3493.5331256776276</v>
      </c>
      <c r="P513" s="174">
        <f>V513*(1+(AG513/100)*(AI513/100-1))</f>
        <v>3493.5331256776276</v>
      </c>
      <c r="Q513" s="174">
        <f>W513*(1+(AG513/100)*(AI513/100-1))</f>
        <v>0</v>
      </c>
      <c r="R513" s="175">
        <f>X513*(1+(AG513/100)*(AI513/100-1))</f>
        <v>5912.1329819159855</v>
      </c>
      <c r="S513" s="173">
        <f>SUM(T513:X513)</f>
        <v>13775.254857677075</v>
      </c>
      <c r="T513" s="174">
        <f>AL513*AS513*AY513</f>
        <v>2935.7100516360979</v>
      </c>
      <c r="U513" s="174">
        <f>AL513*AS513*AY513</f>
        <v>2935.7100516360979</v>
      </c>
      <c r="V513" s="174">
        <f>AL513*AS513*AY513</f>
        <v>2935.7100516360979</v>
      </c>
      <c r="W513" s="174">
        <f>IF(H513=4,AL513*AS513*IF(AT513=0,AY513,1),0)</f>
        <v>0</v>
      </c>
      <c r="X513" s="175">
        <f>AL513*IF(H513=3,11,IF(AT513=1,15,13))*IF(AW513=1,0,AW513)</f>
        <v>4968.1247027687814</v>
      </c>
      <c r="Y513" s="173">
        <f>SUM(Z513:AD513)</f>
        <v>27550.50971535415</v>
      </c>
      <c r="Z513" s="174">
        <f>T513*AI513/100</f>
        <v>5871.4201032721958</v>
      </c>
      <c r="AA513" s="174">
        <f>U513*AI513/100</f>
        <v>5871.4201032721958</v>
      </c>
      <c r="AB513" s="174">
        <f>V513*AI513/100</f>
        <v>5871.4201032721958</v>
      </c>
      <c r="AC513" s="174">
        <f>W513*AI513/100</f>
        <v>0</v>
      </c>
      <c r="AD513" s="175">
        <f>X513*AI513/100</f>
        <v>9936.2494055375628</v>
      </c>
      <c r="AE513" s="173">
        <f>AO513*(1-$D$17/100)</f>
        <v>29.928540000000002</v>
      </c>
      <c r="AF513" s="174">
        <f>AP513</f>
        <v>36</v>
      </c>
      <c r="AG513" s="174">
        <f>IF($D$57+AX513&gt;100,100,$D$57+AX513)</f>
        <v>19.001300000000001</v>
      </c>
      <c r="AH513" s="174">
        <f>AQ513</f>
        <v>592</v>
      </c>
      <c r="AI513" s="174">
        <f>$D$58</f>
        <v>200</v>
      </c>
      <c r="AJ513" s="174">
        <f>10*AU513/IF(AT513=1,2.5,(IF(AY513=1,3,2.5)))</f>
        <v>4</v>
      </c>
      <c r="AK513" s="174">
        <f>SUM(AL513:AN513)</f>
        <v>2258.2385012585369</v>
      </c>
      <c r="AL513" s="174">
        <f>((VLOOKUP(C513,$B$36:$AG$39,22,FALSE)+VLOOKUP(C513,$B$40:$AG$43,22,FALSE)*$D$54))*$D$59/100</f>
        <v>2258.2385012585369</v>
      </c>
      <c r="AM513" s="174"/>
      <c r="AN513" s="174"/>
      <c r="AO513" s="176">
        <v>30</v>
      </c>
      <c r="AP513" s="174">
        <v>36</v>
      </c>
      <c r="AQ513" s="175">
        <f>VLOOKUP(C513,$B$45:$AA$48,22,FALSE)</f>
        <v>592</v>
      </c>
      <c r="AR513" s="31">
        <f>IF(LEFT(E513,1)*1=1,$S$65,$R$65)</f>
        <v>0</v>
      </c>
      <c r="AS513" s="2">
        <f>IF(LEFT(E513,1)*1=2,$U$65,$T$65)</f>
        <v>1</v>
      </c>
      <c r="AT513" s="33">
        <f>IF(LEFT(E513,1)*1=3,$W$65,$V$65)</f>
        <v>0</v>
      </c>
      <c r="AU513" s="31">
        <f>IF(MID(E513,3,1)*1=1,$Y$65,$X$65)</f>
        <v>1</v>
      </c>
      <c r="AV513" s="2">
        <f>IF(MID(E513,3,1)*1=2,$AA$65,$Z$65)</f>
        <v>0</v>
      </c>
      <c r="AW513" s="33">
        <f>IF(MID(E513,3,1)*1=3,$AC$65,$AB$65)</f>
        <v>0.2</v>
      </c>
      <c r="AX513" s="31">
        <f>IF(MID(E513,5,1)*1=1,$AE$65,$AD$65)</f>
        <v>0</v>
      </c>
      <c r="AY513" s="33">
        <f>IF(MID(E513,5,1)*1=2,$AG$65,$AF$65)</f>
        <v>1.3</v>
      </c>
      <c r="AZ513" s="2"/>
      <c r="BA513" s="101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</row>
    <row r="514" spans="1:71" ht="12" customHeight="1">
      <c r="A514" s="2"/>
      <c r="B514" s="107">
        <v>627</v>
      </c>
      <c r="C514" s="31">
        <v>7</v>
      </c>
      <c r="D514" s="111" t="s">
        <v>18</v>
      </c>
      <c r="E514" s="2" t="s">
        <v>168</v>
      </c>
      <c r="F514" s="2"/>
      <c r="G514" s="2"/>
      <c r="H514" s="33" t="s">
        <v>81</v>
      </c>
      <c r="I514" s="173">
        <f>M514/AE514</f>
        <v>606.30172575731535</v>
      </c>
      <c r="J514" s="174">
        <f>AH514/AE514</f>
        <v>19.637781784066725</v>
      </c>
      <c r="K514" s="207">
        <f>RANK(I514,$I$76:$I$977)</f>
        <v>439</v>
      </c>
      <c r="L514" s="208">
        <f>RANK(I514,$I$451:$I$866)</f>
        <v>64</v>
      </c>
      <c r="M514" s="173">
        <f>SUM(N514:R514)</f>
        <v>11207.351668836413</v>
      </c>
      <c r="N514" s="174">
        <f>T514*(1+((AG514+IF(F514="백어택",8,0))/100)*(AI514/100-1))</f>
        <v>7444.6748388551714</v>
      </c>
      <c r="O514" s="174">
        <f>U514*(1+(($D$57+IF(F514="백어택",8,0))/100)*(AI514/100-1))</f>
        <v>3762.6768299812406</v>
      </c>
      <c r="P514" s="174"/>
      <c r="Q514" s="174"/>
      <c r="R514" s="175"/>
      <c r="S514" s="173">
        <f>SUM(T514:X514)</f>
        <v>7844.0259125085377</v>
      </c>
      <c r="T514" s="174">
        <f>AL514*IF(H514="근접",AT514,IF(AV514=1,AT514,1))*AX514*IF(F514="백어택",1.2,1)</f>
        <v>4682.1471515359763</v>
      </c>
      <c r="U514" s="174">
        <f>IF(AX514=1,AM514*IF(H514="근접",AT514,IF(AV514=1,AT514,1)),0)*AY514*IF(AX514=1,1,0)*IF(F514="백어택",1.2,1)</f>
        <v>3161.8787609725614</v>
      </c>
      <c r="V514" s="174"/>
      <c r="W514" s="174"/>
      <c r="X514" s="175"/>
      <c r="Y514" s="173">
        <f>SUM(Z514:AD514)</f>
        <v>15688.051825017075</v>
      </c>
      <c r="Z514" s="174">
        <f>T514*$D$58/100</f>
        <v>9364.2943030719525</v>
      </c>
      <c r="AA514" s="174">
        <f>U514*$D$58/100</f>
        <v>6323.7575219451228</v>
      </c>
      <c r="AB514" s="174"/>
      <c r="AC514" s="174"/>
      <c r="AD514" s="175"/>
      <c r="AE514" s="173">
        <f>(AO514*(1-$D$20/100)*(1-$D$17/100)-AR514)*IF(AW514="보스대상",1,POWER(0.85,AW514))</f>
        <v>18.484776131615998</v>
      </c>
      <c r="AF514" s="174">
        <f>AP514</f>
        <v>36</v>
      </c>
      <c r="AG514" s="174">
        <f>IF($D$57+AU514&gt;100,100,$D$57+AU514)</f>
        <v>59.001300000000001</v>
      </c>
      <c r="AH514" s="174">
        <f>AQ514</f>
        <v>363</v>
      </c>
      <c r="AI514" s="174">
        <f>$D$58</f>
        <v>200</v>
      </c>
      <c r="AJ514" s="174">
        <f>10*AS514/IF(AX514=1,IF(AY514=1,4.5,4),4)</f>
        <v>1.7777777777777777</v>
      </c>
      <c r="AK514" s="174">
        <f>SUM(AL514:AN514)</f>
        <v>7844.0259125085377</v>
      </c>
      <c r="AL514" s="174">
        <f>IF(AV514=1,$D$61*(VLOOKUP(C514,$B$36:$AG$39,25,FALSE)+VLOOKUP(C514,$B$40:$AG$43,25,FALSE)*$D$54),(IF(H514="근접",$D$61*(VLOOKUP(C514,$B$36:$AG$39,25,FALSE)+VLOOKUP(C514,$B$40:$AG$43,25,FALSE)*$D$54),$D$60*(VLOOKUP(C514,$B$36:$AG$39,25,FALSE)+VLOOKUP(C514,$B$40:$AG$43,25,FALSE)*$D$54))))*$D$59/100</f>
        <v>4682.1471515359763</v>
      </c>
      <c r="AM514" s="174">
        <f>(IF(AV514=1,$D$61*(VLOOKUP(C514,$B$36:$AG$39,26,FALSE)+VLOOKUP(C514,$B$40:$AG$43,26,FALSE)*$D$54),IF(H514="근접",$D$61*(VLOOKUP(C514,$B$36:$AG$39,26,FALSE)+VLOOKUP(C514,$B$40:$AG$43,26,FALSE)*$D$54),$D$60*(VLOOKUP(C514,$B$36:$AG$39,26,FALSE)+VLOOKUP(C514,$B$40:$AG$43,26,FALSE)*$D$54))))*$D$59/100</f>
        <v>3161.8787609725614</v>
      </c>
      <c r="AN514" s="174"/>
      <c r="AO514" s="176">
        <v>24</v>
      </c>
      <c r="AP514" s="174">
        <v>36</v>
      </c>
      <c r="AQ514" s="175">
        <f>VLOOKUP(C514,$B$45:$AA$48,25,FALSE)</f>
        <v>363</v>
      </c>
      <c r="AR514" s="31">
        <f>IF(LEFT(E514,1)*1=1,$S$68,$R$68)</f>
        <v>0</v>
      </c>
      <c r="AS514" s="2">
        <f>IF(LEFT(E514,1)*1=2,$U$68,$T$68)</f>
        <v>0.8</v>
      </c>
      <c r="AT514" s="33">
        <f>IF(LEFT(E514,1)*1=3,$W$68,$V$68)</f>
        <v>1</v>
      </c>
      <c r="AU514" s="31">
        <f>IF(MID(E514,3,1)*1=1,$Y$68,$X$68)</f>
        <v>40</v>
      </c>
      <c r="AV514" s="2">
        <f>IF(MID(E514,3,1)*1=2,$AA$68,$Z$68)</f>
        <v>0</v>
      </c>
      <c r="AW514" s="33" t="str">
        <f>IF(MID(E514,3,1)*1=3,$AC$68,$AB$68)</f>
        <v>보스대상</v>
      </c>
      <c r="AX514" s="31">
        <f>IF(MID(E514,5,1)*1=1,$AE$68,$AD$68)</f>
        <v>1</v>
      </c>
      <c r="AY514" s="33">
        <f>IF(MID(E514,5,1)*1=2,$AG$68,$AF$68)</f>
        <v>1</v>
      </c>
      <c r="AZ514" s="2"/>
      <c r="BA514" s="101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</row>
    <row r="515" spans="1:71" ht="12" customHeight="1">
      <c r="A515" s="2"/>
      <c r="B515" s="107">
        <v>631</v>
      </c>
      <c r="C515" s="31">
        <v>7</v>
      </c>
      <c r="D515" s="111" t="s">
        <v>18</v>
      </c>
      <c r="E515" s="2" t="s">
        <v>117</v>
      </c>
      <c r="F515" s="2"/>
      <c r="G515" s="2"/>
      <c r="H515" s="33" t="s">
        <v>81</v>
      </c>
      <c r="I515" s="173">
        <f>M515/AE515</f>
        <v>605.9792820919148</v>
      </c>
      <c r="J515" s="174">
        <f>AH515/AE515</f>
        <v>19.637781784066725</v>
      </c>
      <c r="K515" s="207">
        <f>RANK(I515,$I$76:$I$977)</f>
        <v>440</v>
      </c>
      <c r="L515" s="208">
        <f>RANK(I515,$I$451:$I$866)</f>
        <v>65</v>
      </c>
      <c r="M515" s="173">
        <f>SUM(N515:R515)</f>
        <v>11201.391369866426</v>
      </c>
      <c r="N515" s="174">
        <f>T515*(1+((AG515+IF(F515="백어택",8,0))/100)*(AI515/100-1))</f>
        <v>6686.1791738889369</v>
      </c>
      <c r="O515" s="174">
        <f>U515*(1+(($D$57+IF(F515="백어택",8,0))/100)*(AI515/100-1))</f>
        <v>4515.2121959774886</v>
      </c>
      <c r="P515" s="174"/>
      <c r="Q515" s="174"/>
      <c r="R515" s="175"/>
      <c r="S515" s="173">
        <f>SUM(T515:X515)</f>
        <v>9412.8310950102441</v>
      </c>
      <c r="T515" s="174">
        <f>AL515*IF(H515="근접",AT515,IF(AV515=1,AT515,1))*AX515*IF(F515="백어택",1.2,1)</f>
        <v>5618.576581843171</v>
      </c>
      <c r="U515" s="174">
        <f>IF(AX515=1,AM515*IF(H515="근접",AT515,IF(AV515=1,AT515,1)),0)*AY515*IF(AX515=1,1,0)*IF(F515="백어택",1.2,1)</f>
        <v>3794.2545131670736</v>
      </c>
      <c r="V515" s="174"/>
      <c r="W515" s="174"/>
      <c r="X515" s="175"/>
      <c r="Y515" s="173">
        <f>SUM(Z515:AD515)</f>
        <v>18825.662190020488</v>
      </c>
      <c r="Z515" s="174">
        <f>T515*$D$58/100</f>
        <v>11237.153163686342</v>
      </c>
      <c r="AA515" s="174">
        <f>U515*$D$58/100</f>
        <v>7588.5090263341472</v>
      </c>
      <c r="AB515" s="174"/>
      <c r="AC515" s="174"/>
      <c r="AD515" s="175"/>
      <c r="AE515" s="173">
        <f>(AO515*(1-$D$20/100)*(1-$D$17/100)-AR515)*IF(AW515="보스대상",1,POWER(0.85,AW515))</f>
        <v>18.484776131615998</v>
      </c>
      <c r="AF515" s="174">
        <f>AP515</f>
        <v>36</v>
      </c>
      <c r="AG515" s="174">
        <f>IF($D$57+AU515&gt;100,100,$D$57+AU515)</f>
        <v>19.001300000000001</v>
      </c>
      <c r="AH515" s="174">
        <f>AQ515</f>
        <v>363</v>
      </c>
      <c r="AI515" s="174">
        <f>$D$58</f>
        <v>200</v>
      </c>
      <c r="AJ515" s="174">
        <f>10*AS515/IF(AX515=1,IF(AY515=1,4.5,4),4)</f>
        <v>2.2222222222222223</v>
      </c>
      <c r="AK515" s="174">
        <f>SUM(AL515:AN515)</f>
        <v>7844.0259125085377</v>
      </c>
      <c r="AL515" s="174">
        <f>IF(AV515=1,$D$61*(VLOOKUP(C515,$B$36:$AG$39,25,FALSE)+VLOOKUP(C515,$B$40:$AG$43,25,FALSE)*$D$54),(IF(H515="근접",$D$61*(VLOOKUP(C515,$B$36:$AG$39,25,FALSE)+VLOOKUP(C515,$B$40:$AG$43,25,FALSE)*$D$54),$D$60*(VLOOKUP(C515,$B$36:$AG$39,25,FALSE)+VLOOKUP(C515,$B$40:$AG$43,25,FALSE)*$D$54))))*$D$59/100</f>
        <v>4682.1471515359763</v>
      </c>
      <c r="AM515" s="174">
        <f>(IF(AV515=1,$D$61*(VLOOKUP(C515,$B$36:$AG$39,26,FALSE)+VLOOKUP(C515,$B$40:$AG$43,26,FALSE)*$D$54),IF(H515="근접",$D$61*(VLOOKUP(C515,$B$36:$AG$39,26,FALSE)+VLOOKUP(C515,$B$40:$AG$43,26,FALSE)*$D$54),$D$60*(VLOOKUP(C515,$B$36:$AG$39,26,FALSE)+VLOOKUP(C515,$B$40:$AG$43,26,FALSE)*$D$54))))*$D$59/100</f>
        <v>3161.8787609725614</v>
      </c>
      <c r="AN515" s="174"/>
      <c r="AO515" s="176">
        <v>24</v>
      </c>
      <c r="AP515" s="174">
        <v>36</v>
      </c>
      <c r="AQ515" s="175">
        <f>VLOOKUP(C515,$B$45:$AA$48,25,FALSE)</f>
        <v>363</v>
      </c>
      <c r="AR515" s="31">
        <f>IF(LEFT(E515,1)*1=1,$S$68,$R$68)</f>
        <v>0</v>
      </c>
      <c r="AS515" s="2">
        <f>IF(LEFT(E515,1)*1=2,$U$68,$T$68)</f>
        <v>1</v>
      </c>
      <c r="AT515" s="33">
        <f>IF(LEFT(E515,1)*1=3,$W$68,$V$68)</f>
        <v>1.2</v>
      </c>
      <c r="AU515" s="31">
        <f>IF(MID(E515,3,1)*1=1,$Y$68,$X$68)</f>
        <v>0</v>
      </c>
      <c r="AV515" s="2">
        <f>IF(MID(E515,3,1)*1=2,$AA$68,$Z$68)</f>
        <v>1</v>
      </c>
      <c r="AW515" s="33" t="str">
        <f>IF(MID(E515,3,1)*1=3,$AC$68,$AB$68)</f>
        <v>보스대상</v>
      </c>
      <c r="AX515" s="31">
        <f>IF(MID(E515,5,1)*1=1,$AE$68,$AD$68)</f>
        <v>1</v>
      </c>
      <c r="AY515" s="33">
        <f>IF(MID(E515,5,1)*1=2,$AG$68,$AF$68)</f>
        <v>1</v>
      </c>
      <c r="AZ515" s="2"/>
      <c r="BA515" s="101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</row>
    <row r="516" spans="1:71" ht="12" customHeight="1">
      <c r="A516" s="2"/>
      <c r="B516" s="107">
        <v>662</v>
      </c>
      <c r="C516" s="31">
        <v>7</v>
      </c>
      <c r="D516" s="111" t="s">
        <v>18</v>
      </c>
      <c r="E516" s="2" t="s">
        <v>117</v>
      </c>
      <c r="F516" s="2"/>
      <c r="G516" s="2"/>
      <c r="H516" s="33" t="s">
        <v>80</v>
      </c>
      <c r="I516" s="173">
        <f>M516/AE516</f>
        <v>605.9792820919148</v>
      </c>
      <c r="J516" s="174">
        <f>AH516/AE516</f>
        <v>19.637781784066725</v>
      </c>
      <c r="K516" s="207">
        <f>RANK(I516,$I$76:$I$977)</f>
        <v>440</v>
      </c>
      <c r="L516" s="208">
        <f>RANK(I516,$I$451:$I$866)</f>
        <v>65</v>
      </c>
      <c r="M516" s="173">
        <f>SUM(N516:R516)</f>
        <v>11201.391369866426</v>
      </c>
      <c r="N516" s="174">
        <f>T516*(1+((AG516+IF(F516="백어택",8,0))/100)*(AI516/100-1))</f>
        <v>6686.1791738889369</v>
      </c>
      <c r="O516" s="174">
        <f>U516*(1+(($D$57+IF(F516="백어택",8,0))/100)*(AI516/100-1))</f>
        <v>4515.2121959774886</v>
      </c>
      <c r="P516" s="174"/>
      <c r="Q516" s="174"/>
      <c r="R516" s="175"/>
      <c r="S516" s="173">
        <f>SUM(T516:X516)</f>
        <v>9412.8310950102441</v>
      </c>
      <c r="T516" s="174">
        <f>AL516*IF(H516="근접",AT516,IF(AV516=1,AT516,1))*AX516*IF(F516="백어택",1.2,1)</f>
        <v>5618.576581843171</v>
      </c>
      <c r="U516" s="174">
        <f>IF(AX516=1,AM516*IF(H516="근접",AT516,IF(AV516=1,AT516,1)),0)*AY516*IF(AX516=1,1,0)*IF(F516="백어택",1.2,1)</f>
        <v>3794.2545131670736</v>
      </c>
      <c r="V516" s="174"/>
      <c r="W516" s="174"/>
      <c r="X516" s="175"/>
      <c r="Y516" s="173">
        <f>SUM(Z516:AD516)</f>
        <v>18825.662190020488</v>
      </c>
      <c r="Z516" s="174">
        <f>T516*$D$58/100</f>
        <v>11237.153163686342</v>
      </c>
      <c r="AA516" s="174">
        <f>U516*$D$58/100</f>
        <v>7588.5090263341472</v>
      </c>
      <c r="AB516" s="174"/>
      <c r="AC516" s="174"/>
      <c r="AD516" s="175"/>
      <c r="AE516" s="173">
        <f>(AO516*(1-$D$20/100)*(1-$D$17/100)-AR516)*IF(AW516="보스대상",1,POWER(0.85,AW516))</f>
        <v>18.484776131615998</v>
      </c>
      <c r="AF516" s="174">
        <f>AP516</f>
        <v>36</v>
      </c>
      <c r="AG516" s="174">
        <f>IF($D$57+AU516&gt;100,100,$D$57+AU516)</f>
        <v>19.001300000000001</v>
      </c>
      <c r="AH516" s="174">
        <f>AQ516</f>
        <v>363</v>
      </c>
      <c r="AI516" s="174">
        <f>$D$58</f>
        <v>200</v>
      </c>
      <c r="AJ516" s="174">
        <f>10*AS516/IF(AX516=1,IF(AY516=1,4.5,4),4)</f>
        <v>2.2222222222222223</v>
      </c>
      <c r="AK516" s="174">
        <f>SUM(AL516:AN516)</f>
        <v>7844.0259125085377</v>
      </c>
      <c r="AL516" s="174">
        <f>IF(AV516=1,$D$61*(VLOOKUP(C516,$B$36:$AG$39,25,FALSE)+VLOOKUP(C516,$B$40:$AG$43,25,FALSE)*$D$54),(IF(H516="근접",$D$61*(VLOOKUP(C516,$B$36:$AG$39,25,FALSE)+VLOOKUP(C516,$B$40:$AG$43,25,FALSE)*$D$54),$D$60*(VLOOKUP(C516,$B$36:$AG$39,25,FALSE)+VLOOKUP(C516,$B$40:$AG$43,25,FALSE)*$D$54))))*$D$59/100</f>
        <v>4682.1471515359763</v>
      </c>
      <c r="AM516" s="174">
        <f>(IF(AV516=1,$D$61*(VLOOKUP(C516,$B$36:$AG$39,26,FALSE)+VLOOKUP(C516,$B$40:$AG$43,26,FALSE)*$D$54),IF(H516="근접",$D$61*(VLOOKUP(C516,$B$36:$AG$39,26,FALSE)+VLOOKUP(C516,$B$40:$AG$43,26,FALSE)*$D$54),$D$60*(VLOOKUP(C516,$B$36:$AG$39,26,FALSE)+VLOOKUP(C516,$B$40:$AG$43,26,FALSE)*$D$54))))*$D$59/100</f>
        <v>3161.8787609725614</v>
      </c>
      <c r="AN516" s="174"/>
      <c r="AO516" s="176">
        <v>24</v>
      </c>
      <c r="AP516" s="174">
        <v>36</v>
      </c>
      <c r="AQ516" s="175">
        <f>VLOOKUP(C516,$B$45:$AA$48,25,FALSE)</f>
        <v>363</v>
      </c>
      <c r="AR516" s="31">
        <f>IF(LEFT(E516,1)*1=1,$S$68,$R$68)</f>
        <v>0</v>
      </c>
      <c r="AS516" s="2">
        <f>IF(LEFT(E516,1)*1=2,$U$68,$T$68)</f>
        <v>1</v>
      </c>
      <c r="AT516" s="33">
        <f>IF(LEFT(E516,1)*1=3,$W$68,$V$68)</f>
        <v>1.2</v>
      </c>
      <c r="AU516" s="31">
        <f>IF(MID(E516,3,1)*1=1,$Y$68,$X$68)</f>
        <v>0</v>
      </c>
      <c r="AV516" s="2">
        <f>IF(MID(E516,3,1)*1=2,$AA$68,$Z$68)</f>
        <v>1</v>
      </c>
      <c r="AW516" s="33" t="str">
        <f>IF(MID(E516,3,1)*1=3,$AC$68,$AB$68)</f>
        <v>보스대상</v>
      </c>
      <c r="AX516" s="31">
        <f>IF(MID(E516,5,1)*1=1,$AE$68,$AD$68)</f>
        <v>1</v>
      </c>
      <c r="AY516" s="33">
        <f>IF(MID(E516,5,1)*1=2,$AG$68,$AF$68)</f>
        <v>1</v>
      </c>
      <c r="AZ516" s="2"/>
      <c r="BA516" s="101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</row>
    <row r="517" spans="1:71" ht="12" customHeight="1">
      <c r="A517" s="2"/>
      <c r="B517" s="107">
        <v>470</v>
      </c>
      <c r="C517" s="31">
        <v>10</v>
      </c>
      <c r="D517" s="111" t="s">
        <v>11</v>
      </c>
      <c r="E517" s="2" t="s">
        <v>161</v>
      </c>
      <c r="F517" s="2"/>
      <c r="G517" s="2"/>
      <c r="H517" s="33">
        <f>IF(AX517=1,5,1)</f>
        <v>1</v>
      </c>
      <c r="I517" s="173">
        <f>M517/AE517</f>
        <v>604.9346715944306</v>
      </c>
      <c r="J517" s="174">
        <f>AH517/AE517</f>
        <v>25.621083892380163</v>
      </c>
      <c r="K517" s="207">
        <f>RANK(I517,$I$76:$I$977)</f>
        <v>442</v>
      </c>
      <c r="L517" s="208">
        <f>RANK(I517,$I$451:$I$866)</f>
        <v>67</v>
      </c>
      <c r="M517" s="173">
        <f>SUM(N517:R517)</f>
        <v>13977.602473344616</v>
      </c>
      <c r="N517" s="174">
        <f>T517*(1+(AG517/100)*(AI517/100-1))</f>
        <v>13105.640040343476</v>
      </c>
      <c r="O517" s="174">
        <f>U517*(1+(AG517/100)*(AI517/100-1))</f>
        <v>871.96243300113986</v>
      </c>
      <c r="P517" s="174"/>
      <c r="Q517" s="174"/>
      <c r="R517" s="175"/>
      <c r="S517" s="173">
        <f>T517</f>
        <v>9780.2335054536616</v>
      </c>
      <c r="T517" s="174">
        <f>H517*AL517*AX517</f>
        <v>9780.2335054536616</v>
      </c>
      <c r="U517" s="174">
        <f>AM517*AV517</f>
        <v>650.71192070609754</v>
      </c>
      <c r="V517" s="174"/>
      <c r="W517" s="174"/>
      <c r="X517" s="175"/>
      <c r="Y517" s="173">
        <f>SUM(Z517:AD517)</f>
        <v>20861.890852319517</v>
      </c>
      <c r="Z517" s="174">
        <f>T517*$D$58/100</f>
        <v>19560.467010907323</v>
      </c>
      <c r="AA517" s="174">
        <f>U517*$D$58/100</f>
        <v>1301.4238414121951</v>
      </c>
      <c r="AB517" s="174"/>
      <c r="AC517" s="174"/>
      <c r="AD517" s="175"/>
      <c r="AE517" s="173">
        <f>AO517*(1-$D$20/100)*(1-$D$17/100)-AR517</f>
        <v>23.105970164519999</v>
      </c>
      <c r="AF517" s="174">
        <f>AP517</f>
        <v>36</v>
      </c>
      <c r="AG517" s="174">
        <f>IF($D$57+AS517&gt;100,100,$D$57+AS517)</f>
        <v>34.001300000000001</v>
      </c>
      <c r="AH517" s="174">
        <f>AQ517</f>
        <v>592</v>
      </c>
      <c r="AI517" s="174">
        <f>$D$58</f>
        <v>200</v>
      </c>
      <c r="AJ517" s="174">
        <f>10/IF(AX517=1,7,6)</f>
        <v>1.6666666666666667</v>
      </c>
      <c r="AK517" s="174">
        <f>SUM(AL517:AN517)</f>
        <v>2280.7508382817077</v>
      </c>
      <c r="AL517" s="174">
        <f>(VLOOKUP(C517,$B$36:$AG$39,14,FALSE)+VLOOKUP(C517,$B$40:$AG$43,14,FALSE)*$D$54)*$D$59/100</f>
        <v>1630.0389175756102</v>
      </c>
      <c r="AM517" s="174">
        <f>(VLOOKUP(C517,$B$36:$AG$39,15,FALSE)+VLOOKUP(C517,$B$40:$AG$43,15,FALSE)*$D$54)*$D$59/100</f>
        <v>650.71192070609754</v>
      </c>
      <c r="AN517" s="174"/>
      <c r="AO517" s="176">
        <v>30</v>
      </c>
      <c r="AP517" s="174">
        <v>36</v>
      </c>
      <c r="AQ517" s="175">
        <f>VLOOKUP(C517,$B$45:$AA$48,14,FALSE)</f>
        <v>592</v>
      </c>
      <c r="AR517" s="31">
        <f>IF(LEFT(E517,1)*1=1,$S$61,$R$61)</f>
        <v>0</v>
      </c>
      <c r="AS517" s="2">
        <f>IF(LEFT(E517,1)*1=2,$U$61,$T$61)</f>
        <v>15</v>
      </c>
      <c r="AT517" s="33">
        <f>IF(LEFT(E517,1)*1=3,$W$61,$V$61)</f>
        <v>0</v>
      </c>
      <c r="AU517" s="31">
        <f>IF(MID(E517,3,1)*1=1,$Y$61,$X$61)</f>
        <v>0</v>
      </c>
      <c r="AV517" s="2">
        <f>IF(MID(E517,3,1)*1=2,$AA$61,$Z$61)</f>
        <v>1</v>
      </c>
      <c r="AW517" s="33">
        <f>IF(MID(E517,3,1)*1=3,$AC$61,$AB$61)</f>
        <v>0</v>
      </c>
      <c r="AX517" s="31">
        <f>IF(MID(E517,5,1)*1=1,$AE$61,$AD$61)</f>
        <v>6</v>
      </c>
      <c r="AY517" s="33">
        <f>IF(MID(E517,5,1)*1=2,$AG$61,$AF$61)</f>
        <v>0</v>
      </c>
      <c r="AZ517" s="2"/>
      <c r="BA517" s="101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</row>
    <row r="518" spans="1:71" ht="12" customHeight="1">
      <c r="A518" s="2"/>
      <c r="B518" s="107">
        <v>785</v>
      </c>
      <c r="C518" s="31">
        <v>7</v>
      </c>
      <c r="D518" s="111" t="s">
        <v>21</v>
      </c>
      <c r="E518" s="2" t="s">
        <v>79</v>
      </c>
      <c r="F518" s="2" t="s">
        <v>149</v>
      </c>
      <c r="G518" s="2"/>
      <c r="H518" s="33"/>
      <c r="I518" s="173">
        <f>M518/AE518</f>
        <v>603.55088730407329</v>
      </c>
      <c r="J518" s="174">
        <f>AH518/AE518</f>
        <v>16.518097441877977</v>
      </c>
      <c r="K518" s="207">
        <f>RANK(I518,$I$76:$I$977)</f>
        <v>443</v>
      </c>
      <c r="L518" s="208">
        <f>RANK(I518,$I$451:$I$866)</f>
        <v>68</v>
      </c>
      <c r="M518" s="173">
        <f>SUM(N518:R518)</f>
        <v>16734.754553780989</v>
      </c>
      <c r="N518" s="174">
        <f>T518*(1+((AG518+IF(F518="백어택",8,0))/100)*(AI518/100-1))</f>
        <v>14474.326656860449</v>
      </c>
      <c r="O518" s="174"/>
      <c r="P518" s="174"/>
      <c r="Q518" s="174"/>
      <c r="R518" s="175">
        <f>X518*(1+(AG518/100)*(AI518/100-1))</f>
        <v>2260.4278969205398</v>
      </c>
      <c r="S518" s="173">
        <f>SUM(T518:X518)</f>
        <v>13296.489432000977</v>
      </c>
      <c r="T518" s="174">
        <f>AL518*AW518*AX518*AY518*IF(F518="백어택",1.2,1)</f>
        <v>11396.990941715123</v>
      </c>
      <c r="U518" s="174"/>
      <c r="V518" s="174"/>
      <c r="W518" s="174"/>
      <c r="X518" s="175">
        <f>AL518*AS518+IF(AX518=1,AL518*AU518,AL518*AU518*2)</f>
        <v>1899.4984902858539</v>
      </c>
      <c r="Y518" s="173">
        <f>SUM(Z518:AD518)</f>
        <v>26592.978864001958</v>
      </c>
      <c r="Z518" s="174">
        <f>T518*$D$58/100</f>
        <v>22793.98188343025</v>
      </c>
      <c r="AA518" s="174"/>
      <c r="AB518" s="174"/>
      <c r="AC518" s="174"/>
      <c r="AD518" s="175">
        <f>X518*$D$58/100</f>
        <v>3798.9969805717078</v>
      </c>
      <c r="AE518" s="173">
        <f>AO518*(1-$D$20/100)*(1-$D$17/100)-AR518</f>
        <v>27.727164197424003</v>
      </c>
      <c r="AF518" s="174">
        <f>AP518</f>
        <v>36</v>
      </c>
      <c r="AG518" s="174">
        <f>IF($D$57&gt;100,100,$D$57)</f>
        <v>19.001300000000001</v>
      </c>
      <c r="AH518" s="174">
        <f>AQ518</f>
        <v>458</v>
      </c>
      <c r="AI518" s="174">
        <f>$D$58</f>
        <v>200</v>
      </c>
      <c r="AJ518" s="174">
        <f>10/6</f>
        <v>1.6666666666666667</v>
      </c>
      <c r="AK518" s="174">
        <f>SUM(AL518:AN518)</f>
        <v>9497.4924514292688</v>
      </c>
      <c r="AL518" s="174">
        <f>(VLOOKUP(C518,$B$36:$AG$39,31,FALSE)+VLOOKUP(C518,$B$40:$AG$43,31,FALSE)*$D$54)*$D$59/100</f>
        <v>9497.4924514292688</v>
      </c>
      <c r="AM518" s="174"/>
      <c r="AN518" s="174"/>
      <c r="AO518" s="176">
        <v>36</v>
      </c>
      <c r="AP518" s="174">
        <v>36</v>
      </c>
      <c r="AQ518" s="175">
        <f>VLOOKUP(C518,$B$45:$AG$48,31,FALSE)</f>
        <v>458</v>
      </c>
      <c r="AR518" s="31">
        <f>IF(LEFT(E518,1)*1=1,$S$71,$R$71)</f>
        <v>0</v>
      </c>
      <c r="AS518" s="2">
        <f>IF(LEFT(E518,1)*1=2,$U$71,$T$71)</f>
        <v>0.2</v>
      </c>
      <c r="AT518" s="33">
        <f>IF(LEFT(E518,1)*1=3,$W$71,$V$71)</f>
        <v>0</v>
      </c>
      <c r="AU518" s="31">
        <f>IF(MID(E518,3,1)*1=1,$Y$71,$X$71)</f>
        <v>0</v>
      </c>
      <c r="AV518" s="2">
        <f>IF(MID(E518,3,1)*1=2,$AA$71,$Z$71)</f>
        <v>0</v>
      </c>
      <c r="AW518" s="33">
        <f>IF(MID(E518,3,1)*1=3,$AC$71,$AB$71)</f>
        <v>1</v>
      </c>
      <c r="AX518" s="31">
        <f>IF(MID(E518,5,1)*1=1,$AE$71,$AD$71)</f>
        <v>1</v>
      </c>
      <c r="AY518" s="33">
        <f>IF(MID(E518,5,1)*1=2,$AG$71,$AF$71)</f>
        <v>1</v>
      </c>
      <c r="AZ518" s="2"/>
      <c r="BA518" s="101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</row>
    <row r="519" spans="1:71" ht="12" customHeight="1">
      <c r="A519" s="2"/>
      <c r="B519" s="107">
        <v>348</v>
      </c>
      <c r="C519" s="31">
        <v>10</v>
      </c>
      <c r="D519" s="106" t="s">
        <v>20</v>
      </c>
      <c r="E519" s="2" t="s">
        <v>150</v>
      </c>
      <c r="F519" s="2"/>
      <c r="G519" s="2"/>
      <c r="H519" s="33"/>
      <c r="I519" s="173">
        <f>M519/AE519</f>
        <v>603.11880308335606</v>
      </c>
      <c r="J519" s="174">
        <f>AH519/AE519</f>
        <v>29.484277859834549</v>
      </c>
      <c r="K519" s="207">
        <f>RANK(I519,$I$76:$I$977)</f>
        <v>444</v>
      </c>
      <c r="L519" s="208" t="e">
        <f>RANK(I519,$I$76:$I$450)</f>
        <v>#N/A</v>
      </c>
      <c r="M519" s="173">
        <f>SUM(N519:R519)</f>
        <v>9020.9227244493395</v>
      </c>
      <c r="N519" s="174">
        <f>T519*(1+((AG519+IF(F519="백어택",8,0))/100)*((AI519/100-1)))</f>
        <v>3219.2253949389001</v>
      </c>
      <c r="O519" s="174">
        <f>U519*(1+(($D$57+IF(F519="백어택",8,0))/100)*($D$58/100-1))</f>
        <v>5801.6973295104399</v>
      </c>
      <c r="P519" s="174"/>
      <c r="Q519" s="174"/>
      <c r="R519" s="175"/>
      <c r="S519" s="173">
        <f>SUM(T519:X519)</f>
        <v>7313.423381526829</v>
      </c>
      <c r="T519" s="174">
        <f>AL519*AV519*IF(F519="백어택",1.2,1)</f>
        <v>2438.1007342024391</v>
      </c>
      <c r="U519" s="174">
        <f>AM519*AX519*AY519*IF(F519="백어택",1.2,1)</f>
        <v>4875.3226473243903</v>
      </c>
      <c r="V519" s="174"/>
      <c r="W519" s="174"/>
      <c r="X519" s="175"/>
      <c r="Y519" s="173">
        <f>SUM(Z519:AD519)</f>
        <v>14626.846763053658</v>
      </c>
      <c r="Z519" s="174">
        <f>T519*$D$58/100</f>
        <v>4876.2014684048781</v>
      </c>
      <c r="AA519" s="174">
        <f>U519*$D$58/100</f>
        <v>9750.6452946487807</v>
      </c>
      <c r="AB519" s="174"/>
      <c r="AC519" s="174"/>
      <c r="AD519" s="175"/>
      <c r="AE519" s="173">
        <f>AO519*(1-$D$17/100)-AR519</f>
        <v>14.957124</v>
      </c>
      <c r="AF519" s="174">
        <f>AP519</f>
        <v>36</v>
      </c>
      <c r="AG519" s="174">
        <f>IF($D$57+AU519&gt;100,100,$D$57+AU519)</f>
        <v>19.001300000000001</v>
      </c>
      <c r="AH519" s="174">
        <f>AQ519*AS519</f>
        <v>441</v>
      </c>
      <c r="AI519" s="174">
        <f>$D$58+$D$19</f>
        <v>268.61079999999998</v>
      </c>
      <c r="AJ519" s="174">
        <f>10*IF(AV519=1,1,5/4.5)/IF(AX519=1,5,3.5)</f>
        <v>2.8571428571428572</v>
      </c>
      <c r="AK519" s="174">
        <f>SUM(AL519:AN519)</f>
        <v>4875.7620578646347</v>
      </c>
      <c r="AL519" s="174">
        <f>(VLOOKUP(C519,$B$36:$AG$39,29,FALSE)+VLOOKUP(C519,$B$40:$AG$43,29,FALSE)*$D$54)*$D$59/100</f>
        <v>2438.1007342024391</v>
      </c>
      <c r="AM519" s="174">
        <f>(VLOOKUP(C519,$B$36:$AG$39,30,FALSE)+VLOOKUP(C519,$B$40:$AG$43,30,FALSE)*$D$54)*$D$59/100</f>
        <v>2437.6613236621952</v>
      </c>
      <c r="AN519" s="174"/>
      <c r="AO519" s="176">
        <v>18</v>
      </c>
      <c r="AP519" s="174">
        <v>36</v>
      </c>
      <c r="AQ519" s="175">
        <f>VLOOKUP(C519,$B$45:$AG$48,29,FALSE)</f>
        <v>441</v>
      </c>
      <c r="AR519" s="31">
        <f>IF(LEFT(E519,1)*1=1,$S$70,$R$70)</f>
        <v>3</v>
      </c>
      <c r="AS519" s="2">
        <f>IF(LEFT(E519,1)*1=2,$U$70,$T$70)</f>
        <v>1</v>
      </c>
      <c r="AT519" s="33">
        <f>IF(LEFT(E519,1)*1=3,$W$70,$V$70)</f>
        <v>0</v>
      </c>
      <c r="AU519" s="31">
        <f>IF(MID(E519,3,1)*1=1,$Y$70,$X$70)</f>
        <v>0</v>
      </c>
      <c r="AV519" s="2">
        <f>IF(MID(E519,3,1)*1=2,$AA$70,$Z$70)</f>
        <v>1</v>
      </c>
      <c r="AW519" s="33">
        <f>IF(MID(E519,3,1)*1=3,$AC$70,$AB$70)</f>
        <v>0</v>
      </c>
      <c r="AX519" s="31">
        <f>IF(MID(E519,5,1)*1=1,$AE$70,$AD$70)</f>
        <v>2</v>
      </c>
      <c r="AY519" s="33">
        <f>IF(MID(E519,5,1)*1=2,$AG$70,$AF$70)</f>
        <v>1</v>
      </c>
      <c r="AZ519" s="2"/>
      <c r="BA519" s="101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1" ht="12" customHeight="1">
      <c r="A520" s="2"/>
      <c r="B520" s="107">
        <v>357</v>
      </c>
      <c r="C520" s="31">
        <v>10</v>
      </c>
      <c r="D520" s="106" t="s">
        <v>20</v>
      </c>
      <c r="E520" s="2" t="s">
        <v>151</v>
      </c>
      <c r="F520" s="2"/>
      <c r="G520" s="2"/>
      <c r="H520" s="33"/>
      <c r="I520" s="173">
        <f>M520/AE520</f>
        <v>603.11880308335606</v>
      </c>
      <c r="J520" s="174">
        <f>AH520/AE520</f>
        <v>29.484277859834549</v>
      </c>
      <c r="K520" s="207">
        <f>RANK(I520,$I$76:$I$977)</f>
        <v>444</v>
      </c>
      <c r="L520" s="208" t="e">
        <f>RANK(I520,$I$76:$I$450)</f>
        <v>#N/A</v>
      </c>
      <c r="M520" s="173">
        <f>SUM(N520:R520)</f>
        <v>9020.9227244493395</v>
      </c>
      <c r="N520" s="174">
        <f>T520*(1+((AG520+IF(F520="백어택",8,0))/100)*((AI520/100-1)))</f>
        <v>3219.2253949389001</v>
      </c>
      <c r="O520" s="174">
        <f>U520*(1+(($D$57+IF(F520="백어택",8,0))/100)*($D$58/100-1))</f>
        <v>5801.6973295104399</v>
      </c>
      <c r="P520" s="174"/>
      <c r="Q520" s="174"/>
      <c r="R520" s="175"/>
      <c r="S520" s="173">
        <f>SUM(T520:X520)</f>
        <v>7313.423381526829</v>
      </c>
      <c r="T520" s="174">
        <f>AL520*AV520*IF(F520="백어택",1.2,1)</f>
        <v>2438.1007342024391</v>
      </c>
      <c r="U520" s="174">
        <f>AM520*AX520*AY520*IF(F520="백어택",1.2,1)</f>
        <v>4875.3226473243903</v>
      </c>
      <c r="V520" s="174"/>
      <c r="W520" s="174"/>
      <c r="X520" s="175"/>
      <c r="Y520" s="173">
        <f>SUM(Z520:AD520)</f>
        <v>14626.846763053658</v>
      </c>
      <c r="Z520" s="174">
        <f>T520*$D$58/100</f>
        <v>4876.2014684048781</v>
      </c>
      <c r="AA520" s="174">
        <f>U520*$D$58/100</f>
        <v>9750.6452946487807</v>
      </c>
      <c r="AB520" s="174"/>
      <c r="AC520" s="174"/>
      <c r="AD520" s="175"/>
      <c r="AE520" s="173">
        <f>AO520*(1-$D$17/100)-AR520</f>
        <v>14.957124</v>
      </c>
      <c r="AF520" s="174">
        <f>AP520</f>
        <v>36</v>
      </c>
      <c r="AG520" s="174">
        <f>IF($D$57+AU520&gt;100,100,$D$57+AU520)</f>
        <v>19.001300000000001</v>
      </c>
      <c r="AH520" s="174">
        <f>AQ520*AS520</f>
        <v>441</v>
      </c>
      <c r="AI520" s="174">
        <f>$D$58+$D$19</f>
        <v>268.61079999999998</v>
      </c>
      <c r="AJ520" s="174">
        <f>10*IF(AV520=1,1,5/4.5)/IF(AX520=1,5,3.5)</f>
        <v>2</v>
      </c>
      <c r="AK520" s="174">
        <f>SUM(AL520:AN520)</f>
        <v>4875.7620578646347</v>
      </c>
      <c r="AL520" s="174">
        <f>(VLOOKUP(C520,$B$36:$AG$39,29,FALSE)+VLOOKUP(C520,$B$40:$AG$43,29,FALSE)*$D$54)*$D$59/100</f>
        <v>2438.1007342024391</v>
      </c>
      <c r="AM520" s="174">
        <f>(VLOOKUP(C520,$B$36:$AG$39,30,FALSE)+VLOOKUP(C520,$B$40:$AG$43,30,FALSE)*$D$54)*$D$59/100</f>
        <v>2437.6613236621952</v>
      </c>
      <c r="AN520" s="174"/>
      <c r="AO520" s="176">
        <v>18</v>
      </c>
      <c r="AP520" s="174">
        <v>36</v>
      </c>
      <c r="AQ520" s="175">
        <f>VLOOKUP(C520,$B$45:$AG$48,29,FALSE)</f>
        <v>441</v>
      </c>
      <c r="AR520" s="31">
        <f>IF(LEFT(E520,1)*1=1,$S$70,$R$70)</f>
        <v>3</v>
      </c>
      <c r="AS520" s="2">
        <f>IF(LEFT(E520,1)*1=2,$U$70,$T$70)</f>
        <v>1</v>
      </c>
      <c r="AT520" s="33">
        <f>IF(LEFT(E520,1)*1=3,$W$70,$V$70)</f>
        <v>0</v>
      </c>
      <c r="AU520" s="31">
        <f>IF(MID(E520,3,1)*1=1,$Y$70,$X$70)</f>
        <v>0</v>
      </c>
      <c r="AV520" s="2">
        <f>IF(MID(E520,3,1)*1=2,$AA$70,$Z$70)</f>
        <v>1</v>
      </c>
      <c r="AW520" s="33">
        <f>IF(MID(E520,3,1)*1=3,$AC$70,$AB$70)</f>
        <v>0</v>
      </c>
      <c r="AX520" s="31">
        <f>IF(MID(E520,5,1)*1=1,$AE$70,$AD$70)</f>
        <v>1</v>
      </c>
      <c r="AY520" s="33">
        <f>IF(MID(E520,5,1)*1=2,$AG$70,$AF$70)</f>
        <v>2</v>
      </c>
      <c r="AZ520" s="2"/>
      <c r="BA520" s="101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1" ht="12" customHeight="1">
      <c r="A521" s="2"/>
      <c r="B521" s="107">
        <v>21</v>
      </c>
      <c r="C521" s="31">
        <v>7</v>
      </c>
      <c r="D521" s="106" t="s">
        <v>2</v>
      </c>
      <c r="E521" s="2" t="s">
        <v>91</v>
      </c>
      <c r="F521" s="2"/>
      <c r="G521" s="2" t="s">
        <v>133</v>
      </c>
      <c r="H521" s="33"/>
      <c r="I521" s="173">
        <f>M521/AE521</f>
        <v>602.99473296910446</v>
      </c>
      <c r="J521" s="174">
        <f>AH521/AE521</f>
        <v>24.18260296025132</v>
      </c>
      <c r="K521" s="207">
        <f>RANK(I521,$I$76:$I$977)</f>
        <v>446</v>
      </c>
      <c r="L521" s="208" t="e">
        <f>RANK(I521,$I$76:$I$450)</f>
        <v>#N/A</v>
      </c>
      <c r="M521" s="173">
        <f>SUM(N521:R521)</f>
        <v>4812.4671961213762</v>
      </c>
      <c r="N521" s="174">
        <f>T521*(1+((AG521+IF(F521="백어택",8,0))/100)*((AI521/100-1)))</f>
        <v>4812.4671961213762</v>
      </c>
      <c r="O521" s="174"/>
      <c r="P521" s="174"/>
      <c r="Q521" s="174"/>
      <c r="R521" s="175"/>
      <c r="S521" s="173">
        <f>SUM(T521:X521)</f>
        <v>3644.7524993543907</v>
      </c>
      <c r="T521" s="174">
        <f>AL521*AV521*AW521*AY521</f>
        <v>3644.7524993543907</v>
      </c>
      <c r="U521" s="174"/>
      <c r="V521" s="174"/>
      <c r="W521" s="174"/>
      <c r="X521" s="175"/>
      <c r="Y521" s="173">
        <f>SUM(Z521:AD521)</f>
        <v>7289.5049987087814</v>
      </c>
      <c r="Z521" s="174">
        <f>T521*$D$58/100</f>
        <v>7289.5049987087814</v>
      </c>
      <c r="AA521" s="174"/>
      <c r="AB521" s="174"/>
      <c r="AC521" s="174"/>
      <c r="AD521" s="175"/>
      <c r="AE521" s="173">
        <f>AO521*(1-$D$17/100)-AS521</f>
        <v>7.980944</v>
      </c>
      <c r="AF521" s="174"/>
      <c r="AG521" s="174">
        <f>IF($D$57+AT521&gt;100,100,$D$57+AT521)</f>
        <v>19.001300000000001</v>
      </c>
      <c r="AH521" s="174">
        <f>AQ521</f>
        <v>193</v>
      </c>
      <c r="AI521" s="174">
        <f>$D$58+$D$19</f>
        <v>268.61079999999998</v>
      </c>
      <c r="AJ521" s="174">
        <f>10*AY521/12</f>
        <v>0.83333333333333337</v>
      </c>
      <c r="AK521" s="174">
        <f>SUM(AL521:AN521)</f>
        <v>2803.6557687341465</v>
      </c>
      <c r="AL521" s="174">
        <f>(VLOOKUP(C521,$B$36:$AA$39,2,FALSE)+VLOOKUP(C521,$B$40:$AA$43,2,FALSE)*$D$54)*$D$59/100</f>
        <v>2803.6557687341465</v>
      </c>
      <c r="AM521" s="174"/>
      <c r="AN521" s="174"/>
      <c r="AO521" s="176">
        <v>8</v>
      </c>
      <c r="AP521" s="174">
        <v>15</v>
      </c>
      <c r="AQ521" s="175">
        <f>VLOOKUP(C521,$B$45:$AA$48,2,FALSE)</f>
        <v>193</v>
      </c>
      <c r="AR521" s="31">
        <f>IF(LEFT(E521,1)*1=1,$S$52,$R$52)</f>
        <v>0</v>
      </c>
      <c r="AS521" s="2">
        <f>IF(LEFT(E521,1)*1=2,$U$52,$T$52)</f>
        <v>0</v>
      </c>
      <c r="AT521" s="33">
        <f>IF(LEFT(E521,1)*1=3,$W$52,$V$52)</f>
        <v>0</v>
      </c>
      <c r="AU521" s="31">
        <f>IF(MID(E521,3,1)*1=1,$Y$52,$X$52)</f>
        <v>0</v>
      </c>
      <c r="AV521" s="2">
        <f>IF(MID(E521,3,1)*1=2,$AA$52,$Z$52)</f>
        <v>1</v>
      </c>
      <c r="AW521" s="33">
        <f>IF(MID(E521,3,1)*1=3,$AC$52,$AB$52)</f>
        <v>1.3</v>
      </c>
      <c r="AX521" s="31">
        <f>IF(MID(E521,5,1)*1=1,$AE$52,$AD$52)</f>
        <v>0</v>
      </c>
      <c r="AY521" s="33">
        <f>IF(MID(E521,5,1)*1=2,$AG$52,$AF$52)</f>
        <v>1</v>
      </c>
      <c r="AZ521" s="2"/>
      <c r="BA521" s="101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1" ht="12" customHeight="1">
      <c r="A522" s="2"/>
      <c r="B522" s="107">
        <v>501</v>
      </c>
      <c r="C522" s="31">
        <v>7</v>
      </c>
      <c r="D522" s="111" t="s">
        <v>14</v>
      </c>
      <c r="E522" s="2" t="s">
        <v>136</v>
      </c>
      <c r="F522" s="2"/>
      <c r="G522" s="2"/>
      <c r="H522" s="33" t="s">
        <v>81</v>
      </c>
      <c r="I522" s="173">
        <f>M522/AE522</f>
        <v>602.39171613208532</v>
      </c>
      <c r="J522" s="174">
        <f>AH522/AE522</f>
        <v>16.518097441877977</v>
      </c>
      <c r="K522" s="207">
        <f>RANK(I522,$I$76:$I$977)</f>
        <v>447</v>
      </c>
      <c r="L522" s="208">
        <f>RANK(I522,$I$451:$I$866)</f>
        <v>72</v>
      </c>
      <c r="M522" s="173">
        <f>SUM(N522:R522)</f>
        <v>16702.614024362359</v>
      </c>
      <c r="N522" s="174">
        <f>T522*(1+((AG522+IF(F522="백어택",8,0))/100)*(AI522/100-1))</f>
        <v>4985.0103633219414</v>
      </c>
      <c r="O522" s="174">
        <f>U522*(1+((AG522+IF(F522="백어택",8,0))/100)*(AI522/100-1))</f>
        <v>4985.0103633219414</v>
      </c>
      <c r="P522" s="174">
        <f>V522*(1+((AG522+IF(F522="백어택",8,0))/100)*(AI522*IF(AX522=1,AW522,1)/100-1))</f>
        <v>6732.5932977184784</v>
      </c>
      <c r="Q522" s="174">
        <f>W522*(1+((AG522+IF(F522="백어택",8,0))/100)*(AI522*AW522/100-1))</f>
        <v>0</v>
      </c>
      <c r="R522" s="175"/>
      <c r="S522" s="173">
        <f>SUM(T522:X522)</f>
        <v>11598.932804330489</v>
      </c>
      <c r="T522" s="174">
        <f>AL522*AY522*IF(F522="백어택",1.2,1)</f>
        <v>3461.7815001128056</v>
      </c>
      <c r="U522" s="174">
        <f>AM522*AY522*IF(F522="백어택",1.2,1)</f>
        <v>3461.7815001128056</v>
      </c>
      <c r="V522" s="174">
        <f>AN522*AY522*IF(F522="백어택",1.2,1)</f>
        <v>4675.3698041048783</v>
      </c>
      <c r="W522" s="174">
        <f>(T522+U522+V522)*IF(AX522=1,0,0.6)*IF(F522="백어택",1.2,1)</f>
        <v>0</v>
      </c>
      <c r="X522" s="175"/>
      <c r="Y522" s="173">
        <f>SUM(Z522:AD522)</f>
        <v>23197.865608660977</v>
      </c>
      <c r="Z522" s="174">
        <f>T522*AI522/100</f>
        <v>6923.5630002256112</v>
      </c>
      <c r="AA522" s="174">
        <f>U522*AI522/100</f>
        <v>6923.5630002256112</v>
      </c>
      <c r="AB522" s="174">
        <f>V522*AI522*IF(AX522=1,AW522,1)/100</f>
        <v>9350.7396082097566</v>
      </c>
      <c r="AC522" s="174">
        <f>W522*AI522*AW522/100</f>
        <v>0</v>
      </c>
      <c r="AD522" s="175"/>
      <c r="AE522" s="173">
        <f>AO522*(1-$D$20/100)*(1-$D$17/100)</f>
        <v>27.727164197424003</v>
      </c>
      <c r="AF522" s="174">
        <f>AP522</f>
        <v>36</v>
      </c>
      <c r="AG522" s="174">
        <f>IF($D$57+AU522&gt;100,100,$D$57+AU522)</f>
        <v>44.001300000000001</v>
      </c>
      <c r="AH522" s="174">
        <f>AQ522*AS522</f>
        <v>458</v>
      </c>
      <c r="AI522" s="174">
        <f>$D$58+IF(H522="근접",AR522,0)+IF(AY522=1,0,50)</f>
        <v>200</v>
      </c>
      <c r="AJ522" s="174">
        <f>10/3</f>
        <v>3.3333333333333335</v>
      </c>
      <c r="AK522" s="174">
        <f>SUM(AL522:AN522)</f>
        <v>11598.932804330489</v>
      </c>
      <c r="AL522" s="174">
        <f>(IF(H522="근접",$D$61*(VLOOKUP(C522,$B$36:$AG$39,19,FALSE)+VLOOKUP(C522,$B$40:$AG$43,19,FALSE)*$D$54),$D$60*(VLOOKUP(C522,$B$36:$AG$39,19,FALSE)+VLOOKUP(C522,$B$40:$AG$43,19,FALSE)*$D$54)))*$D$59/100</f>
        <v>3461.7815001128056</v>
      </c>
      <c r="AM522" s="174">
        <f>(IF(H522="근접",$D$61*(VLOOKUP(C522,$B$36:$AG$39,20,FALSE)+VLOOKUP(C522,$B$40:$AG$43,20,FALSE)*$D$54),$D$60*(VLOOKUP(C522,$B$36:$AG$39,20,FALSE)+VLOOKUP(C522,$B$40:$AG$43,20,FALSE)*$D$54)))*$D$59/100</f>
        <v>3461.7815001128056</v>
      </c>
      <c r="AN522" s="174">
        <f>(IF(H522="근접",$D$61*(VLOOKUP(C522,$B$36:$AG$39,21,FALSE)+VLOOKUP(C522,$B$40:$AG$43,21,FALSE)*$D$54),$D$60*(VLOOKUP(C522,$B$36:$AG$39,21,FALSE)+VLOOKUP(C522,$B$40:$AG$43,21,FALSE)*$D$54)))*$D$59/100</f>
        <v>4675.3698041048783</v>
      </c>
      <c r="AO522" s="176">
        <v>36</v>
      </c>
      <c r="AP522" s="174">
        <v>36</v>
      </c>
      <c r="AQ522" s="175">
        <f>VLOOKUP(C522,$B$45:$AA$48,19,FALSE)</f>
        <v>458</v>
      </c>
      <c r="AR522" s="31">
        <f>IF(LEFT(E522,1)*1=1,$S$64,$R$64)</f>
        <v>0</v>
      </c>
      <c r="AS522" s="2">
        <f>IF(LEFT(E522,1)*1=2,$U$64,$T$64)</f>
        <v>1</v>
      </c>
      <c r="AT522" s="33">
        <f>IF(LEFT(E522,1)*1=3,$W$64,$V$64)</f>
        <v>0</v>
      </c>
      <c r="AU522" s="31">
        <f>IF(MID(E522,3,1)*1=1,$Y$64,$X$64)</f>
        <v>25</v>
      </c>
      <c r="AV522" s="2">
        <f>IF(MID(E522,3,1)*1=2,$AA$64,$Z$64)</f>
        <v>0</v>
      </c>
      <c r="AW522" s="33">
        <f>IF(MID(E522,3,1)*1=3,$AC$64,$AB$64)</f>
        <v>1</v>
      </c>
      <c r="AX522" s="31">
        <f>IF(MID(E522,5,1)*1=1,$AE$64,$AD$64)</f>
        <v>1</v>
      </c>
      <c r="AY522" s="33">
        <f>IF(MID(E522,5,1)*1=2,$AG$64,$AF$64)</f>
        <v>1</v>
      </c>
      <c r="AZ522" s="2"/>
      <c r="BA522" s="101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1" ht="12" customHeight="1">
      <c r="A523" s="2"/>
      <c r="B523" s="107">
        <v>507</v>
      </c>
      <c r="C523" s="31">
        <v>7</v>
      </c>
      <c r="D523" s="111" t="s">
        <v>14</v>
      </c>
      <c r="E523" s="2" t="s">
        <v>168</v>
      </c>
      <c r="F523" s="2"/>
      <c r="G523" s="2"/>
      <c r="H523" s="33" t="s">
        <v>81</v>
      </c>
      <c r="I523" s="173">
        <f>M523/AE523</f>
        <v>602.39171613208532</v>
      </c>
      <c r="J523" s="174">
        <f>AH523/AE523</f>
        <v>8.2590487209389885</v>
      </c>
      <c r="K523" s="207">
        <f>RANK(I523,$I$76:$I$977)</f>
        <v>447</v>
      </c>
      <c r="L523" s="208">
        <f>RANK(I523,$I$451:$I$866)</f>
        <v>72</v>
      </c>
      <c r="M523" s="173">
        <f>SUM(N523:R523)</f>
        <v>16702.614024362359</v>
      </c>
      <c r="N523" s="174">
        <f>T523*(1+((AG523+IF(F523="백어택",8,0))/100)*(AI523/100-1))</f>
        <v>4985.0103633219414</v>
      </c>
      <c r="O523" s="174">
        <f>U523*(1+((AG523+IF(F523="백어택",8,0))/100)*(AI523/100-1))</f>
        <v>4985.0103633219414</v>
      </c>
      <c r="P523" s="174">
        <f>V523*(1+((AG523+IF(F523="백어택",8,0))/100)*(AI523*IF(AX523=1,AW523,1)/100-1))</f>
        <v>6732.5932977184784</v>
      </c>
      <c r="Q523" s="174">
        <f>W523*(1+((AG523+IF(F523="백어택",8,0))/100)*(AI523*AW523/100-1))</f>
        <v>0</v>
      </c>
      <c r="R523" s="175"/>
      <c r="S523" s="173">
        <f>SUM(T523:X523)</f>
        <v>11598.932804330489</v>
      </c>
      <c r="T523" s="174">
        <f>AL523*AY523*IF(F523="백어택",1.2,1)</f>
        <v>3461.7815001128056</v>
      </c>
      <c r="U523" s="174">
        <f>AM523*AY523*IF(F523="백어택",1.2,1)</f>
        <v>3461.7815001128056</v>
      </c>
      <c r="V523" s="174">
        <f>AN523*AY523*IF(F523="백어택",1.2,1)</f>
        <v>4675.3698041048783</v>
      </c>
      <c r="W523" s="174">
        <f>(T523+U523+V523)*IF(AX523=1,0,0.6)*IF(F523="백어택",1.2,1)</f>
        <v>0</v>
      </c>
      <c r="X523" s="175"/>
      <c r="Y523" s="173">
        <f>SUM(Z523:AD523)</f>
        <v>23197.865608660977</v>
      </c>
      <c r="Z523" s="174">
        <f>T523*AI523/100</f>
        <v>6923.5630002256112</v>
      </c>
      <c r="AA523" s="174">
        <f>U523*AI523/100</f>
        <v>6923.5630002256112</v>
      </c>
      <c r="AB523" s="174">
        <f>V523*AI523*IF(AX523=1,AW523,1)/100</f>
        <v>9350.7396082097566</v>
      </c>
      <c r="AC523" s="174">
        <f>W523*AI523*AW523/100</f>
        <v>0</v>
      </c>
      <c r="AD523" s="175"/>
      <c r="AE523" s="173">
        <f>AO523*(1-$D$20/100)*(1-$D$17/100)</f>
        <v>27.727164197424003</v>
      </c>
      <c r="AF523" s="174">
        <f>AP523</f>
        <v>36</v>
      </c>
      <c r="AG523" s="174">
        <f>IF($D$57+AU523&gt;100,100,$D$57+AU523)</f>
        <v>44.001300000000001</v>
      </c>
      <c r="AH523" s="174">
        <f>AQ523*AS523</f>
        <v>229</v>
      </c>
      <c r="AI523" s="174">
        <f>$D$58+IF(H523="근접",AR523,0)+IF(AY523=1,0,50)</f>
        <v>200</v>
      </c>
      <c r="AJ523" s="174">
        <f>10/3</f>
        <v>3.3333333333333335</v>
      </c>
      <c r="AK523" s="174">
        <f>SUM(AL523:AN523)</f>
        <v>11598.932804330489</v>
      </c>
      <c r="AL523" s="174">
        <f>(IF(H523="근접",$D$61*(VLOOKUP(C523,$B$36:$AG$39,19,FALSE)+VLOOKUP(C523,$B$40:$AG$43,19,FALSE)*$D$54),$D$60*(VLOOKUP(C523,$B$36:$AG$39,19,FALSE)+VLOOKUP(C523,$B$40:$AG$43,19,FALSE)*$D$54)))*$D$59/100</f>
        <v>3461.7815001128056</v>
      </c>
      <c r="AM523" s="174">
        <f>(IF(H523="근접",$D$61*(VLOOKUP(C523,$B$36:$AG$39,20,FALSE)+VLOOKUP(C523,$B$40:$AG$43,20,FALSE)*$D$54),$D$60*(VLOOKUP(C523,$B$36:$AG$39,20,FALSE)+VLOOKUP(C523,$B$40:$AG$43,20,FALSE)*$D$54)))*$D$59/100</f>
        <v>3461.7815001128056</v>
      </c>
      <c r="AN523" s="174">
        <f>(IF(H523="근접",$D$61*(VLOOKUP(C523,$B$36:$AG$39,21,FALSE)+VLOOKUP(C523,$B$40:$AG$43,21,FALSE)*$D$54),$D$60*(VLOOKUP(C523,$B$36:$AG$39,21,FALSE)+VLOOKUP(C523,$B$40:$AG$43,21,FALSE)*$D$54)))*$D$59/100</f>
        <v>4675.3698041048783</v>
      </c>
      <c r="AO523" s="176">
        <v>36</v>
      </c>
      <c r="AP523" s="174">
        <v>36</v>
      </c>
      <c r="AQ523" s="175">
        <f>VLOOKUP(C523,$B$45:$AA$48,19,FALSE)</f>
        <v>458</v>
      </c>
      <c r="AR523" s="31">
        <f>IF(LEFT(E523,1)*1=1,$S$64,$R$64)</f>
        <v>0</v>
      </c>
      <c r="AS523" s="2">
        <f>IF(LEFT(E523,1)*1=2,$U$64,$T$64)</f>
        <v>0.5</v>
      </c>
      <c r="AT523" s="33">
        <f>IF(LEFT(E523,1)*1=3,$W$64,$V$64)</f>
        <v>0</v>
      </c>
      <c r="AU523" s="31">
        <f>IF(MID(E523,3,1)*1=1,$Y$64,$X$64)</f>
        <v>25</v>
      </c>
      <c r="AV523" s="2">
        <f>IF(MID(E523,3,1)*1=2,$AA$64,$Z$64)</f>
        <v>0</v>
      </c>
      <c r="AW523" s="33">
        <f>IF(MID(E523,3,1)*1=3,$AC$64,$AB$64)</f>
        <v>1</v>
      </c>
      <c r="AX523" s="31">
        <f>IF(MID(E523,5,1)*1=1,$AE$64,$AD$64)</f>
        <v>1</v>
      </c>
      <c r="AY523" s="33">
        <f>IF(MID(E523,5,1)*1=2,$AG$64,$AF$64)</f>
        <v>1</v>
      </c>
      <c r="AZ523" s="2"/>
      <c r="BA523" s="101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1" ht="12" customHeight="1">
      <c r="A524" s="2"/>
      <c r="B524" s="107">
        <v>94</v>
      </c>
      <c r="C524" s="31">
        <v>10</v>
      </c>
      <c r="D524" s="106" t="s">
        <v>6</v>
      </c>
      <c r="E524" s="2" t="s">
        <v>144</v>
      </c>
      <c r="F524" s="2"/>
      <c r="G524" s="2"/>
      <c r="H524" s="33"/>
      <c r="I524" s="173">
        <f>M524/AE524</f>
        <v>600.91312483228489</v>
      </c>
      <c r="J524" s="174">
        <f>AH524/AE524</f>
        <v>23.505991271208018</v>
      </c>
      <c r="K524" s="207">
        <f>RANK(I524,$I$76:$I$977)</f>
        <v>449</v>
      </c>
      <c r="L524" s="208" t="e">
        <f>RANK(I524,$I$76:$I$450)</f>
        <v>#N/A</v>
      </c>
      <c r="M524" s="173">
        <f>SUM(N524:R524)</f>
        <v>11989.634995378687</v>
      </c>
      <c r="N524" s="174">
        <f>T524*(1+((AG524+IF(F524="백어택",8,0))/100)*((AI524/100-1)))</f>
        <v>11989.634995378687</v>
      </c>
      <c r="O524" s="174"/>
      <c r="P524" s="174"/>
      <c r="Q524" s="174"/>
      <c r="R524" s="175"/>
      <c r="S524" s="173">
        <f>SUM(T524:X524)</f>
        <v>9080.4259717287823</v>
      </c>
      <c r="T524" s="174">
        <f>AL524*AW524*AT524*AX524*AY524</f>
        <v>9080.4259717287823</v>
      </c>
      <c r="U524" s="174"/>
      <c r="V524" s="174"/>
      <c r="W524" s="174"/>
      <c r="X524" s="175"/>
      <c r="Y524" s="173">
        <f>SUM(Z524:AD524)</f>
        <v>18160.851943457565</v>
      </c>
      <c r="Z524" s="174">
        <f>T524*$D$58/100</f>
        <v>18160.851943457565</v>
      </c>
      <c r="AA524" s="174"/>
      <c r="AB524" s="174"/>
      <c r="AC524" s="174"/>
      <c r="AD524" s="175"/>
      <c r="AE524" s="173">
        <f>AO524*(1-$D$17/100)</f>
        <v>19.952359999999999</v>
      </c>
      <c r="AF524" s="174">
        <f>AP524</f>
        <v>36</v>
      </c>
      <c r="AG524" s="174">
        <f>IF($D$57+AV524&gt;100,100,$D$57+AV524)</f>
        <v>19.001300000000001</v>
      </c>
      <c r="AH524" s="174">
        <f>AQ524*AR524</f>
        <v>469</v>
      </c>
      <c r="AI524" s="174">
        <f>$D$58+$D$19</f>
        <v>268.61079999999998</v>
      </c>
      <c r="AJ524" s="174">
        <f>10/IF(AX524=1,IF(AY524=1,5,6),4)</f>
        <v>2.5</v>
      </c>
      <c r="AK524" s="174">
        <f>SUM(AL524:AN524)</f>
        <v>5675.2662323304885</v>
      </c>
      <c r="AL524" s="174">
        <f>(VLOOKUP(C524,$B$36:$AG$39,7,FALSE)+VLOOKUP(C524,$B$40:$AG$43,7,FALSE)*$D$54)*$D$59/100</f>
        <v>5675.2662323304885</v>
      </c>
      <c r="AM524" s="174"/>
      <c r="AN524" s="174"/>
      <c r="AO524" s="176">
        <v>20</v>
      </c>
      <c r="AP524" s="174">
        <v>36</v>
      </c>
      <c r="AQ524" s="175">
        <f>VLOOKUP(C524,$B$45:$AA$48,7,FALSE)</f>
        <v>469</v>
      </c>
      <c r="AR524" s="31">
        <f>IF(LEFT(E524,1)*1=1,$S$56,$R$56)</f>
        <v>1</v>
      </c>
      <c r="AS524" s="2">
        <f>IF(LEFT(E524,1)*1=2,$U$56,$T$56)</f>
        <v>0</v>
      </c>
      <c r="AT524" s="33">
        <f>IF(LEFT(E524,1)*1=3,$W$56,$V$56)</f>
        <v>1</v>
      </c>
      <c r="AU524" s="31">
        <f>IF(MID(E524,3,1)*1=1,$Y$56,$X$56)</f>
        <v>0</v>
      </c>
      <c r="AV524" s="2">
        <f>IF(MID(E524,3,1)*1=2,$AA$56,$Z$56)</f>
        <v>0</v>
      </c>
      <c r="AW524" s="33">
        <f>IF(MID(E524,3,1)*1=3,$AC$56,$AB$56)</f>
        <v>1</v>
      </c>
      <c r="AX524" s="31">
        <f>IF(MID(E524,5,1)*1=1,$AE$56,$AD$56)</f>
        <v>1.6</v>
      </c>
      <c r="AY524" s="33">
        <f>IF(MID(E524,5,1)*1=2,$AG$56,$AF$56)</f>
        <v>1</v>
      </c>
      <c r="AZ524" s="2"/>
      <c r="BA524" s="101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1" ht="12" customHeight="1">
      <c r="A525" s="2"/>
      <c r="B525" s="107">
        <v>97</v>
      </c>
      <c r="C525" s="31">
        <v>10</v>
      </c>
      <c r="D525" s="106" t="s">
        <v>6</v>
      </c>
      <c r="E525" s="2" t="s">
        <v>150</v>
      </c>
      <c r="F525" s="2"/>
      <c r="G525" s="2"/>
      <c r="H525" s="33"/>
      <c r="I525" s="173">
        <f>M525/AE525</f>
        <v>600.91312483228489</v>
      </c>
      <c r="J525" s="174">
        <f>AH525/AE525</f>
        <v>11.752995635604009</v>
      </c>
      <c r="K525" s="207">
        <f>RANK(I525,$I$76:$I$977)</f>
        <v>449</v>
      </c>
      <c r="L525" s="208" t="e">
        <f>RANK(I525,$I$76:$I$450)</f>
        <v>#N/A</v>
      </c>
      <c r="M525" s="173">
        <f>SUM(N525:R525)</f>
        <v>11989.634995378687</v>
      </c>
      <c r="N525" s="174">
        <f>T525*(1+((AG525+IF(F525="백어택",8,0))/100)*((AI525/100-1)))</f>
        <v>11989.634995378687</v>
      </c>
      <c r="O525" s="174"/>
      <c r="P525" s="174"/>
      <c r="Q525" s="174"/>
      <c r="R525" s="175"/>
      <c r="S525" s="173">
        <f>SUM(T525:X525)</f>
        <v>9080.4259717287823</v>
      </c>
      <c r="T525" s="174">
        <f>AL525*AW525*AT525*AX525*AY525</f>
        <v>9080.4259717287823</v>
      </c>
      <c r="U525" s="174"/>
      <c r="V525" s="174"/>
      <c r="W525" s="174"/>
      <c r="X525" s="175"/>
      <c r="Y525" s="173">
        <f>SUM(Z525:AD525)</f>
        <v>18160.851943457565</v>
      </c>
      <c r="Z525" s="174">
        <f>T525*$D$58/100</f>
        <v>18160.851943457565</v>
      </c>
      <c r="AA525" s="174"/>
      <c r="AB525" s="174"/>
      <c r="AC525" s="174"/>
      <c r="AD525" s="175"/>
      <c r="AE525" s="173">
        <f>AO525*(1-$D$17/100)</f>
        <v>19.952359999999999</v>
      </c>
      <c r="AF525" s="174">
        <f>AP525</f>
        <v>36</v>
      </c>
      <c r="AG525" s="174">
        <f>IF($D$57+AV525&gt;100,100,$D$57+AV525)</f>
        <v>19.001300000000001</v>
      </c>
      <c r="AH525" s="174">
        <f>AQ525*AR525</f>
        <v>234.5</v>
      </c>
      <c r="AI525" s="174">
        <f>$D$58+$D$19</f>
        <v>268.61079999999998</v>
      </c>
      <c r="AJ525" s="174">
        <f>10/IF(AX525=1,IF(AY525=1,5,6),4)</f>
        <v>2.5</v>
      </c>
      <c r="AK525" s="174">
        <f>SUM(AL525:AN525)</f>
        <v>5675.2662323304885</v>
      </c>
      <c r="AL525" s="174">
        <f>(VLOOKUP(C525,$B$36:$AG$39,7,FALSE)+VLOOKUP(C525,$B$40:$AG$43,7,FALSE)*$D$54)*$D$59/100</f>
        <v>5675.2662323304885</v>
      </c>
      <c r="AM525" s="174"/>
      <c r="AN525" s="174"/>
      <c r="AO525" s="176">
        <v>20</v>
      </c>
      <c r="AP525" s="174">
        <v>36</v>
      </c>
      <c r="AQ525" s="175">
        <f>VLOOKUP(C525,$B$45:$AA$48,7,FALSE)</f>
        <v>469</v>
      </c>
      <c r="AR525" s="31">
        <f>IF(LEFT(E525,1)*1=1,$S$56,$R$56)</f>
        <v>0.5</v>
      </c>
      <c r="AS525" s="2">
        <f>IF(LEFT(E525,1)*1=2,$U$56,$T$56)</f>
        <v>0</v>
      </c>
      <c r="AT525" s="33">
        <f>IF(LEFT(E525,1)*1=3,$W$56,$V$56)</f>
        <v>1</v>
      </c>
      <c r="AU525" s="31">
        <f>IF(MID(E525,3,1)*1=1,$Y$56,$X$56)</f>
        <v>0</v>
      </c>
      <c r="AV525" s="2">
        <f>IF(MID(E525,3,1)*1=2,$AA$56,$Z$56)</f>
        <v>0</v>
      </c>
      <c r="AW525" s="33">
        <f>IF(MID(E525,3,1)*1=3,$AC$56,$AB$56)</f>
        <v>1</v>
      </c>
      <c r="AX525" s="31">
        <f>IF(MID(E525,5,1)*1=1,$AE$56,$AD$56)</f>
        <v>1.6</v>
      </c>
      <c r="AY525" s="33">
        <f>IF(MID(E525,5,1)*1=2,$AG$56,$AF$56)</f>
        <v>1</v>
      </c>
      <c r="AZ525" s="2"/>
      <c r="BA525" s="101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1" ht="12" customHeight="1">
      <c r="A526" s="2"/>
      <c r="B526" s="107">
        <v>221</v>
      </c>
      <c r="C526" s="31">
        <v>10</v>
      </c>
      <c r="D526" s="106" t="s">
        <v>13</v>
      </c>
      <c r="E526" s="2" t="s">
        <v>87</v>
      </c>
      <c r="F526" s="2"/>
      <c r="G526" s="2"/>
      <c r="H526" s="33"/>
      <c r="I526" s="173">
        <f>M526/AE526</f>
        <v>600.18623977280913</v>
      </c>
      <c r="J526" s="174">
        <f>AH526/AE526</f>
        <v>21.760166048861723</v>
      </c>
      <c r="K526" s="207">
        <f>RANK(I526,$I$76:$I$977)</f>
        <v>451</v>
      </c>
      <c r="L526" s="208" t="e">
        <f>RANK(I526,$I$76:$I$450)</f>
        <v>#N/A</v>
      </c>
      <c r="M526" s="173">
        <f>SUM(N526:R526)</f>
        <v>14370.158307592088</v>
      </c>
      <c r="N526" s="174">
        <f>T526*(1+((AG526+IF(F526="백어택",8,0))/100)*((AI526/100-1)))</f>
        <v>10766.950436364143</v>
      </c>
      <c r="O526" s="174">
        <f>U526*(1+($D$57/100)*($D$58/100-1))</f>
        <v>3603.2078712279454</v>
      </c>
      <c r="P526" s="174"/>
      <c r="Q526" s="174"/>
      <c r="R526" s="175">
        <f>X526*(1+($D$57/100)*($D$58/100-1))</f>
        <v>0</v>
      </c>
      <c r="S526" s="173">
        <f>SUM(T526:X526)</f>
        <v>8425.3120635121941</v>
      </c>
      <c r="T526" s="174">
        <f>AL526*AY526</f>
        <v>5397.4393669719502</v>
      </c>
      <c r="U526" s="174">
        <f>AM526*AU526*AW526</f>
        <v>3027.8726965402439</v>
      </c>
      <c r="V526" s="174"/>
      <c r="W526" s="174"/>
      <c r="X526" s="175">
        <f>IF(AU526=1,0,U526*0.625)</f>
        <v>0</v>
      </c>
      <c r="Y526" s="173">
        <f>SUM(Z526:AD526)</f>
        <v>16850.624127024388</v>
      </c>
      <c r="Z526" s="174">
        <f>T526*$D$58/100</f>
        <v>10794.8787339439</v>
      </c>
      <c r="AA526" s="174">
        <f>U526*$D$58/100</f>
        <v>6055.7453930804877</v>
      </c>
      <c r="AB526" s="174"/>
      <c r="AC526" s="174"/>
      <c r="AD526" s="175">
        <f>X526*$D$58/100</f>
        <v>0</v>
      </c>
      <c r="AE526" s="173">
        <f>AO526*(1-$D$17/100)</f>
        <v>23.942831999999999</v>
      </c>
      <c r="AF526" s="174">
        <f>AP526</f>
        <v>36</v>
      </c>
      <c r="AG526" s="174">
        <f>IF($D$57+AT526&gt;100,100,$D$57+AT526)</f>
        <v>59.001300000000001</v>
      </c>
      <c r="AH526" s="174">
        <f>AQ526</f>
        <v>521</v>
      </c>
      <c r="AI526" s="174">
        <f>$D$58+$D$19</f>
        <v>268.61079999999998</v>
      </c>
      <c r="AJ526" s="174">
        <f>10/IF(AY526=1,2.5,2)</f>
        <v>4</v>
      </c>
      <c r="AK526" s="174">
        <f>SUM(AL526:AN526)</f>
        <v>8425.3120635121941</v>
      </c>
      <c r="AL526" s="174">
        <f>(VLOOKUP(C526,$B$36:$AG$39,17,FALSE)+VLOOKUP(C526,$B$40:$AG$43,17,FALSE)*$D$54)*$D$59/100</f>
        <v>5397.4393669719502</v>
      </c>
      <c r="AM526" s="174">
        <f>(VLOOKUP(C526,$B$36:$AG$39,18,FALSE)+VLOOKUP(C526,$B$40:$AG$43,18,FALSE)*$D$54)*$D$59/100</f>
        <v>3027.8726965402439</v>
      </c>
      <c r="AN526" s="174"/>
      <c r="AO526" s="176">
        <v>24</v>
      </c>
      <c r="AP526" s="174">
        <v>36</v>
      </c>
      <c r="AQ526" s="175">
        <f>VLOOKUP(C526,$B$45:$AA$48,17,FALSE)</f>
        <v>521</v>
      </c>
      <c r="AR526" s="31">
        <f>IF(LEFT(E526,1)*1=1,$S$63,$R$63)</f>
        <v>0</v>
      </c>
      <c r="AS526" s="2">
        <f>IF(LEFT(E526,1)*1=2,$U$63,$T$63)</f>
        <v>0</v>
      </c>
      <c r="AT526" s="33">
        <f>IF(LEFT(E526,1)*1=3,$W$63,$V$63)</f>
        <v>40</v>
      </c>
      <c r="AU526" s="31">
        <f>IF(MID(E526,3,1)*1=1,$Y$63,$X$63)</f>
        <v>1</v>
      </c>
      <c r="AV526" s="2">
        <f>IF(MID(E526,3,1)*1=2,$AA$63,$Z$63)</f>
        <v>0</v>
      </c>
      <c r="AW526" s="33">
        <f>IF(MID(E526,3,1)*1=3,$AC$63,$AB$63)</f>
        <v>1</v>
      </c>
      <c r="AX526" s="31">
        <f>IF(MID(E526,5,1)*1=1,$AE$63,$AD$63)</f>
        <v>0</v>
      </c>
      <c r="AY526" s="33">
        <f>IF(MID(E526,5,1)*1=2,$AG$63,$AF$63)</f>
        <v>1</v>
      </c>
      <c r="AZ526" s="2"/>
      <c r="BA526" s="101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1" ht="12" customHeight="1">
      <c r="A527" s="2"/>
      <c r="B527" s="107">
        <v>463</v>
      </c>
      <c r="C527" s="31">
        <v>10</v>
      </c>
      <c r="D527" s="111" t="s">
        <v>11</v>
      </c>
      <c r="E527" s="2" t="s">
        <v>152</v>
      </c>
      <c r="F527" s="2"/>
      <c r="G527" s="2"/>
      <c r="H527" s="33">
        <f>IF(AX527=1,5,1)</f>
        <v>5</v>
      </c>
      <c r="I527" s="173">
        <f>M527/AE527</f>
        <v>599.82264859405711</v>
      </c>
      <c r="J527" s="174">
        <f>AH527/AE527</f>
        <v>32.696397631322085</v>
      </c>
      <c r="K527" s="207">
        <f>RANK(I527,$I$76:$I$977)</f>
        <v>452</v>
      </c>
      <c r="L527" s="208">
        <f>RANK(I527,$I$451:$I$866)</f>
        <v>77</v>
      </c>
      <c r="M527" s="173">
        <f>SUM(N527:R527)</f>
        <v>10860.370979447362</v>
      </c>
      <c r="N527" s="174">
        <f>T527*(1+(AG527/100)*(AI527/100-1))</f>
        <v>9698.8375121045228</v>
      </c>
      <c r="O527" s="174">
        <f>U527*(1+(AG527/100)*(AI527/100-1))</f>
        <v>1161.5334673428379</v>
      </c>
      <c r="P527" s="174"/>
      <c r="Q527" s="174"/>
      <c r="R527" s="175"/>
      <c r="S527" s="173">
        <f>T527</f>
        <v>8150.1945878780507</v>
      </c>
      <c r="T527" s="174">
        <f>H527*AL527*AX527</f>
        <v>8150.1945878780507</v>
      </c>
      <c r="U527" s="174">
        <f>AM527*AV527</f>
        <v>976.06788105914632</v>
      </c>
      <c r="V527" s="174"/>
      <c r="W527" s="174"/>
      <c r="X527" s="175"/>
      <c r="Y527" s="173">
        <f>SUM(Z527:AD527)</f>
        <v>18252.524937874394</v>
      </c>
      <c r="Z527" s="174">
        <f>T527*$D$58/100</f>
        <v>16300.389175756101</v>
      </c>
      <c r="AA527" s="174">
        <f>U527*$D$58/100</f>
        <v>1952.1357621182926</v>
      </c>
      <c r="AB527" s="174"/>
      <c r="AC527" s="174"/>
      <c r="AD527" s="175"/>
      <c r="AE527" s="173">
        <f>AO527*(1-$D$20/100)*(1-$D$17/100)-AR527</f>
        <v>18.105970164519999</v>
      </c>
      <c r="AF527" s="174">
        <f>AP527</f>
        <v>36</v>
      </c>
      <c r="AG527" s="174">
        <f>IF($D$57+AS527&gt;100,100,$D$57+AS527)</f>
        <v>19.001300000000001</v>
      </c>
      <c r="AH527" s="174">
        <f>AQ527</f>
        <v>592</v>
      </c>
      <c r="AI527" s="174">
        <f>$D$58</f>
        <v>200</v>
      </c>
      <c r="AJ527" s="174">
        <f>10/IF(AX527=1,7,6)</f>
        <v>1.4285714285714286</v>
      </c>
      <c r="AK527" s="174">
        <f>SUM(AL527:AN527)</f>
        <v>2280.7508382817077</v>
      </c>
      <c r="AL527" s="174">
        <f>(VLOOKUP(C527,$B$36:$AG$39,14,FALSE)+VLOOKUP(C527,$B$40:$AG$43,14,FALSE)*$D$54)*$D$59/100</f>
        <v>1630.0389175756102</v>
      </c>
      <c r="AM527" s="174">
        <f>(VLOOKUP(C527,$B$36:$AG$39,15,FALSE)+VLOOKUP(C527,$B$40:$AG$43,15,FALSE)*$D$54)*$D$59/100</f>
        <v>650.71192070609754</v>
      </c>
      <c r="AN527" s="174"/>
      <c r="AO527" s="176">
        <v>30</v>
      </c>
      <c r="AP527" s="174">
        <v>36</v>
      </c>
      <c r="AQ527" s="175">
        <f>VLOOKUP(C527,$B$45:$AA$48,14,FALSE)</f>
        <v>592</v>
      </c>
      <c r="AR527" s="31">
        <f>IF(LEFT(E527,1)*1=1,$S$61,$R$61)</f>
        <v>5</v>
      </c>
      <c r="AS527" s="2">
        <f>IF(LEFT(E527,1)*1=2,$U$61,$T$61)</f>
        <v>0</v>
      </c>
      <c r="AT527" s="33">
        <f>IF(LEFT(E527,1)*1=3,$W$61,$V$61)</f>
        <v>0</v>
      </c>
      <c r="AU527" s="31">
        <f>IF(MID(E527,3,1)*1=1,$Y$61,$X$61)</f>
        <v>0</v>
      </c>
      <c r="AV527" s="2">
        <f>IF(MID(E527,3,1)*1=2,$AA$61,$Z$61)</f>
        <v>1.5</v>
      </c>
      <c r="AW527" s="33">
        <f>IF(MID(E527,3,1)*1=3,$AC$61,$AB$61)</f>
        <v>0</v>
      </c>
      <c r="AX527" s="31">
        <f>IF(MID(E527,5,1)*1=1,$AE$61,$AD$61)</f>
        <v>1</v>
      </c>
      <c r="AY527" s="33">
        <f>IF(MID(E527,5,1)*1=2,$AG$61,$AF$61)</f>
        <v>0</v>
      </c>
      <c r="AZ527" s="2"/>
      <c r="BA527" s="101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1" ht="12" customHeight="1">
      <c r="A528" s="2"/>
      <c r="B528" s="107">
        <v>696</v>
      </c>
      <c r="C528" s="31">
        <v>4</v>
      </c>
      <c r="D528" s="111" t="s">
        <v>18</v>
      </c>
      <c r="E528" s="2" t="s">
        <v>79</v>
      </c>
      <c r="F528" s="2" t="s">
        <v>149</v>
      </c>
      <c r="G528" s="2"/>
      <c r="H528" s="33" t="s">
        <v>81</v>
      </c>
      <c r="I528" s="173">
        <f>M528/AE528</f>
        <v>599.03147172343563</v>
      </c>
      <c r="J528" s="174">
        <f>AH528/AE528</f>
        <v>10.765615909171565</v>
      </c>
      <c r="K528" s="207">
        <f>RANK(I528,$I$76:$I$977)</f>
        <v>453</v>
      </c>
      <c r="L528" s="208">
        <f>RANK(I528,$I$451:$I$866)</f>
        <v>78</v>
      </c>
      <c r="M528" s="173">
        <f>SUM(N528:R528)</f>
        <v>11072.962650600166</v>
      </c>
      <c r="N528" s="174">
        <f>T528*(1+((AG528+IF(F528="백어택",8,0))/100)*(AI528/100-1))</f>
        <v>6609.3705412075833</v>
      </c>
      <c r="O528" s="174">
        <f>U528*(1+(($D$57+IF(F528="백어택",8,0))/100)*(AI528/100-1))</f>
        <v>4463.5921093925817</v>
      </c>
      <c r="P528" s="174"/>
      <c r="Q528" s="174"/>
      <c r="R528" s="175"/>
      <c r="S528" s="173">
        <f>SUM(T528:X528)</f>
        <v>8718.7789814751231</v>
      </c>
      <c r="T528" s="174">
        <f>AL528*IF(H528="근접",AT528,IF(AV528=1,AT528,1))*AX528*IF(F528="백어택",1.2,1)</f>
        <v>5204.1755015165854</v>
      </c>
      <c r="U528" s="174">
        <f>IF(AX528=1,AM528*IF(H528="근접",AT528,IF(AV528=1,AT528,1)),0)*AY528*IF(AX528=1,1,0)*IF(F528="백어택",1.2,1)</f>
        <v>3514.6034799585368</v>
      </c>
      <c r="V528" s="174"/>
      <c r="W528" s="174"/>
      <c r="X528" s="175"/>
      <c r="Y528" s="173">
        <f>SUM(Z528:AD528)</f>
        <v>17437.557962950246</v>
      </c>
      <c r="Z528" s="174">
        <f>T528*$D$58/100</f>
        <v>10408.351003033171</v>
      </c>
      <c r="AA528" s="174">
        <f>U528*$D$58/100</f>
        <v>7029.2069599170736</v>
      </c>
      <c r="AB528" s="174"/>
      <c r="AC528" s="174"/>
      <c r="AD528" s="175"/>
      <c r="AE528" s="173">
        <f>(AO528*(1-$D$20/100)*(1-$D$17/100)-AR528)*IF(AW528="보스대상",1,POWER(0.85,AW528))</f>
        <v>18.484776131615998</v>
      </c>
      <c r="AF528" s="174">
        <f>AP528</f>
        <v>36</v>
      </c>
      <c r="AG528" s="174">
        <f>IF($D$57+AU528&gt;100,100,$D$57+AU528)</f>
        <v>19.001300000000001</v>
      </c>
      <c r="AH528" s="174">
        <f>AQ528</f>
        <v>199</v>
      </c>
      <c r="AI528" s="174">
        <f>$D$58</f>
        <v>200</v>
      </c>
      <c r="AJ528" s="174">
        <f>10*AS528/IF(AX528=1,IF(AY528=1,4.5,4),4)</f>
        <v>1.7777777777777777</v>
      </c>
      <c r="AK528" s="174">
        <f>SUM(AL528:AN528)</f>
        <v>7265.6491512292687</v>
      </c>
      <c r="AL528" s="174">
        <f>IF(AV528=1,$D$61*(VLOOKUP(C528,$B$36:$AG$39,25,FALSE)+VLOOKUP(C528,$B$40:$AG$43,25,FALSE)*$D$54),(IF(H528="근접",$D$61*(VLOOKUP(C528,$B$36:$AG$39,25,FALSE)+VLOOKUP(C528,$B$40:$AG$43,25,FALSE)*$D$54),$D$60*(VLOOKUP(C528,$B$36:$AG$39,25,FALSE)+VLOOKUP(C528,$B$40:$AG$43,25,FALSE)*$D$54))))*$D$59/100</f>
        <v>4336.8129179304879</v>
      </c>
      <c r="AM528" s="174">
        <f>(IF(AV528=1,$D$61*(VLOOKUP(C528,$B$36:$AG$39,26,FALSE)+VLOOKUP(C528,$B$40:$AG$43,26,FALSE)*$D$54),IF(H528="근접",$D$61*(VLOOKUP(C528,$B$36:$AG$39,26,FALSE)+VLOOKUP(C528,$B$40:$AG$43,26,FALSE)*$D$54),$D$60*(VLOOKUP(C528,$B$36:$AG$39,26,FALSE)+VLOOKUP(C528,$B$40:$AG$43,26,FALSE)*$D$54))))*$D$59/100</f>
        <v>2928.8362332987808</v>
      </c>
      <c r="AN528" s="174"/>
      <c r="AO528" s="176">
        <v>24</v>
      </c>
      <c r="AP528" s="174">
        <v>36</v>
      </c>
      <c r="AQ528" s="175">
        <f>VLOOKUP(C528,$B$45:$AA$48,25,FALSE)</f>
        <v>199</v>
      </c>
      <c r="AR528" s="31">
        <f>IF(LEFT(E528,1)*1=1,$S$68,$R$68)</f>
        <v>0</v>
      </c>
      <c r="AS528" s="2">
        <f>IF(LEFT(E528,1)*1=2,$U$68,$T$68)</f>
        <v>0.8</v>
      </c>
      <c r="AT528" s="33">
        <f>IF(LEFT(E528,1)*1=3,$W$68,$V$68)</f>
        <v>1</v>
      </c>
      <c r="AU528" s="31">
        <f>IF(MID(E528,3,1)*1=1,$Y$68,$X$68)</f>
        <v>0</v>
      </c>
      <c r="AV528" s="2">
        <f>IF(MID(E528,3,1)*1=2,$AA$68,$Z$68)</f>
        <v>0</v>
      </c>
      <c r="AW528" s="33" t="str">
        <f>IF(MID(E528,3,1)*1=3,$AC$68,$AB$68)</f>
        <v>보스대상</v>
      </c>
      <c r="AX528" s="31">
        <f>IF(MID(E528,5,1)*1=1,$AE$68,$AD$68)</f>
        <v>1</v>
      </c>
      <c r="AY528" s="33">
        <f>IF(MID(E528,5,1)*1=2,$AG$68,$AF$68)</f>
        <v>1</v>
      </c>
      <c r="AZ528" s="2"/>
      <c r="BA528" s="101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2" customHeight="1">
      <c r="A529" s="2"/>
      <c r="B529" s="107">
        <v>220</v>
      </c>
      <c r="C529" s="31">
        <v>10</v>
      </c>
      <c r="D529" s="106" t="s">
        <v>13</v>
      </c>
      <c r="E529" s="2" t="s">
        <v>91</v>
      </c>
      <c r="F529" s="2"/>
      <c r="G529" s="2"/>
      <c r="H529" s="33"/>
      <c r="I529" s="173">
        <f>M529/AE529</f>
        <v>598.6384526422562</v>
      </c>
      <c r="J529" s="174">
        <f>AH529/AE529</f>
        <v>21.760166048861723</v>
      </c>
      <c r="K529" s="207">
        <f>RANK(I529,$I$76:$I$977)</f>
        <v>454</v>
      </c>
      <c r="L529" s="208" t="e">
        <f>RANK(I529,$I$76:$I$450)</f>
        <v>#N/A</v>
      </c>
      <c r="M529" s="173">
        <f>SUM(N529:R529)</f>
        <v>14333.099900353496</v>
      </c>
      <c r="N529" s="174">
        <f>T529*(1+((AG529+IF(F529="백어택",8,0))/100)*((AI529/100-1)))</f>
        <v>7126.6841578976055</v>
      </c>
      <c r="O529" s="174">
        <f>U529*(1+($D$57/100)*($D$58/100-1))</f>
        <v>7206.4157424558907</v>
      </c>
      <c r="P529" s="174"/>
      <c r="Q529" s="174"/>
      <c r="R529" s="175">
        <f>X529*(1+($D$57/100)*($D$58/100-1))</f>
        <v>0</v>
      </c>
      <c r="S529" s="173">
        <f>SUM(T529:X529)</f>
        <v>11453.184760052438</v>
      </c>
      <c r="T529" s="174">
        <f>AL529*AY529</f>
        <v>5397.4393669719502</v>
      </c>
      <c r="U529" s="174">
        <f>AM529*AU529*AW529</f>
        <v>6055.7453930804877</v>
      </c>
      <c r="V529" s="174"/>
      <c r="W529" s="174"/>
      <c r="X529" s="175">
        <f>IF(AU529=1,0,U529*0.625)</f>
        <v>0</v>
      </c>
      <c r="Y529" s="173">
        <f>SUM(Z529:AD529)</f>
        <v>22906.369520104876</v>
      </c>
      <c r="Z529" s="174">
        <f>T529*$D$58/100</f>
        <v>10794.8787339439</v>
      </c>
      <c r="AA529" s="174">
        <f>U529*$D$58/100</f>
        <v>12111.490786160975</v>
      </c>
      <c r="AB529" s="174"/>
      <c r="AC529" s="174"/>
      <c r="AD529" s="175">
        <f>X529*$D$58/100</f>
        <v>0</v>
      </c>
      <c r="AE529" s="173">
        <f>AO529*(1-$D$17/100)</f>
        <v>23.942831999999999</v>
      </c>
      <c r="AF529" s="174">
        <f>AP529</f>
        <v>36</v>
      </c>
      <c r="AG529" s="174">
        <f>IF($D$57+AT529&gt;100,100,$D$57+AT529)</f>
        <v>19.001300000000001</v>
      </c>
      <c r="AH529" s="174">
        <f>AQ529</f>
        <v>521</v>
      </c>
      <c r="AI529" s="174">
        <f>$D$58+$D$19</f>
        <v>268.61079999999998</v>
      </c>
      <c r="AJ529" s="174">
        <f>10/IF(AY529=1,2.5,2)</f>
        <v>4</v>
      </c>
      <c r="AK529" s="174">
        <f>SUM(AL529:AN529)</f>
        <v>8425.3120635121941</v>
      </c>
      <c r="AL529" s="174">
        <f>(VLOOKUP(C529,$B$36:$AG$39,17,FALSE)+VLOOKUP(C529,$B$40:$AG$43,17,FALSE)*$D$54)*$D$59/100</f>
        <v>5397.4393669719502</v>
      </c>
      <c r="AM529" s="174">
        <f>(VLOOKUP(C529,$B$36:$AG$39,18,FALSE)+VLOOKUP(C529,$B$40:$AG$43,18,FALSE)*$D$54)*$D$59/100</f>
        <v>3027.8726965402439</v>
      </c>
      <c r="AN529" s="174"/>
      <c r="AO529" s="176">
        <v>24</v>
      </c>
      <c r="AP529" s="174">
        <v>36</v>
      </c>
      <c r="AQ529" s="175">
        <f>VLOOKUP(C529,$B$45:$AA$48,17,FALSE)</f>
        <v>521</v>
      </c>
      <c r="AR529" s="31">
        <f>IF(LEFT(E529,1)*1=1,$S$63,$R$63)</f>
        <v>0</v>
      </c>
      <c r="AS529" s="2">
        <f>IF(LEFT(E529,1)*1=2,$U$63,$T$63)</f>
        <v>0</v>
      </c>
      <c r="AT529" s="33">
        <f>IF(LEFT(E529,1)*1=3,$W$63,$V$63)</f>
        <v>0</v>
      </c>
      <c r="AU529" s="31">
        <f>IF(MID(E529,3,1)*1=1,$Y$63,$X$63)</f>
        <v>1</v>
      </c>
      <c r="AV529" s="2">
        <f>IF(MID(E529,3,1)*1=2,$AA$63,$Z$63)</f>
        <v>0</v>
      </c>
      <c r="AW529" s="33">
        <f>IF(MID(E529,3,1)*1=3,$AC$63,$AB$63)</f>
        <v>2</v>
      </c>
      <c r="AX529" s="31">
        <f>IF(MID(E529,5,1)*1=1,$AE$63,$AD$63)</f>
        <v>0</v>
      </c>
      <c r="AY529" s="33">
        <f>IF(MID(E529,5,1)*1=2,$AG$63,$AF$63)</f>
        <v>1</v>
      </c>
      <c r="AZ529" s="2"/>
      <c r="BA529" s="101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2" customHeight="1">
      <c r="A530" s="2"/>
      <c r="B530" s="107">
        <v>883</v>
      </c>
      <c r="C530" s="31">
        <v>10</v>
      </c>
      <c r="D530" s="113" t="s">
        <v>22</v>
      </c>
      <c r="E530" s="2" t="s">
        <v>136</v>
      </c>
      <c r="F530" s="2"/>
      <c r="G530" s="2"/>
      <c r="H530" s="33"/>
      <c r="I530" s="173">
        <f>M530/AE530</f>
        <v>597.97074334136812</v>
      </c>
      <c r="J530" s="174">
        <f>AH530/AE530</f>
        <v>19.780450366105395</v>
      </c>
      <c r="K530" s="207">
        <f>RANK(I530,$I$76:$I$977)</f>
        <v>455</v>
      </c>
      <c r="L530" s="208" t="e">
        <f>RANK(I530,$I$867:$I$977)</f>
        <v>#N/A</v>
      </c>
      <c r="M530" s="173">
        <f>SUM(N530:R530)*(1+$D$22/100)</f>
        <v>17896.39131092187</v>
      </c>
      <c r="N530" s="174">
        <f>T530*(1+((AG530+IF(F530="백어택",8,0))/100)*(AI530/100-1))</f>
        <v>16124.664747404277</v>
      </c>
      <c r="O530" s="174"/>
      <c r="P530" s="174"/>
      <c r="Q530" s="174"/>
      <c r="R530" s="175">
        <f>X530*(1+($D$57/100)*(AI530/100-1))</f>
        <v>0</v>
      </c>
      <c r="S530" s="173">
        <f>SUM(T530:X530)</f>
        <v>13549.990418091464</v>
      </c>
      <c r="T530" s="174">
        <f>AL530*AU530</f>
        <v>13549.990418091464</v>
      </c>
      <c r="U530" s="174"/>
      <c r="V530" s="174"/>
      <c r="W530" s="174"/>
      <c r="X530" s="175">
        <f>AL530*AW530</f>
        <v>0</v>
      </c>
      <c r="Y530" s="173">
        <f>SUM(Z530:AD530)</f>
        <v>27099.980836182927</v>
      </c>
      <c r="Z530" s="174">
        <f>T530*$D$58/100</f>
        <v>27099.980836182927</v>
      </c>
      <c r="AA530" s="174"/>
      <c r="AB530" s="174"/>
      <c r="AC530" s="174"/>
      <c r="AD530" s="175"/>
      <c r="AE530" s="173">
        <f>AO530*(1-$D$17/100)</f>
        <v>29.928540000000002</v>
      </c>
      <c r="AF530" s="174">
        <f>AP530+AV530</f>
        <v>36</v>
      </c>
      <c r="AG530" s="174">
        <f>IF($D$57+AY530&gt;100,100,$D$57+AY530)</f>
        <v>19.001300000000001</v>
      </c>
      <c r="AH530" s="174">
        <f>AQ530*AR530</f>
        <v>592</v>
      </c>
      <c r="AI530" s="174">
        <f>$D$58</f>
        <v>200</v>
      </c>
      <c r="AJ530" s="174">
        <f>10/5</f>
        <v>2</v>
      </c>
      <c r="AK530" s="174">
        <f>SUM(AL530:AN530)</f>
        <v>10423.069552378049</v>
      </c>
      <c r="AL530" s="174">
        <f>(VLOOKUP(C530,$B$36:$AG$39,32,FALSE)+VLOOKUP(C530,$B$40:$AG$43,32,FALSE)*$D$54)*$D$59/100</f>
        <v>10423.069552378049</v>
      </c>
      <c r="AM530" s="174"/>
      <c r="AN530" s="174"/>
      <c r="AO530" s="176">
        <v>30</v>
      </c>
      <c r="AP530" s="174">
        <v>36</v>
      </c>
      <c r="AQ530" s="175">
        <f>VLOOKUP(C530,$B$45:$AG$48,32,FALSE)</f>
        <v>592</v>
      </c>
      <c r="AR530" s="31">
        <f>IF(LEFT(E530,1)*1=1,$S$72,$R$72)</f>
        <v>1</v>
      </c>
      <c r="AS530" s="2">
        <f>IF(LEFT(E530,1)*1=2,$U$72,$T$72)</f>
        <v>0</v>
      </c>
      <c r="AT530" s="33">
        <f>IF(LEFT(E530,1)*1=3,$W$72,$V$72)</f>
        <v>0</v>
      </c>
      <c r="AU530" s="31">
        <f>IF(MID(E530,3,1)*1=1,$Y$72,$X$72)</f>
        <v>1.3</v>
      </c>
      <c r="AV530" s="2">
        <f>IF(MID(E530,3,1)*1=2,$AA$72,$Z$72)</f>
        <v>0</v>
      </c>
      <c r="AW530" s="33">
        <f>IF(MID(E530,3,1)*1=3,$AC$72,$AB$72)</f>
        <v>0</v>
      </c>
      <c r="AX530" s="31">
        <f>IF(MID(E530,5,1)*1=1,$AE$72,$AD$72)</f>
        <v>0</v>
      </c>
      <c r="AY530" s="33">
        <f>IF(MID(E530,5,1)*1=2,$AG$72,$AF$72)</f>
        <v>0</v>
      </c>
      <c r="AZ530" s="2"/>
      <c r="BA530" s="101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2" customHeight="1">
      <c r="A531" s="2"/>
      <c r="B531" s="107">
        <v>886</v>
      </c>
      <c r="C531" s="31">
        <v>10</v>
      </c>
      <c r="D531" s="113" t="s">
        <v>22</v>
      </c>
      <c r="E531" s="2" t="s">
        <v>163</v>
      </c>
      <c r="F531" s="2"/>
      <c r="G531" s="2"/>
      <c r="H531" s="33"/>
      <c r="I531" s="173">
        <f>M531/AE531</f>
        <v>597.97074334136812</v>
      </c>
      <c r="J531" s="174">
        <f>AH531/AE531</f>
        <v>9.8902251830526975</v>
      </c>
      <c r="K531" s="207">
        <f>RANK(I531,$I$76:$I$977)</f>
        <v>455</v>
      </c>
      <c r="L531" s="208" t="e">
        <f>RANK(I531,$I$867:$I$977)</f>
        <v>#N/A</v>
      </c>
      <c r="M531" s="173">
        <f>SUM(N531:R531)*(1+$D$22/100)</f>
        <v>17896.39131092187</v>
      </c>
      <c r="N531" s="174">
        <f>T531*(1+((AG531+IF(F531="백어택",8,0))/100)*(AI531/100-1))</f>
        <v>16124.664747404277</v>
      </c>
      <c r="O531" s="174"/>
      <c r="P531" s="174"/>
      <c r="Q531" s="174"/>
      <c r="R531" s="175">
        <f>X531*(1+($D$57/100)*(AI531/100-1))</f>
        <v>0</v>
      </c>
      <c r="S531" s="173">
        <f>SUM(T531:X531)</f>
        <v>13549.990418091464</v>
      </c>
      <c r="T531" s="174">
        <f>AL531*AU531</f>
        <v>13549.990418091464</v>
      </c>
      <c r="U531" s="174"/>
      <c r="V531" s="174"/>
      <c r="W531" s="174"/>
      <c r="X531" s="175">
        <f>AL531*AW531</f>
        <v>0</v>
      </c>
      <c r="Y531" s="173">
        <f>SUM(Z531:AD531)</f>
        <v>27099.980836182927</v>
      </c>
      <c r="Z531" s="174">
        <f>T531*$D$58/100</f>
        <v>27099.980836182927</v>
      </c>
      <c r="AA531" s="174"/>
      <c r="AB531" s="174"/>
      <c r="AC531" s="174"/>
      <c r="AD531" s="175"/>
      <c r="AE531" s="173">
        <f>AO531*(1-$D$17/100)</f>
        <v>29.928540000000002</v>
      </c>
      <c r="AF531" s="174">
        <f>AP531+AV531</f>
        <v>36</v>
      </c>
      <c r="AG531" s="174">
        <f>IF($D$57+AY531&gt;100,100,$D$57+AY531)</f>
        <v>19.001300000000001</v>
      </c>
      <c r="AH531" s="174">
        <f>AQ531*AR531</f>
        <v>296</v>
      </c>
      <c r="AI531" s="174">
        <f>$D$58</f>
        <v>200</v>
      </c>
      <c r="AJ531" s="174">
        <f>10/5</f>
        <v>2</v>
      </c>
      <c r="AK531" s="174">
        <f>SUM(AL531:AN531)</f>
        <v>10423.069552378049</v>
      </c>
      <c r="AL531" s="174">
        <f>(VLOOKUP(C531,$B$36:$AG$39,32,FALSE)+VLOOKUP(C531,$B$40:$AG$43,32,FALSE)*$D$54)*$D$59/100</f>
        <v>10423.069552378049</v>
      </c>
      <c r="AM531" s="174"/>
      <c r="AN531" s="174"/>
      <c r="AO531" s="176">
        <v>30</v>
      </c>
      <c r="AP531" s="174">
        <v>36</v>
      </c>
      <c r="AQ531" s="175">
        <f>VLOOKUP(C531,$B$45:$AG$48,32,FALSE)</f>
        <v>592</v>
      </c>
      <c r="AR531" s="31">
        <f>IF(LEFT(E531,1)*1=1,$S$72,$R$72)</f>
        <v>0.5</v>
      </c>
      <c r="AS531" s="2">
        <f>IF(LEFT(E531,1)*1=2,$U$72,$T$72)</f>
        <v>0</v>
      </c>
      <c r="AT531" s="33">
        <f>IF(LEFT(E531,1)*1=3,$W$72,$V$72)</f>
        <v>0</v>
      </c>
      <c r="AU531" s="31">
        <f>IF(MID(E531,3,1)*1=1,$Y$72,$X$72)</f>
        <v>1.3</v>
      </c>
      <c r="AV531" s="2">
        <f>IF(MID(E531,3,1)*1=2,$AA$72,$Z$72)</f>
        <v>0</v>
      </c>
      <c r="AW531" s="33">
        <f>IF(MID(E531,3,1)*1=3,$AC$72,$AB$72)</f>
        <v>0</v>
      </c>
      <c r="AX531" s="31">
        <f>IF(MID(E531,5,1)*1=1,$AE$72,$AD$72)</f>
        <v>0</v>
      </c>
      <c r="AY531" s="33">
        <f>IF(MID(E531,5,1)*1=2,$AG$72,$AF$72)</f>
        <v>0</v>
      </c>
      <c r="AZ531" s="2"/>
      <c r="BA531" s="101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2" customHeight="1">
      <c r="A532" s="2"/>
      <c r="B532" s="107">
        <v>167</v>
      </c>
      <c r="C532" s="31">
        <v>10</v>
      </c>
      <c r="D532" s="106" t="s">
        <v>10</v>
      </c>
      <c r="E532" s="2" t="s">
        <v>95</v>
      </c>
      <c r="F532" s="2" t="s">
        <v>149</v>
      </c>
      <c r="G532" s="2"/>
      <c r="H532" s="33"/>
      <c r="I532" s="173">
        <f>M532/AE532</f>
        <v>596.98151644294853</v>
      </c>
      <c r="J532" s="174">
        <f>AH532/AE532</f>
        <v>25.811482952392598</v>
      </c>
      <c r="K532" s="207">
        <f>RANK(I532,$I$76:$I$977)</f>
        <v>457</v>
      </c>
      <c r="L532" s="208" t="e">
        <f>RANK(I532,$I$76:$I$450)</f>
        <v>#N/A</v>
      </c>
      <c r="M532" s="173">
        <f>SUM(N532:R532)</f>
        <v>9528.9521035325033</v>
      </c>
      <c r="N532" s="174">
        <f>T532*(1+((AG532+IF(F532="백어택",8,0))/100)*((AI532/100-1)))</f>
        <v>9528.9521035325033</v>
      </c>
      <c r="O532" s="174"/>
      <c r="P532" s="174"/>
      <c r="Q532" s="174"/>
      <c r="R532" s="175"/>
      <c r="S532" s="173">
        <f>SUM(T532:X532)</f>
        <v>4858.9746556507316</v>
      </c>
      <c r="T532" s="174">
        <f>AL532*AS532*AU532*AX532*IF(AY532=0,1,0.5)*IF(F532="백어택",1.2,1)</f>
        <v>4858.9746556507316</v>
      </c>
      <c r="U532" s="174"/>
      <c r="V532" s="174"/>
      <c r="W532" s="174"/>
      <c r="X532" s="175"/>
      <c r="Y532" s="173">
        <f>SUM(Z532:AD532)</f>
        <v>13051.730694340675</v>
      </c>
      <c r="Z532" s="174">
        <f>T532*AI532/100</f>
        <v>13051.730694340675</v>
      </c>
      <c r="AA532" s="174"/>
      <c r="AB532" s="174"/>
      <c r="AC532" s="174"/>
      <c r="AD532" s="175"/>
      <c r="AE532" s="173">
        <f>AO532*(1-$D$17/100)</f>
        <v>15.961888</v>
      </c>
      <c r="AF532" s="174">
        <f>AP532</f>
        <v>36</v>
      </c>
      <c r="AG532" s="174">
        <f>IF($D$57+AV532&gt;100,100,$D$57+AV532)</f>
        <v>49.001300000000001</v>
      </c>
      <c r="AH532" s="174">
        <f>AQ532</f>
        <v>412</v>
      </c>
      <c r="AI532" s="174">
        <f>$D$58+$D$19</f>
        <v>268.61079999999998</v>
      </c>
      <c r="AJ532" s="174">
        <f>10*AR532/(7-IF(AX532=1,0,3))</f>
        <v>1.4285714285714286</v>
      </c>
      <c r="AK532" s="174">
        <f>SUM(AL532:AN532)</f>
        <v>8098.2910927512203</v>
      </c>
      <c r="AL532" s="174">
        <f>(VLOOKUP(C532,$B$36:$AG$39,13,FALSE)+VLOOKUP(C532,$B$40:$AG$43,13,FALSE)*$D$54)*$D$59/100</f>
        <v>8098.2910927512203</v>
      </c>
      <c r="AM532" s="174"/>
      <c r="AN532" s="174"/>
      <c r="AO532" s="176">
        <v>16</v>
      </c>
      <c r="AP532" s="174">
        <v>36</v>
      </c>
      <c r="AQ532" s="175">
        <f>VLOOKUP(C532,$B$45:$AA$48,13,FALSE)</f>
        <v>412</v>
      </c>
      <c r="AR532" s="31">
        <f>IF(LEFT(E532,1)*1=1,$S$60,$R$60)</f>
        <v>1</v>
      </c>
      <c r="AS532" s="2">
        <f>IF(LEFT(E532,1)*1=2,$U$60,$T$60)</f>
        <v>1</v>
      </c>
      <c r="AT532" s="33">
        <f>IF(LEFT(E532,1)*1=3,$W$60,$V$60)</f>
        <v>0</v>
      </c>
      <c r="AU532" s="31">
        <f>IF(MID(E532,3,1)*1=1,$Y$60,$X$60)</f>
        <v>1</v>
      </c>
      <c r="AV532" s="2">
        <f>IF(MID(E532,3,1)*1=2,$AA$60,$Z$60)</f>
        <v>30</v>
      </c>
      <c r="AW532" s="33">
        <f>IF(MID(E532,3,1)*1=3,$AC$60,$AB$60)</f>
        <v>0</v>
      </c>
      <c r="AX532" s="31">
        <f>IF(MID(E532,5,1)*1=1,$AE$60,$AD$60)</f>
        <v>1</v>
      </c>
      <c r="AY532" s="33">
        <f>IF(MID(E532,5,1)*1=2,$AG$60,$AF$60)</f>
        <v>100</v>
      </c>
      <c r="AZ532" s="2"/>
      <c r="BA532" s="101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2" customHeight="1">
      <c r="A533" s="2"/>
      <c r="B533" s="107">
        <v>170</v>
      </c>
      <c r="C533" s="31">
        <v>10</v>
      </c>
      <c r="D533" s="106" t="s">
        <v>10</v>
      </c>
      <c r="E533" s="2" t="s">
        <v>154</v>
      </c>
      <c r="F533" s="2" t="s">
        <v>149</v>
      </c>
      <c r="G533" s="2"/>
      <c r="H533" s="33"/>
      <c r="I533" s="173">
        <f>M533/AE533</f>
        <v>596.98151644294853</v>
      </c>
      <c r="J533" s="174">
        <f>AH533/AE533</f>
        <v>25.811482952392598</v>
      </c>
      <c r="K533" s="207">
        <f>RANK(I533,$I$76:$I$977)</f>
        <v>457</v>
      </c>
      <c r="L533" s="208" t="e">
        <f>RANK(I533,$I$76:$I$450)</f>
        <v>#N/A</v>
      </c>
      <c r="M533" s="173">
        <f>SUM(N533:R533)</f>
        <v>9528.9521035325033</v>
      </c>
      <c r="N533" s="174">
        <f>T533*(1+((AG533+IF(F533="백어택",8,0))/100)*((AI533/100-1)))</f>
        <v>9528.9521035325033</v>
      </c>
      <c r="O533" s="174"/>
      <c r="P533" s="174"/>
      <c r="Q533" s="174"/>
      <c r="R533" s="175"/>
      <c r="S533" s="173">
        <f>SUM(T533:X533)</f>
        <v>4858.9746556507316</v>
      </c>
      <c r="T533" s="174">
        <f>AL533*AS533*AU533*AX533*IF(AY533=0,1,0.5)*IF(F533="백어택",1.2,1)</f>
        <v>4858.9746556507316</v>
      </c>
      <c r="U533" s="174"/>
      <c r="V533" s="174"/>
      <c r="W533" s="174"/>
      <c r="X533" s="175"/>
      <c r="Y533" s="173">
        <f>SUM(Z533:AD533)</f>
        <v>13051.730694340675</v>
      </c>
      <c r="Z533" s="174">
        <f>T533*AI533/100</f>
        <v>13051.730694340675</v>
      </c>
      <c r="AA533" s="174"/>
      <c r="AB533" s="174"/>
      <c r="AC533" s="174"/>
      <c r="AD533" s="175"/>
      <c r="AE533" s="173">
        <f>AO533*(1-$D$17/100)</f>
        <v>15.961888</v>
      </c>
      <c r="AF533" s="174">
        <f>AP533</f>
        <v>36</v>
      </c>
      <c r="AG533" s="174">
        <f>IF($D$57+AV533&gt;100,100,$D$57+AV533)</f>
        <v>49.001300000000001</v>
      </c>
      <c r="AH533" s="174">
        <f>AQ533</f>
        <v>412</v>
      </c>
      <c r="AI533" s="174">
        <f>$D$58+$D$19</f>
        <v>268.61079999999998</v>
      </c>
      <c r="AJ533" s="174">
        <f>10*AR533/(7-IF(AX533=1,0,3))</f>
        <v>1.2142857142857142</v>
      </c>
      <c r="AK533" s="174">
        <f>SUM(AL533:AN533)</f>
        <v>8098.2910927512203</v>
      </c>
      <c r="AL533" s="174">
        <f>(VLOOKUP(C533,$B$36:$AG$39,13,FALSE)+VLOOKUP(C533,$B$40:$AG$43,13,FALSE)*$D$54)*$D$59/100</f>
        <v>8098.2910927512203</v>
      </c>
      <c r="AM533" s="174"/>
      <c r="AN533" s="174"/>
      <c r="AO533" s="176">
        <v>16</v>
      </c>
      <c r="AP533" s="174">
        <v>36</v>
      </c>
      <c r="AQ533" s="175">
        <f>VLOOKUP(C533,$B$45:$AA$48,13,FALSE)</f>
        <v>412</v>
      </c>
      <c r="AR533" s="31">
        <f>IF(LEFT(E533,1)*1=1,$S$60,$R$60)</f>
        <v>0.85</v>
      </c>
      <c r="AS533" s="2">
        <f>IF(LEFT(E533,1)*1=2,$U$60,$T$60)</f>
        <v>1</v>
      </c>
      <c r="AT533" s="33">
        <f>IF(LEFT(E533,1)*1=3,$W$60,$V$60)</f>
        <v>0</v>
      </c>
      <c r="AU533" s="31">
        <f>IF(MID(E533,3,1)*1=1,$Y$60,$X$60)</f>
        <v>1</v>
      </c>
      <c r="AV533" s="2">
        <f>IF(MID(E533,3,1)*1=2,$AA$60,$Z$60)</f>
        <v>30</v>
      </c>
      <c r="AW533" s="33">
        <f>IF(MID(E533,3,1)*1=3,$AC$60,$AB$60)</f>
        <v>0</v>
      </c>
      <c r="AX533" s="31">
        <f>IF(MID(E533,5,1)*1=1,$AE$60,$AD$60)</f>
        <v>1</v>
      </c>
      <c r="AY533" s="33">
        <f>IF(MID(E533,5,1)*1=2,$AG$60,$AF$60)</f>
        <v>100</v>
      </c>
      <c r="AZ533" s="2"/>
      <c r="BA533" s="101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2" customHeight="1">
      <c r="A534" s="2"/>
      <c r="B534" s="107">
        <v>633</v>
      </c>
      <c r="C534" s="31">
        <v>4</v>
      </c>
      <c r="D534" s="111" t="s">
        <v>18</v>
      </c>
      <c r="E534" s="2" t="s">
        <v>148</v>
      </c>
      <c r="F534" s="2"/>
      <c r="G534" s="2"/>
      <c r="H534" s="33" t="s">
        <v>81</v>
      </c>
      <c r="I534" s="173">
        <f>M534/AE534</f>
        <v>596.91754051549697</v>
      </c>
      <c r="J534" s="174">
        <f>AH534/AE534</f>
        <v>13.738562349309744</v>
      </c>
      <c r="K534" s="207">
        <f>RANK(I534,$I$76:$I$977)</f>
        <v>459</v>
      </c>
      <c r="L534" s="208">
        <f>RANK(I534,$I$451:$I$866)</f>
        <v>84</v>
      </c>
      <c r="M534" s="173">
        <f>SUM(N534:R534)</f>
        <v>8646.216943401796</v>
      </c>
      <c r="N534" s="174">
        <f>T534*(1+((AG534+IF(F534="백어택",8,0))/100)*(AI534/100-1))</f>
        <v>5160.8637509052132</v>
      </c>
      <c r="O534" s="174">
        <f>U534*(1+(($D$57+IF(F534="백어택",8,0))/100)*(AI534/100-1))</f>
        <v>3485.3531924965819</v>
      </c>
      <c r="P534" s="174"/>
      <c r="Q534" s="174"/>
      <c r="R534" s="175"/>
      <c r="S534" s="173">
        <f>SUM(T534:X534)</f>
        <v>7265.6491512292687</v>
      </c>
      <c r="T534" s="174">
        <f>AL534*IF(H534="근접",AT534,IF(AV534=1,AT534,1))*AX534*IF(F534="백어택",1.2,1)</f>
        <v>4336.8129179304879</v>
      </c>
      <c r="U534" s="174">
        <f>IF(AX534=1,AM534*IF(H534="근접",AT534,IF(AV534=1,AT534,1)),0)*AY534*IF(AX534=1,1,0)*IF(F534="백어택",1.2,1)</f>
        <v>2928.8362332987808</v>
      </c>
      <c r="V534" s="174"/>
      <c r="W534" s="174"/>
      <c r="X534" s="175"/>
      <c r="Y534" s="173">
        <f>SUM(Z534:AD534)</f>
        <v>14531.298302458537</v>
      </c>
      <c r="Z534" s="174">
        <f>T534*$D$58/100</f>
        <v>8673.6258358609757</v>
      </c>
      <c r="AA534" s="174">
        <f>U534*$D$58/100</f>
        <v>5857.6724665975617</v>
      </c>
      <c r="AB534" s="174"/>
      <c r="AC534" s="174"/>
      <c r="AD534" s="175"/>
      <c r="AE534" s="173">
        <f>(AO534*(1-$D$20/100)*(1-$D$17/100)-AR534)*IF(AW534="보스대상",1,POWER(0.85,AW534))</f>
        <v>14.484776131615998</v>
      </c>
      <c r="AF534" s="174">
        <f>AP534</f>
        <v>36</v>
      </c>
      <c r="AG534" s="174">
        <f>IF($D$57+AU534&gt;100,100,$D$57+AU534)</f>
        <v>19.001300000000001</v>
      </c>
      <c r="AH534" s="174">
        <f>AQ534</f>
        <v>199</v>
      </c>
      <c r="AI534" s="174">
        <f>$D$58</f>
        <v>200</v>
      </c>
      <c r="AJ534" s="174">
        <f>10*AS534/IF(AX534=1,IF(AY534=1,4.5,4),4)</f>
        <v>2.2222222222222223</v>
      </c>
      <c r="AK534" s="174">
        <f>SUM(AL534:AN534)</f>
        <v>7265.6491512292687</v>
      </c>
      <c r="AL534" s="174">
        <f>IF(AV534=1,$D$61*(VLOOKUP(C534,$B$36:$AG$39,25,FALSE)+VLOOKUP(C534,$B$40:$AG$43,25,FALSE)*$D$54),(IF(H534="근접",$D$61*(VLOOKUP(C534,$B$36:$AG$39,25,FALSE)+VLOOKUP(C534,$B$40:$AG$43,25,FALSE)*$D$54),$D$60*(VLOOKUP(C534,$B$36:$AG$39,25,FALSE)+VLOOKUP(C534,$B$40:$AG$43,25,FALSE)*$D$54))))*$D$59/100</f>
        <v>4336.8129179304879</v>
      </c>
      <c r="AM534" s="174">
        <f>(IF(AV534=1,$D$61*(VLOOKUP(C534,$B$36:$AG$39,26,FALSE)+VLOOKUP(C534,$B$40:$AG$43,26,FALSE)*$D$54),IF(H534="근접",$D$61*(VLOOKUP(C534,$B$36:$AG$39,26,FALSE)+VLOOKUP(C534,$B$40:$AG$43,26,FALSE)*$D$54),$D$60*(VLOOKUP(C534,$B$36:$AG$39,26,FALSE)+VLOOKUP(C534,$B$40:$AG$43,26,FALSE)*$D$54))))*$D$59/100</f>
        <v>2928.8362332987808</v>
      </c>
      <c r="AN534" s="174"/>
      <c r="AO534" s="176">
        <v>24</v>
      </c>
      <c r="AP534" s="174">
        <v>36</v>
      </c>
      <c r="AQ534" s="175">
        <f>VLOOKUP(C534,$B$45:$AA$48,25,FALSE)</f>
        <v>199</v>
      </c>
      <c r="AR534" s="31">
        <f>IF(LEFT(E534,1)*1=1,$S$68,$R$68)</f>
        <v>4</v>
      </c>
      <c r="AS534" s="2">
        <f>IF(LEFT(E534,1)*1=2,$U$68,$T$68)</f>
        <v>1</v>
      </c>
      <c r="AT534" s="33">
        <f>IF(LEFT(E534,1)*1=3,$W$68,$V$68)</f>
        <v>1</v>
      </c>
      <c r="AU534" s="31">
        <f>IF(MID(E534,3,1)*1=1,$Y$68,$X$68)</f>
        <v>0</v>
      </c>
      <c r="AV534" s="2">
        <f>IF(MID(E534,3,1)*1=2,$AA$68,$Z$68)</f>
        <v>0</v>
      </c>
      <c r="AW534" s="33" t="str">
        <f>IF(MID(E534,3,1)*1=3,$AC$68,$AB$68)</f>
        <v>보스대상</v>
      </c>
      <c r="AX534" s="31">
        <f>IF(MID(E534,5,1)*1=1,$AE$68,$AD$68)</f>
        <v>1</v>
      </c>
      <c r="AY534" s="33">
        <f>IF(MID(E534,5,1)*1=2,$AG$68,$AF$68)</f>
        <v>1</v>
      </c>
      <c r="AZ534" s="2"/>
      <c r="BA534" s="101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2" customHeight="1">
      <c r="A535" s="2"/>
      <c r="B535" s="107">
        <v>730</v>
      </c>
      <c r="C535" s="31">
        <v>10</v>
      </c>
      <c r="D535" s="111" t="s">
        <v>21</v>
      </c>
      <c r="E535" s="2" t="s">
        <v>144</v>
      </c>
      <c r="F535" s="2"/>
      <c r="G535" s="2"/>
      <c r="H535" s="33"/>
      <c r="I535" s="173">
        <f>M535/AE535</f>
        <v>596.0250701654943</v>
      </c>
      <c r="J535" s="174">
        <f>AH535/AE535</f>
        <v>23.695174714659018</v>
      </c>
      <c r="K535" s="207">
        <f>RANK(I535,$I$76:$I$977)</f>
        <v>460</v>
      </c>
      <c r="L535" s="208">
        <f>RANK(I535,$I$451:$I$866)</f>
        <v>85</v>
      </c>
      <c r="M535" s="173">
        <f>SUM(N535:R535)</f>
        <v>16526.084986259822</v>
      </c>
      <c r="N535" s="174">
        <f>T535*(1+((AG535+IF(F535="백어택",8,0))/100)*(AI535/100-1))</f>
        <v>16526.084986259822</v>
      </c>
      <c r="O535" s="174"/>
      <c r="P535" s="174"/>
      <c r="Q535" s="174"/>
      <c r="R535" s="175">
        <f>X535*(1+(AG535/100)*(AI535/100-1))</f>
        <v>0</v>
      </c>
      <c r="S535" s="173">
        <f>SUM(T535:X535)</f>
        <v>13887.314664848051</v>
      </c>
      <c r="T535" s="174">
        <f>AL535*AW535*AX535*AY535*IF(F535="백어택",1.2,1)</f>
        <v>13887.314664848051</v>
      </c>
      <c r="U535" s="174"/>
      <c r="V535" s="174"/>
      <c r="W535" s="174"/>
      <c r="X535" s="175">
        <f>AL535*AS535+IF(AX535=1,AL535*AU535,AL535*AU535*2)</f>
        <v>0</v>
      </c>
      <c r="Y535" s="173">
        <f>SUM(Z535:AD535)</f>
        <v>27774.629329696101</v>
      </c>
      <c r="Z535" s="174">
        <f>T535*$D$58/100</f>
        <v>27774.629329696101</v>
      </c>
      <c r="AA535" s="174"/>
      <c r="AB535" s="174"/>
      <c r="AC535" s="174"/>
      <c r="AD535" s="175">
        <f>X535*$D$58/100</f>
        <v>0</v>
      </c>
      <c r="AE535" s="173">
        <f>AO535*(1-$D$20/100)*(1-$D$17/100)-AR535</f>
        <v>27.727164197424003</v>
      </c>
      <c r="AF535" s="174">
        <f>AP535</f>
        <v>36</v>
      </c>
      <c r="AG535" s="174">
        <f>IF($D$57&gt;100,100,$D$57)</f>
        <v>19.001300000000001</v>
      </c>
      <c r="AH535" s="174">
        <f>AQ535</f>
        <v>657</v>
      </c>
      <c r="AI535" s="174">
        <f>$D$58</f>
        <v>200</v>
      </c>
      <c r="AJ535" s="174">
        <f>10/6</f>
        <v>1.6666666666666667</v>
      </c>
      <c r="AK535" s="174">
        <f>SUM(AL535:AN535)</f>
        <v>9919.5104748914655</v>
      </c>
      <c r="AL535" s="174">
        <f>(VLOOKUP(C535,$B$36:$AG$39,31,FALSE)+VLOOKUP(C535,$B$40:$AG$43,31,FALSE)*$D$54)*$D$59/100</f>
        <v>9919.5104748914655</v>
      </c>
      <c r="AM535" s="174"/>
      <c r="AN535" s="174"/>
      <c r="AO535" s="176">
        <v>36</v>
      </c>
      <c r="AP535" s="174">
        <v>36</v>
      </c>
      <c r="AQ535" s="175">
        <f>VLOOKUP(C535,$B$45:$AG$48,31,FALSE)</f>
        <v>657</v>
      </c>
      <c r="AR535" s="31">
        <f>IF(LEFT(E535,1)*1=1,$S$71,$R$71)</f>
        <v>0</v>
      </c>
      <c r="AS535" s="2">
        <f>IF(LEFT(E535,1)*1=2,$U$71,$T$71)</f>
        <v>0</v>
      </c>
      <c r="AT535" s="33">
        <f>IF(LEFT(E535,1)*1=3,$W$71,$V$71)</f>
        <v>0</v>
      </c>
      <c r="AU535" s="31">
        <f>IF(MID(E535,3,1)*1=1,$Y$71,$X$71)</f>
        <v>0</v>
      </c>
      <c r="AV535" s="2">
        <f>IF(MID(E535,3,1)*1=2,$AA$71,$Z$71)</f>
        <v>0</v>
      </c>
      <c r="AW535" s="33">
        <f>IF(MID(E535,3,1)*1=3,$AC$71,$AB$71)</f>
        <v>1</v>
      </c>
      <c r="AX535" s="31">
        <f>IF(MID(E535,5,1)*1=1,$AE$71,$AD$71)</f>
        <v>1.4</v>
      </c>
      <c r="AY535" s="33">
        <f>IF(MID(E535,5,1)*1=2,$AG$71,$AF$71)</f>
        <v>1</v>
      </c>
      <c r="AZ535" s="2"/>
      <c r="BA535" s="101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2" customHeight="1">
      <c r="A536" s="2"/>
      <c r="B536" s="107">
        <v>214</v>
      </c>
      <c r="C536" s="31">
        <v>4</v>
      </c>
      <c r="D536" s="106" t="s">
        <v>10</v>
      </c>
      <c r="E536" s="2" t="s">
        <v>67</v>
      </c>
      <c r="F536" s="2"/>
      <c r="G536" s="2"/>
      <c r="H536" s="33"/>
      <c r="I536" s="173">
        <f>M536/AE536</f>
        <v>594.37278510409305</v>
      </c>
      <c r="J536" s="174">
        <f>AH536/AE536</f>
        <v>9.8985784137816282</v>
      </c>
      <c r="K536" s="207">
        <f>RANK(I536,$I$76:$I$977)</f>
        <v>461</v>
      </c>
      <c r="L536" s="208" t="e">
        <f>RANK(I536,$I$76:$I$450)</f>
        <v>#N/A</v>
      </c>
      <c r="M536" s="173">
        <f>SUM(N536:R536)</f>
        <v>9487.3118260796018</v>
      </c>
      <c r="N536" s="174">
        <f>T536*(1+((AG536+IF(F536="백어택",8,0))/100)*((AI536/100-1)))</f>
        <v>9487.3118260796018</v>
      </c>
      <c r="O536" s="174"/>
      <c r="P536" s="174"/>
      <c r="Q536" s="174"/>
      <c r="R536" s="175"/>
      <c r="S536" s="173">
        <f>SUM(T536:X536)</f>
        <v>7185.2756769182924</v>
      </c>
      <c r="T536" s="174">
        <f>AL536*AS536*AU536*AX536*IF(AY536=0,1,0.5)*IF(F536="백어택",1.2,1)</f>
        <v>7185.2756769182924</v>
      </c>
      <c r="U536" s="174"/>
      <c r="V536" s="174"/>
      <c r="W536" s="174"/>
      <c r="X536" s="175"/>
      <c r="Y536" s="173">
        <f>SUM(Z536:AD536)</f>
        <v>19300.426477975641</v>
      </c>
      <c r="Z536" s="174">
        <f>T536*AI536/100</f>
        <v>19300.426477975641</v>
      </c>
      <c r="AA536" s="174"/>
      <c r="AB536" s="174"/>
      <c r="AC536" s="174"/>
      <c r="AD536" s="175"/>
      <c r="AE536" s="173">
        <f>AO536*(1-$D$17/100)</f>
        <v>15.961888</v>
      </c>
      <c r="AF536" s="174">
        <f>AP536</f>
        <v>36</v>
      </c>
      <c r="AG536" s="174">
        <f>IF($D$57+AV536&gt;100,100,$D$57+AV536)</f>
        <v>19.001300000000001</v>
      </c>
      <c r="AH536" s="174">
        <f>AQ536</f>
        <v>158</v>
      </c>
      <c r="AI536" s="174">
        <f>$D$58+$D$19</f>
        <v>268.61079999999998</v>
      </c>
      <c r="AJ536" s="174">
        <f>10*AR536/(7-IF(AX536=1,0,3))</f>
        <v>1.4285714285714286</v>
      </c>
      <c r="AK536" s="174">
        <f>SUM(AL536:AN536)</f>
        <v>7185.2756769182924</v>
      </c>
      <c r="AL536" s="174">
        <f>(VLOOKUP(C536,$B$36:$AG$39,13,FALSE)+VLOOKUP(C536,$B$40:$AG$43,13,FALSE)*$D$54)*$D$59/100</f>
        <v>7185.2756769182924</v>
      </c>
      <c r="AM536" s="174"/>
      <c r="AN536" s="174"/>
      <c r="AO536" s="176">
        <v>16</v>
      </c>
      <c r="AP536" s="174">
        <v>36</v>
      </c>
      <c r="AQ536" s="175">
        <f>VLOOKUP(C536,$B$45:$AA$48,13,FALSE)</f>
        <v>158</v>
      </c>
      <c r="AR536" s="31">
        <f>IF(LEFT(E536,1)*1=1,$S$60,$R$60)</f>
        <v>1</v>
      </c>
      <c r="AS536" s="2">
        <f>IF(LEFT(E536,1)*1=2,$U$60,$T$60)</f>
        <v>1</v>
      </c>
      <c r="AT536" s="33">
        <f>IF(LEFT(E536,1)*1=3,$W$60,$V$60)</f>
        <v>0</v>
      </c>
      <c r="AU536" s="31">
        <f>IF(MID(E536,3,1)*1=1,$Y$60,$X$60)</f>
        <v>1</v>
      </c>
      <c r="AV536" s="2">
        <f>IF(MID(E536,3,1)*1=2,$AA$60,$Z$60)</f>
        <v>0</v>
      </c>
      <c r="AW536" s="33">
        <f>IF(MID(E536,3,1)*1=3,$AC$60,$AB$60)</f>
        <v>0</v>
      </c>
      <c r="AX536" s="31">
        <f>IF(MID(E536,5,1)*1=1,$AE$60,$AD$60)</f>
        <v>1</v>
      </c>
      <c r="AY536" s="33">
        <f>IF(MID(E536,5,1)*1=2,$AG$60,$AF$60)</f>
        <v>0</v>
      </c>
      <c r="AZ536" s="2"/>
      <c r="BA536" s="101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2" customHeight="1">
      <c r="A537" s="2"/>
      <c r="B537" s="107">
        <v>215</v>
      </c>
      <c r="C537" s="31">
        <v>4</v>
      </c>
      <c r="D537" s="106" t="s">
        <v>10</v>
      </c>
      <c r="E537" s="2" t="s">
        <v>148</v>
      </c>
      <c r="F537" s="2"/>
      <c r="G537" s="2"/>
      <c r="H537" s="33"/>
      <c r="I537" s="173">
        <f>M537/AE537</f>
        <v>594.37278510409305</v>
      </c>
      <c r="J537" s="174">
        <f>AH537/AE537</f>
        <v>9.8985784137816282</v>
      </c>
      <c r="K537" s="207">
        <f>RANK(I537,$I$76:$I$977)</f>
        <v>461</v>
      </c>
      <c r="L537" s="208" t="e">
        <f>RANK(I537,$I$76:$I$450)</f>
        <v>#N/A</v>
      </c>
      <c r="M537" s="173">
        <f>SUM(N537:R537)</f>
        <v>9487.3118260796018</v>
      </c>
      <c r="N537" s="174">
        <f>T537*(1+((AG537+IF(F537="백어택",8,0))/100)*((AI537/100-1)))</f>
        <v>9487.3118260796018</v>
      </c>
      <c r="O537" s="174"/>
      <c r="P537" s="174"/>
      <c r="Q537" s="174"/>
      <c r="R537" s="175"/>
      <c r="S537" s="173">
        <f>SUM(T537:X537)</f>
        <v>7185.2756769182924</v>
      </c>
      <c r="T537" s="174">
        <f>AL537*AS537*AU537*AX537*IF(AY537=0,1,0.5)*IF(F537="백어택",1.2,1)</f>
        <v>7185.2756769182924</v>
      </c>
      <c r="U537" s="174"/>
      <c r="V537" s="174"/>
      <c r="W537" s="174"/>
      <c r="X537" s="175"/>
      <c r="Y537" s="173">
        <f>SUM(Z537:AD537)</f>
        <v>19300.426477975641</v>
      </c>
      <c r="Z537" s="174">
        <f>T537*AI537/100</f>
        <v>19300.426477975641</v>
      </c>
      <c r="AA537" s="174"/>
      <c r="AB537" s="174"/>
      <c r="AC537" s="174"/>
      <c r="AD537" s="175"/>
      <c r="AE537" s="173">
        <f>AO537*(1-$D$17/100)</f>
        <v>15.961888</v>
      </c>
      <c r="AF537" s="174">
        <f>AP537</f>
        <v>36</v>
      </c>
      <c r="AG537" s="174">
        <f>IF($D$57+AV537&gt;100,100,$D$57+AV537)</f>
        <v>19.001300000000001</v>
      </c>
      <c r="AH537" s="174">
        <f>AQ537</f>
        <v>158</v>
      </c>
      <c r="AI537" s="174">
        <f>$D$58+$D$19</f>
        <v>268.61079999999998</v>
      </c>
      <c r="AJ537" s="174">
        <f>10*AR537/(7-IF(AX537=1,0,3))</f>
        <v>1.2142857142857142</v>
      </c>
      <c r="AK537" s="174">
        <f>SUM(AL537:AN537)</f>
        <v>7185.2756769182924</v>
      </c>
      <c r="AL537" s="174">
        <f>(VLOOKUP(C537,$B$36:$AG$39,13,FALSE)+VLOOKUP(C537,$B$40:$AG$43,13,FALSE)*$D$54)*$D$59/100</f>
        <v>7185.2756769182924</v>
      </c>
      <c r="AM537" s="174"/>
      <c r="AN537" s="174"/>
      <c r="AO537" s="176">
        <v>16</v>
      </c>
      <c r="AP537" s="174">
        <v>36</v>
      </c>
      <c r="AQ537" s="175">
        <f>VLOOKUP(C537,$B$45:$AA$48,13,FALSE)</f>
        <v>158</v>
      </c>
      <c r="AR537" s="31">
        <f>IF(LEFT(E537,1)*1=1,$S$60,$R$60)</f>
        <v>0.85</v>
      </c>
      <c r="AS537" s="2">
        <f>IF(LEFT(E537,1)*1=2,$U$60,$T$60)</f>
        <v>1</v>
      </c>
      <c r="AT537" s="33">
        <f>IF(LEFT(E537,1)*1=3,$W$60,$V$60)</f>
        <v>0</v>
      </c>
      <c r="AU537" s="31">
        <f>IF(MID(E537,3,1)*1=1,$Y$60,$X$60)</f>
        <v>1</v>
      </c>
      <c r="AV537" s="2">
        <f>IF(MID(E537,3,1)*1=2,$AA$60,$Z$60)</f>
        <v>0</v>
      </c>
      <c r="AW537" s="33">
        <f>IF(MID(E537,3,1)*1=3,$AC$60,$AB$60)</f>
        <v>0</v>
      </c>
      <c r="AX537" s="31">
        <f>IF(MID(E537,5,1)*1=1,$AE$60,$AD$60)</f>
        <v>1</v>
      </c>
      <c r="AY537" s="33">
        <f>IF(MID(E537,5,1)*1=2,$AG$60,$AF$60)</f>
        <v>0</v>
      </c>
      <c r="AZ537" s="2"/>
      <c r="BA537" s="101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2" customHeight="1">
      <c r="A538" s="2"/>
      <c r="B538" s="107">
        <v>347</v>
      </c>
      <c r="C538" s="31">
        <v>10</v>
      </c>
      <c r="D538" s="106" t="s">
        <v>20</v>
      </c>
      <c r="E538" s="2" t="s">
        <v>140</v>
      </c>
      <c r="F538" s="2"/>
      <c r="G538" s="2"/>
      <c r="H538" s="33"/>
      <c r="I538" s="173">
        <f>M538/AE538</f>
        <v>591.99543434231396</v>
      </c>
      <c r="J538" s="174">
        <f>AH538/AE538</f>
        <v>24.558498343053152</v>
      </c>
      <c r="K538" s="207">
        <f>RANK(I538,$I$76:$I$977)</f>
        <v>463</v>
      </c>
      <c r="L538" s="208" t="e">
        <f>RANK(I538,$I$76:$I$450)</f>
        <v>#N/A</v>
      </c>
      <c r="M538" s="173">
        <f>SUM(N538:R538)</f>
        <v>10630.53542191879</v>
      </c>
      <c r="N538" s="174">
        <f>T538*(1+((AG538+IF(F538="백어택",8,0))/100)*((AI538/100-1)))</f>
        <v>4828.8380924083503</v>
      </c>
      <c r="O538" s="174">
        <f>U538*(1+(($D$57+IF(F538="백어택",8,0))/100)*($D$58/100-1))</f>
        <v>5801.6973295104399</v>
      </c>
      <c r="P538" s="174"/>
      <c r="Q538" s="174"/>
      <c r="R538" s="175"/>
      <c r="S538" s="173">
        <f>SUM(T538:X538)</f>
        <v>8532.4737486280501</v>
      </c>
      <c r="T538" s="174">
        <f>AL538*AV538*IF(F538="백어택",1.2,1)</f>
        <v>3657.1511013036588</v>
      </c>
      <c r="U538" s="174">
        <f>AM538*AX538*AY538*IF(F538="백어택",1.2,1)</f>
        <v>4875.3226473243903</v>
      </c>
      <c r="V538" s="174"/>
      <c r="W538" s="174"/>
      <c r="X538" s="175"/>
      <c r="Y538" s="173">
        <f>SUM(Z538:AD538)</f>
        <v>17064.9474972561</v>
      </c>
      <c r="Z538" s="174">
        <f>T538*$D$58/100</f>
        <v>7314.3022026073177</v>
      </c>
      <c r="AA538" s="174">
        <f>U538*$D$58/100</f>
        <v>9750.6452946487807</v>
      </c>
      <c r="AB538" s="174"/>
      <c r="AC538" s="174"/>
      <c r="AD538" s="175"/>
      <c r="AE538" s="173">
        <f>AO538*(1-$D$17/100)-AR538</f>
        <v>17.957124</v>
      </c>
      <c r="AF538" s="174">
        <f>AP538</f>
        <v>36</v>
      </c>
      <c r="AG538" s="174">
        <f>IF($D$57+AU538&gt;100,100,$D$57+AU538)</f>
        <v>19.001300000000001</v>
      </c>
      <c r="AH538" s="174">
        <f>AQ538*AS538</f>
        <v>441</v>
      </c>
      <c r="AI538" s="174">
        <f>$D$58+$D$19</f>
        <v>268.61079999999998</v>
      </c>
      <c r="AJ538" s="174">
        <f>10*IF(AV538=1,1,5/4.5)/IF(AX538=1,5,3.5)</f>
        <v>3.1746031746031744</v>
      </c>
      <c r="AK538" s="174">
        <f>SUM(AL538:AN538)</f>
        <v>4875.7620578646347</v>
      </c>
      <c r="AL538" s="174">
        <f>(VLOOKUP(C538,$B$36:$AG$39,29,FALSE)+VLOOKUP(C538,$B$40:$AG$43,29,FALSE)*$D$54)*$D$59/100</f>
        <v>2438.1007342024391</v>
      </c>
      <c r="AM538" s="174">
        <f>(VLOOKUP(C538,$B$36:$AG$39,30,FALSE)+VLOOKUP(C538,$B$40:$AG$43,30,FALSE)*$D$54)*$D$59/100</f>
        <v>2437.6613236621952</v>
      </c>
      <c r="AN538" s="174"/>
      <c r="AO538" s="176">
        <v>18</v>
      </c>
      <c r="AP538" s="174">
        <v>36</v>
      </c>
      <c r="AQ538" s="175">
        <f>VLOOKUP(C538,$B$45:$AG$48,29,FALSE)</f>
        <v>441</v>
      </c>
      <c r="AR538" s="31">
        <f>IF(LEFT(E538,1)*1=1,$S$70,$R$70)</f>
        <v>0</v>
      </c>
      <c r="AS538" s="2">
        <f>IF(LEFT(E538,1)*1=2,$U$70,$T$70)</f>
        <v>1</v>
      </c>
      <c r="AT538" s="33">
        <f>IF(LEFT(E538,1)*1=3,$W$70,$V$70)</f>
        <v>0</v>
      </c>
      <c r="AU538" s="31">
        <f>IF(MID(E538,3,1)*1=1,$Y$70,$X$70)</f>
        <v>0</v>
      </c>
      <c r="AV538" s="2">
        <f>IF(MID(E538,3,1)*1=2,$AA$70,$Z$70)</f>
        <v>1.5</v>
      </c>
      <c r="AW538" s="33">
        <f>IF(MID(E538,3,1)*1=3,$AC$70,$AB$70)</f>
        <v>0</v>
      </c>
      <c r="AX538" s="31">
        <f>IF(MID(E538,5,1)*1=1,$AE$70,$AD$70)</f>
        <v>2</v>
      </c>
      <c r="AY538" s="33">
        <f>IF(MID(E538,5,1)*1=2,$AG$70,$AF$70)</f>
        <v>1</v>
      </c>
      <c r="AZ538" s="2"/>
      <c r="BA538" s="101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2" customHeight="1">
      <c r="A539" s="2"/>
      <c r="B539" s="107">
        <v>353</v>
      </c>
      <c r="C539" s="31">
        <v>10</v>
      </c>
      <c r="D539" s="106" t="s">
        <v>20</v>
      </c>
      <c r="E539" s="2" t="s">
        <v>162</v>
      </c>
      <c r="F539" s="2"/>
      <c r="G539" s="2"/>
      <c r="H539" s="33"/>
      <c r="I539" s="173">
        <f>M539/AE539</f>
        <v>591.99543434231396</v>
      </c>
      <c r="J539" s="174">
        <f>AH539/AE539</f>
        <v>12.279249171526576</v>
      </c>
      <c r="K539" s="207">
        <f>RANK(I539,$I$76:$I$977)</f>
        <v>463</v>
      </c>
      <c r="L539" s="208" t="e">
        <f>RANK(I539,$I$76:$I$450)</f>
        <v>#N/A</v>
      </c>
      <c r="M539" s="173">
        <f>SUM(N539:R539)</f>
        <v>10630.53542191879</v>
      </c>
      <c r="N539" s="174">
        <f>T539*(1+((AG539+IF(F539="백어택",8,0))/100)*((AI539/100-1)))</f>
        <v>4828.8380924083503</v>
      </c>
      <c r="O539" s="174">
        <f>U539*(1+(($D$57+IF(F539="백어택",8,0))/100)*($D$58/100-1))</f>
        <v>5801.6973295104399</v>
      </c>
      <c r="P539" s="174"/>
      <c r="Q539" s="174"/>
      <c r="R539" s="175"/>
      <c r="S539" s="173">
        <f>SUM(T539:X539)</f>
        <v>8532.4737486280501</v>
      </c>
      <c r="T539" s="174">
        <f>AL539*AV539*IF(F539="백어택",1.2,1)</f>
        <v>3657.1511013036588</v>
      </c>
      <c r="U539" s="174">
        <f>AM539*AX539*AY539*IF(F539="백어택",1.2,1)</f>
        <v>4875.3226473243903</v>
      </c>
      <c r="V539" s="174"/>
      <c r="W539" s="174"/>
      <c r="X539" s="175"/>
      <c r="Y539" s="173">
        <f>SUM(Z539:AD539)</f>
        <v>17064.9474972561</v>
      </c>
      <c r="Z539" s="174">
        <f>T539*$D$58/100</f>
        <v>7314.3022026073177</v>
      </c>
      <c r="AA539" s="174">
        <f>U539*$D$58/100</f>
        <v>9750.6452946487807</v>
      </c>
      <c r="AB539" s="174"/>
      <c r="AC539" s="174"/>
      <c r="AD539" s="175"/>
      <c r="AE539" s="173">
        <f>AO539*(1-$D$17/100)-AR539</f>
        <v>17.957124</v>
      </c>
      <c r="AF539" s="174">
        <f>AP539</f>
        <v>36</v>
      </c>
      <c r="AG539" s="174">
        <f>IF($D$57+AU539&gt;100,100,$D$57+AU539)</f>
        <v>19.001300000000001</v>
      </c>
      <c r="AH539" s="174">
        <f>AQ539*AS539</f>
        <v>220.5</v>
      </c>
      <c r="AI539" s="174">
        <f>$D$58+$D$19</f>
        <v>268.61079999999998</v>
      </c>
      <c r="AJ539" s="174">
        <f>10*IF(AV539=1,1,5/4.5)/IF(AX539=1,5,3.5)</f>
        <v>3.1746031746031744</v>
      </c>
      <c r="AK539" s="174">
        <f>SUM(AL539:AN539)</f>
        <v>4875.7620578646347</v>
      </c>
      <c r="AL539" s="174">
        <f>(VLOOKUP(C539,$B$36:$AG$39,29,FALSE)+VLOOKUP(C539,$B$40:$AG$43,29,FALSE)*$D$54)*$D$59/100</f>
        <v>2438.1007342024391</v>
      </c>
      <c r="AM539" s="174">
        <f>(VLOOKUP(C539,$B$36:$AG$39,30,FALSE)+VLOOKUP(C539,$B$40:$AG$43,30,FALSE)*$D$54)*$D$59/100</f>
        <v>2437.6613236621952</v>
      </c>
      <c r="AN539" s="174"/>
      <c r="AO539" s="176">
        <v>18</v>
      </c>
      <c r="AP539" s="174">
        <v>36</v>
      </c>
      <c r="AQ539" s="175">
        <f>VLOOKUP(C539,$B$45:$AG$48,29,FALSE)</f>
        <v>441</v>
      </c>
      <c r="AR539" s="31">
        <f>IF(LEFT(E539,1)*1=1,$S$70,$R$70)</f>
        <v>0</v>
      </c>
      <c r="AS539" s="2">
        <f>IF(LEFT(E539,1)*1=2,$U$70,$T$70)</f>
        <v>0.5</v>
      </c>
      <c r="AT539" s="33">
        <f>IF(LEFT(E539,1)*1=3,$W$70,$V$70)</f>
        <v>0</v>
      </c>
      <c r="AU539" s="31">
        <f>IF(MID(E539,3,1)*1=1,$Y$70,$X$70)</f>
        <v>0</v>
      </c>
      <c r="AV539" s="2">
        <f>IF(MID(E539,3,1)*1=2,$AA$70,$Z$70)</f>
        <v>1.5</v>
      </c>
      <c r="AW539" s="33">
        <f>IF(MID(E539,3,1)*1=3,$AC$70,$AB$70)</f>
        <v>0</v>
      </c>
      <c r="AX539" s="31">
        <f>IF(MID(E539,5,1)*1=1,$AE$70,$AD$70)</f>
        <v>2</v>
      </c>
      <c r="AY539" s="33">
        <f>IF(MID(E539,5,1)*1=2,$AG$70,$AF$70)</f>
        <v>1</v>
      </c>
      <c r="AZ539" s="2"/>
      <c r="BA539" s="101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2" customHeight="1">
      <c r="A540" s="2"/>
      <c r="B540" s="107">
        <v>356</v>
      </c>
      <c r="C540" s="31">
        <v>10</v>
      </c>
      <c r="D540" s="106" t="s">
        <v>20</v>
      </c>
      <c r="E540" s="2" t="s">
        <v>95</v>
      </c>
      <c r="F540" s="2"/>
      <c r="G540" s="2"/>
      <c r="H540" s="33"/>
      <c r="I540" s="173">
        <f>M540/AE540</f>
        <v>591.99543434231396</v>
      </c>
      <c r="J540" s="174">
        <f>AH540/AE540</f>
        <v>24.558498343053152</v>
      </c>
      <c r="K540" s="207">
        <f>RANK(I540,$I$76:$I$977)</f>
        <v>463</v>
      </c>
      <c r="L540" s="208" t="e">
        <f>RANK(I540,$I$76:$I$450)</f>
        <v>#N/A</v>
      </c>
      <c r="M540" s="173">
        <f>SUM(N540:R540)</f>
        <v>10630.53542191879</v>
      </c>
      <c r="N540" s="174">
        <f>T540*(1+((AG540+IF(F540="백어택",8,0))/100)*((AI540/100-1)))</f>
        <v>4828.8380924083503</v>
      </c>
      <c r="O540" s="174">
        <f>U540*(1+(($D$57+IF(F540="백어택",8,0))/100)*($D$58/100-1))</f>
        <v>5801.6973295104399</v>
      </c>
      <c r="P540" s="174"/>
      <c r="Q540" s="174"/>
      <c r="R540" s="175"/>
      <c r="S540" s="173">
        <f>SUM(T540:X540)</f>
        <v>8532.4737486280501</v>
      </c>
      <c r="T540" s="174">
        <f>AL540*AV540*IF(F540="백어택",1.2,1)</f>
        <v>3657.1511013036588</v>
      </c>
      <c r="U540" s="174">
        <f>AM540*AX540*AY540*IF(F540="백어택",1.2,1)</f>
        <v>4875.3226473243903</v>
      </c>
      <c r="V540" s="174"/>
      <c r="W540" s="174"/>
      <c r="X540" s="175"/>
      <c r="Y540" s="173">
        <f>SUM(Z540:AD540)</f>
        <v>17064.9474972561</v>
      </c>
      <c r="Z540" s="174">
        <f>T540*$D$58/100</f>
        <v>7314.3022026073177</v>
      </c>
      <c r="AA540" s="174">
        <f>U540*$D$58/100</f>
        <v>9750.6452946487807</v>
      </c>
      <c r="AB540" s="174"/>
      <c r="AC540" s="174"/>
      <c r="AD540" s="175"/>
      <c r="AE540" s="173">
        <f>AO540*(1-$D$17/100)-AR540</f>
        <v>17.957124</v>
      </c>
      <c r="AF540" s="174">
        <f>AP540</f>
        <v>36</v>
      </c>
      <c r="AG540" s="174">
        <f>IF($D$57+AU540&gt;100,100,$D$57+AU540)</f>
        <v>19.001300000000001</v>
      </c>
      <c r="AH540" s="174">
        <f>AQ540*AS540</f>
        <v>441</v>
      </c>
      <c r="AI540" s="174">
        <f>$D$58+$D$19</f>
        <v>268.61079999999998</v>
      </c>
      <c r="AJ540" s="174">
        <f>10*IF(AV540=1,1,5/4.5)/IF(AX540=1,5,3.5)</f>
        <v>2.2222222222222223</v>
      </c>
      <c r="AK540" s="174">
        <f>SUM(AL540:AN540)</f>
        <v>4875.7620578646347</v>
      </c>
      <c r="AL540" s="174">
        <f>(VLOOKUP(C540,$B$36:$AG$39,29,FALSE)+VLOOKUP(C540,$B$40:$AG$43,29,FALSE)*$D$54)*$D$59/100</f>
        <v>2438.1007342024391</v>
      </c>
      <c r="AM540" s="174">
        <f>(VLOOKUP(C540,$B$36:$AG$39,30,FALSE)+VLOOKUP(C540,$B$40:$AG$43,30,FALSE)*$D$54)*$D$59/100</f>
        <v>2437.6613236621952</v>
      </c>
      <c r="AN540" s="174"/>
      <c r="AO540" s="176">
        <v>18</v>
      </c>
      <c r="AP540" s="174">
        <v>36</v>
      </c>
      <c r="AQ540" s="175">
        <f>VLOOKUP(C540,$B$45:$AG$48,29,FALSE)</f>
        <v>441</v>
      </c>
      <c r="AR540" s="31">
        <f>IF(LEFT(E540,1)*1=1,$S$70,$R$70)</f>
        <v>0</v>
      </c>
      <c r="AS540" s="2">
        <f>IF(LEFT(E540,1)*1=2,$U$70,$T$70)</f>
        <v>1</v>
      </c>
      <c r="AT540" s="33">
        <f>IF(LEFT(E540,1)*1=3,$W$70,$V$70)</f>
        <v>0</v>
      </c>
      <c r="AU540" s="31">
        <f>IF(MID(E540,3,1)*1=1,$Y$70,$X$70)</f>
        <v>0</v>
      </c>
      <c r="AV540" s="2">
        <f>IF(MID(E540,3,1)*1=2,$AA$70,$Z$70)</f>
        <v>1.5</v>
      </c>
      <c r="AW540" s="33">
        <f>IF(MID(E540,3,1)*1=3,$AC$70,$AB$70)</f>
        <v>0</v>
      </c>
      <c r="AX540" s="31">
        <f>IF(MID(E540,5,1)*1=1,$AE$70,$AD$70)</f>
        <v>1</v>
      </c>
      <c r="AY540" s="33">
        <f>IF(MID(E540,5,1)*1=2,$AG$70,$AF$70)</f>
        <v>2</v>
      </c>
      <c r="AZ540" s="2"/>
      <c r="BA540" s="101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2" customHeight="1">
      <c r="A541" s="2"/>
      <c r="B541" s="107">
        <v>362</v>
      </c>
      <c r="C541" s="31">
        <v>10</v>
      </c>
      <c r="D541" s="106" t="s">
        <v>20</v>
      </c>
      <c r="E541" s="2" t="s">
        <v>102</v>
      </c>
      <c r="F541" s="2"/>
      <c r="G541" s="2"/>
      <c r="H541" s="33"/>
      <c r="I541" s="173">
        <f>M541/AE541</f>
        <v>591.99543434231396</v>
      </c>
      <c r="J541" s="174">
        <f>AH541/AE541</f>
        <v>12.279249171526576</v>
      </c>
      <c r="K541" s="207">
        <f>RANK(I541,$I$76:$I$977)</f>
        <v>463</v>
      </c>
      <c r="L541" s="208" t="e">
        <f>RANK(I541,$I$76:$I$450)</f>
        <v>#N/A</v>
      </c>
      <c r="M541" s="173">
        <f>SUM(N541:R541)</f>
        <v>10630.53542191879</v>
      </c>
      <c r="N541" s="174">
        <f>T541*(1+((AG541+IF(F541="백어택",8,0))/100)*((AI541/100-1)))</f>
        <v>4828.8380924083503</v>
      </c>
      <c r="O541" s="174">
        <f>U541*(1+(($D$57+IF(F541="백어택",8,0))/100)*($D$58/100-1))</f>
        <v>5801.6973295104399</v>
      </c>
      <c r="P541" s="174"/>
      <c r="Q541" s="174"/>
      <c r="R541" s="175"/>
      <c r="S541" s="173">
        <f>SUM(T541:X541)</f>
        <v>8532.4737486280501</v>
      </c>
      <c r="T541" s="174">
        <f>AL541*AV541*IF(F541="백어택",1.2,1)</f>
        <v>3657.1511013036588</v>
      </c>
      <c r="U541" s="174">
        <f>AM541*AX541*AY541*IF(F541="백어택",1.2,1)</f>
        <v>4875.3226473243903</v>
      </c>
      <c r="V541" s="174"/>
      <c r="W541" s="174"/>
      <c r="X541" s="175"/>
      <c r="Y541" s="173">
        <f>SUM(Z541:AD541)</f>
        <v>17064.9474972561</v>
      </c>
      <c r="Z541" s="174">
        <f>T541*$D$58/100</f>
        <v>7314.3022026073177</v>
      </c>
      <c r="AA541" s="174">
        <f>U541*$D$58/100</f>
        <v>9750.6452946487807</v>
      </c>
      <c r="AB541" s="174"/>
      <c r="AC541" s="174"/>
      <c r="AD541" s="175"/>
      <c r="AE541" s="173">
        <f>AO541*(1-$D$17/100)-AR541</f>
        <v>17.957124</v>
      </c>
      <c r="AF541" s="174">
        <f>AP541</f>
        <v>36</v>
      </c>
      <c r="AG541" s="174">
        <f>IF($D$57+AU541&gt;100,100,$D$57+AU541)</f>
        <v>19.001300000000001</v>
      </c>
      <c r="AH541" s="174">
        <f>AQ541*AS541</f>
        <v>220.5</v>
      </c>
      <c r="AI541" s="174">
        <f>$D$58+$D$19</f>
        <v>268.61079999999998</v>
      </c>
      <c r="AJ541" s="174">
        <f>10*IF(AV541=1,1,5/4.5)/IF(AX541=1,5,3.5)</f>
        <v>2.2222222222222223</v>
      </c>
      <c r="AK541" s="174">
        <f>SUM(AL541:AN541)</f>
        <v>4875.7620578646347</v>
      </c>
      <c r="AL541" s="174">
        <f>(VLOOKUP(C541,$B$36:$AG$39,29,FALSE)+VLOOKUP(C541,$B$40:$AG$43,29,FALSE)*$D$54)*$D$59/100</f>
        <v>2438.1007342024391</v>
      </c>
      <c r="AM541" s="174">
        <f>(VLOOKUP(C541,$B$36:$AG$39,30,FALSE)+VLOOKUP(C541,$B$40:$AG$43,30,FALSE)*$D$54)*$D$59/100</f>
        <v>2437.6613236621952</v>
      </c>
      <c r="AN541" s="174"/>
      <c r="AO541" s="176">
        <v>18</v>
      </c>
      <c r="AP541" s="174">
        <v>36</v>
      </c>
      <c r="AQ541" s="175">
        <f>VLOOKUP(C541,$B$45:$AG$48,29,FALSE)</f>
        <v>441</v>
      </c>
      <c r="AR541" s="31">
        <f>IF(LEFT(E541,1)*1=1,$S$70,$R$70)</f>
        <v>0</v>
      </c>
      <c r="AS541" s="2">
        <f>IF(LEFT(E541,1)*1=2,$U$70,$T$70)</f>
        <v>0.5</v>
      </c>
      <c r="AT541" s="33">
        <f>IF(LEFT(E541,1)*1=3,$W$70,$V$70)</f>
        <v>0</v>
      </c>
      <c r="AU541" s="31">
        <f>IF(MID(E541,3,1)*1=1,$Y$70,$X$70)</f>
        <v>0</v>
      </c>
      <c r="AV541" s="2">
        <f>IF(MID(E541,3,1)*1=2,$AA$70,$Z$70)</f>
        <v>1.5</v>
      </c>
      <c r="AW541" s="33">
        <f>IF(MID(E541,3,1)*1=3,$AC$70,$AB$70)</f>
        <v>0</v>
      </c>
      <c r="AX541" s="31">
        <f>IF(MID(E541,5,1)*1=1,$AE$70,$AD$70)</f>
        <v>1</v>
      </c>
      <c r="AY541" s="33">
        <f>IF(MID(E541,5,1)*1=2,$AG$70,$AF$70)</f>
        <v>2</v>
      </c>
      <c r="AZ541" s="2"/>
      <c r="BA541" s="101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2" customHeight="1">
      <c r="A542" s="2"/>
      <c r="B542" s="107">
        <v>398</v>
      </c>
      <c r="C542" s="31">
        <v>10</v>
      </c>
      <c r="D542" s="111" t="s">
        <v>8</v>
      </c>
      <c r="E542" s="2" t="s">
        <v>138</v>
      </c>
      <c r="F542" s="2"/>
      <c r="G542" s="2"/>
      <c r="H542" s="33" t="s">
        <v>80</v>
      </c>
      <c r="I542" s="173">
        <f>M542/AE542</f>
        <v>591.26044777748439</v>
      </c>
      <c r="J542" s="174">
        <f>AH542/AE542</f>
        <v>39.459498714320297</v>
      </c>
      <c r="K542" s="207">
        <f>RANK(I542,$I$76:$I$977)</f>
        <v>467</v>
      </c>
      <c r="L542" s="208">
        <f>RANK(I542,$I$451:$I$866)</f>
        <v>92</v>
      </c>
      <c r="M542" s="173">
        <f>SUM(N542:R542)</f>
        <v>10929.317012645832</v>
      </c>
      <c r="N542" s="174">
        <f>T542*(1+((AG542+IF(F542="백어택",8,0))/100)*(IF(AY542=1,$D$58,$D$58+50)/100-1))</f>
        <v>3076.4976377537851</v>
      </c>
      <c r="O542" s="174">
        <f>U542*(1+((AG542+IF(F542="백어택",8,0))/100)*(AI542/100-1))</f>
        <v>3926.4096874460229</v>
      </c>
      <c r="P542" s="174">
        <f>V542*(1+((AG542+IF(F542="백어택",8,0))/100)*(AI542/100-1))</f>
        <v>3926.4096874460229</v>
      </c>
      <c r="Q542" s="174"/>
      <c r="R542" s="175"/>
      <c r="S542" s="173">
        <f>SUM(T542:X542)</f>
        <v>7589.734962563416</v>
      </c>
      <c r="T542" s="174">
        <f>AL542*IF(H542="근접",AR542,1)*AY542*IF(F542="백어택",1.2,1)</f>
        <v>2136.437405602439</v>
      </c>
      <c r="U542" s="174">
        <f>AM542*IF(H542="근접",AR542,1)*AY542*IF(F542="백어택",1.2,1)</f>
        <v>2726.6487784804881</v>
      </c>
      <c r="V542" s="174">
        <f>IF(AX542=1,0,AM542*IF(H542="근접",AR542,1)*AY542)*IF(F542="백어택",1.2,1)</f>
        <v>2726.6487784804881</v>
      </c>
      <c r="W542" s="174"/>
      <c r="X542" s="175"/>
      <c r="Y542" s="173">
        <f>SUM(Z542:AD542)</f>
        <v>15179.469925126832</v>
      </c>
      <c r="Z542" s="174">
        <f>T542*IF(AY542=1,$D$58,$D$58+50)/100</f>
        <v>4272.8748112048779</v>
      </c>
      <c r="AA542" s="174">
        <f>U542*AI542/100</f>
        <v>5453.2975569609762</v>
      </c>
      <c r="AB542" s="174">
        <f>V542*AI542/100</f>
        <v>5453.2975569609762</v>
      </c>
      <c r="AC542" s="174"/>
      <c r="AD542" s="175"/>
      <c r="AE542" s="173">
        <f>AO542*(1-$D$20/100)*(1-$D$17/100)</f>
        <v>18.484776131615998</v>
      </c>
      <c r="AF542" s="174">
        <f>AP542</f>
        <v>36</v>
      </c>
      <c r="AG542" s="174">
        <f>IF($D$57+AU542&gt;100,100,$D$57+AU542)</f>
        <v>44.001300000000001</v>
      </c>
      <c r="AH542" s="174">
        <f>IF(AX542=1,AQ542,AQ542*1.4)</f>
        <v>729.4</v>
      </c>
      <c r="AI542" s="174">
        <f>IF(AY542=1,$D$58,$D$58+50)*AW542</f>
        <v>200</v>
      </c>
      <c r="AJ542" s="174">
        <f>10/6/AX542</f>
        <v>1.1111111111111112</v>
      </c>
      <c r="AK542" s="174">
        <f>SUM(AL542:AN542)</f>
        <v>4863.0861840829275</v>
      </c>
      <c r="AL542" s="174">
        <f>(IF(H542="근접",$D$61*(VLOOKUP(C542,$B$36:$AG$39,9,FALSE)+VLOOKUP(C542,$B$40:$AG$43,9,FALSE)*$D$54),$D$60*(VLOOKUP(C542,$B$36:$AG$39,9,FALSE)+VLOOKUP(C542,$B$40:$AG$43,9,FALSE)*$D$54)))*$D$59/100</f>
        <v>2136.437405602439</v>
      </c>
      <c r="AM542" s="174">
        <f>(IF(H542="근접",$D$61*(VLOOKUP(C542,$B$36:$AG$39,10,FALSE)+VLOOKUP(C542,$B$40:$AG$43,10,FALSE)*$D$54),$D$60*(VLOOKUP(C542,$B$36:$AG$39,10,FALSE)+VLOOKUP(C542,$B$40:$AG$43,10,FALSE)*$D$54)))*$D$59/100</f>
        <v>2726.6487784804881</v>
      </c>
      <c r="AN542" s="174"/>
      <c r="AO542" s="176">
        <v>24</v>
      </c>
      <c r="AP542" s="174">
        <v>36</v>
      </c>
      <c r="AQ542" s="175">
        <f>VLOOKUP(C542,$B$45:$AA$48,9,FALSE)</f>
        <v>521</v>
      </c>
      <c r="AR542" s="31">
        <f>IF(LEFT(E542,1)*1=1,$S$58,$R$58)</f>
        <v>1</v>
      </c>
      <c r="AS542" s="2">
        <f>IF(LEFT(E542,1)*1=2,$U$58,$T$58)</f>
        <v>0</v>
      </c>
      <c r="AT542" s="33">
        <f>IF(LEFT(E542,1)*1=3,$W$58,$V$58)</f>
        <v>0</v>
      </c>
      <c r="AU542" s="31">
        <f>IF(MID(E542,3,1)*1=1,$Y$58,$X$58)</f>
        <v>25</v>
      </c>
      <c r="AV542" s="2">
        <f>IF(MID(E542,3,1)*1=2,$AA$58,$Z$58)</f>
        <v>0</v>
      </c>
      <c r="AW542" s="33">
        <f>IF(MID(E542,3,1)*1=3,$AC$58,$AB$58)</f>
        <v>1</v>
      </c>
      <c r="AX542" s="31">
        <f>IF(MID(E542,5,1)*1=1,$AE$58,$AD$58)</f>
        <v>1.5</v>
      </c>
      <c r="AY542" s="33">
        <f>IF(MID(E542,5,1)*1=2,$AG$58,$AF$58)</f>
        <v>1</v>
      </c>
      <c r="AZ542" s="2"/>
      <c r="BA542" s="101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2" customHeight="1">
      <c r="A543" s="2"/>
      <c r="B543" s="107">
        <v>401</v>
      </c>
      <c r="C543" s="31">
        <v>10</v>
      </c>
      <c r="D543" s="111" t="s">
        <v>8</v>
      </c>
      <c r="E543" s="2" t="s">
        <v>164</v>
      </c>
      <c r="F543" s="2"/>
      <c r="G543" s="2"/>
      <c r="H543" s="33" t="s">
        <v>80</v>
      </c>
      <c r="I543" s="173">
        <f>M543/AE543</f>
        <v>591.26044777748439</v>
      </c>
      <c r="J543" s="174">
        <f>AH543/AE543</f>
        <v>39.459498714320297</v>
      </c>
      <c r="K543" s="207">
        <f>RANK(I543,$I$76:$I$977)</f>
        <v>467</v>
      </c>
      <c r="L543" s="208">
        <f>RANK(I543,$I$451:$I$866)</f>
        <v>92</v>
      </c>
      <c r="M543" s="173">
        <f>SUM(N543:R543)</f>
        <v>10929.317012645832</v>
      </c>
      <c r="N543" s="174">
        <f>T543*(1+((AG543+IF(F543="백어택",8,0))/100)*(IF(AY543=1,$D$58,$D$58+50)/100-1))</f>
        <v>3076.4976377537851</v>
      </c>
      <c r="O543" s="174">
        <f>U543*(1+((AG543+IF(F543="백어택",8,0))/100)*(AI543/100-1))</f>
        <v>3926.4096874460229</v>
      </c>
      <c r="P543" s="174">
        <f>V543*(1+((AG543+IF(F543="백어택",8,0))/100)*(AI543/100-1))</f>
        <v>3926.4096874460229</v>
      </c>
      <c r="Q543" s="174"/>
      <c r="R543" s="175"/>
      <c r="S543" s="173">
        <f>SUM(T543:X543)</f>
        <v>7589.734962563416</v>
      </c>
      <c r="T543" s="174">
        <f>AL543*IF(H543="근접",AR543,1)*AY543*IF(F543="백어택",1.2,1)</f>
        <v>2136.437405602439</v>
      </c>
      <c r="U543" s="174">
        <f>AM543*IF(H543="근접",AR543,1)*AY543*IF(F543="백어택",1.2,1)</f>
        <v>2726.6487784804881</v>
      </c>
      <c r="V543" s="174">
        <f>IF(AX543=1,0,AM543*IF(H543="근접",AR543,1)*AY543)*IF(F543="백어택",1.2,1)</f>
        <v>2726.6487784804881</v>
      </c>
      <c r="W543" s="174"/>
      <c r="X543" s="175"/>
      <c r="Y543" s="173">
        <f>SUM(Z543:AD543)</f>
        <v>15179.469925126832</v>
      </c>
      <c r="Z543" s="174">
        <f>T543*IF(AY543=1,$D$58,$D$58+50)/100</f>
        <v>4272.8748112048779</v>
      </c>
      <c r="AA543" s="174">
        <f>U543*AI543/100</f>
        <v>5453.2975569609762</v>
      </c>
      <c r="AB543" s="174">
        <f>V543*AI543/100</f>
        <v>5453.2975569609762</v>
      </c>
      <c r="AC543" s="174"/>
      <c r="AD543" s="175"/>
      <c r="AE543" s="173">
        <f>AO543*(1-$D$20/100)*(1-$D$17/100)</f>
        <v>18.484776131615998</v>
      </c>
      <c r="AF543" s="174">
        <f>AP543</f>
        <v>36</v>
      </c>
      <c r="AG543" s="174">
        <f>IF($D$57+AU543&gt;100,100,$D$57+AU543)</f>
        <v>44.001300000000001</v>
      </c>
      <c r="AH543" s="174">
        <f>IF(AX543=1,AQ543,AQ543*1.4)</f>
        <v>729.4</v>
      </c>
      <c r="AI543" s="174">
        <f>IF(AY543=1,$D$58,$D$58+50)*AW543</f>
        <v>200</v>
      </c>
      <c r="AJ543" s="174">
        <f>10/6/AX543</f>
        <v>1.1111111111111112</v>
      </c>
      <c r="AK543" s="174">
        <f>SUM(AL543:AN543)</f>
        <v>4863.0861840829275</v>
      </c>
      <c r="AL543" s="174">
        <f>(IF(H543="근접",$D$61*(VLOOKUP(C543,$B$36:$AG$39,9,FALSE)+VLOOKUP(C543,$B$40:$AG$43,9,FALSE)*$D$54),$D$60*(VLOOKUP(C543,$B$36:$AG$39,9,FALSE)+VLOOKUP(C543,$B$40:$AG$43,9,FALSE)*$D$54)))*$D$59/100</f>
        <v>2136.437405602439</v>
      </c>
      <c r="AM543" s="174">
        <f>(IF(H543="근접",$D$61*(VLOOKUP(C543,$B$36:$AG$39,10,FALSE)+VLOOKUP(C543,$B$40:$AG$43,10,FALSE)*$D$54),$D$60*(VLOOKUP(C543,$B$36:$AG$39,10,FALSE)+VLOOKUP(C543,$B$40:$AG$43,10,FALSE)*$D$54)))*$D$59/100</f>
        <v>2726.6487784804881</v>
      </c>
      <c r="AN543" s="174"/>
      <c r="AO543" s="176">
        <v>24</v>
      </c>
      <c r="AP543" s="174">
        <v>36</v>
      </c>
      <c r="AQ543" s="175">
        <f>VLOOKUP(C543,$B$45:$AA$48,9,FALSE)</f>
        <v>521</v>
      </c>
      <c r="AR543" s="31">
        <f>IF(LEFT(E543,1)*1=1,$S$58,$R$58)</f>
        <v>1.2</v>
      </c>
      <c r="AS543" s="2">
        <f>IF(LEFT(E543,1)*1=2,$U$58,$T$58)</f>
        <v>0</v>
      </c>
      <c r="AT543" s="33">
        <f>IF(LEFT(E543,1)*1=3,$W$58,$V$58)</f>
        <v>0</v>
      </c>
      <c r="AU543" s="31">
        <f>IF(MID(E543,3,1)*1=1,$Y$58,$X$58)</f>
        <v>25</v>
      </c>
      <c r="AV543" s="2">
        <f>IF(MID(E543,3,1)*1=2,$AA$58,$Z$58)</f>
        <v>0</v>
      </c>
      <c r="AW543" s="33">
        <f>IF(MID(E543,3,1)*1=3,$AC$58,$AB$58)</f>
        <v>1</v>
      </c>
      <c r="AX543" s="31">
        <f>IF(MID(E543,5,1)*1=1,$AE$58,$AD$58)</f>
        <v>1.5</v>
      </c>
      <c r="AY543" s="33">
        <f>IF(MID(E543,5,1)*1=2,$AG$58,$AF$58)</f>
        <v>1</v>
      </c>
      <c r="AZ543" s="2"/>
      <c r="BA543" s="101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2" customHeight="1">
      <c r="A544" s="2"/>
      <c r="B544" s="107">
        <v>571</v>
      </c>
      <c r="C544" s="31">
        <v>4</v>
      </c>
      <c r="D544" s="111" t="s">
        <v>14</v>
      </c>
      <c r="E544" s="2" t="s">
        <v>67</v>
      </c>
      <c r="F544" s="2" t="s">
        <v>149</v>
      </c>
      <c r="G544" s="1"/>
      <c r="H544" s="33" t="s">
        <v>81</v>
      </c>
      <c r="I544" s="173">
        <f>M544/AE544</f>
        <v>590.78618856877824</v>
      </c>
      <c r="J544" s="174">
        <f>AH544/AE544</f>
        <v>9.0885601645267471</v>
      </c>
      <c r="K544" s="207">
        <f>RANK(I544,$I$76:$I$977)</f>
        <v>469</v>
      </c>
      <c r="L544" s="208">
        <f>RANK(I544,$I$451:$I$866)</f>
        <v>94</v>
      </c>
      <c r="M544" s="173">
        <f>SUM(N544:R544)</f>
        <v>16380.825656016814</v>
      </c>
      <c r="N544" s="174">
        <f>T544*(1+((AG544+IF(F544="백어택",8,0))/100)*(AI544/100-1))</f>
        <v>4889.0180835818192</v>
      </c>
      <c r="O544" s="174">
        <f>U544*(1+((AG544+IF(F544="백어택",8,0))/100)*(AI544/100-1))</f>
        <v>4889.0180835818192</v>
      </c>
      <c r="P544" s="174">
        <f>V544*(1+((AG544+IF(F544="백어택",8,0))/100)*(AI544*IF(AX544=1,AW544,1)/100-1))</f>
        <v>6602.7894888531755</v>
      </c>
      <c r="Q544" s="174">
        <f>W544*(1+((AG544+IF(F544="백어택",8,0))/100)*(AI544*AW544/100-1))</f>
        <v>0</v>
      </c>
      <c r="R544" s="175"/>
      <c r="S544" s="173">
        <f>SUM(T544:X544)</f>
        <v>12898.155889756099</v>
      </c>
      <c r="T544" s="174">
        <f>AL544*AY544*IF(F544="백어택",1.2,1)</f>
        <v>3849.5811330921956</v>
      </c>
      <c r="U544" s="174">
        <f>AM544*AY544*IF(F544="백어택",1.2,1)</f>
        <v>3849.5811330921956</v>
      </c>
      <c r="V544" s="174">
        <f>AN544*AY544*IF(F544="백어택",1.2,1)</f>
        <v>5198.9936235717078</v>
      </c>
      <c r="W544" s="174">
        <f>(T544+U544+V544)*IF(AX544=1,0,0.6)*IF(F544="백어택",1.2,1)</f>
        <v>0</v>
      </c>
      <c r="X544" s="175"/>
      <c r="Y544" s="173">
        <f>SUM(Z544:AD544)</f>
        <v>25796.311779512194</v>
      </c>
      <c r="Z544" s="174">
        <f>T544*AI544/100</f>
        <v>7699.1622661843903</v>
      </c>
      <c r="AA544" s="174">
        <f>U544*AI544/100</f>
        <v>7699.1622661843903</v>
      </c>
      <c r="AB544" s="174">
        <f>V544*AI544*IF(AX544=1,AW544,1)/100</f>
        <v>10397.987247143416</v>
      </c>
      <c r="AC544" s="174">
        <f>W544*AI544*AW544/100</f>
        <v>0</v>
      </c>
      <c r="AD544" s="175"/>
      <c r="AE544" s="173">
        <f>AO544*(1-$D$20/100)*(1-$D$17/100)</f>
        <v>27.727164197424003</v>
      </c>
      <c r="AF544" s="174">
        <f>AP544</f>
        <v>36</v>
      </c>
      <c r="AG544" s="174">
        <f>IF($D$57+AU544&gt;100,100,$D$57+AU544)</f>
        <v>19.001300000000001</v>
      </c>
      <c r="AH544" s="174">
        <f>AQ544*AS544</f>
        <v>252</v>
      </c>
      <c r="AI544" s="174">
        <f>$D$58+IF(H544="근접",AR544,0)+IF(AY544=1,0,50)</f>
        <v>200</v>
      </c>
      <c r="AJ544" s="174">
        <f>10/3</f>
        <v>3.3333333333333335</v>
      </c>
      <c r="AK544" s="174">
        <f>SUM(AL544:AN544)</f>
        <v>10748.463241463416</v>
      </c>
      <c r="AL544" s="174">
        <f>(IF(H544="근접",$D$61*(VLOOKUP(C544,$B$36:$AG$39,19,FALSE)+VLOOKUP(C544,$B$40:$AG$43,19,FALSE)*$D$54),$D$60*(VLOOKUP(C544,$B$36:$AG$39,19,FALSE)+VLOOKUP(C544,$B$40:$AG$43,19,FALSE)*$D$54)))*$D$59/100</f>
        <v>3207.9842775768298</v>
      </c>
      <c r="AM544" s="174">
        <f>(IF(H544="근접",$D$61*(VLOOKUP(C544,$B$36:$AG$39,20,FALSE)+VLOOKUP(C544,$B$40:$AG$43,20,FALSE)*$D$54),$D$60*(VLOOKUP(C544,$B$36:$AG$39,20,FALSE)+VLOOKUP(C544,$B$40:$AG$43,20,FALSE)*$D$54)))*$D$59/100</f>
        <v>3207.9842775768298</v>
      </c>
      <c r="AN544" s="174">
        <f>(IF(H544="근접",$D$61*(VLOOKUP(C544,$B$36:$AG$39,21,FALSE)+VLOOKUP(C544,$B$40:$AG$43,21,FALSE)*$D$54),$D$60*(VLOOKUP(C544,$B$36:$AG$39,21,FALSE)+VLOOKUP(C544,$B$40:$AG$43,21,FALSE)*$D$54)))*$D$59/100</f>
        <v>4332.4946863097566</v>
      </c>
      <c r="AO544" s="176">
        <v>36</v>
      </c>
      <c r="AP544" s="174">
        <v>36</v>
      </c>
      <c r="AQ544" s="175">
        <f>VLOOKUP(C544,$B$45:$AA$48,19,FALSE)</f>
        <v>252</v>
      </c>
      <c r="AR544" s="31">
        <f>IF(LEFT(E544,1)*1=1,$S$64,$R$64)</f>
        <v>0</v>
      </c>
      <c r="AS544" s="2">
        <f>IF(LEFT(E544,1)*1=2,$U$64,$T$64)</f>
        <v>1</v>
      </c>
      <c r="AT544" s="33">
        <f>IF(LEFT(E544,1)*1=3,$W$64,$V$64)</f>
        <v>0</v>
      </c>
      <c r="AU544" s="31">
        <f>IF(MID(E544,3,1)*1=1,$Y$64,$X$64)</f>
        <v>0</v>
      </c>
      <c r="AV544" s="2">
        <f>IF(MID(E544,3,1)*1=2,$AA$64,$Z$64)</f>
        <v>0</v>
      </c>
      <c r="AW544" s="33">
        <f>IF(MID(E544,3,1)*1=3,$AC$64,$AB$64)</f>
        <v>1</v>
      </c>
      <c r="AX544" s="31">
        <f>IF(MID(E544,5,1)*1=1,$AE$64,$AD$64)</f>
        <v>1</v>
      </c>
      <c r="AY544" s="33">
        <f>IF(MID(E544,5,1)*1=2,$AG$64,$AF$64)</f>
        <v>1</v>
      </c>
      <c r="AZ544" s="2"/>
      <c r="BA544" s="101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2" customHeight="1">
      <c r="A545" s="2"/>
      <c r="B545" s="107">
        <v>573</v>
      </c>
      <c r="C545" s="31">
        <v>4</v>
      </c>
      <c r="D545" s="111" t="s">
        <v>14</v>
      </c>
      <c r="E545" s="2" t="s">
        <v>79</v>
      </c>
      <c r="F545" s="2" t="s">
        <v>149</v>
      </c>
      <c r="G545" s="2"/>
      <c r="H545" s="33" t="s">
        <v>81</v>
      </c>
      <c r="I545" s="173">
        <f>M545/AE545</f>
        <v>590.78618856877824</v>
      </c>
      <c r="J545" s="174">
        <f>AH545/AE545</f>
        <v>4.5442800822633735</v>
      </c>
      <c r="K545" s="207">
        <f>RANK(I545,$I$76:$I$977)</f>
        <v>469</v>
      </c>
      <c r="L545" s="208">
        <f>RANK(I545,$I$451:$I$866)</f>
        <v>94</v>
      </c>
      <c r="M545" s="173">
        <f>SUM(N545:R545)</f>
        <v>16380.825656016814</v>
      </c>
      <c r="N545" s="174">
        <f>T545*(1+((AG545+IF(F545="백어택",8,0))/100)*(AI545/100-1))</f>
        <v>4889.0180835818192</v>
      </c>
      <c r="O545" s="174">
        <f>U545*(1+((AG545+IF(F545="백어택",8,0))/100)*(AI545/100-1))</f>
        <v>4889.0180835818192</v>
      </c>
      <c r="P545" s="174">
        <f>V545*(1+((AG545+IF(F545="백어택",8,0))/100)*(AI545*IF(AX545=1,AW545,1)/100-1))</f>
        <v>6602.7894888531755</v>
      </c>
      <c r="Q545" s="174">
        <f>W545*(1+((AG545+IF(F545="백어택",8,0))/100)*(AI545*AW545/100-1))</f>
        <v>0</v>
      </c>
      <c r="R545" s="175"/>
      <c r="S545" s="173">
        <f>SUM(T545:X545)</f>
        <v>12898.155889756099</v>
      </c>
      <c r="T545" s="174">
        <f>AL545*AY545*IF(F545="백어택",1.2,1)</f>
        <v>3849.5811330921956</v>
      </c>
      <c r="U545" s="174">
        <f>AM545*AY545*IF(F545="백어택",1.2,1)</f>
        <v>3849.5811330921956</v>
      </c>
      <c r="V545" s="174">
        <f>AN545*AY545*IF(F545="백어택",1.2,1)</f>
        <v>5198.9936235717078</v>
      </c>
      <c r="W545" s="174">
        <f>(T545+U545+V545)*IF(AX545=1,0,0.6)*IF(F545="백어택",1.2,1)</f>
        <v>0</v>
      </c>
      <c r="X545" s="175"/>
      <c r="Y545" s="173">
        <f>SUM(Z545:AD545)</f>
        <v>25796.311779512194</v>
      </c>
      <c r="Z545" s="174">
        <f>T545*AI545/100</f>
        <v>7699.1622661843903</v>
      </c>
      <c r="AA545" s="174">
        <f>U545*AI545/100</f>
        <v>7699.1622661843903</v>
      </c>
      <c r="AB545" s="174">
        <f>V545*AI545*IF(AX545=1,AW545,1)/100</f>
        <v>10397.987247143416</v>
      </c>
      <c r="AC545" s="174">
        <f>W545*AI545*AW545/100</f>
        <v>0</v>
      </c>
      <c r="AD545" s="175"/>
      <c r="AE545" s="173">
        <f>AO545*(1-$D$20/100)*(1-$D$17/100)</f>
        <v>27.727164197424003</v>
      </c>
      <c r="AF545" s="174">
        <f>AP545</f>
        <v>36</v>
      </c>
      <c r="AG545" s="174">
        <f>IF($D$57+AU545&gt;100,100,$D$57+AU545)</f>
        <v>19.001300000000001</v>
      </c>
      <c r="AH545" s="174">
        <f>AQ545*AS545</f>
        <v>126</v>
      </c>
      <c r="AI545" s="174">
        <f>$D$58+IF(H545="근접",AR545,0)+IF(AY545=1,0,50)</f>
        <v>200</v>
      </c>
      <c r="AJ545" s="174">
        <f>10/3</f>
        <v>3.3333333333333335</v>
      </c>
      <c r="AK545" s="174">
        <f>SUM(AL545:AN545)</f>
        <v>10748.463241463416</v>
      </c>
      <c r="AL545" s="174">
        <f>(IF(H545="근접",$D$61*(VLOOKUP(C545,$B$36:$AG$39,19,FALSE)+VLOOKUP(C545,$B$40:$AG$43,19,FALSE)*$D$54),$D$60*(VLOOKUP(C545,$B$36:$AG$39,19,FALSE)+VLOOKUP(C545,$B$40:$AG$43,19,FALSE)*$D$54)))*$D$59/100</f>
        <v>3207.9842775768298</v>
      </c>
      <c r="AM545" s="174">
        <f>(IF(H545="근접",$D$61*(VLOOKUP(C545,$B$36:$AG$39,20,FALSE)+VLOOKUP(C545,$B$40:$AG$43,20,FALSE)*$D$54),$D$60*(VLOOKUP(C545,$B$36:$AG$39,20,FALSE)+VLOOKUP(C545,$B$40:$AG$43,20,FALSE)*$D$54)))*$D$59/100</f>
        <v>3207.9842775768298</v>
      </c>
      <c r="AN545" s="174">
        <f>(IF(H545="근접",$D$61*(VLOOKUP(C545,$B$36:$AG$39,21,FALSE)+VLOOKUP(C545,$B$40:$AG$43,21,FALSE)*$D$54),$D$60*(VLOOKUP(C545,$B$36:$AG$39,21,FALSE)+VLOOKUP(C545,$B$40:$AG$43,21,FALSE)*$D$54)))*$D$59/100</f>
        <v>4332.4946863097566</v>
      </c>
      <c r="AO545" s="176">
        <v>36</v>
      </c>
      <c r="AP545" s="174">
        <v>36</v>
      </c>
      <c r="AQ545" s="175">
        <f>VLOOKUP(C545,$B$45:$AA$48,19,FALSE)</f>
        <v>252</v>
      </c>
      <c r="AR545" s="31">
        <f>IF(LEFT(E545,1)*1=1,$S$64,$R$64)</f>
        <v>0</v>
      </c>
      <c r="AS545" s="2">
        <f>IF(LEFT(E545,1)*1=2,$U$64,$T$64)</f>
        <v>0.5</v>
      </c>
      <c r="AT545" s="33">
        <f>IF(LEFT(E545,1)*1=3,$W$64,$V$64)</f>
        <v>0</v>
      </c>
      <c r="AU545" s="31">
        <f>IF(MID(E545,3,1)*1=1,$Y$64,$X$64)</f>
        <v>0</v>
      </c>
      <c r="AV545" s="2">
        <f>IF(MID(E545,3,1)*1=2,$AA$64,$Z$64)</f>
        <v>0</v>
      </c>
      <c r="AW545" s="33">
        <f>IF(MID(E545,3,1)*1=3,$AC$64,$AB$64)</f>
        <v>1</v>
      </c>
      <c r="AX545" s="31">
        <f>IF(MID(E545,5,1)*1=1,$AE$64,$AD$64)</f>
        <v>1</v>
      </c>
      <c r="AY545" s="33">
        <f>IF(MID(E545,5,1)*1=2,$AG$64,$AF$64)</f>
        <v>1</v>
      </c>
      <c r="AZ545" s="2"/>
      <c r="BA545" s="101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2" customHeight="1">
      <c r="A546" s="2"/>
      <c r="B546" s="107">
        <v>584</v>
      </c>
      <c r="C546" s="31">
        <v>10</v>
      </c>
      <c r="D546" s="111" t="s">
        <v>14</v>
      </c>
      <c r="E546" s="2" t="s">
        <v>92</v>
      </c>
      <c r="F546" s="2" t="s">
        <v>149</v>
      </c>
      <c r="G546" s="2"/>
      <c r="H546" s="33" t="s">
        <v>80</v>
      </c>
      <c r="I546" s="173">
        <f>M546/AE546</f>
        <v>589.51922729778175</v>
      </c>
      <c r="J546" s="174">
        <f>AH546/AE546</f>
        <v>23.695174714659018</v>
      </c>
      <c r="K546" s="207">
        <f>RANK(I546,$I$76:$I$977)</f>
        <v>471</v>
      </c>
      <c r="L546" s="208">
        <f>RANK(I546,$I$451:$I$866)</f>
        <v>96</v>
      </c>
      <c r="M546" s="173">
        <f>SUM(N546:R546)</f>
        <v>16345.696412824116</v>
      </c>
      <c r="N546" s="174">
        <f>T546*(1+((AG546+IF(F546="백어택",8,0))/100)*(AI546/100-1))</f>
        <v>4877.4153070879493</v>
      </c>
      <c r="O546" s="174">
        <f>U546*(1+((AG546+IF(F546="백어택",8,0))/100)*(AI546/100-1))</f>
        <v>4877.4153070879493</v>
      </c>
      <c r="P546" s="174">
        <f>V546*(1+((AG546+IF(F546="백어택",8,0))/100)*(AI546*IF(AX546=1,AW546,1)/100-1))</f>
        <v>6590.8657986482185</v>
      </c>
      <c r="Q546" s="174">
        <f>W546*(1+((AG546+IF(F546="백어택",8,0))/100)*(AI546*AW546/100-1))</f>
        <v>0</v>
      </c>
      <c r="R546" s="175"/>
      <c r="S546" s="173">
        <f>SUM(T546:X546)</f>
        <v>11633.786159426341</v>
      </c>
      <c r="T546" s="174">
        <f>AL546*AY546*IF(F546="백어택",1.2,1)</f>
        <v>3471.4217895822439</v>
      </c>
      <c r="U546" s="174">
        <f>AM546*AY546*IF(F546="백어택",1.2,1)</f>
        <v>3471.4217895822439</v>
      </c>
      <c r="V546" s="174">
        <f>AN546*AY546*IF(F546="백어택",1.2,1)</f>
        <v>4690.9425802618534</v>
      </c>
      <c r="W546" s="174">
        <f>(T546+U546+V546)*IF(AX546=1,0,0.6)*IF(F546="백어택",1.2,1)</f>
        <v>0</v>
      </c>
      <c r="X546" s="175"/>
      <c r="Y546" s="173">
        <f>SUM(Z546:AD546)</f>
        <v>29084.465398565852</v>
      </c>
      <c r="Z546" s="174">
        <f>T546*AI546/100</f>
        <v>8678.5544739556099</v>
      </c>
      <c r="AA546" s="174">
        <f>U546*AI546/100</f>
        <v>8678.5544739556099</v>
      </c>
      <c r="AB546" s="174">
        <f>V546*AI546*IF(AX546=1,AW546,1)/100</f>
        <v>11727.356450654634</v>
      </c>
      <c r="AC546" s="174">
        <f>W546*AI546*AW546/100</f>
        <v>0</v>
      </c>
      <c r="AD546" s="175"/>
      <c r="AE546" s="173">
        <f>AO546*(1-$D$20/100)*(1-$D$17/100)</f>
        <v>27.727164197424003</v>
      </c>
      <c r="AF546" s="174">
        <f>AP546</f>
        <v>36</v>
      </c>
      <c r="AG546" s="174">
        <f>IF($D$57+AU546&gt;100,100,$D$57+AU546)</f>
        <v>19.001300000000001</v>
      </c>
      <c r="AH546" s="174">
        <f>AQ546*AS546</f>
        <v>657</v>
      </c>
      <c r="AI546" s="174">
        <f>$D$58+IF(H546="근접",AR546,0)+IF(AY546=1,0,50)</f>
        <v>250</v>
      </c>
      <c r="AJ546" s="174">
        <f>10/3</f>
        <v>3.3333333333333335</v>
      </c>
      <c r="AK546" s="174">
        <f>SUM(AL546:AN546)</f>
        <v>8079.0181662682935</v>
      </c>
      <c r="AL546" s="174">
        <f>(IF(H546="근접",$D$61*(VLOOKUP(C546,$B$36:$AG$39,19,FALSE)+VLOOKUP(C546,$B$40:$AG$43,19,FALSE)*$D$54),$D$60*(VLOOKUP(C546,$B$36:$AG$39,19,FALSE)+VLOOKUP(C546,$B$40:$AG$43,19,FALSE)*$D$54)))*$D$59/100</f>
        <v>2410.7095760987809</v>
      </c>
      <c r="AM546" s="174">
        <f>(IF(H546="근접",$D$61*(VLOOKUP(C546,$B$36:$AG$39,20,FALSE)+VLOOKUP(C546,$B$40:$AG$43,20,FALSE)*$D$54),$D$60*(VLOOKUP(C546,$B$36:$AG$39,20,FALSE)+VLOOKUP(C546,$B$40:$AG$43,20,FALSE)*$D$54)))*$D$59/100</f>
        <v>2410.7095760987809</v>
      </c>
      <c r="AN546" s="174">
        <f>(IF(H546="근접",$D$61*(VLOOKUP(C546,$B$36:$AG$39,21,FALSE)+VLOOKUP(C546,$B$40:$AG$43,21,FALSE)*$D$54),$D$60*(VLOOKUP(C546,$B$36:$AG$39,21,FALSE)+VLOOKUP(C546,$B$40:$AG$43,21,FALSE)*$D$54)))*$D$59/100</f>
        <v>3257.5990140707318</v>
      </c>
      <c r="AO546" s="176">
        <v>36</v>
      </c>
      <c r="AP546" s="174">
        <v>36</v>
      </c>
      <c r="AQ546" s="175">
        <f>VLOOKUP(C546,$B$45:$AA$48,19,FALSE)</f>
        <v>657</v>
      </c>
      <c r="AR546" s="31">
        <f>IF(LEFT(E546,1)*1=1,$S$64,$R$64)</f>
        <v>0</v>
      </c>
      <c r="AS546" s="2">
        <f>IF(LEFT(E546,1)*1=2,$U$64,$T$64)</f>
        <v>1</v>
      </c>
      <c r="AT546" s="33">
        <f>IF(LEFT(E546,1)*1=3,$W$64,$V$64)</f>
        <v>0</v>
      </c>
      <c r="AU546" s="31">
        <f>IF(MID(E546,3,1)*1=1,$Y$64,$X$64)</f>
        <v>0</v>
      </c>
      <c r="AV546" s="2">
        <f>IF(MID(E546,3,1)*1=2,$AA$64,$Z$64)</f>
        <v>0</v>
      </c>
      <c r="AW546" s="33">
        <f>IF(MID(E546,3,1)*1=3,$AC$64,$AB$64)</f>
        <v>1</v>
      </c>
      <c r="AX546" s="31">
        <f>IF(MID(E546,5,1)*1=1,$AE$64,$AD$64)</f>
        <v>1</v>
      </c>
      <c r="AY546" s="33">
        <f>IF(MID(E546,5,1)*1=2,$AG$64,$AF$64)</f>
        <v>1.2</v>
      </c>
      <c r="AZ546" s="2"/>
      <c r="BA546" s="101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2" customHeight="1">
      <c r="A547" s="2"/>
      <c r="B547" s="107">
        <v>587</v>
      </c>
      <c r="C547" s="31">
        <v>10</v>
      </c>
      <c r="D547" s="111" t="s">
        <v>14</v>
      </c>
      <c r="E547" s="2" t="s">
        <v>151</v>
      </c>
      <c r="F547" s="2" t="s">
        <v>149</v>
      </c>
      <c r="G547" s="2"/>
      <c r="H547" s="33" t="s">
        <v>80</v>
      </c>
      <c r="I547" s="173">
        <f>M547/AE547</f>
        <v>589.51922729778175</v>
      </c>
      <c r="J547" s="174">
        <f>AH547/AE547</f>
        <v>23.695174714659018</v>
      </c>
      <c r="K547" s="207">
        <f>RANK(I547,$I$76:$I$977)</f>
        <v>471</v>
      </c>
      <c r="L547" s="208">
        <f>RANK(I547,$I$451:$I$866)</f>
        <v>96</v>
      </c>
      <c r="M547" s="173">
        <f>SUM(N547:R547)</f>
        <v>16345.696412824116</v>
      </c>
      <c r="N547" s="174">
        <f>T547*(1+((AG547+IF(F547="백어택",8,0))/100)*(AI547/100-1))</f>
        <v>4877.4153070879493</v>
      </c>
      <c r="O547" s="174">
        <f>U547*(1+((AG547+IF(F547="백어택",8,0))/100)*(AI547/100-1))</f>
        <v>4877.4153070879493</v>
      </c>
      <c r="P547" s="174">
        <f>V547*(1+((AG547+IF(F547="백어택",8,0))/100)*(AI547*IF(AX547=1,AW547,1)/100-1))</f>
        <v>6590.8657986482185</v>
      </c>
      <c r="Q547" s="174">
        <f>W547*(1+((AG547+IF(F547="백어택",8,0))/100)*(AI547*AW547/100-1))</f>
        <v>0</v>
      </c>
      <c r="R547" s="175"/>
      <c r="S547" s="173">
        <f>SUM(T547:X547)</f>
        <v>11633.786159426341</v>
      </c>
      <c r="T547" s="174">
        <f>AL547*AY547*IF(F547="백어택",1.2,1)</f>
        <v>3471.4217895822439</v>
      </c>
      <c r="U547" s="174">
        <f>AM547*AY547*IF(F547="백어택",1.2,1)</f>
        <v>3471.4217895822439</v>
      </c>
      <c r="V547" s="174">
        <f>AN547*AY547*IF(F547="백어택",1.2,1)</f>
        <v>4690.9425802618534</v>
      </c>
      <c r="W547" s="174">
        <f>(T547+U547+V547)*IF(AX547=1,0,0.6)*IF(F547="백어택",1.2,1)</f>
        <v>0</v>
      </c>
      <c r="X547" s="175"/>
      <c r="Y547" s="173">
        <f>SUM(Z547:AD547)</f>
        <v>29084.465398565852</v>
      </c>
      <c r="Z547" s="174">
        <f>T547*AI547/100</f>
        <v>8678.5544739556099</v>
      </c>
      <c r="AA547" s="174">
        <f>U547*AI547/100</f>
        <v>8678.5544739556099</v>
      </c>
      <c r="AB547" s="174">
        <f>V547*AI547*IF(AX547=1,AW547,1)/100</f>
        <v>11727.356450654634</v>
      </c>
      <c r="AC547" s="174">
        <f>W547*AI547*AW547/100</f>
        <v>0</v>
      </c>
      <c r="AD547" s="175"/>
      <c r="AE547" s="173">
        <f>AO547*(1-$D$20/100)*(1-$D$17/100)</f>
        <v>27.727164197424003</v>
      </c>
      <c r="AF547" s="174">
        <f>AP547</f>
        <v>36</v>
      </c>
      <c r="AG547" s="174">
        <f>IF($D$57+AU547&gt;100,100,$D$57+AU547)</f>
        <v>19.001300000000001</v>
      </c>
      <c r="AH547" s="174">
        <f>AQ547*AS547</f>
        <v>657</v>
      </c>
      <c r="AI547" s="174">
        <f>$D$58+IF(H547="근접",AR547,0)+IF(AY547=1,0,50)</f>
        <v>250</v>
      </c>
      <c r="AJ547" s="174">
        <f>10/3</f>
        <v>3.3333333333333335</v>
      </c>
      <c r="AK547" s="174">
        <f>SUM(AL547:AN547)</f>
        <v>8079.0181662682935</v>
      </c>
      <c r="AL547" s="174">
        <f>(IF(H547="근접",$D$61*(VLOOKUP(C547,$B$36:$AG$39,19,FALSE)+VLOOKUP(C547,$B$40:$AG$43,19,FALSE)*$D$54),$D$60*(VLOOKUP(C547,$B$36:$AG$39,19,FALSE)+VLOOKUP(C547,$B$40:$AG$43,19,FALSE)*$D$54)))*$D$59/100</f>
        <v>2410.7095760987809</v>
      </c>
      <c r="AM547" s="174">
        <f>(IF(H547="근접",$D$61*(VLOOKUP(C547,$B$36:$AG$39,20,FALSE)+VLOOKUP(C547,$B$40:$AG$43,20,FALSE)*$D$54),$D$60*(VLOOKUP(C547,$B$36:$AG$39,20,FALSE)+VLOOKUP(C547,$B$40:$AG$43,20,FALSE)*$D$54)))*$D$59/100</f>
        <v>2410.7095760987809</v>
      </c>
      <c r="AN547" s="174">
        <f>(IF(H547="근접",$D$61*(VLOOKUP(C547,$B$36:$AG$39,21,FALSE)+VLOOKUP(C547,$B$40:$AG$43,21,FALSE)*$D$54),$D$60*(VLOOKUP(C547,$B$36:$AG$39,21,FALSE)+VLOOKUP(C547,$B$40:$AG$43,21,FALSE)*$D$54)))*$D$59/100</f>
        <v>3257.5990140707318</v>
      </c>
      <c r="AO547" s="176">
        <v>36</v>
      </c>
      <c r="AP547" s="174">
        <v>36</v>
      </c>
      <c r="AQ547" s="175">
        <f>VLOOKUP(C547,$B$45:$AA$48,19,FALSE)</f>
        <v>657</v>
      </c>
      <c r="AR547" s="31">
        <f>IF(LEFT(E547,1)*1=1,$S$64,$R$64)</f>
        <v>50</v>
      </c>
      <c r="AS547" s="2">
        <f>IF(LEFT(E547,1)*1=2,$U$64,$T$64)</f>
        <v>1</v>
      </c>
      <c r="AT547" s="33">
        <f>IF(LEFT(E547,1)*1=3,$W$64,$V$64)</f>
        <v>0</v>
      </c>
      <c r="AU547" s="31">
        <f>IF(MID(E547,3,1)*1=1,$Y$64,$X$64)</f>
        <v>0</v>
      </c>
      <c r="AV547" s="2">
        <f>IF(MID(E547,3,1)*1=2,$AA$64,$Z$64)</f>
        <v>0</v>
      </c>
      <c r="AW547" s="33">
        <f>IF(MID(E547,3,1)*1=3,$AC$64,$AB$64)</f>
        <v>1</v>
      </c>
      <c r="AX547" s="31">
        <f>IF(MID(E547,5,1)*1=1,$AE$64,$AD$64)</f>
        <v>1</v>
      </c>
      <c r="AY547" s="33">
        <f>IF(MID(E547,5,1)*1=2,$AG$64,$AF$64)</f>
        <v>1.2</v>
      </c>
      <c r="AZ547" s="2"/>
      <c r="BA547" s="101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2" customHeight="1">
      <c r="A548" s="2"/>
      <c r="B548" s="107">
        <v>590</v>
      </c>
      <c r="C548" s="31">
        <v>10</v>
      </c>
      <c r="D548" s="111" t="s">
        <v>14</v>
      </c>
      <c r="E548" s="2" t="s">
        <v>99</v>
      </c>
      <c r="F548" s="2" t="s">
        <v>149</v>
      </c>
      <c r="G548" s="2"/>
      <c r="H548" s="33" t="s">
        <v>80</v>
      </c>
      <c r="I548" s="173">
        <f>M548/AE548</f>
        <v>589.51922729778175</v>
      </c>
      <c r="J548" s="174">
        <f>AH548/AE548</f>
        <v>11.847587357329509</v>
      </c>
      <c r="K548" s="207">
        <f>RANK(I548,$I$76:$I$977)</f>
        <v>471</v>
      </c>
      <c r="L548" s="208">
        <f>RANK(I548,$I$451:$I$866)</f>
        <v>96</v>
      </c>
      <c r="M548" s="173">
        <f>SUM(N548:R548)</f>
        <v>16345.696412824116</v>
      </c>
      <c r="N548" s="174">
        <f>T548*(1+((AG548+IF(F548="백어택",8,0))/100)*(AI548/100-1))</f>
        <v>4877.4153070879493</v>
      </c>
      <c r="O548" s="174">
        <f>U548*(1+((AG548+IF(F548="백어택",8,0))/100)*(AI548/100-1))</f>
        <v>4877.4153070879493</v>
      </c>
      <c r="P548" s="174">
        <f>V548*(1+((AG548+IF(F548="백어택",8,0))/100)*(AI548*IF(AX548=1,AW548,1)/100-1))</f>
        <v>6590.8657986482185</v>
      </c>
      <c r="Q548" s="174">
        <f>W548*(1+((AG548+IF(F548="백어택",8,0))/100)*(AI548*AW548/100-1))</f>
        <v>0</v>
      </c>
      <c r="R548" s="175"/>
      <c r="S548" s="173">
        <f>SUM(T548:X548)</f>
        <v>11633.786159426341</v>
      </c>
      <c r="T548" s="174">
        <f>AL548*AY548*IF(F548="백어택",1.2,1)</f>
        <v>3471.4217895822439</v>
      </c>
      <c r="U548" s="174">
        <f>AM548*AY548*IF(F548="백어택",1.2,1)</f>
        <v>3471.4217895822439</v>
      </c>
      <c r="V548" s="174">
        <f>AN548*AY548*IF(F548="백어택",1.2,1)</f>
        <v>4690.9425802618534</v>
      </c>
      <c r="W548" s="174">
        <f>(T548+U548+V548)*IF(AX548=1,0,0.6)*IF(F548="백어택",1.2,1)</f>
        <v>0</v>
      </c>
      <c r="X548" s="175"/>
      <c r="Y548" s="173">
        <f>SUM(Z548:AD548)</f>
        <v>29084.465398565852</v>
      </c>
      <c r="Z548" s="174">
        <f>T548*AI548/100</f>
        <v>8678.5544739556099</v>
      </c>
      <c r="AA548" s="174">
        <f>U548*AI548/100</f>
        <v>8678.5544739556099</v>
      </c>
      <c r="AB548" s="174">
        <f>V548*AI548*IF(AX548=1,AW548,1)/100</f>
        <v>11727.356450654634</v>
      </c>
      <c r="AC548" s="174">
        <f>W548*AI548*AW548/100</f>
        <v>0</v>
      </c>
      <c r="AD548" s="175"/>
      <c r="AE548" s="173">
        <f>AO548*(1-$D$20/100)*(1-$D$17/100)</f>
        <v>27.727164197424003</v>
      </c>
      <c r="AF548" s="174">
        <f>AP548</f>
        <v>36</v>
      </c>
      <c r="AG548" s="174">
        <f>IF($D$57+AU548&gt;100,100,$D$57+AU548)</f>
        <v>19.001300000000001</v>
      </c>
      <c r="AH548" s="174">
        <f>AQ548*AS548</f>
        <v>328.5</v>
      </c>
      <c r="AI548" s="174">
        <f>$D$58+IF(H548="근접",AR548,0)+IF(AY548=1,0,50)</f>
        <v>250</v>
      </c>
      <c r="AJ548" s="174">
        <f>10/3</f>
        <v>3.3333333333333335</v>
      </c>
      <c r="AK548" s="174">
        <f>SUM(AL548:AN548)</f>
        <v>8079.0181662682935</v>
      </c>
      <c r="AL548" s="174">
        <f>(IF(H548="근접",$D$61*(VLOOKUP(C548,$B$36:$AG$39,19,FALSE)+VLOOKUP(C548,$B$40:$AG$43,19,FALSE)*$D$54),$D$60*(VLOOKUP(C548,$B$36:$AG$39,19,FALSE)+VLOOKUP(C548,$B$40:$AG$43,19,FALSE)*$D$54)))*$D$59/100</f>
        <v>2410.7095760987809</v>
      </c>
      <c r="AM548" s="174">
        <f>(IF(H548="근접",$D$61*(VLOOKUP(C548,$B$36:$AG$39,20,FALSE)+VLOOKUP(C548,$B$40:$AG$43,20,FALSE)*$D$54),$D$60*(VLOOKUP(C548,$B$36:$AG$39,20,FALSE)+VLOOKUP(C548,$B$40:$AG$43,20,FALSE)*$D$54)))*$D$59/100</f>
        <v>2410.7095760987809</v>
      </c>
      <c r="AN548" s="174">
        <f>(IF(H548="근접",$D$61*(VLOOKUP(C548,$B$36:$AG$39,21,FALSE)+VLOOKUP(C548,$B$40:$AG$43,21,FALSE)*$D$54),$D$60*(VLOOKUP(C548,$B$36:$AG$39,21,FALSE)+VLOOKUP(C548,$B$40:$AG$43,21,FALSE)*$D$54)))*$D$59/100</f>
        <v>3257.5990140707318</v>
      </c>
      <c r="AO548" s="176">
        <v>36</v>
      </c>
      <c r="AP548" s="174">
        <v>36</v>
      </c>
      <c r="AQ548" s="175">
        <f>VLOOKUP(C548,$B$45:$AA$48,19,FALSE)</f>
        <v>657</v>
      </c>
      <c r="AR548" s="31">
        <f>IF(LEFT(E548,1)*1=1,$S$64,$R$64)</f>
        <v>0</v>
      </c>
      <c r="AS548" s="2">
        <f>IF(LEFT(E548,1)*1=2,$U$64,$T$64)</f>
        <v>0.5</v>
      </c>
      <c r="AT548" s="33">
        <f>IF(LEFT(E548,1)*1=3,$W$64,$V$64)</f>
        <v>0</v>
      </c>
      <c r="AU548" s="31">
        <f>IF(MID(E548,3,1)*1=1,$Y$64,$X$64)</f>
        <v>0</v>
      </c>
      <c r="AV548" s="2">
        <f>IF(MID(E548,3,1)*1=2,$AA$64,$Z$64)</f>
        <v>0</v>
      </c>
      <c r="AW548" s="33">
        <f>IF(MID(E548,3,1)*1=3,$AC$64,$AB$64)</f>
        <v>1</v>
      </c>
      <c r="AX548" s="31">
        <f>IF(MID(E548,5,1)*1=1,$AE$64,$AD$64)</f>
        <v>1</v>
      </c>
      <c r="AY548" s="33">
        <f>IF(MID(E548,5,1)*1=2,$AG$64,$AF$64)</f>
        <v>1.2</v>
      </c>
      <c r="AZ548" s="2"/>
      <c r="BA548" s="101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2" customHeight="1">
      <c r="A549" s="2"/>
      <c r="B549" s="107">
        <v>231</v>
      </c>
      <c r="C549" s="31">
        <v>7</v>
      </c>
      <c r="D549" s="106" t="s">
        <v>13</v>
      </c>
      <c r="E549" s="2" t="s">
        <v>136</v>
      </c>
      <c r="F549" s="2"/>
      <c r="G549" s="2"/>
      <c r="H549" s="33"/>
      <c r="I549" s="173">
        <f>M549/AE549</f>
        <v>589.06600921261725</v>
      </c>
      <c r="J549" s="174">
        <f>AH549/AE549</f>
        <v>15.161113773007305</v>
      </c>
      <c r="K549" s="207">
        <f>RANK(I549,$I$76:$I$977)</f>
        <v>474</v>
      </c>
      <c r="L549" s="208" t="e">
        <f>RANK(I549,$I$76:$I$450)</f>
        <v>#N/A</v>
      </c>
      <c r="M549" s="173">
        <f>SUM(N549:R549)</f>
        <v>14103.908495488147</v>
      </c>
      <c r="N549" s="174">
        <f>T549*(1+((AG549+IF(F549="백어택",8,0))/100)*((AI549/100-1)))</f>
        <v>6818.1567572049971</v>
      </c>
      <c r="O549" s="174">
        <f>U549*(1+($D$57/100)*($D$58/100-1))</f>
        <v>4483.53953125117</v>
      </c>
      <c r="P549" s="174"/>
      <c r="Q549" s="174"/>
      <c r="R549" s="175">
        <f>X549*(1+($D$57/100)*($D$58/100-1))</f>
        <v>2802.2122070319811</v>
      </c>
      <c r="S549" s="173">
        <f>SUM(T549:X549)</f>
        <v>11286.187755558476</v>
      </c>
      <c r="T549" s="174">
        <f>AL549*AY549</f>
        <v>5163.774186729268</v>
      </c>
      <c r="U549" s="174">
        <f>AM549*AU549*AW549</f>
        <v>3767.6391192795122</v>
      </c>
      <c r="V549" s="174"/>
      <c r="W549" s="174"/>
      <c r="X549" s="175">
        <f>IF(AU549=1,0,U549*0.625)</f>
        <v>2354.774449549695</v>
      </c>
      <c r="Y549" s="173">
        <f>SUM(Z549:AD549)</f>
        <v>22572.375511116952</v>
      </c>
      <c r="Z549" s="174">
        <f>T549*$D$58/100</f>
        <v>10327.548373458536</v>
      </c>
      <c r="AA549" s="174">
        <f>U549*$D$58/100</f>
        <v>7535.2782385590244</v>
      </c>
      <c r="AB549" s="174"/>
      <c r="AC549" s="174"/>
      <c r="AD549" s="175">
        <f>X549*$D$58/100</f>
        <v>4709.5488990993899</v>
      </c>
      <c r="AE549" s="173">
        <f>AO549*(1-$D$17/100)</f>
        <v>23.942831999999999</v>
      </c>
      <c r="AF549" s="174">
        <f>AP549</f>
        <v>36</v>
      </c>
      <c r="AG549" s="174">
        <f>IF($D$57+AT549&gt;100,100,$D$57+AT549)</f>
        <v>19.001300000000001</v>
      </c>
      <c r="AH549" s="174">
        <f>AQ549</f>
        <v>363</v>
      </c>
      <c r="AI549" s="174">
        <f>$D$58+$D$19</f>
        <v>268.61079999999998</v>
      </c>
      <c r="AJ549" s="174">
        <f>10/IF(AY549=1,2.5,2)</f>
        <v>4</v>
      </c>
      <c r="AK549" s="174">
        <f>SUM(AL549:AN549)</f>
        <v>8061.9581246365851</v>
      </c>
      <c r="AL549" s="174">
        <f>(VLOOKUP(C549,$B$36:$AG$39,17,FALSE)+VLOOKUP(C549,$B$40:$AG$43,17,FALSE)*$D$54)*$D$59/100</f>
        <v>5163.774186729268</v>
      </c>
      <c r="AM549" s="174">
        <f>(VLOOKUP(C549,$B$36:$AG$39,18,FALSE)+VLOOKUP(C549,$B$40:$AG$43,18,FALSE)*$D$54)*$D$59/100</f>
        <v>2898.1839379073172</v>
      </c>
      <c r="AN549" s="174"/>
      <c r="AO549" s="176">
        <v>24</v>
      </c>
      <c r="AP549" s="174">
        <v>36</v>
      </c>
      <c r="AQ549" s="175">
        <f>VLOOKUP(C549,$B$45:$AA$48,17,FALSE)</f>
        <v>363</v>
      </c>
      <c r="AR549" s="31">
        <f>IF(LEFT(E549,1)*1=1,$S$63,$R$63)</f>
        <v>0</v>
      </c>
      <c r="AS549" s="2">
        <f>IF(LEFT(E549,1)*1=2,$U$63,$T$63)</f>
        <v>0</v>
      </c>
      <c r="AT549" s="33">
        <f>IF(LEFT(E549,1)*1=3,$W$63,$V$63)</f>
        <v>0</v>
      </c>
      <c r="AU549" s="31">
        <f>IF(MID(E549,3,1)*1=1,$Y$63,$X$63)</f>
        <v>1.3</v>
      </c>
      <c r="AV549" s="2">
        <f>IF(MID(E549,3,1)*1=2,$AA$63,$Z$63)</f>
        <v>0</v>
      </c>
      <c r="AW549" s="33">
        <f>IF(MID(E549,3,1)*1=3,$AC$63,$AB$63)</f>
        <v>1</v>
      </c>
      <c r="AX549" s="31">
        <f>IF(MID(E549,5,1)*1=1,$AE$63,$AD$63)</f>
        <v>0</v>
      </c>
      <c r="AY549" s="33">
        <f>IF(MID(E549,5,1)*1=2,$AG$63,$AF$63)</f>
        <v>1</v>
      </c>
      <c r="AZ549" s="2"/>
      <c r="BA549" s="101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2" customHeight="1">
      <c r="A550" s="2"/>
      <c r="B550" s="107">
        <v>333</v>
      </c>
      <c r="C550" s="31">
        <v>7</v>
      </c>
      <c r="D550" s="106" t="s">
        <v>20</v>
      </c>
      <c r="E550" s="2" t="s">
        <v>136</v>
      </c>
      <c r="F550" s="2" t="s">
        <v>149</v>
      </c>
      <c r="G550" s="2"/>
      <c r="H550" s="33"/>
      <c r="I550" s="173">
        <f>M550/AE550</f>
        <v>583.02496297606092</v>
      </c>
      <c r="J550" s="174">
        <f>AH550/AE550</f>
        <v>17.096278891876004</v>
      </c>
      <c r="K550" s="207">
        <f>RANK(I550,$I$76:$I$977)</f>
        <v>475</v>
      </c>
      <c r="L550" s="208" t="e">
        <f>RANK(I550,$I$76:$I$450)</f>
        <v>#N/A</v>
      </c>
      <c r="M550" s="173">
        <f>SUM(N550:R550)</f>
        <v>10469.451555256535</v>
      </c>
      <c r="N550" s="174">
        <f>T550*(1+((AG550+IF(F550="백어택",8,0))/100)*((AI550/100-1)))</f>
        <v>6911.7802711204167</v>
      </c>
      <c r="O550" s="174">
        <f>U550*(1+(($D$57+IF(F550="백어택",8,0))/100)*($D$58/100-1))</f>
        <v>3557.6712841361177</v>
      </c>
      <c r="P550" s="174"/>
      <c r="Q550" s="174"/>
      <c r="R550" s="175"/>
      <c r="S550" s="173">
        <f>SUM(T550:X550)</f>
        <v>5603.0545943326833</v>
      </c>
      <c r="T550" s="174">
        <f>AL550*AV550*IF(F550="백어택",1.2,1)</f>
        <v>2801.7672971663419</v>
      </c>
      <c r="U550" s="174">
        <f>AM550*AX550*AY550*IF(F550="백어택",1.2,1)</f>
        <v>2801.2872971663419</v>
      </c>
      <c r="V550" s="174"/>
      <c r="W550" s="174"/>
      <c r="X550" s="175"/>
      <c r="Y550" s="173">
        <f>SUM(Z550:AD550)</f>
        <v>11206.109188665367</v>
      </c>
      <c r="Z550" s="174">
        <f>T550*$D$58/100</f>
        <v>5603.5345943326838</v>
      </c>
      <c r="AA550" s="174">
        <f>U550*$D$58/100</f>
        <v>5602.5745943326838</v>
      </c>
      <c r="AB550" s="174"/>
      <c r="AC550" s="174"/>
      <c r="AD550" s="175"/>
      <c r="AE550" s="173">
        <f>AO550*(1-$D$17/100)-AR550</f>
        <v>17.957124</v>
      </c>
      <c r="AF550" s="174">
        <f>AP550</f>
        <v>36</v>
      </c>
      <c r="AG550" s="174">
        <f>IF($D$57+AU550&gt;100,100,$D$57+AU550)</f>
        <v>79.001300000000001</v>
      </c>
      <c r="AH550" s="174">
        <f>AQ550*AS550</f>
        <v>307</v>
      </c>
      <c r="AI550" s="174">
        <f>$D$58+$D$19</f>
        <v>268.61079999999998</v>
      </c>
      <c r="AJ550" s="174">
        <f>10*IF(AV550=1,1,5/4.5)/IF(AX550=1,5,3.5)</f>
        <v>2</v>
      </c>
      <c r="AK550" s="174">
        <f>SUM(AL550:AN550)</f>
        <v>4669.212161943904</v>
      </c>
      <c r="AL550" s="174">
        <f>(VLOOKUP(C550,$B$36:$AG$39,29,FALSE)+VLOOKUP(C550,$B$40:$AG$43,29,FALSE)*$D$54)*$D$59/100</f>
        <v>2334.8060809719518</v>
      </c>
      <c r="AM550" s="174">
        <f>(VLOOKUP(C550,$B$36:$AG$39,30,FALSE)+VLOOKUP(C550,$B$40:$AG$43,30,FALSE)*$D$54)*$D$59/100</f>
        <v>2334.4060809719517</v>
      </c>
      <c r="AN550" s="174"/>
      <c r="AO550" s="176">
        <v>18</v>
      </c>
      <c r="AP550" s="174">
        <v>36</v>
      </c>
      <c r="AQ550" s="175">
        <f>VLOOKUP(C550,$B$45:$AG$48,29,FALSE)</f>
        <v>307</v>
      </c>
      <c r="AR550" s="31">
        <f>IF(LEFT(E550,1)*1=1,$S$70,$R$70)</f>
        <v>0</v>
      </c>
      <c r="AS550" s="2">
        <f>IF(LEFT(E550,1)*1=2,$U$70,$T$70)</f>
        <v>1</v>
      </c>
      <c r="AT550" s="33">
        <f>IF(LEFT(E550,1)*1=3,$W$70,$V$70)</f>
        <v>0</v>
      </c>
      <c r="AU550" s="31">
        <f>IF(MID(E550,3,1)*1=1,$Y$70,$X$70)</f>
        <v>60</v>
      </c>
      <c r="AV550" s="2">
        <f>IF(MID(E550,3,1)*1=2,$AA$70,$Z$70)</f>
        <v>1</v>
      </c>
      <c r="AW550" s="33">
        <f>IF(MID(E550,3,1)*1=3,$AC$70,$AB$70)</f>
        <v>0</v>
      </c>
      <c r="AX550" s="31">
        <f>IF(MID(E550,5,1)*1=1,$AE$70,$AD$70)</f>
        <v>1</v>
      </c>
      <c r="AY550" s="33">
        <f>IF(MID(E550,5,1)*1=2,$AG$70,$AF$70)</f>
        <v>1</v>
      </c>
      <c r="AZ550" s="2"/>
      <c r="BA550" s="101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2" customHeight="1">
      <c r="A551" s="2"/>
      <c r="B551" s="107">
        <v>339</v>
      </c>
      <c r="C551" s="31">
        <v>7</v>
      </c>
      <c r="D551" s="106" t="s">
        <v>20</v>
      </c>
      <c r="E551" s="2" t="s">
        <v>168</v>
      </c>
      <c r="F551" s="2" t="s">
        <v>149</v>
      </c>
      <c r="G551" s="2"/>
      <c r="H551" s="33"/>
      <c r="I551" s="173">
        <f>M551/AE551</f>
        <v>583.02496297606092</v>
      </c>
      <c r="J551" s="174">
        <f>AH551/AE551</f>
        <v>8.548139445938002</v>
      </c>
      <c r="K551" s="207">
        <f>RANK(I551,$I$76:$I$977)</f>
        <v>475</v>
      </c>
      <c r="L551" s="208" t="e">
        <f>RANK(I551,$I$76:$I$450)</f>
        <v>#N/A</v>
      </c>
      <c r="M551" s="173">
        <f>SUM(N551:R551)</f>
        <v>10469.451555256535</v>
      </c>
      <c r="N551" s="174">
        <f>T551*(1+((AG551+IF(F551="백어택",8,0))/100)*((AI551/100-1)))</f>
        <v>6911.7802711204167</v>
      </c>
      <c r="O551" s="174">
        <f>U551*(1+(($D$57+IF(F551="백어택",8,0))/100)*($D$58/100-1))</f>
        <v>3557.6712841361177</v>
      </c>
      <c r="P551" s="174"/>
      <c r="Q551" s="174"/>
      <c r="R551" s="175"/>
      <c r="S551" s="173">
        <f>SUM(T551:X551)</f>
        <v>5603.0545943326833</v>
      </c>
      <c r="T551" s="174">
        <f>AL551*AV551*IF(F551="백어택",1.2,1)</f>
        <v>2801.7672971663419</v>
      </c>
      <c r="U551" s="174">
        <f>AM551*AX551*AY551*IF(F551="백어택",1.2,1)</f>
        <v>2801.2872971663419</v>
      </c>
      <c r="V551" s="174"/>
      <c r="W551" s="174"/>
      <c r="X551" s="175"/>
      <c r="Y551" s="173">
        <f>SUM(Z551:AD551)</f>
        <v>11206.109188665367</v>
      </c>
      <c r="Z551" s="174">
        <f>T551*$D$58/100</f>
        <v>5603.5345943326838</v>
      </c>
      <c r="AA551" s="174">
        <f>U551*$D$58/100</f>
        <v>5602.5745943326838</v>
      </c>
      <c r="AB551" s="174"/>
      <c r="AC551" s="174"/>
      <c r="AD551" s="175"/>
      <c r="AE551" s="173">
        <f>AO551*(1-$D$17/100)-AR551</f>
        <v>17.957124</v>
      </c>
      <c r="AF551" s="174">
        <f>AP551</f>
        <v>36</v>
      </c>
      <c r="AG551" s="174">
        <f>IF($D$57+AU551&gt;100,100,$D$57+AU551)</f>
        <v>79.001300000000001</v>
      </c>
      <c r="AH551" s="174">
        <f>AQ551*AS551</f>
        <v>153.5</v>
      </c>
      <c r="AI551" s="174">
        <f>$D$58+$D$19</f>
        <v>268.61079999999998</v>
      </c>
      <c r="AJ551" s="174">
        <f>10*IF(AV551=1,1,5/4.5)/IF(AX551=1,5,3.5)</f>
        <v>2</v>
      </c>
      <c r="AK551" s="174">
        <f>SUM(AL551:AN551)</f>
        <v>4669.212161943904</v>
      </c>
      <c r="AL551" s="174">
        <f>(VLOOKUP(C551,$B$36:$AG$39,29,FALSE)+VLOOKUP(C551,$B$40:$AG$43,29,FALSE)*$D$54)*$D$59/100</f>
        <v>2334.8060809719518</v>
      </c>
      <c r="AM551" s="174">
        <f>(VLOOKUP(C551,$B$36:$AG$39,30,FALSE)+VLOOKUP(C551,$B$40:$AG$43,30,FALSE)*$D$54)*$D$59/100</f>
        <v>2334.4060809719517</v>
      </c>
      <c r="AN551" s="174"/>
      <c r="AO551" s="176">
        <v>18</v>
      </c>
      <c r="AP551" s="174">
        <v>36</v>
      </c>
      <c r="AQ551" s="175">
        <f>VLOOKUP(C551,$B$45:$AG$48,29,FALSE)</f>
        <v>307</v>
      </c>
      <c r="AR551" s="31">
        <f>IF(LEFT(E551,1)*1=1,$S$70,$R$70)</f>
        <v>0</v>
      </c>
      <c r="AS551" s="2">
        <f>IF(LEFT(E551,1)*1=2,$U$70,$T$70)</f>
        <v>0.5</v>
      </c>
      <c r="AT551" s="33">
        <f>IF(LEFT(E551,1)*1=3,$W$70,$V$70)</f>
        <v>0</v>
      </c>
      <c r="AU551" s="31">
        <f>IF(MID(E551,3,1)*1=1,$Y$70,$X$70)</f>
        <v>60</v>
      </c>
      <c r="AV551" s="2">
        <f>IF(MID(E551,3,1)*1=2,$AA$70,$Z$70)</f>
        <v>1</v>
      </c>
      <c r="AW551" s="33">
        <f>IF(MID(E551,3,1)*1=3,$AC$70,$AB$70)</f>
        <v>0</v>
      </c>
      <c r="AX551" s="31">
        <f>IF(MID(E551,5,1)*1=1,$AE$70,$AD$70)</f>
        <v>1</v>
      </c>
      <c r="AY551" s="33">
        <f>IF(MID(E551,5,1)*1=2,$AG$70,$AF$70)</f>
        <v>1</v>
      </c>
      <c r="AZ551" s="2"/>
      <c r="BA551" s="101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</row>
    <row r="552" spans="1:71" ht="12" customHeight="1">
      <c r="A552" s="2"/>
      <c r="B552" s="107">
        <v>523</v>
      </c>
      <c r="C552" s="31">
        <v>10</v>
      </c>
      <c r="D552" s="111" t="s">
        <v>14</v>
      </c>
      <c r="E552" s="2" t="s">
        <v>139</v>
      </c>
      <c r="F552" s="2"/>
      <c r="G552" s="2"/>
      <c r="H552" s="33" t="s">
        <v>80</v>
      </c>
      <c r="I552" s="173">
        <f>M552/AE552</f>
        <v>580.42694599567847</v>
      </c>
      <c r="J552" s="174">
        <f>AH552/AE552</f>
        <v>23.695174714659018</v>
      </c>
      <c r="K552" s="207">
        <f>RANK(I552,$I$76:$I$977)</f>
        <v>477</v>
      </c>
      <c r="L552" s="208">
        <f>RANK(I552,$I$451:$I$866)</f>
        <v>102</v>
      </c>
      <c r="M552" s="173">
        <f>SUM(N552:R552)</f>
        <v>16093.593236231531</v>
      </c>
      <c r="N552" s="174">
        <f>T552*(1+((AG552+IF(F552="백어택",8,0))/100)*(AI552/100-1))</f>
        <v>4802.1898861928521</v>
      </c>
      <c r="O552" s="174">
        <f>U552*(1+((AG552+IF(F552="백어택",8,0))/100)*(AI552/100-1))</f>
        <v>4802.1898861928521</v>
      </c>
      <c r="P552" s="174">
        <f>V552*(1+((AG552+IF(F552="백어택",8,0))/100)*(AI552*IF(AX552=1,AW552,1)/100-1))</f>
        <v>6489.2134638458265</v>
      </c>
      <c r="Q552" s="174">
        <f>W552*(1+((AG552+IF(F552="백어택",8,0))/100)*(AI552*AW552/100-1))</f>
        <v>0</v>
      </c>
      <c r="R552" s="175"/>
      <c r="S552" s="173">
        <f>SUM(T552:X552)</f>
        <v>9694.8217995219511</v>
      </c>
      <c r="T552" s="174">
        <f>AL552*AY552*IF(F552="백어택",1.2,1)</f>
        <v>2892.8514913185368</v>
      </c>
      <c r="U552" s="174">
        <f>AM552*AY552*IF(F552="백어택",1.2,1)</f>
        <v>2892.8514913185368</v>
      </c>
      <c r="V552" s="174">
        <f>AN552*AY552*IF(F552="백어택",1.2,1)</f>
        <v>3909.118816884878</v>
      </c>
      <c r="W552" s="174">
        <f>(T552+U552+V552)*IF(AX552=1,0,0.6)*IF(F552="백어택",1.2,1)</f>
        <v>0</v>
      </c>
      <c r="X552" s="175"/>
      <c r="Y552" s="173">
        <f>SUM(Z552:AD552)</f>
        <v>24237.054498804879</v>
      </c>
      <c r="Z552" s="174">
        <f>T552*AI552/100</f>
        <v>7232.1287282963422</v>
      </c>
      <c r="AA552" s="174">
        <f>U552*AI552/100</f>
        <v>7232.1287282963422</v>
      </c>
      <c r="AB552" s="174">
        <f>V552*AI552*IF(AX552=1,AW552,1)/100</f>
        <v>9772.7970422121944</v>
      </c>
      <c r="AC552" s="174">
        <f>W552*AI552*AW552/100</f>
        <v>0</v>
      </c>
      <c r="AD552" s="175"/>
      <c r="AE552" s="173">
        <f>AO552*(1-$D$20/100)*(1-$D$17/100)</f>
        <v>27.727164197424003</v>
      </c>
      <c r="AF552" s="174">
        <f>AP552</f>
        <v>36</v>
      </c>
      <c r="AG552" s="174">
        <f>IF($D$57+AU552&gt;100,100,$D$57+AU552)</f>
        <v>44.001300000000001</v>
      </c>
      <c r="AH552" s="174">
        <f>AQ552*AS552</f>
        <v>657</v>
      </c>
      <c r="AI552" s="174">
        <f>$D$58+IF(H552="근접",AR552,0)+IF(AY552=1,0,50)</f>
        <v>250</v>
      </c>
      <c r="AJ552" s="174">
        <f>10/3</f>
        <v>3.3333333333333335</v>
      </c>
      <c r="AK552" s="174">
        <f>SUM(AL552:AN552)</f>
        <v>8079.0181662682935</v>
      </c>
      <c r="AL552" s="174">
        <f>(IF(H552="근접",$D$61*(VLOOKUP(C552,$B$36:$AG$39,19,FALSE)+VLOOKUP(C552,$B$40:$AG$43,19,FALSE)*$D$54),$D$60*(VLOOKUP(C552,$B$36:$AG$39,19,FALSE)+VLOOKUP(C552,$B$40:$AG$43,19,FALSE)*$D$54)))*$D$59/100</f>
        <v>2410.7095760987809</v>
      </c>
      <c r="AM552" s="174">
        <f>(IF(H552="근접",$D$61*(VLOOKUP(C552,$B$36:$AG$39,20,FALSE)+VLOOKUP(C552,$B$40:$AG$43,20,FALSE)*$D$54),$D$60*(VLOOKUP(C552,$B$36:$AG$39,20,FALSE)+VLOOKUP(C552,$B$40:$AG$43,20,FALSE)*$D$54)))*$D$59/100</f>
        <v>2410.7095760987809</v>
      </c>
      <c r="AN552" s="174">
        <f>(IF(H552="근접",$D$61*(VLOOKUP(C552,$B$36:$AG$39,21,FALSE)+VLOOKUP(C552,$B$40:$AG$43,21,FALSE)*$D$54),$D$60*(VLOOKUP(C552,$B$36:$AG$39,21,FALSE)+VLOOKUP(C552,$B$40:$AG$43,21,FALSE)*$D$54)))*$D$59/100</f>
        <v>3257.5990140707318</v>
      </c>
      <c r="AO552" s="176">
        <v>36</v>
      </c>
      <c r="AP552" s="174">
        <v>36</v>
      </c>
      <c r="AQ552" s="175">
        <f>VLOOKUP(C552,$B$45:$AA$48,19,FALSE)</f>
        <v>657</v>
      </c>
      <c r="AR552" s="31">
        <f>IF(LEFT(E552,1)*1=1,$S$64,$R$64)</f>
        <v>0</v>
      </c>
      <c r="AS552" s="2">
        <f>IF(LEFT(E552,1)*1=2,$U$64,$T$64)</f>
        <v>1</v>
      </c>
      <c r="AT552" s="33">
        <f>IF(LEFT(E552,1)*1=3,$W$64,$V$64)</f>
        <v>0</v>
      </c>
      <c r="AU552" s="31">
        <f>IF(MID(E552,3,1)*1=1,$Y$64,$X$64)</f>
        <v>25</v>
      </c>
      <c r="AV552" s="2">
        <f>IF(MID(E552,3,1)*1=2,$AA$64,$Z$64)</f>
        <v>0</v>
      </c>
      <c r="AW552" s="33">
        <f>IF(MID(E552,3,1)*1=3,$AC$64,$AB$64)</f>
        <v>1</v>
      </c>
      <c r="AX552" s="31">
        <f>IF(MID(E552,5,1)*1=1,$AE$64,$AD$64)</f>
        <v>1</v>
      </c>
      <c r="AY552" s="33">
        <f>IF(MID(E552,5,1)*1=2,$AG$64,$AF$64)</f>
        <v>1.2</v>
      </c>
      <c r="AZ552" s="2"/>
      <c r="BA552" s="101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</row>
    <row r="553" spans="1:71" ht="12" customHeight="1">
      <c r="A553" s="2"/>
      <c r="B553" s="107">
        <v>526</v>
      </c>
      <c r="C553" s="31">
        <v>10</v>
      </c>
      <c r="D553" s="111" t="s">
        <v>14</v>
      </c>
      <c r="E553" s="2" t="s">
        <v>165</v>
      </c>
      <c r="F553" s="2"/>
      <c r="G553" s="2"/>
      <c r="H553" s="33" t="s">
        <v>80</v>
      </c>
      <c r="I553" s="173">
        <f>M553/AE553</f>
        <v>580.42694599567847</v>
      </c>
      <c r="J553" s="174">
        <f>AH553/AE553</f>
        <v>23.695174714659018</v>
      </c>
      <c r="K553" s="207">
        <f>RANK(I553,$I$76:$I$977)</f>
        <v>477</v>
      </c>
      <c r="L553" s="208">
        <f>RANK(I553,$I$451:$I$866)</f>
        <v>102</v>
      </c>
      <c r="M553" s="173">
        <f>SUM(N553:R553)</f>
        <v>16093.593236231531</v>
      </c>
      <c r="N553" s="174">
        <f>T553*(1+((AG553+IF(F553="백어택",8,0))/100)*(AI553/100-1))</f>
        <v>4802.1898861928521</v>
      </c>
      <c r="O553" s="174">
        <f>U553*(1+((AG553+IF(F553="백어택",8,0))/100)*(AI553/100-1))</f>
        <v>4802.1898861928521</v>
      </c>
      <c r="P553" s="174">
        <f>V553*(1+((AG553+IF(F553="백어택",8,0))/100)*(AI553*IF(AX553=1,AW553,1)/100-1))</f>
        <v>6489.2134638458265</v>
      </c>
      <c r="Q553" s="174">
        <f>W553*(1+((AG553+IF(F553="백어택",8,0))/100)*(AI553*AW553/100-1))</f>
        <v>0</v>
      </c>
      <c r="R553" s="175"/>
      <c r="S553" s="173">
        <f>SUM(T553:X553)</f>
        <v>9694.8217995219511</v>
      </c>
      <c r="T553" s="174">
        <f>AL553*AY553*IF(F553="백어택",1.2,1)</f>
        <v>2892.8514913185368</v>
      </c>
      <c r="U553" s="174">
        <f>AM553*AY553*IF(F553="백어택",1.2,1)</f>
        <v>2892.8514913185368</v>
      </c>
      <c r="V553" s="174">
        <f>AN553*AY553*IF(F553="백어택",1.2,1)</f>
        <v>3909.118816884878</v>
      </c>
      <c r="W553" s="174">
        <f>(T553+U553+V553)*IF(AX553=1,0,0.6)*IF(F553="백어택",1.2,1)</f>
        <v>0</v>
      </c>
      <c r="X553" s="175"/>
      <c r="Y553" s="173">
        <f>SUM(Z553:AD553)</f>
        <v>24237.054498804879</v>
      </c>
      <c r="Z553" s="174">
        <f>T553*AI553/100</f>
        <v>7232.1287282963422</v>
      </c>
      <c r="AA553" s="174">
        <f>U553*AI553/100</f>
        <v>7232.1287282963422</v>
      </c>
      <c r="AB553" s="174">
        <f>V553*AI553*IF(AX553=1,AW553,1)/100</f>
        <v>9772.7970422121944</v>
      </c>
      <c r="AC553" s="174">
        <f>W553*AI553*AW553/100</f>
        <v>0</v>
      </c>
      <c r="AD553" s="175"/>
      <c r="AE553" s="173">
        <f>AO553*(1-$D$20/100)*(1-$D$17/100)</f>
        <v>27.727164197424003</v>
      </c>
      <c r="AF553" s="174">
        <f>AP553</f>
        <v>36</v>
      </c>
      <c r="AG553" s="174">
        <f>IF($D$57+AU553&gt;100,100,$D$57+AU553)</f>
        <v>44.001300000000001</v>
      </c>
      <c r="AH553" s="174">
        <f>AQ553*AS553</f>
        <v>657</v>
      </c>
      <c r="AI553" s="174">
        <f>$D$58+IF(H553="근접",AR553,0)+IF(AY553=1,0,50)</f>
        <v>250</v>
      </c>
      <c r="AJ553" s="174">
        <f>10/3</f>
        <v>3.3333333333333335</v>
      </c>
      <c r="AK553" s="174">
        <f>SUM(AL553:AN553)</f>
        <v>8079.0181662682935</v>
      </c>
      <c r="AL553" s="174">
        <f>(IF(H553="근접",$D$61*(VLOOKUP(C553,$B$36:$AG$39,19,FALSE)+VLOOKUP(C553,$B$40:$AG$43,19,FALSE)*$D$54),$D$60*(VLOOKUP(C553,$B$36:$AG$39,19,FALSE)+VLOOKUP(C553,$B$40:$AG$43,19,FALSE)*$D$54)))*$D$59/100</f>
        <v>2410.7095760987809</v>
      </c>
      <c r="AM553" s="174">
        <f>(IF(H553="근접",$D$61*(VLOOKUP(C553,$B$36:$AG$39,20,FALSE)+VLOOKUP(C553,$B$40:$AG$43,20,FALSE)*$D$54),$D$60*(VLOOKUP(C553,$B$36:$AG$39,20,FALSE)+VLOOKUP(C553,$B$40:$AG$43,20,FALSE)*$D$54)))*$D$59/100</f>
        <v>2410.7095760987809</v>
      </c>
      <c r="AN553" s="174">
        <f>(IF(H553="근접",$D$61*(VLOOKUP(C553,$B$36:$AG$39,21,FALSE)+VLOOKUP(C553,$B$40:$AG$43,21,FALSE)*$D$54),$D$60*(VLOOKUP(C553,$B$36:$AG$39,21,FALSE)+VLOOKUP(C553,$B$40:$AG$43,21,FALSE)*$D$54)))*$D$59/100</f>
        <v>3257.5990140707318</v>
      </c>
      <c r="AO553" s="176">
        <v>36</v>
      </c>
      <c r="AP553" s="174">
        <v>36</v>
      </c>
      <c r="AQ553" s="175">
        <f>VLOOKUP(C553,$B$45:$AA$48,19,FALSE)</f>
        <v>657</v>
      </c>
      <c r="AR553" s="31">
        <f>IF(LEFT(E553,1)*1=1,$S$64,$R$64)</f>
        <v>50</v>
      </c>
      <c r="AS553" s="2">
        <f>IF(LEFT(E553,1)*1=2,$U$64,$T$64)</f>
        <v>1</v>
      </c>
      <c r="AT553" s="33">
        <f>IF(LEFT(E553,1)*1=3,$W$64,$V$64)</f>
        <v>0</v>
      </c>
      <c r="AU553" s="31">
        <f>IF(MID(E553,3,1)*1=1,$Y$64,$X$64)</f>
        <v>25</v>
      </c>
      <c r="AV553" s="2">
        <f>IF(MID(E553,3,1)*1=2,$AA$64,$Z$64)</f>
        <v>0</v>
      </c>
      <c r="AW553" s="33">
        <f>IF(MID(E553,3,1)*1=3,$AC$64,$AB$64)</f>
        <v>1</v>
      </c>
      <c r="AX553" s="31">
        <f>IF(MID(E553,5,1)*1=1,$AE$64,$AD$64)</f>
        <v>1</v>
      </c>
      <c r="AY553" s="33">
        <f>IF(MID(E553,5,1)*1=2,$AG$64,$AF$64)</f>
        <v>1.2</v>
      </c>
      <c r="AZ553" s="2"/>
      <c r="BA553" s="101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</row>
    <row r="554" spans="1:71" ht="12" customHeight="1">
      <c r="A554" s="2"/>
      <c r="B554" s="107">
        <v>529</v>
      </c>
      <c r="C554" s="31">
        <v>10</v>
      </c>
      <c r="D554" s="111" t="s">
        <v>14</v>
      </c>
      <c r="E554" s="2" t="s">
        <v>170</v>
      </c>
      <c r="F554" s="2"/>
      <c r="G554" s="2"/>
      <c r="H554" s="33" t="s">
        <v>80</v>
      </c>
      <c r="I554" s="173">
        <f>M554/AE554</f>
        <v>580.42694599567847</v>
      </c>
      <c r="J554" s="174">
        <f>AH554/AE554</f>
        <v>11.847587357329509</v>
      </c>
      <c r="K554" s="207">
        <f>RANK(I554,$I$76:$I$977)</f>
        <v>477</v>
      </c>
      <c r="L554" s="208">
        <f>RANK(I554,$I$451:$I$866)</f>
        <v>102</v>
      </c>
      <c r="M554" s="173">
        <f>SUM(N554:R554)</f>
        <v>16093.593236231531</v>
      </c>
      <c r="N554" s="174">
        <f>T554*(1+((AG554+IF(F554="백어택",8,0))/100)*(AI554/100-1))</f>
        <v>4802.1898861928521</v>
      </c>
      <c r="O554" s="174">
        <f>U554*(1+((AG554+IF(F554="백어택",8,0))/100)*(AI554/100-1))</f>
        <v>4802.1898861928521</v>
      </c>
      <c r="P554" s="174">
        <f>V554*(1+((AG554+IF(F554="백어택",8,0))/100)*(AI554*IF(AX554=1,AW554,1)/100-1))</f>
        <v>6489.2134638458265</v>
      </c>
      <c r="Q554" s="174">
        <f>W554*(1+((AG554+IF(F554="백어택",8,0))/100)*(AI554*AW554/100-1))</f>
        <v>0</v>
      </c>
      <c r="R554" s="175"/>
      <c r="S554" s="173">
        <f>SUM(T554:X554)</f>
        <v>9694.8217995219511</v>
      </c>
      <c r="T554" s="174">
        <f>AL554*AY554*IF(F554="백어택",1.2,1)</f>
        <v>2892.8514913185368</v>
      </c>
      <c r="U554" s="174">
        <f>AM554*AY554*IF(F554="백어택",1.2,1)</f>
        <v>2892.8514913185368</v>
      </c>
      <c r="V554" s="174">
        <f>AN554*AY554*IF(F554="백어택",1.2,1)</f>
        <v>3909.118816884878</v>
      </c>
      <c r="W554" s="174">
        <f>(T554+U554+V554)*IF(AX554=1,0,0.6)*IF(F554="백어택",1.2,1)</f>
        <v>0</v>
      </c>
      <c r="X554" s="175"/>
      <c r="Y554" s="173">
        <f>SUM(Z554:AD554)</f>
        <v>24237.054498804879</v>
      </c>
      <c r="Z554" s="174">
        <f>T554*AI554/100</f>
        <v>7232.1287282963422</v>
      </c>
      <c r="AA554" s="174">
        <f>U554*AI554/100</f>
        <v>7232.1287282963422</v>
      </c>
      <c r="AB554" s="174">
        <f>V554*AI554*IF(AX554=1,AW554,1)/100</f>
        <v>9772.7970422121944</v>
      </c>
      <c r="AC554" s="174">
        <f>W554*AI554*AW554/100</f>
        <v>0</v>
      </c>
      <c r="AD554" s="175"/>
      <c r="AE554" s="173">
        <f>AO554*(1-$D$20/100)*(1-$D$17/100)</f>
        <v>27.727164197424003</v>
      </c>
      <c r="AF554" s="174">
        <f>AP554</f>
        <v>36</v>
      </c>
      <c r="AG554" s="174">
        <f>IF($D$57+AU554&gt;100,100,$D$57+AU554)</f>
        <v>44.001300000000001</v>
      </c>
      <c r="AH554" s="174">
        <f>AQ554*AS554</f>
        <v>328.5</v>
      </c>
      <c r="AI554" s="174">
        <f>$D$58+IF(H554="근접",AR554,0)+IF(AY554=1,0,50)</f>
        <v>250</v>
      </c>
      <c r="AJ554" s="174">
        <f>10/3</f>
        <v>3.3333333333333335</v>
      </c>
      <c r="AK554" s="174">
        <f>SUM(AL554:AN554)</f>
        <v>8079.0181662682935</v>
      </c>
      <c r="AL554" s="174">
        <f>(IF(H554="근접",$D$61*(VLOOKUP(C554,$B$36:$AG$39,19,FALSE)+VLOOKUP(C554,$B$40:$AG$43,19,FALSE)*$D$54),$D$60*(VLOOKUP(C554,$B$36:$AG$39,19,FALSE)+VLOOKUP(C554,$B$40:$AG$43,19,FALSE)*$D$54)))*$D$59/100</f>
        <v>2410.7095760987809</v>
      </c>
      <c r="AM554" s="174">
        <f>(IF(H554="근접",$D$61*(VLOOKUP(C554,$B$36:$AG$39,20,FALSE)+VLOOKUP(C554,$B$40:$AG$43,20,FALSE)*$D$54),$D$60*(VLOOKUP(C554,$B$36:$AG$39,20,FALSE)+VLOOKUP(C554,$B$40:$AG$43,20,FALSE)*$D$54)))*$D$59/100</f>
        <v>2410.7095760987809</v>
      </c>
      <c r="AN554" s="174">
        <f>(IF(H554="근접",$D$61*(VLOOKUP(C554,$B$36:$AG$39,21,FALSE)+VLOOKUP(C554,$B$40:$AG$43,21,FALSE)*$D$54),$D$60*(VLOOKUP(C554,$B$36:$AG$39,21,FALSE)+VLOOKUP(C554,$B$40:$AG$43,21,FALSE)*$D$54)))*$D$59/100</f>
        <v>3257.5990140707318</v>
      </c>
      <c r="AO554" s="176">
        <v>36</v>
      </c>
      <c r="AP554" s="174">
        <v>36</v>
      </c>
      <c r="AQ554" s="175">
        <f>VLOOKUP(C554,$B$45:$AA$48,19,FALSE)</f>
        <v>657</v>
      </c>
      <c r="AR554" s="31">
        <f>IF(LEFT(E554,1)*1=1,$S$64,$R$64)</f>
        <v>0</v>
      </c>
      <c r="AS554" s="2">
        <f>IF(LEFT(E554,1)*1=2,$U$64,$T$64)</f>
        <v>0.5</v>
      </c>
      <c r="AT554" s="33">
        <f>IF(LEFT(E554,1)*1=3,$W$64,$V$64)</f>
        <v>0</v>
      </c>
      <c r="AU554" s="31">
        <f>IF(MID(E554,3,1)*1=1,$Y$64,$X$64)</f>
        <v>25</v>
      </c>
      <c r="AV554" s="2">
        <f>IF(MID(E554,3,1)*1=2,$AA$64,$Z$64)</f>
        <v>0</v>
      </c>
      <c r="AW554" s="33">
        <f>IF(MID(E554,3,1)*1=3,$AC$64,$AB$64)</f>
        <v>1</v>
      </c>
      <c r="AX554" s="31">
        <f>IF(MID(E554,5,1)*1=1,$AE$64,$AD$64)</f>
        <v>1</v>
      </c>
      <c r="AY554" s="33">
        <f>IF(MID(E554,5,1)*1=2,$AG$64,$AF$64)</f>
        <v>1.2</v>
      </c>
      <c r="AZ554" s="2"/>
      <c r="BA554" s="101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</row>
    <row r="555" spans="1:71" ht="12" customHeight="1">
      <c r="A555" s="2"/>
      <c r="B555" s="107">
        <v>515</v>
      </c>
      <c r="C555" s="31">
        <v>10</v>
      </c>
      <c r="D555" s="111" t="s">
        <v>14</v>
      </c>
      <c r="E555" s="2" t="s">
        <v>141</v>
      </c>
      <c r="F555" s="2"/>
      <c r="G555" s="2"/>
      <c r="H555" s="33" t="s">
        <v>80</v>
      </c>
      <c r="I555" s="173">
        <f>M555/AE555</f>
        <v>578.70288143266907</v>
      </c>
      <c r="J555" s="174">
        <f>AH555/AE555</f>
        <v>23.695174714659018</v>
      </c>
      <c r="K555" s="207">
        <f>RANK(I555,$I$76:$I$977)</f>
        <v>480</v>
      </c>
      <c r="L555" s="208">
        <f>RANK(I555,$I$451:$I$866)</f>
        <v>105</v>
      </c>
      <c r="M555" s="173">
        <f>SUM(N555:R555)</f>
        <v>16045.78981500601</v>
      </c>
      <c r="N555" s="174">
        <f>T555*(1+((AG555+IF(F555="백어택",8,0))/100)*(AI555/100-1))</f>
        <v>2868.7757347820384</v>
      </c>
      <c r="O555" s="174">
        <f>U555*(1+((AG555+IF(F555="백어택",8,0))/100)*(AI555/100-1))</f>
        <v>2868.7757347820384</v>
      </c>
      <c r="P555" s="174">
        <f>V555*(1+((AG555+IF(F555="백어택",8,0))/100)*(AI555*IF(AX555=1,AW555,1)/100-1))</f>
        <v>3876.5851755313538</v>
      </c>
      <c r="Q555" s="174">
        <f>W555*(1+((AG555+IF(F555="백어택",8,0))/100)*(AI555*AW555/100-1))</f>
        <v>6431.6531699105808</v>
      </c>
      <c r="R555" s="175"/>
      <c r="S555" s="173">
        <f>SUM(T555:X555)</f>
        <v>12926.429066029268</v>
      </c>
      <c r="T555" s="174">
        <f>AL555*AY555*IF(F555="백어택",1.2,1)</f>
        <v>2410.7095760987809</v>
      </c>
      <c r="U555" s="174">
        <f>AM555*AY555*IF(F555="백어택",1.2,1)</f>
        <v>2410.7095760987809</v>
      </c>
      <c r="V555" s="174">
        <f>AN555*AY555*IF(F555="백어택",1.2,1)</f>
        <v>3257.5990140707318</v>
      </c>
      <c r="W555" s="174">
        <f>(T555+U555+V555)*IF(AX555=1,0,0.6)*IF(F555="백어택",1.2,1)</f>
        <v>4847.4108997609756</v>
      </c>
      <c r="X555" s="175"/>
      <c r="Y555" s="173">
        <f>SUM(Z555:AD555)</f>
        <v>29342.993979886443</v>
      </c>
      <c r="Z555" s="174">
        <f>T555*AI555/100</f>
        <v>4821.4191521975617</v>
      </c>
      <c r="AA555" s="174">
        <f>U555*AI555/100</f>
        <v>4821.4191521975617</v>
      </c>
      <c r="AB555" s="174">
        <f>V555*AI555*IF(AX555=1,AW555,1)/100</f>
        <v>6515.1980281414635</v>
      </c>
      <c r="AC555" s="174">
        <f>W555*AI555*AW555/100</f>
        <v>13184.957647349855</v>
      </c>
      <c r="AD555" s="175"/>
      <c r="AE555" s="173">
        <f>AO555*(1-$D$20/100)*(1-$D$17/100)</f>
        <v>27.727164197424003</v>
      </c>
      <c r="AF555" s="174">
        <f>AP555</f>
        <v>36</v>
      </c>
      <c r="AG555" s="174">
        <f>IF($D$57+AU555&gt;100,100,$D$57+AU555)</f>
        <v>19.001300000000001</v>
      </c>
      <c r="AH555" s="174">
        <f>AQ555*AS555</f>
        <v>657</v>
      </c>
      <c r="AI555" s="174">
        <f>$D$58+IF(H555="근접",AR555,0)+IF(AY555=1,0,50)</f>
        <v>200</v>
      </c>
      <c r="AJ555" s="174">
        <f>10/3</f>
        <v>3.3333333333333335</v>
      </c>
      <c r="AK555" s="174">
        <f>SUM(AL555:AN555)</f>
        <v>8079.0181662682935</v>
      </c>
      <c r="AL555" s="174">
        <f>(IF(H555="근접",$D$61*(VLOOKUP(C555,$B$36:$AG$39,19,FALSE)+VLOOKUP(C555,$B$40:$AG$43,19,FALSE)*$D$54),$D$60*(VLOOKUP(C555,$B$36:$AG$39,19,FALSE)+VLOOKUP(C555,$B$40:$AG$43,19,FALSE)*$D$54)))*$D$59/100</f>
        <v>2410.7095760987809</v>
      </c>
      <c r="AM555" s="174">
        <f>(IF(H555="근접",$D$61*(VLOOKUP(C555,$B$36:$AG$39,20,FALSE)+VLOOKUP(C555,$B$40:$AG$43,20,FALSE)*$D$54),$D$60*(VLOOKUP(C555,$B$36:$AG$39,20,FALSE)+VLOOKUP(C555,$B$40:$AG$43,20,FALSE)*$D$54)))*$D$59/100</f>
        <v>2410.7095760987809</v>
      </c>
      <c r="AN555" s="174">
        <f>(IF(H555="근접",$D$61*(VLOOKUP(C555,$B$36:$AG$39,21,FALSE)+VLOOKUP(C555,$B$40:$AG$43,21,FALSE)*$D$54),$D$60*(VLOOKUP(C555,$B$36:$AG$39,21,FALSE)+VLOOKUP(C555,$B$40:$AG$43,21,FALSE)*$D$54)))*$D$59/100</f>
        <v>3257.5990140707318</v>
      </c>
      <c r="AO555" s="176">
        <v>36</v>
      </c>
      <c r="AP555" s="174">
        <v>36</v>
      </c>
      <c r="AQ555" s="175">
        <f>VLOOKUP(C555,$B$45:$AA$48,19,FALSE)</f>
        <v>657</v>
      </c>
      <c r="AR555" s="31">
        <f>IF(LEFT(E555,1)*1=1,$S$64,$R$64)</f>
        <v>0</v>
      </c>
      <c r="AS555" s="2">
        <f>IF(LEFT(E555,1)*1=2,$U$64,$T$64)</f>
        <v>1</v>
      </c>
      <c r="AT555" s="33">
        <f>IF(LEFT(E555,1)*1=3,$W$64,$V$64)</f>
        <v>0</v>
      </c>
      <c r="AU555" s="31">
        <f>IF(MID(E555,3,1)*1=1,$Y$64,$X$64)</f>
        <v>0</v>
      </c>
      <c r="AV555" s="2">
        <f>IF(MID(E555,3,1)*1=2,$AA$64,$Z$64)</f>
        <v>0</v>
      </c>
      <c r="AW555" s="33">
        <f>IF(MID(E555,3,1)*1=3,$AC$64,$AB$64)</f>
        <v>1.36</v>
      </c>
      <c r="AX555" s="31">
        <f>IF(MID(E555,5,1)*1=1,$AE$64,$AD$64)</f>
        <v>0.6</v>
      </c>
      <c r="AY555" s="33">
        <f>IF(MID(E555,5,1)*1=2,$AG$64,$AF$64)</f>
        <v>1</v>
      </c>
      <c r="AZ555" s="2"/>
      <c r="BA555" s="101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</row>
    <row r="556" spans="1:71" ht="12" customHeight="1">
      <c r="A556" s="2"/>
      <c r="B556" s="107">
        <v>518</v>
      </c>
      <c r="C556" s="31">
        <v>10</v>
      </c>
      <c r="D556" s="111" t="s">
        <v>14</v>
      </c>
      <c r="E556" s="2" t="s">
        <v>156</v>
      </c>
      <c r="F556" s="2"/>
      <c r="G556" s="2"/>
      <c r="H556" s="33" t="s">
        <v>80</v>
      </c>
      <c r="I556" s="173">
        <f>M556/AE556</f>
        <v>578.70288143266907</v>
      </c>
      <c r="J556" s="174">
        <f>AH556/AE556</f>
        <v>23.695174714659018</v>
      </c>
      <c r="K556" s="207">
        <f>RANK(I556,$I$76:$I$977)</f>
        <v>480</v>
      </c>
      <c r="L556" s="208">
        <f>RANK(I556,$I$451:$I$866)</f>
        <v>105</v>
      </c>
      <c r="M556" s="173">
        <f>SUM(N556:R556)</f>
        <v>16045.78981500601</v>
      </c>
      <c r="N556" s="174">
        <f>T556*(1+((AG556+IF(F556="백어택",8,0))/100)*(AI556/100-1))</f>
        <v>2868.7757347820384</v>
      </c>
      <c r="O556" s="174">
        <f>U556*(1+((AG556+IF(F556="백어택",8,0))/100)*(AI556/100-1))</f>
        <v>2868.7757347820384</v>
      </c>
      <c r="P556" s="174">
        <f>V556*(1+((AG556+IF(F556="백어택",8,0))/100)*(AI556*IF(AX556=1,AW556,1)/100-1))</f>
        <v>3876.5851755313538</v>
      </c>
      <c r="Q556" s="174">
        <f>W556*(1+((AG556+IF(F556="백어택",8,0))/100)*(AI556*AW556/100-1))</f>
        <v>6431.6531699105808</v>
      </c>
      <c r="R556" s="175"/>
      <c r="S556" s="173">
        <f>SUM(T556:X556)</f>
        <v>12926.429066029268</v>
      </c>
      <c r="T556" s="174">
        <f>AL556*AY556*IF(F556="백어택",1.2,1)</f>
        <v>2410.7095760987809</v>
      </c>
      <c r="U556" s="174">
        <f>AM556*AY556*IF(F556="백어택",1.2,1)</f>
        <v>2410.7095760987809</v>
      </c>
      <c r="V556" s="174">
        <f>AN556*AY556*IF(F556="백어택",1.2,1)</f>
        <v>3257.5990140707318</v>
      </c>
      <c r="W556" s="174">
        <f>(T556+U556+V556)*IF(AX556=1,0,0.6)*IF(F556="백어택",1.2,1)</f>
        <v>4847.4108997609756</v>
      </c>
      <c r="X556" s="175"/>
      <c r="Y556" s="173">
        <f>SUM(Z556:AD556)</f>
        <v>29342.993979886443</v>
      </c>
      <c r="Z556" s="174">
        <f>T556*AI556/100</f>
        <v>4821.4191521975617</v>
      </c>
      <c r="AA556" s="174">
        <f>U556*AI556/100</f>
        <v>4821.4191521975617</v>
      </c>
      <c r="AB556" s="174">
        <f>V556*AI556*IF(AX556=1,AW556,1)/100</f>
        <v>6515.1980281414635</v>
      </c>
      <c r="AC556" s="174">
        <f>W556*AI556*AW556/100</f>
        <v>13184.957647349855</v>
      </c>
      <c r="AD556" s="175"/>
      <c r="AE556" s="173">
        <f>AO556*(1-$D$20/100)*(1-$D$17/100)</f>
        <v>27.727164197424003</v>
      </c>
      <c r="AF556" s="174">
        <f>AP556</f>
        <v>36</v>
      </c>
      <c r="AG556" s="174">
        <f>IF($D$57+AU556&gt;100,100,$D$57+AU556)</f>
        <v>19.001300000000001</v>
      </c>
      <c r="AH556" s="174">
        <f>AQ556*AS556</f>
        <v>657</v>
      </c>
      <c r="AI556" s="174">
        <f>$D$58+IF(H556="근접",AR556,0)+IF(AY556=1,0,50)</f>
        <v>200</v>
      </c>
      <c r="AJ556" s="174">
        <f>10/3</f>
        <v>3.3333333333333335</v>
      </c>
      <c r="AK556" s="174">
        <f>SUM(AL556:AN556)</f>
        <v>8079.0181662682935</v>
      </c>
      <c r="AL556" s="174">
        <f>(IF(H556="근접",$D$61*(VLOOKUP(C556,$B$36:$AG$39,19,FALSE)+VLOOKUP(C556,$B$40:$AG$43,19,FALSE)*$D$54),$D$60*(VLOOKUP(C556,$B$36:$AG$39,19,FALSE)+VLOOKUP(C556,$B$40:$AG$43,19,FALSE)*$D$54)))*$D$59/100</f>
        <v>2410.7095760987809</v>
      </c>
      <c r="AM556" s="174">
        <f>(IF(H556="근접",$D$61*(VLOOKUP(C556,$B$36:$AG$39,20,FALSE)+VLOOKUP(C556,$B$40:$AG$43,20,FALSE)*$D$54),$D$60*(VLOOKUP(C556,$B$36:$AG$39,20,FALSE)+VLOOKUP(C556,$B$40:$AG$43,20,FALSE)*$D$54)))*$D$59/100</f>
        <v>2410.7095760987809</v>
      </c>
      <c r="AN556" s="174">
        <f>(IF(H556="근접",$D$61*(VLOOKUP(C556,$B$36:$AG$39,21,FALSE)+VLOOKUP(C556,$B$40:$AG$43,21,FALSE)*$D$54),$D$60*(VLOOKUP(C556,$B$36:$AG$39,21,FALSE)+VLOOKUP(C556,$B$40:$AG$43,21,FALSE)*$D$54)))*$D$59/100</f>
        <v>3257.5990140707318</v>
      </c>
      <c r="AO556" s="176">
        <v>36</v>
      </c>
      <c r="AP556" s="174">
        <v>36</v>
      </c>
      <c r="AQ556" s="175">
        <f>VLOOKUP(C556,$B$45:$AA$48,19,FALSE)</f>
        <v>657</v>
      </c>
      <c r="AR556" s="31">
        <f>IF(LEFT(E556,1)*1=1,$S$64,$R$64)</f>
        <v>50</v>
      </c>
      <c r="AS556" s="2">
        <f>IF(LEFT(E556,1)*1=2,$U$64,$T$64)</f>
        <v>1</v>
      </c>
      <c r="AT556" s="33">
        <f>IF(LEFT(E556,1)*1=3,$W$64,$V$64)</f>
        <v>0</v>
      </c>
      <c r="AU556" s="31">
        <f>IF(MID(E556,3,1)*1=1,$Y$64,$X$64)</f>
        <v>0</v>
      </c>
      <c r="AV556" s="2">
        <f>IF(MID(E556,3,1)*1=2,$AA$64,$Z$64)</f>
        <v>0</v>
      </c>
      <c r="AW556" s="33">
        <f>IF(MID(E556,3,1)*1=3,$AC$64,$AB$64)</f>
        <v>1.36</v>
      </c>
      <c r="AX556" s="31">
        <f>IF(MID(E556,5,1)*1=1,$AE$64,$AD$64)</f>
        <v>0.6</v>
      </c>
      <c r="AY556" s="33">
        <f>IF(MID(E556,5,1)*1=2,$AG$64,$AF$64)</f>
        <v>1</v>
      </c>
      <c r="AZ556" s="2"/>
      <c r="BA556" s="101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</row>
    <row r="557" spans="1:71" ht="12" customHeight="1">
      <c r="A557" s="2"/>
      <c r="B557" s="107">
        <v>521</v>
      </c>
      <c r="C557" s="31">
        <v>10</v>
      </c>
      <c r="D557" s="111" t="s">
        <v>14</v>
      </c>
      <c r="E557" s="2" t="s">
        <v>171</v>
      </c>
      <c r="F557" s="2"/>
      <c r="G557" s="2"/>
      <c r="H557" s="33" t="s">
        <v>80</v>
      </c>
      <c r="I557" s="173">
        <f>M557/AE557</f>
        <v>578.70288143266907</v>
      </c>
      <c r="J557" s="174">
        <f>AH557/AE557</f>
        <v>11.847587357329509</v>
      </c>
      <c r="K557" s="207">
        <f>RANK(I557,$I$76:$I$977)</f>
        <v>480</v>
      </c>
      <c r="L557" s="208">
        <f>RANK(I557,$I$451:$I$866)</f>
        <v>105</v>
      </c>
      <c r="M557" s="173">
        <f>SUM(N557:R557)</f>
        <v>16045.78981500601</v>
      </c>
      <c r="N557" s="174">
        <f>T557*(1+((AG557+IF(F557="백어택",8,0))/100)*(AI557/100-1))</f>
        <v>2868.7757347820384</v>
      </c>
      <c r="O557" s="174">
        <f>U557*(1+((AG557+IF(F557="백어택",8,0))/100)*(AI557/100-1))</f>
        <v>2868.7757347820384</v>
      </c>
      <c r="P557" s="174">
        <f>V557*(1+((AG557+IF(F557="백어택",8,0))/100)*(AI557*IF(AX557=1,AW557,1)/100-1))</f>
        <v>3876.5851755313538</v>
      </c>
      <c r="Q557" s="174">
        <f>W557*(1+((AG557+IF(F557="백어택",8,0))/100)*(AI557*AW557/100-1))</f>
        <v>6431.6531699105808</v>
      </c>
      <c r="R557" s="175"/>
      <c r="S557" s="173">
        <f>SUM(T557:X557)</f>
        <v>12926.429066029268</v>
      </c>
      <c r="T557" s="174">
        <f>AL557*AY557*IF(F557="백어택",1.2,1)</f>
        <v>2410.7095760987809</v>
      </c>
      <c r="U557" s="174">
        <f>AM557*AY557*IF(F557="백어택",1.2,1)</f>
        <v>2410.7095760987809</v>
      </c>
      <c r="V557" s="174">
        <f>AN557*AY557*IF(F557="백어택",1.2,1)</f>
        <v>3257.5990140707318</v>
      </c>
      <c r="W557" s="174">
        <f>(T557+U557+V557)*IF(AX557=1,0,0.6)*IF(F557="백어택",1.2,1)</f>
        <v>4847.4108997609756</v>
      </c>
      <c r="X557" s="175"/>
      <c r="Y557" s="173">
        <f>SUM(Z557:AD557)</f>
        <v>29342.993979886443</v>
      </c>
      <c r="Z557" s="174">
        <f>T557*AI557/100</f>
        <v>4821.4191521975617</v>
      </c>
      <c r="AA557" s="174">
        <f>U557*AI557/100</f>
        <v>4821.4191521975617</v>
      </c>
      <c r="AB557" s="174">
        <f>V557*AI557*IF(AX557=1,AW557,1)/100</f>
        <v>6515.1980281414635</v>
      </c>
      <c r="AC557" s="174">
        <f>W557*AI557*AW557/100</f>
        <v>13184.957647349855</v>
      </c>
      <c r="AD557" s="175"/>
      <c r="AE557" s="173">
        <f>AO557*(1-$D$20/100)*(1-$D$17/100)</f>
        <v>27.727164197424003</v>
      </c>
      <c r="AF557" s="174">
        <f>AP557</f>
        <v>36</v>
      </c>
      <c r="AG557" s="174">
        <f>IF($D$57+AU557&gt;100,100,$D$57+AU557)</f>
        <v>19.001300000000001</v>
      </c>
      <c r="AH557" s="174">
        <f>AQ557*AS557</f>
        <v>328.5</v>
      </c>
      <c r="AI557" s="174">
        <f>$D$58+IF(H557="근접",AR557,0)+IF(AY557=1,0,50)</f>
        <v>200</v>
      </c>
      <c r="AJ557" s="174">
        <f>10/3</f>
        <v>3.3333333333333335</v>
      </c>
      <c r="AK557" s="174">
        <f>SUM(AL557:AN557)</f>
        <v>8079.0181662682935</v>
      </c>
      <c r="AL557" s="174">
        <f>(IF(H557="근접",$D$61*(VLOOKUP(C557,$B$36:$AG$39,19,FALSE)+VLOOKUP(C557,$B$40:$AG$43,19,FALSE)*$D$54),$D$60*(VLOOKUP(C557,$B$36:$AG$39,19,FALSE)+VLOOKUP(C557,$B$40:$AG$43,19,FALSE)*$D$54)))*$D$59/100</f>
        <v>2410.7095760987809</v>
      </c>
      <c r="AM557" s="174">
        <f>(IF(H557="근접",$D$61*(VLOOKUP(C557,$B$36:$AG$39,20,FALSE)+VLOOKUP(C557,$B$40:$AG$43,20,FALSE)*$D$54),$D$60*(VLOOKUP(C557,$B$36:$AG$39,20,FALSE)+VLOOKUP(C557,$B$40:$AG$43,20,FALSE)*$D$54)))*$D$59/100</f>
        <v>2410.7095760987809</v>
      </c>
      <c r="AN557" s="174">
        <f>(IF(H557="근접",$D$61*(VLOOKUP(C557,$B$36:$AG$39,21,FALSE)+VLOOKUP(C557,$B$40:$AG$43,21,FALSE)*$D$54),$D$60*(VLOOKUP(C557,$B$36:$AG$39,21,FALSE)+VLOOKUP(C557,$B$40:$AG$43,21,FALSE)*$D$54)))*$D$59/100</f>
        <v>3257.5990140707318</v>
      </c>
      <c r="AO557" s="176">
        <v>36</v>
      </c>
      <c r="AP557" s="174">
        <v>36</v>
      </c>
      <c r="AQ557" s="175">
        <f>VLOOKUP(C557,$B$45:$AA$48,19,FALSE)</f>
        <v>657</v>
      </c>
      <c r="AR557" s="31">
        <f>IF(LEFT(E557,1)*1=1,$S$64,$R$64)</f>
        <v>0</v>
      </c>
      <c r="AS557" s="2">
        <f>IF(LEFT(E557,1)*1=2,$U$64,$T$64)</f>
        <v>0.5</v>
      </c>
      <c r="AT557" s="33">
        <f>IF(LEFT(E557,1)*1=3,$W$64,$V$64)</f>
        <v>0</v>
      </c>
      <c r="AU557" s="31">
        <f>IF(MID(E557,3,1)*1=1,$Y$64,$X$64)</f>
        <v>0</v>
      </c>
      <c r="AV557" s="2">
        <f>IF(MID(E557,3,1)*1=2,$AA$64,$Z$64)</f>
        <v>0</v>
      </c>
      <c r="AW557" s="33">
        <f>IF(MID(E557,3,1)*1=3,$AC$64,$AB$64)</f>
        <v>1.36</v>
      </c>
      <c r="AX557" s="31">
        <f>IF(MID(E557,5,1)*1=1,$AE$64,$AD$64)</f>
        <v>0.6</v>
      </c>
      <c r="AY557" s="33">
        <f>IF(MID(E557,5,1)*1=2,$AG$64,$AF$64)</f>
        <v>1</v>
      </c>
      <c r="AZ557" s="2"/>
      <c r="BA557" s="101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</row>
    <row r="558" spans="1:71" ht="12" customHeight="1">
      <c r="A558" s="2"/>
      <c r="B558" s="107">
        <v>462</v>
      </c>
      <c r="C558" s="31">
        <v>10</v>
      </c>
      <c r="D558" s="111" t="s">
        <v>11</v>
      </c>
      <c r="E558" s="2" t="s">
        <v>148</v>
      </c>
      <c r="F558" s="2"/>
      <c r="G558" s="2"/>
      <c r="H558" s="33">
        <f>IF(AX558=1,5,1)</f>
        <v>5</v>
      </c>
      <c r="I558" s="173">
        <f>M558/AE558</f>
        <v>578.43866204544804</v>
      </c>
      <c r="J558" s="174">
        <f>AH558/AE558</f>
        <v>32.696397631322085</v>
      </c>
      <c r="K558" s="207">
        <f>RANK(I558,$I$76:$I$977)</f>
        <v>483</v>
      </c>
      <c r="L558" s="208">
        <f>RANK(I558,$I$451:$I$866)</f>
        <v>108</v>
      </c>
      <c r="M558" s="173">
        <f>SUM(N558:R558)</f>
        <v>10473.193156999749</v>
      </c>
      <c r="N558" s="174">
        <f>T558*(1+(AG558/100)*(AI558/100-1))</f>
        <v>9698.8375121045228</v>
      </c>
      <c r="O558" s="174">
        <f>U558*(1+(AG558/100)*(AI558/100-1))</f>
        <v>774.35564489522528</v>
      </c>
      <c r="P558" s="174"/>
      <c r="Q558" s="174"/>
      <c r="R558" s="175"/>
      <c r="S558" s="173">
        <f>T558</f>
        <v>8150.1945878780507</v>
      </c>
      <c r="T558" s="174">
        <f>H558*AL558*AX558</f>
        <v>8150.1945878780507</v>
      </c>
      <c r="U558" s="174">
        <f>AM558*AV558</f>
        <v>650.71192070609754</v>
      </c>
      <c r="V558" s="174"/>
      <c r="W558" s="174"/>
      <c r="X558" s="175"/>
      <c r="Y558" s="173">
        <f>SUM(Z558:AD558)</f>
        <v>17601.813017168297</v>
      </c>
      <c r="Z558" s="174">
        <f>T558*$D$58/100</f>
        <v>16300.389175756101</v>
      </c>
      <c r="AA558" s="174">
        <f>U558*$D$58/100</f>
        <v>1301.4238414121951</v>
      </c>
      <c r="AB558" s="174"/>
      <c r="AC558" s="174"/>
      <c r="AD558" s="175"/>
      <c r="AE558" s="173">
        <f>AO558*(1-$D$20/100)*(1-$D$17/100)-AR558</f>
        <v>18.105970164519999</v>
      </c>
      <c r="AF558" s="174">
        <f>AP558</f>
        <v>36</v>
      </c>
      <c r="AG558" s="174">
        <f>IF($D$57+AS558&gt;100,100,$D$57+AS558)</f>
        <v>19.001300000000001</v>
      </c>
      <c r="AH558" s="174">
        <f>AQ558</f>
        <v>592</v>
      </c>
      <c r="AI558" s="174">
        <f>$D$58</f>
        <v>200</v>
      </c>
      <c r="AJ558" s="174">
        <f>10/IF(AX558=1,7,6)</f>
        <v>1.4285714285714286</v>
      </c>
      <c r="AK558" s="174">
        <f>SUM(AL558:AN558)</f>
        <v>2280.7508382817077</v>
      </c>
      <c r="AL558" s="174">
        <f>(VLOOKUP(C558,$B$36:$AG$39,14,FALSE)+VLOOKUP(C558,$B$40:$AG$43,14,FALSE)*$D$54)*$D$59/100</f>
        <v>1630.0389175756102</v>
      </c>
      <c r="AM558" s="174">
        <f>(VLOOKUP(C558,$B$36:$AG$39,15,FALSE)+VLOOKUP(C558,$B$40:$AG$43,15,FALSE)*$D$54)*$D$59/100</f>
        <v>650.71192070609754</v>
      </c>
      <c r="AN558" s="174"/>
      <c r="AO558" s="176">
        <v>30</v>
      </c>
      <c r="AP558" s="174">
        <v>36</v>
      </c>
      <c r="AQ558" s="175">
        <f>VLOOKUP(C558,$B$45:$AA$48,14,FALSE)</f>
        <v>592</v>
      </c>
      <c r="AR558" s="31">
        <f>IF(LEFT(E558,1)*1=1,$S$61,$R$61)</f>
        <v>5</v>
      </c>
      <c r="AS558" s="2">
        <f>IF(LEFT(E558,1)*1=2,$U$61,$T$61)</f>
        <v>0</v>
      </c>
      <c r="AT558" s="33">
        <f>IF(LEFT(E558,1)*1=3,$W$61,$V$61)</f>
        <v>0</v>
      </c>
      <c r="AU558" s="31">
        <f>IF(MID(E558,3,1)*1=1,$Y$61,$X$61)</f>
        <v>0</v>
      </c>
      <c r="AV558" s="2">
        <f>IF(MID(E558,3,1)*1=2,$AA$61,$Z$61)</f>
        <v>1</v>
      </c>
      <c r="AW558" s="33">
        <f>IF(MID(E558,3,1)*1=3,$AC$61,$AB$61)</f>
        <v>0</v>
      </c>
      <c r="AX558" s="31">
        <f>IF(MID(E558,5,1)*1=1,$AE$61,$AD$61)</f>
        <v>1</v>
      </c>
      <c r="AY558" s="33">
        <f>IF(MID(E558,5,1)*1=2,$AG$61,$AF$61)</f>
        <v>0</v>
      </c>
      <c r="AZ558" s="2"/>
      <c r="BA558" s="101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</row>
    <row r="559" spans="1:71" ht="12" customHeight="1">
      <c r="A559" s="2"/>
      <c r="B559" s="107">
        <v>7</v>
      </c>
      <c r="C559" s="31">
        <v>10</v>
      </c>
      <c r="D559" s="106" t="s">
        <v>2</v>
      </c>
      <c r="E559" s="2" t="s">
        <v>87</v>
      </c>
      <c r="F559" s="2"/>
      <c r="G559" s="2"/>
      <c r="H559" s="33"/>
      <c r="I559" s="173">
        <f>M559/AE559</f>
        <v>577.45170873940242</v>
      </c>
      <c r="J559" s="174">
        <f>AH559/AE559</f>
        <v>34.707673678702669</v>
      </c>
      <c r="K559" s="207">
        <f>RANK(I559,$I$76:$I$977)</f>
        <v>484</v>
      </c>
      <c r="L559" s="208" t="e">
        <f>RANK(I559,$I$76:$I$450)</f>
        <v>#N/A</v>
      </c>
      <c r="M559" s="173">
        <f>SUM(N559:R559)</f>
        <v>4608.6097501534814</v>
      </c>
      <c r="N559" s="174">
        <f>T559*(1+((AG559+IF(F559="백어택",8,0))/100)*((AI559/100-1)))</f>
        <v>4608.6097501534814</v>
      </c>
      <c r="O559" s="174"/>
      <c r="P559" s="174"/>
      <c r="Q559" s="174"/>
      <c r="R559" s="175"/>
      <c r="S559" s="173">
        <f>SUM(T559:X559)</f>
        <v>2929.2657062865856</v>
      </c>
      <c r="T559" s="174">
        <f>AL559*AV559*AW559*AY559</f>
        <v>2929.2657062865856</v>
      </c>
      <c r="U559" s="174"/>
      <c r="V559" s="174"/>
      <c r="W559" s="174"/>
      <c r="X559" s="175"/>
      <c r="Y559" s="173">
        <f>SUM(Z559:AD559)</f>
        <v>5858.5314125731711</v>
      </c>
      <c r="Z559" s="174">
        <f>T559*$D$58/100</f>
        <v>5858.5314125731711</v>
      </c>
      <c r="AA559" s="174"/>
      <c r="AB559" s="174"/>
      <c r="AC559" s="174"/>
      <c r="AD559" s="175"/>
      <c r="AE559" s="173">
        <f>AO559*(1-$D$17/100)-AS559</f>
        <v>7.980944</v>
      </c>
      <c r="AF559" s="174"/>
      <c r="AG559" s="174">
        <f>IF($D$57+AT559&gt;100,100,$D$57+AT559)</f>
        <v>34.001300000000001</v>
      </c>
      <c r="AH559" s="174">
        <f>AQ559</f>
        <v>277</v>
      </c>
      <c r="AI559" s="174">
        <f>$D$58+$D$19</f>
        <v>268.61079999999998</v>
      </c>
      <c r="AJ559" s="174">
        <f>10*AY559/12</f>
        <v>0.83333333333333337</v>
      </c>
      <c r="AK559" s="174">
        <f>SUM(AL559:AN559)</f>
        <v>2929.2657062865856</v>
      </c>
      <c r="AL559" s="174">
        <f>(VLOOKUP(C559,$B$36:$AA$39,2,FALSE)+VLOOKUP(C559,$B$40:$AA$43,2,FALSE)*$D$54)*$D$59/100</f>
        <v>2929.2657062865856</v>
      </c>
      <c r="AM559" s="174"/>
      <c r="AN559" s="174"/>
      <c r="AO559" s="176">
        <v>8</v>
      </c>
      <c r="AP559" s="174">
        <v>15</v>
      </c>
      <c r="AQ559" s="175">
        <f>VLOOKUP(C559,$B$45:$AA$48,2,FALSE)</f>
        <v>277</v>
      </c>
      <c r="AR559" s="31">
        <f>IF(LEFT(E559,1)*1=1,$S$52,$R$52)</f>
        <v>0</v>
      </c>
      <c r="AS559" s="2">
        <f>IF(LEFT(E559,1)*1=2,$U$52,$T$52)</f>
        <v>0</v>
      </c>
      <c r="AT559" s="33">
        <f>IF(LEFT(E559,1)*1=3,$W$52,$V$52)</f>
        <v>15</v>
      </c>
      <c r="AU559" s="31">
        <f>IF(MID(E559,3,1)*1=1,$Y$52,$X$52)</f>
        <v>0</v>
      </c>
      <c r="AV559" s="2">
        <f>IF(MID(E559,3,1)*1=2,$AA$52,$Z$52)</f>
        <v>1</v>
      </c>
      <c r="AW559" s="33">
        <f>IF(MID(E559,3,1)*1=3,$AC$52,$AB$52)</f>
        <v>1</v>
      </c>
      <c r="AX559" s="31">
        <f>IF(MID(E559,5,1)*1=1,$AE$52,$AD$52)</f>
        <v>0</v>
      </c>
      <c r="AY559" s="33">
        <f>IF(MID(E559,5,1)*1=2,$AG$52,$AF$52)</f>
        <v>1</v>
      </c>
      <c r="AZ559" s="2"/>
      <c r="BA559" s="101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</row>
    <row r="560" spans="1:71" ht="12" customHeight="1">
      <c r="A560" s="2"/>
      <c r="B560" s="107">
        <v>16</v>
      </c>
      <c r="C560" s="31">
        <v>10</v>
      </c>
      <c r="D560" s="106" t="s">
        <v>2</v>
      </c>
      <c r="E560" s="2" t="s">
        <v>111</v>
      </c>
      <c r="F560" s="2"/>
      <c r="G560" s="2"/>
      <c r="H560" s="33"/>
      <c r="I560" s="173">
        <f>M560/AE560</f>
        <v>577.45170873940242</v>
      </c>
      <c r="J560" s="174">
        <f>AH560/AE560</f>
        <v>34.707673678702669</v>
      </c>
      <c r="K560" s="207">
        <f>RANK(I560,$I$76:$I$977)</f>
        <v>484</v>
      </c>
      <c r="L560" s="208" t="e">
        <f>RANK(I560,$I$76:$I$450)</f>
        <v>#N/A</v>
      </c>
      <c r="M560" s="173">
        <f>SUM(N560:R560)</f>
        <v>4608.6097501534814</v>
      </c>
      <c r="N560" s="174">
        <f>T560*(1+((AG560+IF(F560="백어택",8,0))/100)*((AI560/100-1)))</f>
        <v>4608.6097501534814</v>
      </c>
      <c r="O560" s="174"/>
      <c r="P560" s="174"/>
      <c r="Q560" s="174"/>
      <c r="R560" s="175"/>
      <c r="S560" s="173">
        <f>SUM(T560:X560)</f>
        <v>2929.2657062865856</v>
      </c>
      <c r="T560" s="174">
        <f>AL560*AV560*AW560*AY560</f>
        <v>2929.2657062865856</v>
      </c>
      <c r="U560" s="174"/>
      <c r="V560" s="174"/>
      <c r="W560" s="174"/>
      <c r="X560" s="175"/>
      <c r="Y560" s="173">
        <f>SUM(Z560:AD560)</f>
        <v>5858.5314125731711</v>
      </c>
      <c r="Z560" s="174">
        <f>T560*$D$58/100</f>
        <v>5858.5314125731711</v>
      </c>
      <c r="AA560" s="174"/>
      <c r="AB560" s="174"/>
      <c r="AC560" s="174"/>
      <c r="AD560" s="175"/>
      <c r="AE560" s="173">
        <f>AO560*(1-$D$17/100)-AS560</f>
        <v>7.980944</v>
      </c>
      <c r="AF560" s="174"/>
      <c r="AG560" s="174">
        <f>IF($D$57+AT560&gt;100,100,$D$57+AT560)</f>
        <v>34.001300000000001</v>
      </c>
      <c r="AH560" s="174">
        <f>AQ560</f>
        <v>277</v>
      </c>
      <c r="AI560" s="174">
        <f>$D$58+$D$19</f>
        <v>268.61079999999998</v>
      </c>
      <c r="AJ560" s="174">
        <f>10*AY560/12</f>
        <v>0.83333333333333337</v>
      </c>
      <c r="AK560" s="174">
        <f>SUM(AL560:AN560)</f>
        <v>2929.2657062865856</v>
      </c>
      <c r="AL560" s="174">
        <f>(VLOOKUP(C560,$B$36:$AA$39,2,FALSE)+VLOOKUP(C560,$B$40:$AA$43,2,FALSE)*$D$54)*$D$59/100</f>
        <v>2929.2657062865856</v>
      </c>
      <c r="AM560" s="174"/>
      <c r="AN560" s="174"/>
      <c r="AO560" s="176">
        <v>8</v>
      </c>
      <c r="AP560" s="174">
        <v>15</v>
      </c>
      <c r="AQ560" s="175">
        <f>VLOOKUP(C560,$B$45:$AA$48,2,FALSE)</f>
        <v>277</v>
      </c>
      <c r="AR560" s="31">
        <f>IF(LEFT(E560,1)*1=1,$S$52,$R$52)</f>
        <v>0</v>
      </c>
      <c r="AS560" s="2">
        <f>IF(LEFT(E560,1)*1=2,$U$52,$T$52)</f>
        <v>0</v>
      </c>
      <c r="AT560" s="33">
        <f>IF(LEFT(E560,1)*1=3,$W$52,$V$52)</f>
        <v>15</v>
      </c>
      <c r="AU560" s="31">
        <f>IF(MID(E560,3,1)*1=1,$Y$52,$X$52)</f>
        <v>0</v>
      </c>
      <c r="AV560" s="2">
        <f>IF(MID(E560,3,1)*1=2,$AA$52,$Z$52)</f>
        <v>1</v>
      </c>
      <c r="AW560" s="33">
        <f>IF(MID(E560,3,1)*1=3,$AC$52,$AB$52)</f>
        <v>1</v>
      </c>
      <c r="AX560" s="31">
        <f>IF(MID(E560,5,1)*1=1,$AE$52,$AD$52)</f>
        <v>0</v>
      </c>
      <c r="AY560" s="33">
        <f>IF(MID(E560,5,1)*1=2,$AG$52,$AF$52)</f>
        <v>1</v>
      </c>
      <c r="AZ560" s="2"/>
      <c r="BA560" s="101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</row>
    <row r="561" spans="1:71" ht="12" customHeight="1">
      <c r="A561" s="2"/>
      <c r="B561" s="107">
        <v>60</v>
      </c>
      <c r="C561" s="31">
        <v>10</v>
      </c>
      <c r="D561" s="106" t="s">
        <v>4</v>
      </c>
      <c r="E561" s="2" t="s">
        <v>146</v>
      </c>
      <c r="F561" s="2"/>
      <c r="G561" s="2" t="s">
        <v>167</v>
      </c>
      <c r="H561" s="33"/>
      <c r="I561" s="173">
        <f>M561/AE561</f>
        <v>575.89368063894312</v>
      </c>
      <c r="J561" s="174">
        <f>AH561/AE561</f>
        <v>29.152775243964456</v>
      </c>
      <c r="K561" s="207">
        <f>RANK(I561,$I$76:$I$977)</f>
        <v>486</v>
      </c>
      <c r="L561" s="208" t="e">
        <f>RANK(I561,$I$76:$I$450)</f>
        <v>#N/A</v>
      </c>
      <c r="M561" s="173">
        <f>SUM(N561:R561)</f>
        <v>6894.2628226999332</v>
      </c>
      <c r="N561" s="174">
        <f>T561*(1+((AG561+IF(F561="백어택",8,0))/100)*((AI561/100-1)))</f>
        <v>1089.6013904763372</v>
      </c>
      <c r="O561" s="174">
        <f>U561*(1+((AG561+IF(F561="백어택",8,0))/100)*(AI561/100-1))</f>
        <v>5804.6614322235964</v>
      </c>
      <c r="P561" s="174"/>
      <c r="Q561" s="174"/>
      <c r="R561" s="175"/>
      <c r="S561" s="173">
        <f>SUM(T561:X561)</f>
        <v>5221.413597269513</v>
      </c>
      <c r="T561" s="174">
        <f>AT561*AL561*IF(F561="백어택",1.2,1)</f>
        <v>825.21651148902447</v>
      </c>
      <c r="U561" s="174">
        <f>AM561*AW561*AX561*AY561*IF(F561="백어택",1.2,1)</f>
        <v>4396.1970857804881</v>
      </c>
      <c r="V561" s="174"/>
      <c r="W561" s="174"/>
      <c r="X561" s="175"/>
      <c r="Y561" s="173">
        <f>SUM(Z561:AD561)</f>
        <v>10442.827194539026</v>
      </c>
      <c r="Z561" s="174">
        <f>T561*$D$58/100</f>
        <v>1650.4330229780489</v>
      </c>
      <c r="AA561" s="174">
        <f>U561*$D$58/100</f>
        <v>8792.3941715609762</v>
      </c>
      <c r="AB561" s="174"/>
      <c r="AC561" s="174"/>
      <c r="AD561" s="175"/>
      <c r="AE561" s="173">
        <f>AO561*(1-$D$17/100)</f>
        <v>11.971416</v>
      </c>
      <c r="AF561" s="174">
        <f>AP561</f>
        <v>36</v>
      </c>
      <c r="AG561" s="174">
        <f>IF($D$57&gt;100,100,$D$57)</f>
        <v>19.001300000000001</v>
      </c>
      <c r="AH561" s="174">
        <f>AQ561</f>
        <v>349</v>
      </c>
      <c r="AI561" s="174">
        <f>$D$58+$D$19</f>
        <v>268.61079999999998</v>
      </c>
      <c r="AJ561" s="174">
        <f>10/IF(AY561=1,5,4)</f>
        <v>2</v>
      </c>
      <c r="AK561" s="174">
        <f>SUM(AL561:AN561)</f>
        <v>2748.2428838829269</v>
      </c>
      <c r="AL561" s="174">
        <f>(VLOOKUP(C561,$B$36:$AG$39,4,FALSE)+VLOOKUP(C561,$B$40:$AG$43,4,FALSE)*$D$54)*$D$59/100</f>
        <v>550.14434099268294</v>
      </c>
      <c r="AM561" s="174">
        <f>(VLOOKUP(C561,$B$36:$AG$39,5,FALSE)+VLOOKUP(C561,$B$40:$AG$43,5,FALSE)*$D$54)*$D$59/100</f>
        <v>2198.0985428902441</v>
      </c>
      <c r="AN561" s="174"/>
      <c r="AO561" s="176">
        <v>12</v>
      </c>
      <c r="AP561" s="174">
        <v>36</v>
      </c>
      <c r="AQ561" s="175">
        <f>VLOOKUP(C561,$B$45:$AA$48,4,FALSE)</f>
        <v>349</v>
      </c>
      <c r="AR561" s="31">
        <f>IF(LEFT(E561,1)*1=1,$S$54,$R$54)</f>
        <v>0</v>
      </c>
      <c r="AS561" s="2">
        <f>IF(LEFT(E561,1)*1=2,$U$54,$T$54)</f>
        <v>0</v>
      </c>
      <c r="AT561" s="33">
        <f>IF(LEFT(E561,1)*1=3,$W$54,$V$54)</f>
        <v>1.5</v>
      </c>
      <c r="AU561" s="31">
        <f>IF(MID(E561,3,1)*1=1,$Y$54,$X$54)</f>
        <v>0</v>
      </c>
      <c r="AV561" s="2">
        <f>IF(MID(E561,3,1)*1=2,$AA$54,$Z$54)</f>
        <v>0</v>
      </c>
      <c r="AW561" s="33">
        <f>IF(MID(E561,3,1)*1=3,$AC$54,$AB$54)</f>
        <v>1</v>
      </c>
      <c r="AX561" s="31">
        <f>IF(MID(E561,5,1)*1=1,$AE$54,$AD$54)</f>
        <v>2</v>
      </c>
      <c r="AY561" s="33">
        <f>IF(MID(E561,5,1)*1=2,$AG$54,$AF$54)</f>
        <v>1</v>
      </c>
      <c r="AZ561" s="2"/>
      <c r="BA561" s="101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</row>
    <row r="562" spans="1:71" ht="12" customHeight="1">
      <c r="A562" s="2"/>
      <c r="B562" s="107">
        <v>430</v>
      </c>
      <c r="C562" s="31">
        <v>7</v>
      </c>
      <c r="D562" s="111" t="s">
        <v>8</v>
      </c>
      <c r="E562" s="2" t="s">
        <v>67</v>
      </c>
      <c r="F562" s="2" t="s">
        <v>149</v>
      </c>
      <c r="G562" s="2"/>
      <c r="H562" s="33" t="s">
        <v>81</v>
      </c>
      <c r="I562" s="173">
        <f>M562/AE562</f>
        <v>575.7282432761358</v>
      </c>
      <c r="J562" s="174">
        <f>AH562/AE562</f>
        <v>19.637781784066725</v>
      </c>
      <c r="K562" s="207">
        <f>RANK(I562,$I$76:$I$977)</f>
        <v>487</v>
      </c>
      <c r="L562" s="208">
        <f>RANK(I562,$I$451:$I$866)</f>
        <v>112</v>
      </c>
      <c r="M562" s="173">
        <f>SUM(N562:R562)</f>
        <v>10642.207689607923</v>
      </c>
      <c r="N562" s="174">
        <f>T562*(1+((AG562+IF(F562="백어택",8,0))/100)*(IF(AY562=1,$D$58,$D$58+50)/100-1))</f>
        <v>4672.9514272687074</v>
      </c>
      <c r="O562" s="174">
        <f>U562*(1+((AG562+IF(F562="백어택",8,0))/100)*(AI562/100-1))</f>
        <v>5969.256262339215</v>
      </c>
      <c r="P562" s="174">
        <f>V562*(1+((AG562+IF(F562="백어택",8,0))/100)*(AI562/100-1))</f>
        <v>0</v>
      </c>
      <c r="Q562" s="174"/>
      <c r="R562" s="175"/>
      <c r="S562" s="173">
        <f>SUM(T562:X562)</f>
        <v>8379.6053186919526</v>
      </c>
      <c r="T562" s="174">
        <f>AL562*IF(H562="근접",AR562,1)*AY562*IF(F562="백어택",1.2,1)</f>
        <v>3679.4516491317077</v>
      </c>
      <c r="U562" s="174">
        <f>AM562*IF(H562="근접",AR562,1)*AY562*IF(F562="백어택",1.2,1)</f>
        <v>4700.1536695602445</v>
      </c>
      <c r="V562" s="174">
        <f>IF(AX562=1,0,AM562*IF(H562="근접",AR562,1)*AY562)*IF(F562="백어택",1.2,1)</f>
        <v>0</v>
      </c>
      <c r="W562" s="174"/>
      <c r="X562" s="175"/>
      <c r="Y562" s="173">
        <f>SUM(Z562:AD562)</f>
        <v>16759.210637383905</v>
      </c>
      <c r="Z562" s="174">
        <f>T562*IF(AY562=1,$D$58,$D$58+50)/100</f>
        <v>7358.9032982634144</v>
      </c>
      <c r="AA562" s="174">
        <f>U562*AI562/100</f>
        <v>9400.3073391204889</v>
      </c>
      <c r="AB562" s="174">
        <f>V562*AI562/100</f>
        <v>0</v>
      </c>
      <c r="AC562" s="174"/>
      <c r="AD562" s="175"/>
      <c r="AE562" s="173">
        <f>AO562*(1-$D$20/100)*(1-$D$17/100)</f>
        <v>18.484776131615998</v>
      </c>
      <c r="AF562" s="174">
        <f>AP562</f>
        <v>36</v>
      </c>
      <c r="AG562" s="174">
        <f>IF($D$57+AU562&gt;100,100,$D$57+AU562)</f>
        <v>19.001300000000001</v>
      </c>
      <c r="AH562" s="174">
        <f>IF(AX562=1,AQ562,AQ562*1.4)</f>
        <v>363</v>
      </c>
      <c r="AI562" s="174">
        <f>IF(AY562=1,$D$58,$D$58+50)*AW562</f>
        <v>200</v>
      </c>
      <c r="AJ562" s="174">
        <f>10/6/AX562</f>
        <v>1.6666666666666667</v>
      </c>
      <c r="AK562" s="174">
        <f>SUM(AL562:AN562)</f>
        <v>6983.0044322432941</v>
      </c>
      <c r="AL562" s="174">
        <f>(IF(H562="근접",$D$61*(VLOOKUP(C562,$B$36:$AG$39,9,FALSE)+VLOOKUP(C562,$B$40:$AG$43,9,FALSE)*$D$54),$D$60*(VLOOKUP(C562,$B$36:$AG$39,9,FALSE)+VLOOKUP(C562,$B$40:$AG$43,9,FALSE)*$D$54)))*$D$59/100</f>
        <v>3066.2097076097566</v>
      </c>
      <c r="AM562" s="174">
        <f>(IF(H562="근접",$D$61*(VLOOKUP(C562,$B$36:$AG$39,10,FALSE)+VLOOKUP(C562,$B$40:$AG$43,10,FALSE)*$D$54),$D$60*(VLOOKUP(C562,$B$36:$AG$39,10,FALSE)+VLOOKUP(C562,$B$40:$AG$43,10,FALSE)*$D$54)))*$D$59/100</f>
        <v>3916.7947246335375</v>
      </c>
      <c r="AN562" s="174"/>
      <c r="AO562" s="176">
        <v>24</v>
      </c>
      <c r="AP562" s="174">
        <v>36</v>
      </c>
      <c r="AQ562" s="175">
        <f>VLOOKUP(C562,$B$45:$AA$48,9,FALSE)</f>
        <v>363</v>
      </c>
      <c r="AR562" s="31">
        <f>IF(LEFT(E562,1)*1=1,$S$58,$R$58)</f>
        <v>1</v>
      </c>
      <c r="AS562" s="2">
        <f>IF(LEFT(E562,1)*1=2,$U$58,$T$58)</f>
        <v>0</v>
      </c>
      <c r="AT562" s="33">
        <f>IF(LEFT(E562,1)*1=3,$W$58,$V$58)</f>
        <v>0</v>
      </c>
      <c r="AU562" s="31">
        <f>IF(MID(E562,3,1)*1=1,$Y$58,$X$58)</f>
        <v>0</v>
      </c>
      <c r="AV562" s="2">
        <f>IF(MID(E562,3,1)*1=2,$AA$58,$Z$58)</f>
        <v>0</v>
      </c>
      <c r="AW562" s="33">
        <f>IF(MID(E562,3,1)*1=3,$AC$58,$AB$58)</f>
        <v>1</v>
      </c>
      <c r="AX562" s="31">
        <f>IF(MID(E562,5,1)*1=1,$AE$58,$AD$58)</f>
        <v>1</v>
      </c>
      <c r="AY562" s="33">
        <f>IF(MID(E562,5,1)*1=2,$AG$58,$AF$58)</f>
        <v>1</v>
      </c>
      <c r="AZ562" s="2"/>
      <c r="BA562" s="101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</row>
    <row r="563" spans="1:71" ht="12" customHeight="1">
      <c r="A563" s="2"/>
      <c r="B563" s="107">
        <v>475</v>
      </c>
      <c r="C563" s="31">
        <v>7</v>
      </c>
      <c r="D563" s="111" t="s">
        <v>11</v>
      </c>
      <c r="E563" s="2" t="s">
        <v>152</v>
      </c>
      <c r="F563" s="2"/>
      <c r="G563" s="2"/>
      <c r="H563" s="33">
        <f>IF(AX563=1,5,1)</f>
        <v>5</v>
      </c>
      <c r="I563" s="173">
        <f>M563/AE563</f>
        <v>574.73100308624987</v>
      </c>
      <c r="J563" s="174">
        <f>AH563/AE563</f>
        <v>22.754925378555235</v>
      </c>
      <c r="K563" s="207">
        <f>RANK(I563,$I$76:$I$977)</f>
        <v>488</v>
      </c>
      <c r="L563" s="208">
        <f>RANK(I563,$I$451:$I$866)</f>
        <v>113</v>
      </c>
      <c r="M563" s="173">
        <f>SUM(N563:R563)</f>
        <v>10406.062394504292</v>
      </c>
      <c r="N563" s="174">
        <f>T563*(1+(AG563/100)*(AI563/100-1))</f>
        <v>9292.427276372704</v>
      </c>
      <c r="O563" s="174">
        <f>U563*(1+(AG563/100)*(AI563/100-1))</f>
        <v>1113.6351181315881</v>
      </c>
      <c r="P563" s="174"/>
      <c r="Q563" s="174"/>
      <c r="R563" s="175"/>
      <c r="S563" s="173">
        <f>T563</f>
        <v>7808.677112243904</v>
      </c>
      <c r="T563" s="174">
        <f>H563*AL563*AX563</f>
        <v>7808.677112243904</v>
      </c>
      <c r="U563" s="174">
        <f>AM563*AV563</f>
        <v>935.81760714512211</v>
      </c>
      <c r="V563" s="174"/>
      <c r="W563" s="174"/>
      <c r="X563" s="175"/>
      <c r="Y563" s="173">
        <f>SUM(Z563:AD563)</f>
        <v>17488.989438778051</v>
      </c>
      <c r="Z563" s="174">
        <f>T563*$D$58/100</f>
        <v>15617.354224487808</v>
      </c>
      <c r="AA563" s="174">
        <f>U563*$D$58/100</f>
        <v>1871.6352142902442</v>
      </c>
      <c r="AB563" s="174"/>
      <c r="AC563" s="174"/>
      <c r="AD563" s="175"/>
      <c r="AE563" s="173">
        <f>AO563*(1-$D$20/100)*(1-$D$17/100)-AR563</f>
        <v>18.105970164519999</v>
      </c>
      <c r="AF563" s="174">
        <f>AP563</f>
        <v>36</v>
      </c>
      <c r="AG563" s="174">
        <f>IF($D$57+AS563&gt;100,100,$D$57+AS563)</f>
        <v>19.001300000000001</v>
      </c>
      <c r="AH563" s="174">
        <f>AQ563</f>
        <v>412</v>
      </c>
      <c r="AI563" s="174">
        <f>$D$58</f>
        <v>200</v>
      </c>
      <c r="AJ563" s="174">
        <f>10/IF(AX563=1,7,6)</f>
        <v>1.4285714285714286</v>
      </c>
      <c r="AK563" s="174">
        <f>SUM(AL563:AN563)</f>
        <v>2185.6138272121957</v>
      </c>
      <c r="AL563" s="174">
        <f>(VLOOKUP(C563,$B$36:$AG$39,14,FALSE)+VLOOKUP(C563,$B$40:$AG$43,14,FALSE)*$D$54)*$D$59/100</f>
        <v>1561.7354224487808</v>
      </c>
      <c r="AM563" s="174">
        <f>(VLOOKUP(C563,$B$36:$AG$39,15,FALSE)+VLOOKUP(C563,$B$40:$AG$43,15,FALSE)*$D$54)*$D$59/100</f>
        <v>623.87840476341478</v>
      </c>
      <c r="AN563" s="174"/>
      <c r="AO563" s="176">
        <v>30</v>
      </c>
      <c r="AP563" s="174">
        <v>36</v>
      </c>
      <c r="AQ563" s="175">
        <f>VLOOKUP(C563,$B$45:$AA$48,14,FALSE)</f>
        <v>412</v>
      </c>
      <c r="AR563" s="31">
        <f>IF(LEFT(E563,1)*1=1,$S$61,$R$61)</f>
        <v>5</v>
      </c>
      <c r="AS563" s="2">
        <f>IF(LEFT(E563,1)*1=2,$U$61,$T$61)</f>
        <v>0</v>
      </c>
      <c r="AT563" s="33">
        <f>IF(LEFT(E563,1)*1=3,$W$61,$V$61)</f>
        <v>0</v>
      </c>
      <c r="AU563" s="31">
        <f>IF(MID(E563,3,1)*1=1,$Y$61,$X$61)</f>
        <v>0</v>
      </c>
      <c r="AV563" s="2">
        <f>IF(MID(E563,3,1)*1=2,$AA$61,$Z$61)</f>
        <v>1.5</v>
      </c>
      <c r="AW563" s="33">
        <f>IF(MID(E563,3,1)*1=3,$AC$61,$AB$61)</f>
        <v>0</v>
      </c>
      <c r="AX563" s="31">
        <f>IF(MID(E563,5,1)*1=1,$AE$61,$AD$61)</f>
        <v>1</v>
      </c>
      <c r="AY563" s="33">
        <f>IF(MID(E563,5,1)*1=2,$AG$61,$AF$61)</f>
        <v>0</v>
      </c>
      <c r="AZ563" s="2"/>
      <c r="BA563" s="101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</row>
    <row r="564" spans="1:71" ht="12" customHeight="1">
      <c r="A564" s="2"/>
      <c r="B564" s="107">
        <v>233</v>
      </c>
      <c r="C564" s="31">
        <v>7</v>
      </c>
      <c r="D564" s="106" t="s">
        <v>13</v>
      </c>
      <c r="E564" s="2" t="s">
        <v>87</v>
      </c>
      <c r="F564" s="2"/>
      <c r="G564" s="2"/>
      <c r="H564" s="33"/>
      <c r="I564" s="173">
        <f>M564/AE564</f>
        <v>574.27232109722786</v>
      </c>
      <c r="J564" s="174">
        <f>AH564/AE564</f>
        <v>15.161113773007305</v>
      </c>
      <c r="K564" s="207">
        <f>RANK(I564,$I$76:$I$977)</f>
        <v>489</v>
      </c>
      <c r="L564" s="208" t="e">
        <f>RANK(I564,$I$76:$I$450)</f>
        <v>#N/A</v>
      </c>
      <c r="M564" s="173">
        <f>SUM(N564:R564)</f>
        <v>13749.705706280982</v>
      </c>
      <c r="N564" s="174">
        <f>T564*(1+((AG564+IF(F564="백어택",8,0))/100)*((AI564/100-1)))</f>
        <v>10300.829143780082</v>
      </c>
      <c r="O564" s="174">
        <f>U564*(1+($D$57/100)*($D$58/100-1))</f>
        <v>3448.8765625009</v>
      </c>
      <c r="P564" s="174"/>
      <c r="Q564" s="174"/>
      <c r="R564" s="175">
        <f>X564*(1+($D$57/100)*($D$58/100-1))</f>
        <v>0</v>
      </c>
      <c r="S564" s="173">
        <f>SUM(T564:X564)</f>
        <v>8061.9581246365851</v>
      </c>
      <c r="T564" s="174">
        <f>AL564*AY564</f>
        <v>5163.774186729268</v>
      </c>
      <c r="U564" s="174">
        <f>AM564*AU564*AW564</f>
        <v>2898.1839379073172</v>
      </c>
      <c r="V564" s="174"/>
      <c r="W564" s="174"/>
      <c r="X564" s="175">
        <f>IF(AU564=1,0,U564*0.625)</f>
        <v>0</v>
      </c>
      <c r="Y564" s="173">
        <f>SUM(Z564:AD564)</f>
        <v>16123.91624927317</v>
      </c>
      <c r="Z564" s="174">
        <f>T564*$D$58/100</f>
        <v>10327.548373458536</v>
      </c>
      <c r="AA564" s="174">
        <f>U564*$D$58/100</f>
        <v>5796.3678758146343</v>
      </c>
      <c r="AB564" s="174"/>
      <c r="AC564" s="174"/>
      <c r="AD564" s="175">
        <f>X564*$D$58/100</f>
        <v>0</v>
      </c>
      <c r="AE564" s="173">
        <f>AO564*(1-$D$17/100)</f>
        <v>23.942831999999999</v>
      </c>
      <c r="AF564" s="174">
        <f>AP564</f>
        <v>36</v>
      </c>
      <c r="AG564" s="174">
        <f>IF($D$57+AT564&gt;100,100,$D$57+AT564)</f>
        <v>59.001300000000001</v>
      </c>
      <c r="AH564" s="174">
        <f>AQ564</f>
        <v>363</v>
      </c>
      <c r="AI564" s="174">
        <f>$D$58+$D$19</f>
        <v>268.61079999999998</v>
      </c>
      <c r="AJ564" s="174">
        <f>10/IF(AY564=1,2.5,2)</f>
        <v>4</v>
      </c>
      <c r="AK564" s="174">
        <f>SUM(AL564:AN564)</f>
        <v>8061.9581246365851</v>
      </c>
      <c r="AL564" s="174">
        <f>(VLOOKUP(C564,$B$36:$AG$39,17,FALSE)+VLOOKUP(C564,$B$40:$AG$43,17,FALSE)*$D$54)*$D$59/100</f>
        <v>5163.774186729268</v>
      </c>
      <c r="AM564" s="174">
        <f>(VLOOKUP(C564,$B$36:$AG$39,18,FALSE)+VLOOKUP(C564,$B$40:$AG$43,18,FALSE)*$D$54)*$D$59/100</f>
        <v>2898.1839379073172</v>
      </c>
      <c r="AN564" s="174"/>
      <c r="AO564" s="176">
        <v>24</v>
      </c>
      <c r="AP564" s="174">
        <v>36</v>
      </c>
      <c r="AQ564" s="175">
        <f>VLOOKUP(C564,$B$45:$AA$48,17,FALSE)</f>
        <v>363</v>
      </c>
      <c r="AR564" s="31">
        <f>IF(LEFT(E564,1)*1=1,$S$63,$R$63)</f>
        <v>0</v>
      </c>
      <c r="AS564" s="2">
        <f>IF(LEFT(E564,1)*1=2,$U$63,$T$63)</f>
        <v>0</v>
      </c>
      <c r="AT564" s="33">
        <f>IF(LEFT(E564,1)*1=3,$W$63,$V$63)</f>
        <v>40</v>
      </c>
      <c r="AU564" s="31">
        <f>IF(MID(E564,3,1)*1=1,$Y$63,$X$63)</f>
        <v>1</v>
      </c>
      <c r="AV564" s="2">
        <f>IF(MID(E564,3,1)*1=2,$AA$63,$Z$63)</f>
        <v>0</v>
      </c>
      <c r="AW564" s="33">
        <f>IF(MID(E564,3,1)*1=3,$AC$63,$AB$63)</f>
        <v>1</v>
      </c>
      <c r="AX564" s="31">
        <f>IF(MID(E564,5,1)*1=1,$AE$63,$AD$63)</f>
        <v>0</v>
      </c>
      <c r="AY564" s="33">
        <f>IF(MID(E564,5,1)*1=2,$AG$63,$AF$63)</f>
        <v>1</v>
      </c>
      <c r="AZ564" s="2"/>
      <c r="BA564" s="101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</row>
    <row r="565" spans="1:71" ht="12" customHeight="1">
      <c r="A565" s="2"/>
      <c r="B565" s="107">
        <v>232</v>
      </c>
      <c r="C565" s="31">
        <v>7</v>
      </c>
      <c r="D565" s="106" t="s">
        <v>13</v>
      </c>
      <c r="E565" s="2" t="s">
        <v>91</v>
      </c>
      <c r="F565" s="2"/>
      <c r="G565" s="2"/>
      <c r="H565" s="33"/>
      <c r="I565" s="173">
        <f>M565/AE565</f>
        <v>572.86079951639795</v>
      </c>
      <c r="J565" s="174">
        <f>AH565/AE565</f>
        <v>15.161113773007305</v>
      </c>
      <c r="K565" s="207">
        <f>RANK(I565,$I$76:$I$977)</f>
        <v>490</v>
      </c>
      <c r="L565" s="208" t="e">
        <f>RANK(I565,$I$76:$I$450)</f>
        <v>#N/A</v>
      </c>
      <c r="M565" s="173">
        <f>SUM(N565:R565)</f>
        <v>13715.909882206797</v>
      </c>
      <c r="N565" s="174">
        <f>T565*(1+((AG565+IF(F565="백어택",8,0))/100)*((AI565/100-1)))</f>
        <v>6818.1567572049971</v>
      </c>
      <c r="O565" s="174">
        <f>U565*(1+($D$57/100)*($D$58/100-1))</f>
        <v>6897.7531250018001</v>
      </c>
      <c r="P565" s="174"/>
      <c r="Q565" s="174"/>
      <c r="R565" s="175">
        <f>X565*(1+($D$57/100)*($D$58/100-1))</f>
        <v>0</v>
      </c>
      <c r="S565" s="173">
        <f>SUM(T565:X565)</f>
        <v>10960.142062543902</v>
      </c>
      <c r="T565" s="174">
        <f>AL565*AY565</f>
        <v>5163.774186729268</v>
      </c>
      <c r="U565" s="174">
        <f>AM565*AU565*AW565</f>
        <v>5796.3678758146343</v>
      </c>
      <c r="V565" s="174"/>
      <c r="W565" s="174"/>
      <c r="X565" s="175">
        <f>IF(AU565=1,0,U565*0.625)</f>
        <v>0</v>
      </c>
      <c r="Y565" s="173">
        <f>SUM(Z565:AD565)</f>
        <v>21920.284125087805</v>
      </c>
      <c r="Z565" s="174">
        <f>T565*$D$58/100</f>
        <v>10327.548373458536</v>
      </c>
      <c r="AA565" s="174">
        <f>U565*$D$58/100</f>
        <v>11592.735751629269</v>
      </c>
      <c r="AB565" s="174"/>
      <c r="AC565" s="174"/>
      <c r="AD565" s="175">
        <f>X565*$D$58/100</f>
        <v>0</v>
      </c>
      <c r="AE565" s="173">
        <f>AO565*(1-$D$17/100)</f>
        <v>23.942831999999999</v>
      </c>
      <c r="AF565" s="174">
        <f>AP565</f>
        <v>36</v>
      </c>
      <c r="AG565" s="174">
        <f>IF($D$57+AT565&gt;100,100,$D$57+AT565)</f>
        <v>19.001300000000001</v>
      </c>
      <c r="AH565" s="174">
        <f>AQ565</f>
        <v>363</v>
      </c>
      <c r="AI565" s="174">
        <f>$D$58+$D$19</f>
        <v>268.61079999999998</v>
      </c>
      <c r="AJ565" s="174">
        <f>10/IF(AY565=1,2.5,2)</f>
        <v>4</v>
      </c>
      <c r="AK565" s="174">
        <f>SUM(AL565:AN565)</f>
        <v>8061.9581246365851</v>
      </c>
      <c r="AL565" s="174">
        <f>(VLOOKUP(C565,$B$36:$AG$39,17,FALSE)+VLOOKUP(C565,$B$40:$AG$43,17,FALSE)*$D$54)*$D$59/100</f>
        <v>5163.774186729268</v>
      </c>
      <c r="AM565" s="174">
        <f>(VLOOKUP(C565,$B$36:$AG$39,18,FALSE)+VLOOKUP(C565,$B$40:$AG$43,18,FALSE)*$D$54)*$D$59/100</f>
        <v>2898.1839379073172</v>
      </c>
      <c r="AN565" s="174"/>
      <c r="AO565" s="176">
        <v>24</v>
      </c>
      <c r="AP565" s="174">
        <v>36</v>
      </c>
      <c r="AQ565" s="175">
        <f>VLOOKUP(C565,$B$45:$AA$48,17,FALSE)</f>
        <v>363</v>
      </c>
      <c r="AR565" s="31">
        <f>IF(LEFT(E565,1)*1=1,$S$63,$R$63)</f>
        <v>0</v>
      </c>
      <c r="AS565" s="2">
        <f>IF(LEFT(E565,1)*1=2,$U$63,$T$63)</f>
        <v>0</v>
      </c>
      <c r="AT565" s="33">
        <f>IF(LEFT(E565,1)*1=3,$W$63,$V$63)</f>
        <v>0</v>
      </c>
      <c r="AU565" s="31">
        <f>IF(MID(E565,3,1)*1=1,$Y$63,$X$63)</f>
        <v>1</v>
      </c>
      <c r="AV565" s="2">
        <f>IF(MID(E565,3,1)*1=2,$AA$63,$Z$63)</f>
        <v>0</v>
      </c>
      <c r="AW565" s="33">
        <f>IF(MID(E565,3,1)*1=3,$AC$63,$AB$63)</f>
        <v>2</v>
      </c>
      <c r="AX565" s="31">
        <f>IF(MID(E565,5,1)*1=1,$AE$63,$AD$63)</f>
        <v>0</v>
      </c>
      <c r="AY565" s="33">
        <f>IF(MID(E565,5,1)*1=2,$AG$63,$AF$63)</f>
        <v>1</v>
      </c>
      <c r="AZ565" s="2"/>
      <c r="BA565" s="101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</row>
    <row r="566" spans="1:71" ht="12" customHeight="1">
      <c r="A566" s="2"/>
      <c r="B566" s="107">
        <v>895</v>
      </c>
      <c r="C566" s="31">
        <v>7</v>
      </c>
      <c r="D566" s="113" t="s">
        <v>22</v>
      </c>
      <c r="E566" s="2" t="s">
        <v>136</v>
      </c>
      <c r="F566" s="2"/>
      <c r="G566" s="2"/>
      <c r="H566" s="33"/>
      <c r="I566" s="173">
        <f>M566/AE566</f>
        <v>572.50006073049042</v>
      </c>
      <c r="J566" s="174">
        <f>AH566/AE566</f>
        <v>13.766124241276053</v>
      </c>
      <c r="K566" s="207">
        <f>RANK(I566,$I$76:$I$977)</f>
        <v>491</v>
      </c>
      <c r="L566" s="208" t="e">
        <f>RANK(I566,$I$867:$I$977)</f>
        <v>#N/A</v>
      </c>
      <c r="M566" s="173">
        <f>SUM(N566:R566)*(1+$D$22/100)</f>
        <v>17134.090967574914</v>
      </c>
      <c r="N566" s="174">
        <f>T566*(1+((AG566+IF(F566="백어택",8,0))/100)*(AI566/100-1))</f>
        <v>15437.831449017505</v>
      </c>
      <c r="O566" s="174"/>
      <c r="P566" s="174"/>
      <c r="Q566" s="174"/>
      <c r="R566" s="175">
        <f>X566*(1+($D$57/100)*(AI566/100-1))</f>
        <v>0</v>
      </c>
      <c r="S566" s="173">
        <f>SUM(T566:X566)</f>
        <v>12972.825884269756</v>
      </c>
      <c r="T566" s="174">
        <f>AL566*AU566</f>
        <v>12972.825884269756</v>
      </c>
      <c r="U566" s="174"/>
      <c r="V566" s="174"/>
      <c r="W566" s="174"/>
      <c r="X566" s="175">
        <f>AL566*AW566</f>
        <v>0</v>
      </c>
      <c r="Y566" s="173">
        <f>SUM(Z566:AD566)</f>
        <v>25945.651768539512</v>
      </c>
      <c r="Z566" s="174">
        <f>T566*$D$58/100</f>
        <v>25945.651768539512</v>
      </c>
      <c r="AA566" s="174"/>
      <c r="AB566" s="174"/>
      <c r="AC566" s="174"/>
      <c r="AD566" s="175"/>
      <c r="AE566" s="173">
        <f>AO566*(1-$D$17/100)</f>
        <v>29.928540000000002</v>
      </c>
      <c r="AF566" s="174">
        <f>AP566+AV566</f>
        <v>36</v>
      </c>
      <c r="AG566" s="174">
        <f>IF($D$57+AY566&gt;100,100,$D$57+AY566)</f>
        <v>19.001300000000001</v>
      </c>
      <c r="AH566" s="174">
        <f>AQ566*AR566</f>
        <v>412</v>
      </c>
      <c r="AI566" s="174">
        <f>$D$58</f>
        <v>200</v>
      </c>
      <c r="AJ566" s="174">
        <f>10/5</f>
        <v>2</v>
      </c>
      <c r="AK566" s="174">
        <f>SUM(AL566:AN566)</f>
        <v>9979.0968340536583</v>
      </c>
      <c r="AL566" s="174">
        <f>(VLOOKUP(C566,$B$36:$AG$39,32,FALSE)+VLOOKUP(C566,$B$40:$AG$43,32,FALSE)*$D$54)*$D$59/100</f>
        <v>9979.0968340536583</v>
      </c>
      <c r="AM566" s="174"/>
      <c r="AN566" s="174"/>
      <c r="AO566" s="176">
        <v>30</v>
      </c>
      <c r="AP566" s="174">
        <v>36</v>
      </c>
      <c r="AQ566" s="175">
        <f>VLOOKUP(C566,$B$45:$AG$48,32,FALSE)</f>
        <v>412</v>
      </c>
      <c r="AR566" s="31">
        <f>IF(LEFT(E566,1)*1=1,$S$72,$R$72)</f>
        <v>1</v>
      </c>
      <c r="AS566" s="2">
        <f>IF(LEFT(E566,1)*1=2,$U$72,$T$72)</f>
        <v>0</v>
      </c>
      <c r="AT566" s="33">
        <f>IF(LEFT(E566,1)*1=3,$W$72,$V$72)</f>
        <v>0</v>
      </c>
      <c r="AU566" s="31">
        <f>IF(MID(E566,3,1)*1=1,$Y$72,$X$72)</f>
        <v>1.3</v>
      </c>
      <c r="AV566" s="2">
        <f>IF(MID(E566,3,1)*1=2,$AA$72,$Z$72)</f>
        <v>0</v>
      </c>
      <c r="AW566" s="33">
        <f>IF(MID(E566,3,1)*1=3,$AC$72,$AB$72)</f>
        <v>0</v>
      </c>
      <c r="AX566" s="31">
        <f>IF(MID(E566,5,1)*1=1,$AE$72,$AD$72)</f>
        <v>0</v>
      </c>
      <c r="AY566" s="33">
        <f>IF(MID(E566,5,1)*1=2,$AG$72,$AF$72)</f>
        <v>0</v>
      </c>
      <c r="AZ566" s="2"/>
      <c r="BA566" s="101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</row>
    <row r="567" spans="1:71" ht="12" customHeight="1">
      <c r="A567" s="2"/>
      <c r="B567" s="107">
        <v>898</v>
      </c>
      <c r="C567" s="31">
        <v>7</v>
      </c>
      <c r="D567" s="113" t="s">
        <v>22</v>
      </c>
      <c r="E567" s="2" t="s">
        <v>163</v>
      </c>
      <c r="F567" s="2"/>
      <c r="G567" s="2"/>
      <c r="H567" s="33"/>
      <c r="I567" s="173">
        <f>M567/AE567</f>
        <v>572.50006073049042</v>
      </c>
      <c r="J567" s="174">
        <f>AH567/AE567</f>
        <v>6.8830621206380265</v>
      </c>
      <c r="K567" s="207">
        <f>RANK(I567,$I$76:$I$977)</f>
        <v>491</v>
      </c>
      <c r="L567" s="208" t="e">
        <f>RANK(I567,$I$867:$I$977)</f>
        <v>#N/A</v>
      </c>
      <c r="M567" s="173">
        <f>SUM(N567:R567)*(1+$D$22/100)</f>
        <v>17134.090967574914</v>
      </c>
      <c r="N567" s="174">
        <f>T567*(1+((AG567+IF(F567="백어택",8,0))/100)*(AI567/100-1))</f>
        <v>15437.831449017505</v>
      </c>
      <c r="O567" s="174"/>
      <c r="P567" s="174"/>
      <c r="Q567" s="174"/>
      <c r="R567" s="175">
        <f>X567*(1+($D$57/100)*(AI567/100-1))</f>
        <v>0</v>
      </c>
      <c r="S567" s="173">
        <f>SUM(T567:X567)</f>
        <v>12972.825884269756</v>
      </c>
      <c r="T567" s="174">
        <f>AL567*AU567</f>
        <v>12972.825884269756</v>
      </c>
      <c r="U567" s="174"/>
      <c r="V567" s="174"/>
      <c r="W567" s="174"/>
      <c r="X567" s="175">
        <f>AL567*AW567</f>
        <v>0</v>
      </c>
      <c r="Y567" s="173">
        <f>SUM(Z567:AD567)</f>
        <v>25945.651768539512</v>
      </c>
      <c r="Z567" s="174">
        <f>T567*$D$58/100</f>
        <v>25945.651768539512</v>
      </c>
      <c r="AA567" s="174"/>
      <c r="AB567" s="174"/>
      <c r="AC567" s="174"/>
      <c r="AD567" s="175"/>
      <c r="AE567" s="173">
        <f>AO567*(1-$D$17/100)</f>
        <v>29.928540000000002</v>
      </c>
      <c r="AF567" s="174">
        <f>AP567+AV567</f>
        <v>36</v>
      </c>
      <c r="AG567" s="174">
        <f>IF($D$57+AY567&gt;100,100,$D$57+AY567)</f>
        <v>19.001300000000001</v>
      </c>
      <c r="AH567" s="174">
        <f>AQ567*AR567</f>
        <v>206</v>
      </c>
      <c r="AI567" s="174">
        <f>$D$58</f>
        <v>200</v>
      </c>
      <c r="AJ567" s="174">
        <f>10/5</f>
        <v>2</v>
      </c>
      <c r="AK567" s="174">
        <f>SUM(AL567:AN567)</f>
        <v>9979.0968340536583</v>
      </c>
      <c r="AL567" s="174">
        <f>(VLOOKUP(C567,$B$36:$AG$39,32,FALSE)+VLOOKUP(C567,$B$40:$AG$43,32,FALSE)*$D$54)*$D$59/100</f>
        <v>9979.0968340536583</v>
      </c>
      <c r="AM567" s="174"/>
      <c r="AN567" s="174"/>
      <c r="AO567" s="176">
        <v>30</v>
      </c>
      <c r="AP567" s="174">
        <v>36</v>
      </c>
      <c r="AQ567" s="175">
        <f>VLOOKUP(C567,$B$45:$AG$48,32,FALSE)</f>
        <v>412</v>
      </c>
      <c r="AR567" s="31">
        <f>IF(LEFT(E567,1)*1=1,$S$72,$R$72)</f>
        <v>0.5</v>
      </c>
      <c r="AS567" s="2">
        <f>IF(LEFT(E567,1)*1=2,$U$72,$T$72)</f>
        <v>0</v>
      </c>
      <c r="AT567" s="33">
        <f>IF(LEFT(E567,1)*1=3,$W$72,$V$72)</f>
        <v>0</v>
      </c>
      <c r="AU567" s="31">
        <f>IF(MID(E567,3,1)*1=1,$Y$72,$X$72)</f>
        <v>1.3</v>
      </c>
      <c r="AV567" s="2">
        <f>IF(MID(E567,3,1)*1=2,$AA$72,$Z$72)</f>
        <v>0</v>
      </c>
      <c r="AW567" s="33">
        <f>IF(MID(E567,3,1)*1=3,$AC$72,$AB$72)</f>
        <v>0</v>
      </c>
      <c r="AX567" s="31">
        <f>IF(MID(E567,5,1)*1=1,$AE$72,$AD$72)</f>
        <v>0</v>
      </c>
      <c r="AY567" s="33">
        <f>IF(MID(E567,5,1)*1=2,$AG$72,$AF$72)</f>
        <v>0</v>
      </c>
      <c r="AZ567" s="2"/>
      <c r="BA567" s="101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</row>
    <row r="568" spans="1:71" ht="12" customHeight="1">
      <c r="A568" s="2"/>
      <c r="B568" s="107">
        <v>823</v>
      </c>
      <c r="C568" s="31">
        <v>10</v>
      </c>
      <c r="D568" s="113" t="s">
        <v>12</v>
      </c>
      <c r="E568" s="2" t="s">
        <v>144</v>
      </c>
      <c r="F568" s="2"/>
      <c r="G568" s="2" t="s">
        <v>187</v>
      </c>
      <c r="H568" s="50"/>
      <c r="I568" s="173">
        <f>M568/AE568</f>
        <v>572.14179379940526</v>
      </c>
      <c r="J568" s="174">
        <f>AH568/AE568</f>
        <v>21.760166048861723</v>
      </c>
      <c r="K568" s="207">
        <f>RANK(I568,$I$76:$I$977)</f>
        <v>493</v>
      </c>
      <c r="L568" s="208" t="e">
        <f>RANK(I568,$I$867:$I$977)</f>
        <v>#N/A</v>
      </c>
      <c r="M568" s="173">
        <f>SUM(N568:R568)*(1+$D$22/100)</f>
        <v>13698.694849117803</v>
      </c>
      <c r="N568" s="174">
        <f>T568*(1+((AG568+IF(F568="백어택",8,0))/100)*(AI568/100-1))</f>
        <v>8228.3576273917988</v>
      </c>
      <c r="O568" s="174">
        <f>U568*(1+($D$57/100)*(AI568/100-1))</f>
        <v>4114.1788136958994</v>
      </c>
      <c r="P568" s="174"/>
      <c r="Q568" s="174"/>
      <c r="R568" s="175">
        <f>X568*(1+($D$57/100)*(AI568/100-1))</f>
        <v>0</v>
      </c>
      <c r="S568" s="173">
        <f>SUM(T568:X568)</f>
        <v>10371.766057251221</v>
      </c>
      <c r="T568" s="174">
        <f>AL568*AU568*AW568</f>
        <v>6914.5107048341479</v>
      </c>
      <c r="U568" s="174">
        <f>AL568*AU568*AW568*AX568</f>
        <v>3457.2553524170739</v>
      </c>
      <c r="V568" s="174"/>
      <c r="W568" s="174"/>
      <c r="X568" s="175">
        <f>AL568*AY568</f>
        <v>0</v>
      </c>
      <c r="Y568" s="173">
        <f>SUM(Z568:AD568)</f>
        <v>20743.532114502443</v>
      </c>
      <c r="Z568" s="174">
        <f>T568*$D$58/100</f>
        <v>13829.021409668296</v>
      </c>
      <c r="AA568" s="174">
        <f>U568*$D$58/100</f>
        <v>6914.5107048341479</v>
      </c>
      <c r="AB568" s="174"/>
      <c r="AC568" s="174"/>
      <c r="AD568" s="175">
        <f>X568*$D$58/100</f>
        <v>0</v>
      </c>
      <c r="AE568" s="173">
        <f>AO568*(1-$D$17/100)</f>
        <v>23.942831999999999</v>
      </c>
      <c r="AF568" s="174">
        <f>AP568</f>
        <v>36</v>
      </c>
      <c r="AG568" s="174">
        <f>IF($D$57+AV568&gt;100,100,$D$57+AV568)</f>
        <v>19.001300000000001</v>
      </c>
      <c r="AH568" s="174">
        <f>AQ568</f>
        <v>521</v>
      </c>
      <c r="AI568" s="174">
        <f>$D$58</f>
        <v>200</v>
      </c>
      <c r="AJ568" s="174">
        <f>10/7</f>
        <v>1.4285714285714286</v>
      </c>
      <c r="AK568" s="174">
        <f>SUM(AL568:AN568)</f>
        <v>6914.5107048341479</v>
      </c>
      <c r="AL568" s="174">
        <f>(VLOOKUP(C568,$B$36:$AG$39,16,FALSE)+VLOOKUP(C568,$B$40:$AG$43,16,FALSE)*$D$54)*$D$59/100</f>
        <v>6914.5107048341479</v>
      </c>
      <c r="AM568" s="174"/>
      <c r="AN568" s="174"/>
      <c r="AO568" s="176">
        <v>24</v>
      </c>
      <c r="AP568" s="174">
        <v>36</v>
      </c>
      <c r="AQ568" s="175">
        <f>VLOOKUP(C568,$B$45:$AA$48,16,FALSE)</f>
        <v>521</v>
      </c>
      <c r="AR568" s="31">
        <f>IF(LEFT(E568,1)*1=1,$S$62,$R$62)</f>
        <v>0</v>
      </c>
      <c r="AS568" s="2">
        <f>IF(LEFT(E568,1)*1=2,$U$62,$T$62)</f>
        <v>0</v>
      </c>
      <c r="AT568" s="33">
        <f>IF(LEFT(E568,1)*1=3,$W$62,$V$62)</f>
        <v>0</v>
      </c>
      <c r="AU568" s="31">
        <f>IF(MID(E568,3,1)*1=1,$Y$62,$X$62)</f>
        <v>1</v>
      </c>
      <c r="AV568" s="2">
        <f>IF(MID(E568,3,1)*1=2,$AA$62,$Z$62)</f>
        <v>0</v>
      </c>
      <c r="AW568" s="33">
        <f>IF(MID(E568,3,1)*1=3,$AC$62,$AB$62)</f>
        <v>1</v>
      </c>
      <c r="AX568" s="31">
        <f>IF(MID(E568,5,1)*1=1,$AE$62,$AD$62)</f>
        <v>0.5</v>
      </c>
      <c r="AY568" s="33">
        <f>IF(MID(E568,5,1)*1=2,$AG$62,$AF$62)</f>
        <v>0</v>
      </c>
      <c r="AZ568" s="2"/>
      <c r="BA568" s="101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</row>
    <row r="569" spans="1:71" ht="12" customHeight="1">
      <c r="A569" s="2"/>
      <c r="B569" s="107">
        <v>2</v>
      </c>
      <c r="C569" s="31">
        <v>10</v>
      </c>
      <c r="D569" s="106" t="s">
        <v>2</v>
      </c>
      <c r="E569" s="2" t="s">
        <v>89</v>
      </c>
      <c r="F569" s="2"/>
      <c r="G569" s="2"/>
      <c r="H569" s="33"/>
      <c r="I569" s="173">
        <f>M569/AE569</f>
        <v>571.85543198103039</v>
      </c>
      <c r="J569" s="174">
        <f>AH569/AE569</f>
        <v>34.707673678702669</v>
      </c>
      <c r="K569" s="207">
        <f>RANK(I569,$I$76:$I$977)</f>
        <v>494</v>
      </c>
      <c r="L569" s="208" t="e">
        <f>RANK(I569,$I$76:$I$450)</f>
        <v>#N/A</v>
      </c>
      <c r="M569" s="173">
        <f>SUM(N569:R569)</f>
        <v>4563.9461787364125</v>
      </c>
      <c r="N569" s="174">
        <f>T569*(1+((AG569+IF(F569="백어택",8,0))/100)*((AI569/100-1)))</f>
        <v>4563.9461787364125</v>
      </c>
      <c r="O569" s="174"/>
      <c r="P569" s="174"/>
      <c r="Q569" s="174"/>
      <c r="R569" s="175"/>
      <c r="S569" s="173">
        <f>SUM(T569:X569)</f>
        <v>3456.5335334181709</v>
      </c>
      <c r="T569" s="174">
        <f>AL569*AV569*AW569*AY569</f>
        <v>3456.5335334181709</v>
      </c>
      <c r="U569" s="174"/>
      <c r="V569" s="174"/>
      <c r="W569" s="174"/>
      <c r="X569" s="175"/>
      <c r="Y569" s="173">
        <f>SUM(Z569:AD569)</f>
        <v>6913.0670668363418</v>
      </c>
      <c r="Z569" s="174">
        <f>T569*$D$58/100</f>
        <v>6913.0670668363418</v>
      </c>
      <c r="AA569" s="174"/>
      <c r="AB569" s="174"/>
      <c r="AC569" s="174"/>
      <c r="AD569" s="175"/>
      <c r="AE569" s="173">
        <f>AO569*(1-$D$17/100)-AS569</f>
        <v>7.980944</v>
      </c>
      <c r="AF569" s="174"/>
      <c r="AG569" s="174">
        <f>IF($D$57+AT569&gt;100,100,$D$57+AT569)</f>
        <v>19.001300000000001</v>
      </c>
      <c r="AH569" s="174">
        <f>AQ569</f>
        <v>277</v>
      </c>
      <c r="AI569" s="174">
        <f>$D$58+$D$19</f>
        <v>268.61079999999998</v>
      </c>
      <c r="AJ569" s="174">
        <f>10*AY569/12</f>
        <v>0.83333333333333337</v>
      </c>
      <c r="AK569" s="174">
        <f>SUM(AL569:AN569)</f>
        <v>2929.2657062865856</v>
      </c>
      <c r="AL569" s="174">
        <f>(VLOOKUP(C569,$B$36:$AA$39,2,FALSE)+VLOOKUP(C569,$B$40:$AA$43,2,FALSE)*$D$54)*$D$59/100</f>
        <v>2929.2657062865856</v>
      </c>
      <c r="AM569" s="174"/>
      <c r="AN569" s="174"/>
      <c r="AO569" s="176">
        <v>8</v>
      </c>
      <c r="AP569" s="174">
        <v>15</v>
      </c>
      <c r="AQ569" s="175">
        <f>VLOOKUP(C569,$B$45:$AA$48,2,FALSE)</f>
        <v>277</v>
      </c>
      <c r="AR569" s="31">
        <f>IF(LEFT(E569,1)*1=1,$S$52,$R$52)</f>
        <v>0</v>
      </c>
      <c r="AS569" s="2">
        <f>IF(LEFT(E569,1)*1=2,$U$52,$T$52)</f>
        <v>0</v>
      </c>
      <c r="AT569" s="33">
        <f>IF(LEFT(E569,1)*1=3,$W$52,$V$52)</f>
        <v>0</v>
      </c>
      <c r="AU569" s="31">
        <f>IF(MID(E569,3,1)*1=1,$Y$52,$X$52)</f>
        <v>0</v>
      </c>
      <c r="AV569" s="2">
        <f>IF(MID(E569,3,1)*1=2,$AA$52,$Z$52)</f>
        <v>1.18</v>
      </c>
      <c r="AW569" s="33">
        <f>IF(MID(E569,3,1)*1=3,$AC$52,$AB$52)</f>
        <v>1</v>
      </c>
      <c r="AX569" s="31">
        <f>IF(MID(E569,5,1)*1=1,$AE$52,$AD$52)</f>
        <v>0</v>
      </c>
      <c r="AY569" s="33">
        <f>IF(MID(E569,5,1)*1=2,$AG$52,$AF$52)</f>
        <v>1</v>
      </c>
      <c r="AZ569" s="2"/>
      <c r="BA569" s="101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</row>
    <row r="570" spans="1:71" ht="12" customHeight="1">
      <c r="A570" s="2"/>
      <c r="B570" s="107">
        <v>11</v>
      </c>
      <c r="C570" s="31">
        <v>10</v>
      </c>
      <c r="D570" s="106" t="s">
        <v>2</v>
      </c>
      <c r="E570" s="2" t="s">
        <v>95</v>
      </c>
      <c r="F570" s="2"/>
      <c r="G570" s="2"/>
      <c r="H570" s="33"/>
      <c r="I570" s="173">
        <f>M570/AE570</f>
        <v>571.85543198103039</v>
      </c>
      <c r="J570" s="174">
        <f>AH570/AE570</f>
        <v>34.707673678702669</v>
      </c>
      <c r="K570" s="207">
        <f>RANK(I570,$I$76:$I$977)</f>
        <v>494</v>
      </c>
      <c r="L570" s="208" t="e">
        <f>RANK(I570,$I$76:$I$450)</f>
        <v>#N/A</v>
      </c>
      <c r="M570" s="173">
        <f>SUM(N570:R570)</f>
        <v>4563.9461787364125</v>
      </c>
      <c r="N570" s="174">
        <f>T570*(1+((AG570+IF(F570="백어택",8,0))/100)*((AI570/100-1)))</f>
        <v>4563.9461787364125</v>
      </c>
      <c r="O570" s="174"/>
      <c r="P570" s="174"/>
      <c r="Q570" s="174"/>
      <c r="R570" s="175"/>
      <c r="S570" s="173">
        <f>SUM(T570:X570)</f>
        <v>3456.5335334181709</v>
      </c>
      <c r="T570" s="174">
        <f>AL570*AV570*AW570*AY570</f>
        <v>3456.5335334181709</v>
      </c>
      <c r="U570" s="174"/>
      <c r="V570" s="174"/>
      <c r="W570" s="174"/>
      <c r="X570" s="175"/>
      <c r="Y570" s="173">
        <f>SUM(Z570:AD570)</f>
        <v>6913.0670668363418</v>
      </c>
      <c r="Z570" s="174">
        <f>T570*$D$58/100</f>
        <v>6913.0670668363418</v>
      </c>
      <c r="AA570" s="174"/>
      <c r="AB570" s="174"/>
      <c r="AC570" s="174"/>
      <c r="AD570" s="175"/>
      <c r="AE570" s="173">
        <f>AO570*(1-$D$17/100)-AS570</f>
        <v>7.980944</v>
      </c>
      <c r="AF570" s="174"/>
      <c r="AG570" s="174">
        <f>IF($D$57+AT570&gt;100,100,$D$57+AT570)</f>
        <v>19.001300000000001</v>
      </c>
      <c r="AH570" s="174">
        <f>AQ570</f>
        <v>277</v>
      </c>
      <c r="AI570" s="174">
        <f>$D$58+$D$19</f>
        <v>268.61079999999998</v>
      </c>
      <c r="AJ570" s="174">
        <f>10*AY570/12</f>
        <v>0.83333333333333337</v>
      </c>
      <c r="AK570" s="174">
        <f>SUM(AL570:AN570)</f>
        <v>2929.2657062865856</v>
      </c>
      <c r="AL570" s="174">
        <f>(VLOOKUP(C570,$B$36:$AA$39,2,FALSE)+VLOOKUP(C570,$B$40:$AA$43,2,FALSE)*$D$54)*$D$59/100</f>
        <v>2929.2657062865856</v>
      </c>
      <c r="AM570" s="174"/>
      <c r="AN570" s="174"/>
      <c r="AO570" s="176">
        <v>8</v>
      </c>
      <c r="AP570" s="174">
        <v>15</v>
      </c>
      <c r="AQ570" s="175">
        <f>VLOOKUP(C570,$B$45:$AA$48,2,FALSE)</f>
        <v>277</v>
      </c>
      <c r="AR570" s="31">
        <f>IF(LEFT(E570,1)*1=1,$S$52,$R$52)</f>
        <v>0</v>
      </c>
      <c r="AS570" s="2">
        <f>IF(LEFT(E570,1)*1=2,$U$52,$T$52)</f>
        <v>0</v>
      </c>
      <c r="AT570" s="33">
        <f>IF(LEFT(E570,1)*1=3,$W$52,$V$52)</f>
        <v>0</v>
      </c>
      <c r="AU570" s="31">
        <f>IF(MID(E570,3,1)*1=1,$Y$52,$X$52)</f>
        <v>0</v>
      </c>
      <c r="AV570" s="2">
        <f>IF(MID(E570,3,1)*1=2,$AA$52,$Z$52)</f>
        <v>1.18</v>
      </c>
      <c r="AW570" s="33">
        <f>IF(MID(E570,3,1)*1=3,$AC$52,$AB$52)</f>
        <v>1</v>
      </c>
      <c r="AX570" s="31">
        <f>IF(MID(E570,5,1)*1=1,$AE$52,$AD$52)</f>
        <v>0</v>
      </c>
      <c r="AY570" s="33">
        <f>IF(MID(E570,5,1)*1=2,$AG$52,$AF$52)</f>
        <v>1</v>
      </c>
      <c r="AZ570" s="2"/>
      <c r="BA570" s="101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</row>
    <row r="571" spans="1:71" ht="12" customHeight="1">
      <c r="A571" s="2"/>
      <c r="B571" s="107">
        <v>794</v>
      </c>
      <c r="C571" s="31">
        <v>10</v>
      </c>
      <c r="D571" s="113" t="s">
        <v>9</v>
      </c>
      <c r="E571" s="2" t="s">
        <v>141</v>
      </c>
      <c r="F571" s="2"/>
      <c r="G571" s="2" t="s">
        <v>166</v>
      </c>
      <c r="H571" s="33"/>
      <c r="I571" s="173">
        <f>M571/AE571</f>
        <v>570.38283649707694</v>
      </c>
      <c r="J571" s="174">
        <f>AH571/AE571</f>
        <v>18.293575296355918</v>
      </c>
      <c r="K571" s="207">
        <f>RANK(I571,$I$76:$I$977)</f>
        <v>496</v>
      </c>
      <c r="L571" s="208" t="e">
        <f>RANK(I571,$I$867:$I$977)</f>
        <v>#N/A</v>
      </c>
      <c r="M571" s="173">
        <f>SUM(N571:R571)*(1+$D$22/100)</f>
        <v>20484.870644899474</v>
      </c>
      <c r="N571" s="174">
        <f>T571*(1+((AG571+IF(F571="백어택",8,0))/100)*(AI571/100-1))</f>
        <v>12323.666944622308</v>
      </c>
      <c r="O571" s="174">
        <f>U571*(1+($D$57/100)*(AI571/100-1))</f>
        <v>6133.2200223811205</v>
      </c>
      <c r="P571" s="174"/>
      <c r="Q571" s="174"/>
      <c r="R571" s="175">
        <f>X571*(1+($D$57/100)*(AI571/100-1))</f>
        <v>0</v>
      </c>
      <c r="S571" s="173">
        <f>SUM(T571:X571)</f>
        <v>12038.590238332927</v>
      </c>
      <c r="T571" s="174">
        <f>AL571*AU571*AY571</f>
        <v>6884.6801361902444</v>
      </c>
      <c r="U571" s="174">
        <f>AM571*AX571</f>
        <v>5153.9101021426832</v>
      </c>
      <c r="V571" s="174"/>
      <c r="W571" s="174"/>
      <c r="X571" s="175">
        <f>AM571*AS571</f>
        <v>0</v>
      </c>
      <c r="Y571" s="173">
        <f>SUM(Z571:AD571)</f>
        <v>24077.180476665853</v>
      </c>
      <c r="Z571" s="174">
        <f>T571*$D$58/100</f>
        <v>13769.360272380489</v>
      </c>
      <c r="AA571" s="174">
        <f>U571*$D$58/100</f>
        <v>10307.820204285366</v>
      </c>
      <c r="AB571" s="174"/>
      <c r="AC571" s="174"/>
      <c r="AD571" s="175">
        <f>X571*$D$58/100</f>
        <v>0</v>
      </c>
      <c r="AE571" s="173">
        <f>AO571*(1-$D$17/100)</f>
        <v>35.914248000000001</v>
      </c>
      <c r="AF571" s="174">
        <f>AP571</f>
        <v>36</v>
      </c>
      <c r="AG571" s="174">
        <f>IF($D$57+AW571&gt;100,100,$D$57+AW571)</f>
        <v>79.001300000000001</v>
      </c>
      <c r="AH571" s="174">
        <f>AQ571</f>
        <v>657</v>
      </c>
      <c r="AI571" s="174">
        <f>$D$58</f>
        <v>200</v>
      </c>
      <c r="AJ571" s="174">
        <f>10/(6+AT571)</f>
        <v>1.6666666666666667</v>
      </c>
      <c r="AK571" s="174">
        <f>SUM(AL571:AN571)</f>
        <v>8602.6501702378046</v>
      </c>
      <c r="AL571" s="174">
        <f>(VLOOKUP(C571,$B$36:$AG$39,11,FALSE)+VLOOKUP(C571,$B$40:$AG$43,11,FALSE)*$D$54)*$D$59/100</f>
        <v>6884.6801361902444</v>
      </c>
      <c r="AM571" s="174">
        <f>(3*(VLOOKUP(C571,$B$36:$AG$39,12,FALSE)+VLOOKUP(C571,$B$40:$AG$43,12,FALSE)*$D$54))*$D$59/100</f>
        <v>1717.9700340475611</v>
      </c>
      <c r="AN571" s="174"/>
      <c r="AO571" s="176">
        <v>36</v>
      </c>
      <c r="AP571" s="174">
        <v>36</v>
      </c>
      <c r="AQ571" s="175">
        <f>VLOOKUP(C571,$B$45:$AA$48,11,FALSE)</f>
        <v>657</v>
      </c>
      <c r="AR571" s="31">
        <f>IF(LEFT(E571,1)*1=1,$S$59,$R$59)</f>
        <v>0</v>
      </c>
      <c r="AS571" s="2">
        <f>IF(LEFT(E571,1)*1=2,$U$59,$T$59)</f>
        <v>0</v>
      </c>
      <c r="AT571" s="33">
        <f>IF(LEFT(E571,1)*1=3,$W$59,$V$59)</f>
        <v>0</v>
      </c>
      <c r="AU571" s="31">
        <f>IF(MID(E571,3,1)*1=1,$Y$59,$X$59)</f>
        <v>1</v>
      </c>
      <c r="AV571" s="2">
        <f>IF(MID(E571,3,1)*1=2,$AA$59,$Z$59)</f>
        <v>0</v>
      </c>
      <c r="AW571" s="33">
        <f>IF(MID(E571,3,1)*1=3,$AC$59,$AB$59)</f>
        <v>60</v>
      </c>
      <c r="AX571" s="31">
        <f>IF(MID(E571,5,1)*1=1,$AE$59,$AD$59)</f>
        <v>3</v>
      </c>
      <c r="AY571" s="33">
        <f>IF(MID(E571,5,1)*1=2,$AG$59,$AF$59)</f>
        <v>1</v>
      </c>
      <c r="AZ571" s="2"/>
      <c r="BA571" s="101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</row>
    <row r="572" spans="1:71" ht="12" customHeight="1">
      <c r="A572" s="2"/>
      <c r="B572" s="107">
        <v>800</v>
      </c>
      <c r="C572" s="31">
        <v>10</v>
      </c>
      <c r="D572" s="113" t="s">
        <v>9</v>
      </c>
      <c r="E572" s="2" t="s">
        <v>147</v>
      </c>
      <c r="F572" s="2"/>
      <c r="G572" s="2" t="s">
        <v>166</v>
      </c>
      <c r="H572" s="33"/>
      <c r="I572" s="173">
        <f>M572/AE572</f>
        <v>570.38283649707694</v>
      </c>
      <c r="J572" s="174">
        <f>AH572/AE572</f>
        <v>18.293575296355918</v>
      </c>
      <c r="K572" s="207">
        <f>RANK(I572,$I$76:$I$977)</f>
        <v>496</v>
      </c>
      <c r="L572" s="208" t="e">
        <f>RANK(I572,$I$867:$I$977)</f>
        <v>#N/A</v>
      </c>
      <c r="M572" s="173">
        <f>SUM(N572:R572)*(1+$D$22/100)</f>
        <v>20484.870644899474</v>
      </c>
      <c r="N572" s="174">
        <f>T572*(1+((AG572+IF(F572="백어택",8,0))/100)*(AI572/100-1))</f>
        <v>12323.666944622308</v>
      </c>
      <c r="O572" s="174">
        <f>U572*(1+($D$57/100)*(AI572/100-1))</f>
        <v>6133.2200223811205</v>
      </c>
      <c r="P572" s="174"/>
      <c r="Q572" s="174"/>
      <c r="R572" s="175">
        <f>X572*(1+($D$57/100)*(AI572/100-1))</f>
        <v>0</v>
      </c>
      <c r="S572" s="173">
        <f>SUM(T572:X572)</f>
        <v>12038.590238332927</v>
      </c>
      <c r="T572" s="174">
        <f>AL572*AU572*AY572</f>
        <v>6884.6801361902444</v>
      </c>
      <c r="U572" s="174">
        <f>AM572*AX572</f>
        <v>5153.9101021426832</v>
      </c>
      <c r="V572" s="174"/>
      <c r="W572" s="174"/>
      <c r="X572" s="175">
        <f>AM572*AS572</f>
        <v>0</v>
      </c>
      <c r="Y572" s="173">
        <f>SUM(Z572:AD572)</f>
        <v>24077.180476665853</v>
      </c>
      <c r="Z572" s="174">
        <f>T572*$D$58/100</f>
        <v>13769.360272380489</v>
      </c>
      <c r="AA572" s="174">
        <f>U572*$D$58/100</f>
        <v>10307.820204285366</v>
      </c>
      <c r="AB572" s="174"/>
      <c r="AC572" s="174"/>
      <c r="AD572" s="175">
        <f>X572*$D$58/100</f>
        <v>0</v>
      </c>
      <c r="AE572" s="173">
        <f>AO572*(1-$D$17/100)</f>
        <v>35.914248000000001</v>
      </c>
      <c r="AF572" s="174">
        <f>AP572</f>
        <v>36</v>
      </c>
      <c r="AG572" s="174">
        <f>IF($D$57+AW572&gt;100,100,$D$57+AW572)</f>
        <v>79.001300000000001</v>
      </c>
      <c r="AH572" s="174">
        <f>AQ572</f>
        <v>657</v>
      </c>
      <c r="AI572" s="174">
        <f>$D$58</f>
        <v>200</v>
      </c>
      <c r="AJ572" s="174">
        <f>10/(6+AT572)</f>
        <v>1.4285714285714286</v>
      </c>
      <c r="AK572" s="174">
        <f>SUM(AL572:AN572)</f>
        <v>8602.6501702378046</v>
      </c>
      <c r="AL572" s="174">
        <f>(VLOOKUP(C572,$B$36:$AG$39,11,FALSE)+VLOOKUP(C572,$B$40:$AG$43,11,FALSE)*$D$54)*$D$59/100</f>
        <v>6884.6801361902444</v>
      </c>
      <c r="AM572" s="174">
        <f>(3*(VLOOKUP(C572,$B$36:$AG$39,12,FALSE)+VLOOKUP(C572,$B$40:$AG$43,12,FALSE)*$D$54))*$D$59/100</f>
        <v>1717.9700340475611</v>
      </c>
      <c r="AN572" s="174"/>
      <c r="AO572" s="176">
        <v>36</v>
      </c>
      <c r="AP572" s="174">
        <v>36</v>
      </c>
      <c r="AQ572" s="175">
        <f>VLOOKUP(C572,$B$45:$AA$48,11,FALSE)</f>
        <v>657</v>
      </c>
      <c r="AR572" s="31">
        <f>IF(LEFT(E572,1)*1=1,$S$59,$R$59)</f>
        <v>0</v>
      </c>
      <c r="AS572" s="2">
        <f>IF(LEFT(E572,1)*1=2,$U$59,$T$59)</f>
        <v>0</v>
      </c>
      <c r="AT572" s="33">
        <f>IF(LEFT(E572,1)*1=3,$W$59,$V$59)</f>
        <v>1</v>
      </c>
      <c r="AU572" s="31">
        <f>IF(MID(E572,3,1)*1=1,$Y$59,$X$59)</f>
        <v>1</v>
      </c>
      <c r="AV572" s="2">
        <f>IF(MID(E572,3,1)*1=2,$AA$59,$Z$59)</f>
        <v>0</v>
      </c>
      <c r="AW572" s="33">
        <f>IF(MID(E572,3,1)*1=3,$AC$59,$AB$59)</f>
        <v>60</v>
      </c>
      <c r="AX572" s="31">
        <f>IF(MID(E572,5,1)*1=1,$AE$59,$AD$59)</f>
        <v>3</v>
      </c>
      <c r="AY572" s="33">
        <f>IF(MID(E572,5,1)*1=2,$AG$59,$AF$59)</f>
        <v>1</v>
      </c>
      <c r="AZ572" s="2"/>
      <c r="BA572" s="101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</row>
    <row r="573" spans="1:71" ht="12" customHeight="1">
      <c r="A573" s="2"/>
      <c r="B573" s="107">
        <v>793</v>
      </c>
      <c r="C573" s="31">
        <v>10</v>
      </c>
      <c r="D573" s="113" t="s">
        <v>9</v>
      </c>
      <c r="E573" s="2" t="s">
        <v>138</v>
      </c>
      <c r="F573" s="2"/>
      <c r="G573" s="2"/>
      <c r="H573" s="33"/>
      <c r="I573" s="173">
        <f>M573/AE573</f>
        <v>569.32041507761789</v>
      </c>
      <c r="J573" s="174">
        <f>AH573/AE573</f>
        <v>18.293575296355918</v>
      </c>
      <c r="K573" s="207">
        <f>RANK(I573,$I$76:$I$977)</f>
        <v>498</v>
      </c>
      <c r="L573" s="208" t="e">
        <f>RANK(I573,$I$867:$I$977)</f>
        <v>#N/A</v>
      </c>
      <c r="M573" s="173">
        <f>SUM(N573:R573)*(1+$D$22/100)</f>
        <v>20446.71457856051</v>
      </c>
      <c r="N573" s="174">
        <f>T573*(1+((AG573+IF(F573="백어택",8,0))/100)*(AI573/100-1))</f>
        <v>12289.288294362243</v>
      </c>
      <c r="O573" s="174">
        <f>U573*(1+($D$57/100)*(AI573/100-1))</f>
        <v>6133.2200223811205</v>
      </c>
      <c r="P573" s="174"/>
      <c r="Q573" s="174"/>
      <c r="R573" s="175">
        <f>X573*(1+($D$57/100)*(AI573/100-1))</f>
        <v>0</v>
      </c>
      <c r="S573" s="173">
        <f>SUM(T573:X573)</f>
        <v>15480.93030642805</v>
      </c>
      <c r="T573" s="174">
        <f>AL573*AU573*AY573</f>
        <v>10327.020204285367</v>
      </c>
      <c r="U573" s="174">
        <f>AM573*AX573</f>
        <v>5153.9101021426832</v>
      </c>
      <c r="V573" s="174"/>
      <c r="W573" s="174"/>
      <c r="X573" s="175">
        <f>AM573*AS573</f>
        <v>0</v>
      </c>
      <c r="Y573" s="173">
        <f>SUM(Z573:AD573)</f>
        <v>30961.8606128561</v>
      </c>
      <c r="Z573" s="174">
        <f>T573*$D$58/100</f>
        <v>20654.040408570734</v>
      </c>
      <c r="AA573" s="174">
        <f>U573*$D$58/100</f>
        <v>10307.820204285366</v>
      </c>
      <c r="AB573" s="174"/>
      <c r="AC573" s="174"/>
      <c r="AD573" s="175">
        <f>X573*$D$58/100</f>
        <v>0</v>
      </c>
      <c r="AE573" s="173">
        <f>AO573*(1-$D$17/100)</f>
        <v>35.914248000000001</v>
      </c>
      <c r="AF573" s="174">
        <f>AP573</f>
        <v>36</v>
      </c>
      <c r="AG573" s="174">
        <f>IF($D$57+AW573&gt;100,100,$D$57+AW573)</f>
        <v>19.001300000000001</v>
      </c>
      <c r="AH573" s="174">
        <f>AQ573</f>
        <v>657</v>
      </c>
      <c r="AI573" s="174">
        <f>$D$58</f>
        <v>200</v>
      </c>
      <c r="AJ573" s="174">
        <f>10/(6+AT573)</f>
        <v>1.6666666666666667</v>
      </c>
      <c r="AK573" s="174">
        <f>SUM(AL573:AN573)</f>
        <v>8602.6501702378046</v>
      </c>
      <c r="AL573" s="174">
        <f>(VLOOKUP(C573,$B$36:$AG$39,11,FALSE)+VLOOKUP(C573,$B$40:$AG$43,11,FALSE)*$D$54)*$D$59/100</f>
        <v>6884.6801361902444</v>
      </c>
      <c r="AM573" s="174">
        <f>(3*(VLOOKUP(C573,$B$36:$AG$39,12,FALSE)+VLOOKUP(C573,$B$40:$AG$43,12,FALSE)*$D$54))*$D$59/100</f>
        <v>1717.9700340475611</v>
      </c>
      <c r="AN573" s="174"/>
      <c r="AO573" s="176">
        <v>36</v>
      </c>
      <c r="AP573" s="174">
        <v>36</v>
      </c>
      <c r="AQ573" s="175">
        <f>VLOOKUP(C573,$B$45:$AA$48,11,FALSE)</f>
        <v>657</v>
      </c>
      <c r="AR573" s="31">
        <f>IF(LEFT(E573,1)*1=1,$S$59,$R$59)</f>
        <v>0</v>
      </c>
      <c r="AS573" s="2">
        <f>IF(LEFT(E573,1)*1=2,$U$59,$T$59)</f>
        <v>0</v>
      </c>
      <c r="AT573" s="33">
        <f>IF(LEFT(E573,1)*1=3,$W$59,$V$59)</f>
        <v>0</v>
      </c>
      <c r="AU573" s="31">
        <f>IF(MID(E573,3,1)*1=1,$Y$59,$X$59)</f>
        <v>1.5</v>
      </c>
      <c r="AV573" s="2">
        <f>IF(MID(E573,3,1)*1=2,$AA$59,$Z$59)</f>
        <v>0</v>
      </c>
      <c r="AW573" s="33">
        <f>IF(MID(E573,3,1)*1=3,$AC$59,$AB$59)</f>
        <v>0</v>
      </c>
      <c r="AX573" s="31">
        <f>IF(MID(E573,5,1)*1=1,$AE$59,$AD$59)</f>
        <v>3</v>
      </c>
      <c r="AY573" s="33">
        <f>IF(MID(E573,5,1)*1=2,$AG$59,$AF$59)</f>
        <v>1</v>
      </c>
      <c r="AZ573" s="2"/>
      <c r="BA573" s="101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</row>
    <row r="574" spans="1:71" ht="12" customHeight="1">
      <c r="A574" s="2"/>
      <c r="B574" s="107">
        <v>799</v>
      </c>
      <c r="C574" s="31">
        <v>10</v>
      </c>
      <c r="D574" s="113" t="s">
        <v>9</v>
      </c>
      <c r="E574" s="2" t="s">
        <v>182</v>
      </c>
      <c r="F574" s="2"/>
      <c r="G574" s="2"/>
      <c r="H574" s="33"/>
      <c r="I574" s="173">
        <f>M574/AE574</f>
        <v>569.32041507761789</v>
      </c>
      <c r="J574" s="174">
        <f>AH574/AE574</f>
        <v>18.293575296355918</v>
      </c>
      <c r="K574" s="207">
        <f>RANK(I574,$I$76:$I$977)</f>
        <v>498</v>
      </c>
      <c r="L574" s="208" t="e">
        <f>RANK(I574,$I$867:$I$977)</f>
        <v>#N/A</v>
      </c>
      <c r="M574" s="173">
        <f>SUM(N574:R574)*(1+$D$22/100)</f>
        <v>20446.71457856051</v>
      </c>
      <c r="N574" s="174">
        <f>T574*(1+((AG574+IF(F574="백어택",8,0))/100)*(AI574/100-1))</f>
        <v>12289.288294362243</v>
      </c>
      <c r="O574" s="174">
        <f>U574*(1+($D$57/100)*(AI574/100-1))</f>
        <v>6133.2200223811205</v>
      </c>
      <c r="P574" s="174"/>
      <c r="Q574" s="174"/>
      <c r="R574" s="175">
        <f>X574*(1+($D$57/100)*(AI574/100-1))</f>
        <v>0</v>
      </c>
      <c r="S574" s="173">
        <f>SUM(T574:X574)</f>
        <v>15480.93030642805</v>
      </c>
      <c r="T574" s="174">
        <f>AL574*AU574*AY574</f>
        <v>10327.020204285367</v>
      </c>
      <c r="U574" s="174">
        <f>AM574*AX574</f>
        <v>5153.9101021426832</v>
      </c>
      <c r="V574" s="174"/>
      <c r="W574" s="174"/>
      <c r="X574" s="175">
        <f>AM574*AS574</f>
        <v>0</v>
      </c>
      <c r="Y574" s="173">
        <f>SUM(Z574:AD574)</f>
        <v>30961.8606128561</v>
      </c>
      <c r="Z574" s="174">
        <f>T574*$D$58/100</f>
        <v>20654.040408570734</v>
      </c>
      <c r="AA574" s="174">
        <f>U574*$D$58/100</f>
        <v>10307.820204285366</v>
      </c>
      <c r="AB574" s="174"/>
      <c r="AC574" s="174"/>
      <c r="AD574" s="175">
        <f>X574*$D$58/100</f>
        <v>0</v>
      </c>
      <c r="AE574" s="173">
        <f>AO574*(1-$D$17/100)</f>
        <v>35.914248000000001</v>
      </c>
      <c r="AF574" s="174">
        <f>AP574</f>
        <v>36</v>
      </c>
      <c r="AG574" s="174">
        <f>IF($D$57+AW574&gt;100,100,$D$57+AW574)</f>
        <v>19.001300000000001</v>
      </c>
      <c r="AH574" s="174">
        <f>AQ574</f>
        <v>657</v>
      </c>
      <c r="AI574" s="174">
        <f>$D$58</f>
        <v>200</v>
      </c>
      <c r="AJ574" s="174">
        <f>10/(6+AT574)</f>
        <v>1.4285714285714286</v>
      </c>
      <c r="AK574" s="174">
        <f>SUM(AL574:AN574)</f>
        <v>8602.6501702378046</v>
      </c>
      <c r="AL574" s="174">
        <f>(VLOOKUP(C574,$B$36:$AG$39,11,FALSE)+VLOOKUP(C574,$B$40:$AG$43,11,FALSE)*$D$54)*$D$59/100</f>
        <v>6884.6801361902444</v>
      </c>
      <c r="AM574" s="174">
        <f>(3*(VLOOKUP(C574,$B$36:$AG$39,12,FALSE)+VLOOKUP(C574,$B$40:$AG$43,12,FALSE)*$D$54))*$D$59/100</f>
        <v>1717.9700340475611</v>
      </c>
      <c r="AN574" s="174"/>
      <c r="AO574" s="176">
        <v>36</v>
      </c>
      <c r="AP574" s="174">
        <v>36</v>
      </c>
      <c r="AQ574" s="175">
        <f>VLOOKUP(C574,$B$45:$AA$48,11,FALSE)</f>
        <v>657</v>
      </c>
      <c r="AR574" s="31">
        <f>IF(LEFT(E574,1)*1=1,$S$59,$R$59)</f>
        <v>0</v>
      </c>
      <c r="AS574" s="2">
        <f>IF(LEFT(E574,1)*1=2,$U$59,$T$59)</f>
        <v>0</v>
      </c>
      <c r="AT574" s="33">
        <f>IF(LEFT(E574,1)*1=3,$W$59,$V$59)</f>
        <v>1</v>
      </c>
      <c r="AU574" s="31">
        <f>IF(MID(E574,3,1)*1=1,$Y$59,$X$59)</f>
        <v>1.5</v>
      </c>
      <c r="AV574" s="2">
        <f>IF(MID(E574,3,1)*1=2,$AA$59,$Z$59)</f>
        <v>0</v>
      </c>
      <c r="AW574" s="33">
        <f>IF(MID(E574,3,1)*1=3,$AC$59,$AB$59)</f>
        <v>0</v>
      </c>
      <c r="AX574" s="31">
        <f>IF(MID(E574,5,1)*1=1,$AE$59,$AD$59)</f>
        <v>3</v>
      </c>
      <c r="AY574" s="33">
        <f>IF(MID(E574,5,1)*1=2,$AG$59,$AF$59)</f>
        <v>1</v>
      </c>
      <c r="AZ574" s="2"/>
      <c r="BA574" s="101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</row>
    <row r="575" spans="1:71" ht="12" customHeight="1">
      <c r="A575" s="2"/>
      <c r="B575" s="107">
        <v>859</v>
      </c>
      <c r="C575" s="31">
        <v>7</v>
      </c>
      <c r="D575" s="113" t="s">
        <v>15</v>
      </c>
      <c r="E575" s="2" t="s">
        <v>103</v>
      </c>
      <c r="F575" s="1"/>
      <c r="G575" s="1" t="s">
        <v>174</v>
      </c>
      <c r="H575" s="33">
        <f>IF(AX575=AT575,3,4)</f>
        <v>3</v>
      </c>
      <c r="I575" s="173">
        <f>M575/AE575</f>
        <v>567.65686893817917</v>
      </c>
      <c r="J575" s="174">
        <f>AH575/AE575</f>
        <v>13.766124241276053</v>
      </c>
      <c r="K575" s="207">
        <f>RANK(I575,$I$76:$I$977)</f>
        <v>500</v>
      </c>
      <c r="L575" s="208" t="e">
        <f>RANK(I575,$I$867:$I$977)</f>
        <v>#N/A</v>
      </c>
      <c r="M575" s="173">
        <f>SUM(N575:R575)*(1+$D$22/100)</f>
        <v>16989.141308291055</v>
      </c>
      <c r="N575" s="174">
        <f>T575*(1+((AG575+IF(F575="백어택",8,0))/100)*(AI575/100-1))</f>
        <v>3215.8049737363558</v>
      </c>
      <c r="O575" s="174">
        <f>U575*(1+(AG575/100)*(AI575/100-1))</f>
        <v>3215.8049737363558</v>
      </c>
      <c r="P575" s="174">
        <f>V575*(1+(AG575/100)*(AI575/100-1))</f>
        <v>3215.8049737363558</v>
      </c>
      <c r="Q575" s="174">
        <f>W575*(1+(AG575/100)*(AI575/100-1))</f>
        <v>0</v>
      </c>
      <c r="R575" s="175">
        <f>X575*(1+(AG575/100)*(AI575/100-1))</f>
        <v>5659.8167537759864</v>
      </c>
      <c r="S575" s="173">
        <f>SUM(T575:X575)</f>
        <v>12863.079373910245</v>
      </c>
      <c r="T575" s="174">
        <f>AL575*AS575*AY575</f>
        <v>2702.3275995609761</v>
      </c>
      <c r="U575" s="174">
        <f>AL575*AS575*AY575</f>
        <v>2702.3275995609761</v>
      </c>
      <c r="V575" s="174">
        <f>AL575*AS575*AY575</f>
        <v>2702.3275995609761</v>
      </c>
      <c r="W575" s="174">
        <f>IF(H575=4,AL575*AS575*IF(AT575=0,AY575,1),0)</f>
        <v>0</v>
      </c>
      <c r="X575" s="175">
        <f>AL575*IF(H575=3,11,IF(AT575=1,15,13))*IF(AW575=1,0,AW575)</f>
        <v>4756.0965752273178</v>
      </c>
      <c r="Y575" s="173">
        <f>SUM(Z575:AD575)</f>
        <v>25726.158747820489</v>
      </c>
      <c r="Z575" s="174">
        <f>T575*AI575/100</f>
        <v>5404.6551991219512</v>
      </c>
      <c r="AA575" s="174">
        <f>U575*AI575/100</f>
        <v>5404.6551991219512</v>
      </c>
      <c r="AB575" s="174">
        <f>V575*AI575/100</f>
        <v>5404.6551991219512</v>
      </c>
      <c r="AC575" s="174">
        <f>W575*AI575/100</f>
        <v>0</v>
      </c>
      <c r="AD575" s="175">
        <f>X575*AI575/100</f>
        <v>9512.1931504546355</v>
      </c>
      <c r="AE575" s="173">
        <f>AO575*(1-$D$17/100)</f>
        <v>29.928540000000002</v>
      </c>
      <c r="AF575" s="174">
        <f>AP575</f>
        <v>36</v>
      </c>
      <c r="AG575" s="174">
        <f>IF($D$57+AX575&gt;100,100,$D$57+AX575)</f>
        <v>19.001300000000001</v>
      </c>
      <c r="AH575" s="174">
        <f>AQ575</f>
        <v>412</v>
      </c>
      <c r="AI575" s="174">
        <f>$D$58</f>
        <v>200</v>
      </c>
      <c r="AJ575" s="174">
        <f>10*AU575/IF(AT575=1,2.5,(IF(AY575=1,3,2.5)))</f>
        <v>3.3333333333333335</v>
      </c>
      <c r="AK575" s="174">
        <f>SUM(AL575:AN575)</f>
        <v>2161.8620796487808</v>
      </c>
      <c r="AL575" s="174">
        <f>((VLOOKUP(C575,$B$36:$AG$39,22,FALSE)+VLOOKUP(C575,$B$40:$AG$43,22,FALSE)*$D$54))*$D$59/100</f>
        <v>2161.8620796487808</v>
      </c>
      <c r="AM575" s="174"/>
      <c r="AN575" s="174"/>
      <c r="AO575" s="176">
        <v>30</v>
      </c>
      <c r="AP575" s="174">
        <v>36</v>
      </c>
      <c r="AQ575" s="175">
        <f>VLOOKUP(C575,$B$45:$AA$48,22,FALSE)</f>
        <v>412</v>
      </c>
      <c r="AR575" s="31">
        <f>IF(LEFT(E575,1)*1=1,$S$65,$R$65)</f>
        <v>0</v>
      </c>
      <c r="AS575" s="2">
        <f>IF(LEFT(E575,1)*1=2,$U$65,$T$65)</f>
        <v>1.25</v>
      </c>
      <c r="AT575" s="33">
        <f>IF(LEFT(E575,1)*1=3,$W$65,$V$65)</f>
        <v>0</v>
      </c>
      <c r="AU575" s="31">
        <f>IF(MID(E575,3,1)*1=1,$Y$65,$X$65)</f>
        <v>1</v>
      </c>
      <c r="AV575" s="2">
        <f>IF(MID(E575,3,1)*1=2,$AA$65,$Z$65)</f>
        <v>0</v>
      </c>
      <c r="AW575" s="33">
        <f>IF(MID(E575,3,1)*1=3,$AC$65,$AB$65)</f>
        <v>0.2</v>
      </c>
      <c r="AX575" s="31">
        <f>IF(MID(E575,5,1)*1=1,$AE$65,$AD$65)</f>
        <v>0</v>
      </c>
      <c r="AY575" s="33">
        <f>IF(MID(E575,5,1)*1=2,$AG$65,$AF$65)</f>
        <v>1</v>
      </c>
      <c r="AZ575" s="2"/>
      <c r="BA575" s="101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</row>
    <row r="576" spans="1:71" ht="12" customHeight="1">
      <c r="A576" s="2"/>
      <c r="B576" s="107">
        <v>447</v>
      </c>
      <c r="C576" s="31">
        <v>10</v>
      </c>
      <c r="D576" s="111" t="s">
        <v>8</v>
      </c>
      <c r="E576" s="2" t="s">
        <v>98</v>
      </c>
      <c r="F576" s="2" t="s">
        <v>149</v>
      </c>
      <c r="G576" s="2"/>
      <c r="H576" s="33" t="s">
        <v>80</v>
      </c>
      <c r="I576" s="173">
        <f>M576/AE576</f>
        <v>566.69530111013876</v>
      </c>
      <c r="J576" s="174">
        <f>AH576/AE576</f>
        <v>28.185356224514496</v>
      </c>
      <c r="K576" s="207">
        <f>RANK(I576,$I$76:$I$977)</f>
        <v>501</v>
      </c>
      <c r="L576" s="208">
        <f>RANK(I576,$I$451:$I$866)</f>
        <v>126</v>
      </c>
      <c r="M576" s="173">
        <f>SUM(N576:R576)</f>
        <v>10475.235775859634</v>
      </c>
      <c r="N576" s="174">
        <f>T576*(1+((AG576+IF(F576="백어택",8,0))/100)*(IF(AY576=1,$D$58,$D$58+50)/100-1))</f>
        <v>4322.5001501772031</v>
      </c>
      <c r="O576" s="174">
        <f>U576*(1+((AG576+IF(F576="백어택",8,0))/100)*(AI576/100-1))</f>
        <v>6152.7356256824305</v>
      </c>
      <c r="P576" s="174">
        <f>V576*(1+((AG576+IF(F576="백어택",8,0))/100)*(AI576/100-1))</f>
        <v>0</v>
      </c>
      <c r="Q576" s="174"/>
      <c r="R576" s="175"/>
      <c r="S576" s="173">
        <f>SUM(T576:X576)</f>
        <v>7002.8441050794145</v>
      </c>
      <c r="T576" s="174">
        <f>AL576*IF(H576="근접",AR576,1)*AY576*IF(F576="백어택",1.2,1)</f>
        <v>3076.4698640675119</v>
      </c>
      <c r="U576" s="174">
        <f>AM576*IF(H576="근접",AR576,1)*AY576*IF(F576="백어택",1.2,1)</f>
        <v>3926.3742410119025</v>
      </c>
      <c r="V576" s="174">
        <f>IF(AX576=1,0,AM576*IF(H576="근접",AR576,1)*AY576)*IF(F576="백어택",1.2,1)</f>
        <v>0</v>
      </c>
      <c r="W576" s="174"/>
      <c r="X576" s="175"/>
      <c r="Y576" s="173">
        <f>SUM(Z576:AD576)</f>
        <v>19862.934807305675</v>
      </c>
      <c r="Z576" s="174">
        <f>T576*IF(AY576=1,$D$58,$D$58+50)/100</f>
        <v>7691.1746601687801</v>
      </c>
      <c r="AA576" s="174">
        <f>U576*AI576/100</f>
        <v>12171.760147136896</v>
      </c>
      <c r="AB576" s="174">
        <f>V576*AI576/100</f>
        <v>0</v>
      </c>
      <c r="AC576" s="174"/>
      <c r="AD576" s="175"/>
      <c r="AE576" s="173">
        <f>AO576*(1-$D$20/100)*(1-$D$17/100)</f>
        <v>18.484776131615998</v>
      </c>
      <c r="AF576" s="174">
        <f>AP576</f>
        <v>36</v>
      </c>
      <c r="AG576" s="174">
        <f>IF($D$57+AU576&gt;100,100,$D$57+AU576)</f>
        <v>19.001300000000001</v>
      </c>
      <c r="AH576" s="174">
        <f>IF(AX576=1,AQ576,AQ576*1.4)</f>
        <v>521</v>
      </c>
      <c r="AI576" s="174">
        <f>IF(AY576=1,$D$58,$D$58+50)*AW576</f>
        <v>310</v>
      </c>
      <c r="AJ576" s="174">
        <f>10/6/AX576</f>
        <v>1.6666666666666667</v>
      </c>
      <c r="AK576" s="174">
        <f>SUM(AL576:AN576)</f>
        <v>4863.0861840829275</v>
      </c>
      <c r="AL576" s="174">
        <f>(IF(H576="근접",$D$61*(VLOOKUP(C576,$B$36:$AG$39,9,FALSE)+VLOOKUP(C576,$B$40:$AG$43,9,FALSE)*$D$54),$D$60*(VLOOKUP(C576,$B$36:$AG$39,9,FALSE)+VLOOKUP(C576,$B$40:$AG$43,9,FALSE)*$D$54)))*$D$59/100</f>
        <v>2136.437405602439</v>
      </c>
      <c r="AM576" s="174">
        <f>(IF(H576="근접",$D$61*(VLOOKUP(C576,$B$36:$AG$39,10,FALSE)+VLOOKUP(C576,$B$40:$AG$43,10,FALSE)*$D$54),$D$60*(VLOOKUP(C576,$B$36:$AG$39,10,FALSE)+VLOOKUP(C576,$B$40:$AG$43,10,FALSE)*$D$54)))*$D$59/100</f>
        <v>2726.6487784804881</v>
      </c>
      <c r="AN576" s="174"/>
      <c r="AO576" s="176">
        <v>24</v>
      </c>
      <c r="AP576" s="174">
        <v>36</v>
      </c>
      <c r="AQ576" s="175">
        <f>VLOOKUP(C576,$B$45:$AA$48,9,FALSE)</f>
        <v>521</v>
      </c>
      <c r="AR576" s="31">
        <f>IF(LEFT(E576,1)*1=1,$S$58,$R$58)</f>
        <v>1</v>
      </c>
      <c r="AS576" s="2">
        <f>IF(LEFT(E576,1)*1=2,$U$58,$T$58)</f>
        <v>0</v>
      </c>
      <c r="AT576" s="33">
        <f>IF(LEFT(E576,1)*1=3,$W$58,$V$58)</f>
        <v>0</v>
      </c>
      <c r="AU576" s="31">
        <f>IF(MID(E576,3,1)*1=1,$Y$58,$X$58)</f>
        <v>0</v>
      </c>
      <c r="AV576" s="2">
        <f>IF(MID(E576,3,1)*1=2,$AA$58,$Z$58)</f>
        <v>0</v>
      </c>
      <c r="AW576" s="33">
        <f>IF(MID(E576,3,1)*1=3,$AC$58,$AB$58)</f>
        <v>1.24</v>
      </c>
      <c r="AX576" s="31">
        <f>IF(MID(E576,5,1)*1=1,$AE$58,$AD$58)</f>
        <v>1</v>
      </c>
      <c r="AY576" s="33">
        <f>IF(MID(E576,5,1)*1=2,$AG$58,$AF$58)</f>
        <v>1.2</v>
      </c>
      <c r="AZ576" s="2"/>
      <c r="BA576" s="101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</row>
    <row r="577" spans="1:71" ht="12" customHeight="1">
      <c r="A577" s="2"/>
      <c r="B577" s="107">
        <v>450</v>
      </c>
      <c r="C577" s="31">
        <v>10</v>
      </c>
      <c r="D577" s="111" t="s">
        <v>8</v>
      </c>
      <c r="E577" s="2" t="s">
        <v>157</v>
      </c>
      <c r="F577" s="2" t="s">
        <v>149</v>
      </c>
      <c r="G577" s="2"/>
      <c r="H577" s="33" t="s">
        <v>80</v>
      </c>
      <c r="I577" s="173">
        <f>M577/AE577</f>
        <v>566.69530111013876</v>
      </c>
      <c r="J577" s="174">
        <f>AH577/AE577</f>
        <v>28.185356224514496</v>
      </c>
      <c r="K577" s="207">
        <f>RANK(I577,$I$76:$I$977)</f>
        <v>501</v>
      </c>
      <c r="L577" s="208">
        <f>RANK(I577,$I$451:$I$866)</f>
        <v>126</v>
      </c>
      <c r="M577" s="173">
        <f>SUM(N577:R577)</f>
        <v>10475.235775859634</v>
      </c>
      <c r="N577" s="174">
        <f>T577*(1+((AG577+IF(F577="백어택",8,0))/100)*(IF(AY577=1,$D$58,$D$58+50)/100-1))</f>
        <v>4322.5001501772031</v>
      </c>
      <c r="O577" s="174">
        <f>U577*(1+((AG577+IF(F577="백어택",8,0))/100)*(AI577/100-1))</f>
        <v>6152.7356256824305</v>
      </c>
      <c r="P577" s="174">
        <f>V577*(1+((AG577+IF(F577="백어택",8,0))/100)*(AI577/100-1))</f>
        <v>0</v>
      </c>
      <c r="Q577" s="174"/>
      <c r="R577" s="175"/>
      <c r="S577" s="173">
        <f>SUM(T577:X577)</f>
        <v>7002.8441050794145</v>
      </c>
      <c r="T577" s="174">
        <f>AL577*IF(H577="근접",AR577,1)*AY577*IF(F577="백어택",1.2,1)</f>
        <v>3076.4698640675119</v>
      </c>
      <c r="U577" s="174">
        <f>AM577*IF(H577="근접",AR577,1)*AY577*IF(F577="백어택",1.2,1)</f>
        <v>3926.3742410119025</v>
      </c>
      <c r="V577" s="174">
        <f>IF(AX577=1,0,AM577*IF(H577="근접",AR577,1)*AY577)*IF(F577="백어택",1.2,1)</f>
        <v>0</v>
      </c>
      <c r="W577" s="174"/>
      <c r="X577" s="175"/>
      <c r="Y577" s="173">
        <f>SUM(Z577:AD577)</f>
        <v>19862.934807305675</v>
      </c>
      <c r="Z577" s="174">
        <f>T577*IF(AY577=1,$D$58,$D$58+50)/100</f>
        <v>7691.1746601687801</v>
      </c>
      <c r="AA577" s="174">
        <f>U577*AI577/100</f>
        <v>12171.760147136896</v>
      </c>
      <c r="AB577" s="174">
        <f>V577*AI577/100</f>
        <v>0</v>
      </c>
      <c r="AC577" s="174"/>
      <c r="AD577" s="175"/>
      <c r="AE577" s="173">
        <f>AO577*(1-$D$20/100)*(1-$D$17/100)</f>
        <v>18.484776131615998</v>
      </c>
      <c r="AF577" s="174">
        <f>AP577</f>
        <v>36</v>
      </c>
      <c r="AG577" s="174">
        <f>IF($D$57+AU577&gt;100,100,$D$57+AU577)</f>
        <v>19.001300000000001</v>
      </c>
      <c r="AH577" s="174">
        <f>IF(AX577=1,AQ577,AQ577*1.4)</f>
        <v>521</v>
      </c>
      <c r="AI577" s="174">
        <f>IF(AY577=1,$D$58,$D$58+50)*AW577</f>
        <v>310</v>
      </c>
      <c r="AJ577" s="174">
        <f>10/6/AX577</f>
        <v>1.6666666666666667</v>
      </c>
      <c r="AK577" s="174">
        <f>SUM(AL577:AN577)</f>
        <v>4863.0861840829275</v>
      </c>
      <c r="AL577" s="174">
        <f>(IF(H577="근접",$D$61*(VLOOKUP(C577,$B$36:$AG$39,9,FALSE)+VLOOKUP(C577,$B$40:$AG$43,9,FALSE)*$D$54),$D$60*(VLOOKUP(C577,$B$36:$AG$39,9,FALSE)+VLOOKUP(C577,$B$40:$AG$43,9,FALSE)*$D$54)))*$D$59/100</f>
        <v>2136.437405602439</v>
      </c>
      <c r="AM577" s="174">
        <f>(IF(H577="근접",$D$61*(VLOOKUP(C577,$B$36:$AG$39,10,FALSE)+VLOOKUP(C577,$B$40:$AG$43,10,FALSE)*$D$54),$D$60*(VLOOKUP(C577,$B$36:$AG$39,10,FALSE)+VLOOKUP(C577,$B$40:$AG$43,10,FALSE)*$D$54)))*$D$59/100</f>
        <v>2726.6487784804881</v>
      </c>
      <c r="AN577" s="174"/>
      <c r="AO577" s="176">
        <v>24</v>
      </c>
      <c r="AP577" s="174">
        <v>36</v>
      </c>
      <c r="AQ577" s="175">
        <f>VLOOKUP(C577,$B$45:$AA$48,9,FALSE)</f>
        <v>521</v>
      </c>
      <c r="AR577" s="31">
        <f>IF(LEFT(E577,1)*1=1,$S$58,$R$58)</f>
        <v>1.2</v>
      </c>
      <c r="AS577" s="2">
        <f>IF(LEFT(E577,1)*1=2,$U$58,$T$58)</f>
        <v>0</v>
      </c>
      <c r="AT577" s="33">
        <f>IF(LEFT(E577,1)*1=3,$W$58,$V$58)</f>
        <v>0</v>
      </c>
      <c r="AU577" s="31">
        <f>IF(MID(E577,3,1)*1=1,$Y$58,$X$58)</f>
        <v>0</v>
      </c>
      <c r="AV577" s="2">
        <f>IF(MID(E577,3,1)*1=2,$AA$58,$Z$58)</f>
        <v>0</v>
      </c>
      <c r="AW577" s="33">
        <f>IF(MID(E577,3,1)*1=3,$AC$58,$AB$58)</f>
        <v>1.24</v>
      </c>
      <c r="AX577" s="31">
        <f>IF(MID(E577,5,1)*1=1,$AE$58,$AD$58)</f>
        <v>1</v>
      </c>
      <c r="AY577" s="33">
        <f>IF(MID(E577,5,1)*1=2,$AG$58,$AF$58)</f>
        <v>1.2</v>
      </c>
      <c r="AZ577" s="2"/>
      <c r="BA577" s="101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</row>
    <row r="578" spans="1:71" ht="12" customHeight="1">
      <c r="A578" s="2"/>
      <c r="B578" s="107">
        <v>505</v>
      </c>
      <c r="C578" s="31">
        <v>7</v>
      </c>
      <c r="D578" s="111" t="s">
        <v>14</v>
      </c>
      <c r="E578" s="2" t="s">
        <v>155</v>
      </c>
      <c r="F578" s="2"/>
      <c r="G578" s="2"/>
      <c r="H578" s="33" t="s">
        <v>81</v>
      </c>
      <c r="I578" s="173">
        <f>M578/AE578</f>
        <v>566.3903332942366</v>
      </c>
      <c r="J578" s="174">
        <f>AH578/AE578</f>
        <v>16.518097441877977</v>
      </c>
      <c r="K578" s="207">
        <f>RANK(I578,$I$76:$I$977)</f>
        <v>503</v>
      </c>
      <c r="L578" s="208">
        <f>RANK(I578,$I$451:$I$866)</f>
        <v>128</v>
      </c>
      <c r="M578" s="173">
        <f>SUM(N578:R578)</f>
        <v>15704.397771083006</v>
      </c>
      <c r="N578" s="174">
        <f>T578*(1+((AG578+IF(F578="백어택",8,0))/100)*(AI578/100-1))</f>
        <v>4448.4567323842075</v>
      </c>
      <c r="O578" s="174">
        <f>U578*(1+((AG578+IF(F578="백어택",8,0))/100)*(AI578/100-1))</f>
        <v>4448.4567323842075</v>
      </c>
      <c r="P578" s="174">
        <f>V578*(1+((AG578+IF(F578="백어택",8,0))/100)*(AI578*IF(AX578=1,AW578,1)/100-1))</f>
        <v>6807.4843063145909</v>
      </c>
      <c r="Q578" s="174">
        <f>W578*(1+((AG578+IF(F578="백어택",8,0))/100)*(AI578*AW578/100-1))</f>
        <v>0</v>
      </c>
      <c r="R578" s="175"/>
      <c r="S578" s="173">
        <f>SUM(T578:X578)</f>
        <v>11598.932804330489</v>
      </c>
      <c r="T578" s="174">
        <f>AL578*AY578*IF(F578="백어택",1.2,1)</f>
        <v>3461.7815001128056</v>
      </c>
      <c r="U578" s="174">
        <f>AM578*AY578*IF(F578="백어택",1.2,1)</f>
        <v>3461.7815001128056</v>
      </c>
      <c r="V578" s="174">
        <f>AN578*AY578*IF(F578="백어택",1.2,1)</f>
        <v>4675.3698041048783</v>
      </c>
      <c r="W578" s="174">
        <f>(T578+U578+V578)*IF(AX578=1,0,0.6)*IF(F578="백어택",1.2,1)</f>
        <v>0</v>
      </c>
      <c r="X578" s="175"/>
      <c r="Y578" s="173">
        <f>SUM(Z578:AD578)</f>
        <v>33205.164834520619</v>
      </c>
      <c r="Z578" s="174">
        <f>T578*AI578/100</f>
        <v>8654.4537502820131</v>
      </c>
      <c r="AA578" s="174">
        <f>U578*AI578/100</f>
        <v>8654.4537502820131</v>
      </c>
      <c r="AB578" s="174">
        <f>V578*AI578*IF(AX578=1,AW578,1)/100</f>
        <v>15896.25733395659</v>
      </c>
      <c r="AC578" s="174">
        <f>W578*AI578*AW578/100</f>
        <v>0</v>
      </c>
      <c r="AD578" s="175"/>
      <c r="AE578" s="173">
        <f>AO578*(1-$D$20/100)*(1-$D$17/100)</f>
        <v>27.727164197424003</v>
      </c>
      <c r="AF578" s="174">
        <f>AP578</f>
        <v>36</v>
      </c>
      <c r="AG578" s="174">
        <f>IF($D$57+AU578&gt;100,100,$D$57+AU578)</f>
        <v>19.001300000000001</v>
      </c>
      <c r="AH578" s="174">
        <f>AQ578*AS578</f>
        <v>458</v>
      </c>
      <c r="AI578" s="174">
        <f>$D$58+IF(H578="근접",AR578,0)+IF(AY578=1,0,50)</f>
        <v>250</v>
      </c>
      <c r="AJ578" s="174">
        <f>10/3</f>
        <v>3.3333333333333335</v>
      </c>
      <c r="AK578" s="174">
        <f>SUM(AL578:AN578)</f>
        <v>11598.932804330489</v>
      </c>
      <c r="AL578" s="174">
        <f>(IF(H578="근접",$D$61*(VLOOKUP(C578,$B$36:$AG$39,19,FALSE)+VLOOKUP(C578,$B$40:$AG$43,19,FALSE)*$D$54),$D$60*(VLOOKUP(C578,$B$36:$AG$39,19,FALSE)+VLOOKUP(C578,$B$40:$AG$43,19,FALSE)*$D$54)))*$D$59/100</f>
        <v>3461.7815001128056</v>
      </c>
      <c r="AM578" s="174">
        <f>(IF(H578="근접",$D$61*(VLOOKUP(C578,$B$36:$AG$39,20,FALSE)+VLOOKUP(C578,$B$40:$AG$43,20,FALSE)*$D$54),$D$60*(VLOOKUP(C578,$B$36:$AG$39,20,FALSE)+VLOOKUP(C578,$B$40:$AG$43,20,FALSE)*$D$54)))*$D$59/100</f>
        <v>3461.7815001128056</v>
      </c>
      <c r="AN578" s="174">
        <f>(IF(H578="근접",$D$61*(VLOOKUP(C578,$B$36:$AG$39,21,FALSE)+VLOOKUP(C578,$B$40:$AG$43,21,FALSE)*$D$54),$D$60*(VLOOKUP(C578,$B$36:$AG$39,21,FALSE)+VLOOKUP(C578,$B$40:$AG$43,21,FALSE)*$D$54)))*$D$59/100</f>
        <v>4675.3698041048783</v>
      </c>
      <c r="AO578" s="176">
        <v>36</v>
      </c>
      <c r="AP578" s="174">
        <v>36</v>
      </c>
      <c r="AQ578" s="175">
        <f>VLOOKUP(C578,$B$45:$AA$48,19,FALSE)</f>
        <v>458</v>
      </c>
      <c r="AR578" s="31">
        <f>IF(LEFT(E578,1)*1=1,$S$64,$R$64)</f>
        <v>50</v>
      </c>
      <c r="AS578" s="2">
        <f>IF(LEFT(E578,1)*1=2,$U$64,$T$64)</f>
        <v>1</v>
      </c>
      <c r="AT578" s="33">
        <f>IF(LEFT(E578,1)*1=3,$W$64,$V$64)</f>
        <v>0</v>
      </c>
      <c r="AU578" s="31">
        <f>IF(MID(E578,3,1)*1=1,$Y$64,$X$64)</f>
        <v>0</v>
      </c>
      <c r="AV578" s="2">
        <f>IF(MID(E578,3,1)*1=2,$AA$64,$Z$64)</f>
        <v>0</v>
      </c>
      <c r="AW578" s="33">
        <f>IF(MID(E578,3,1)*1=3,$AC$64,$AB$64)</f>
        <v>1.36</v>
      </c>
      <c r="AX578" s="31">
        <f>IF(MID(E578,5,1)*1=1,$AE$64,$AD$64)</f>
        <v>1</v>
      </c>
      <c r="AY578" s="33">
        <f>IF(MID(E578,5,1)*1=2,$AG$64,$AF$64)</f>
        <v>1</v>
      </c>
      <c r="AZ578" s="2"/>
      <c r="BA578" s="101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</row>
    <row r="579" spans="1:71" ht="12" customHeight="1">
      <c r="A579" s="2"/>
      <c r="B579" s="107">
        <v>393</v>
      </c>
      <c r="C579" s="31">
        <v>7</v>
      </c>
      <c r="D579" s="111" t="s">
        <v>8</v>
      </c>
      <c r="E579" s="2" t="s">
        <v>155</v>
      </c>
      <c r="F579" s="2"/>
      <c r="G579" s="2"/>
      <c r="H579" s="33" t="s">
        <v>81</v>
      </c>
      <c r="I579" s="173">
        <f>M579/AE579</f>
        <v>562.65342537454421</v>
      </c>
      <c r="J579" s="174">
        <f>AH579/AE579</f>
        <v>19.637781784066725</v>
      </c>
      <c r="K579" s="207">
        <f>RANK(I579,$I$76:$I$977)</f>
        <v>504</v>
      </c>
      <c r="L579" s="208">
        <f>RANK(I579,$I$451:$I$866)</f>
        <v>129</v>
      </c>
      <c r="M579" s="173">
        <f>SUM(N579:R579)</f>
        <v>10400.522607735358</v>
      </c>
      <c r="N579" s="174">
        <f>T579*(1+((AG579+IF(F579="백어택",8,0))/100)*(IF(AY579=1,$D$58,$D$58+50)/100-1))</f>
        <v>4378.5952953381711</v>
      </c>
      <c r="O579" s="174">
        <f>U579*(1+((AG579+IF(F579="백어택",8,0))/100)*(AI579/100-1))</f>
        <v>6021.9273123971871</v>
      </c>
      <c r="P579" s="174">
        <f>V579*(1+((AG579+IF(F579="백어택",8,0))/100)*(AI579/100-1))</f>
        <v>0</v>
      </c>
      <c r="Q579" s="174"/>
      <c r="R579" s="175"/>
      <c r="S579" s="173">
        <f>SUM(T579:X579)</f>
        <v>8379.6053186919526</v>
      </c>
      <c r="T579" s="174">
        <f>AL579*IF(H579="근접",AR579,1)*AY579*IF(F579="백어택",1.2,1)</f>
        <v>3679.4516491317077</v>
      </c>
      <c r="U579" s="174">
        <f>AM579*IF(H579="근접",AR579,1)*AY579*IF(F579="백어택",1.2,1)</f>
        <v>4700.1536695602445</v>
      </c>
      <c r="V579" s="174">
        <f>IF(AX579=1,0,AM579*IF(H579="근접",AR579,1)*AY579)*IF(F579="백어택",1.2,1)</f>
        <v>0</v>
      </c>
      <c r="W579" s="174"/>
      <c r="X579" s="175"/>
      <c r="Y579" s="173">
        <f>SUM(Z579:AD579)</f>
        <v>19015.284398772819</v>
      </c>
      <c r="Z579" s="174">
        <f>T579*IF(AY579=1,$D$58,$D$58+50)/100</f>
        <v>7358.9032982634144</v>
      </c>
      <c r="AA579" s="174">
        <f>U579*AI579/100</f>
        <v>11656.381100509407</v>
      </c>
      <c r="AB579" s="174">
        <f>V579*AI579/100</f>
        <v>0</v>
      </c>
      <c r="AC579" s="174"/>
      <c r="AD579" s="175"/>
      <c r="AE579" s="173">
        <f>AO579*(1-$D$20/100)*(1-$D$17/100)</f>
        <v>18.484776131615998</v>
      </c>
      <c r="AF579" s="174">
        <f>AP579</f>
        <v>36</v>
      </c>
      <c r="AG579" s="174">
        <f>IF($D$57+AU579&gt;100,100,$D$57+AU579)</f>
        <v>19.001300000000001</v>
      </c>
      <c r="AH579" s="174">
        <f>IF(AX579=1,AQ579,AQ579*1.4)</f>
        <v>363</v>
      </c>
      <c r="AI579" s="174">
        <f>IF(AY579=1,$D$58,$D$58+50)*AW579</f>
        <v>248</v>
      </c>
      <c r="AJ579" s="174">
        <f>10/6/AX579</f>
        <v>1.6666666666666667</v>
      </c>
      <c r="AK579" s="174">
        <f>SUM(AL579:AN579)</f>
        <v>6983.0044322432941</v>
      </c>
      <c r="AL579" s="174">
        <f>(IF(H579="근접",$D$61*(VLOOKUP(C579,$B$36:$AG$39,9,FALSE)+VLOOKUP(C579,$B$40:$AG$43,9,FALSE)*$D$54),$D$60*(VLOOKUP(C579,$B$36:$AG$39,9,FALSE)+VLOOKUP(C579,$B$40:$AG$43,9,FALSE)*$D$54)))*$D$59/100</f>
        <v>3066.2097076097566</v>
      </c>
      <c r="AM579" s="174">
        <f>(IF(H579="근접",$D$61*(VLOOKUP(C579,$B$36:$AG$39,10,FALSE)+VLOOKUP(C579,$B$40:$AG$43,10,FALSE)*$D$54),$D$60*(VLOOKUP(C579,$B$36:$AG$39,10,FALSE)+VLOOKUP(C579,$B$40:$AG$43,10,FALSE)*$D$54)))*$D$59/100</f>
        <v>3916.7947246335375</v>
      </c>
      <c r="AN579" s="174"/>
      <c r="AO579" s="176">
        <v>24</v>
      </c>
      <c r="AP579" s="174">
        <v>36</v>
      </c>
      <c r="AQ579" s="175">
        <f>VLOOKUP(C579,$B$45:$AA$48,9,FALSE)</f>
        <v>363</v>
      </c>
      <c r="AR579" s="31">
        <f>IF(LEFT(E579,1)*1=1,$S$58,$R$58)</f>
        <v>1.2</v>
      </c>
      <c r="AS579" s="2">
        <f>IF(LEFT(E579,1)*1=2,$U$58,$T$58)</f>
        <v>0</v>
      </c>
      <c r="AT579" s="33">
        <f>IF(LEFT(E579,1)*1=3,$W$58,$V$58)</f>
        <v>0</v>
      </c>
      <c r="AU579" s="31">
        <f>IF(MID(E579,3,1)*1=1,$Y$58,$X$58)</f>
        <v>0</v>
      </c>
      <c r="AV579" s="2">
        <f>IF(MID(E579,3,1)*1=2,$AA$58,$Z$58)</f>
        <v>0</v>
      </c>
      <c r="AW579" s="33">
        <f>IF(MID(E579,3,1)*1=3,$AC$58,$AB$58)</f>
        <v>1.24</v>
      </c>
      <c r="AX579" s="31">
        <f>IF(MID(E579,5,1)*1=1,$AE$58,$AD$58)</f>
        <v>1</v>
      </c>
      <c r="AY579" s="33">
        <f>IF(MID(E579,5,1)*1=2,$AG$58,$AF$58)</f>
        <v>1</v>
      </c>
      <c r="AZ579" s="2"/>
      <c r="BA579" s="101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</row>
    <row r="580" spans="1:71" ht="12" customHeight="1">
      <c r="A580" s="2"/>
      <c r="B580" s="107">
        <v>635</v>
      </c>
      <c r="C580" s="31">
        <v>4</v>
      </c>
      <c r="D580" s="111" t="s">
        <v>18</v>
      </c>
      <c r="E580" s="2" t="s">
        <v>87</v>
      </c>
      <c r="F580" s="2"/>
      <c r="G580" s="2"/>
      <c r="H580" s="33" t="s">
        <v>81</v>
      </c>
      <c r="I580" s="173">
        <f>M580/AE580</f>
        <v>561.29759204041272</v>
      </c>
      <c r="J580" s="174">
        <f>AH580/AE580</f>
        <v>10.765615909171565</v>
      </c>
      <c r="K580" s="207">
        <f>RANK(I580,$I$76:$I$977)</f>
        <v>505</v>
      </c>
      <c r="L580" s="208">
        <f>RANK(I580,$I$451:$I$866)</f>
        <v>130</v>
      </c>
      <c r="M580" s="173">
        <f>SUM(N580:R580)</f>
        <v>10375.460332082155</v>
      </c>
      <c r="N580" s="174">
        <f>T580*(1+((AG580+IF(F580="백어택",8,0))/100)*(AI580/100-1))</f>
        <v>6193.0365010862561</v>
      </c>
      <c r="O580" s="174">
        <f>U580*(1+(($D$57+IF(F580="백어택",8,0))/100)*(AI580/100-1))</f>
        <v>4182.4238309958982</v>
      </c>
      <c r="P580" s="174"/>
      <c r="Q580" s="174"/>
      <c r="R580" s="175"/>
      <c r="S580" s="173">
        <f>SUM(T580:X580)</f>
        <v>8718.7789814751231</v>
      </c>
      <c r="T580" s="174">
        <f>AL580*IF(H580="근접",AT580,IF(AV580=1,AT580,1))*AX580*IF(F580="백어택",1.2,1)</f>
        <v>5204.1755015165854</v>
      </c>
      <c r="U580" s="174">
        <f>IF(AX580=1,AM580*IF(H580="근접",AT580,IF(AV580=1,AT580,1)),0)*AY580*IF(AX580=1,1,0)*IF(F580="백어택",1.2,1)</f>
        <v>3514.6034799585368</v>
      </c>
      <c r="V580" s="174"/>
      <c r="W580" s="174"/>
      <c r="X580" s="175"/>
      <c r="Y580" s="173">
        <f>SUM(Z580:AD580)</f>
        <v>17437.557962950246</v>
      </c>
      <c r="Z580" s="174">
        <f>T580*$D$58/100</f>
        <v>10408.351003033171</v>
      </c>
      <c r="AA580" s="174">
        <f>U580*$D$58/100</f>
        <v>7029.2069599170736</v>
      </c>
      <c r="AB580" s="174"/>
      <c r="AC580" s="174"/>
      <c r="AD580" s="175"/>
      <c r="AE580" s="173">
        <f>(AO580*(1-$D$20/100)*(1-$D$17/100)-AR580)*IF(AW580="보스대상",1,POWER(0.85,AW580))</f>
        <v>18.484776131615998</v>
      </c>
      <c r="AF580" s="174">
        <f>AP580</f>
        <v>36</v>
      </c>
      <c r="AG580" s="174">
        <f>IF($D$57+AU580&gt;100,100,$D$57+AU580)</f>
        <v>19.001300000000001</v>
      </c>
      <c r="AH580" s="174">
        <f>AQ580</f>
        <v>199</v>
      </c>
      <c r="AI580" s="174">
        <f>$D$58</f>
        <v>200</v>
      </c>
      <c r="AJ580" s="174">
        <f>10*AS580/IF(AX580=1,IF(AY580=1,4.5,4),4)</f>
        <v>2.2222222222222223</v>
      </c>
      <c r="AK580" s="174">
        <f>SUM(AL580:AN580)</f>
        <v>7265.6491512292687</v>
      </c>
      <c r="AL580" s="174">
        <f>IF(AV580=1,$D$61*(VLOOKUP(C580,$B$36:$AG$39,25,FALSE)+VLOOKUP(C580,$B$40:$AG$43,25,FALSE)*$D$54),(IF(H580="근접",$D$61*(VLOOKUP(C580,$B$36:$AG$39,25,FALSE)+VLOOKUP(C580,$B$40:$AG$43,25,FALSE)*$D$54),$D$60*(VLOOKUP(C580,$B$36:$AG$39,25,FALSE)+VLOOKUP(C580,$B$40:$AG$43,25,FALSE)*$D$54))))*$D$59/100</f>
        <v>4336.8129179304879</v>
      </c>
      <c r="AM580" s="174">
        <f>(IF(AV580=1,$D$61*(VLOOKUP(C580,$B$36:$AG$39,26,FALSE)+VLOOKUP(C580,$B$40:$AG$43,26,FALSE)*$D$54),IF(H580="근접",$D$61*(VLOOKUP(C580,$B$36:$AG$39,26,FALSE)+VLOOKUP(C580,$B$40:$AG$43,26,FALSE)*$D$54),$D$60*(VLOOKUP(C580,$B$36:$AG$39,26,FALSE)+VLOOKUP(C580,$B$40:$AG$43,26,FALSE)*$D$54))))*$D$59/100</f>
        <v>2928.8362332987808</v>
      </c>
      <c r="AN580" s="174"/>
      <c r="AO580" s="176">
        <v>24</v>
      </c>
      <c r="AP580" s="174">
        <v>36</v>
      </c>
      <c r="AQ580" s="175">
        <f>VLOOKUP(C580,$B$45:$AA$48,25,FALSE)</f>
        <v>199</v>
      </c>
      <c r="AR580" s="31">
        <f>IF(LEFT(E580,1)*1=1,$S$68,$R$68)</f>
        <v>0</v>
      </c>
      <c r="AS580" s="2">
        <f>IF(LEFT(E580,1)*1=2,$U$68,$T$68)</f>
        <v>1</v>
      </c>
      <c r="AT580" s="33">
        <f>IF(LEFT(E580,1)*1=3,$W$68,$V$68)</f>
        <v>1.2</v>
      </c>
      <c r="AU580" s="31">
        <f>IF(MID(E580,3,1)*1=1,$Y$68,$X$68)</f>
        <v>0</v>
      </c>
      <c r="AV580" s="2">
        <f>IF(MID(E580,3,1)*1=2,$AA$68,$Z$68)</f>
        <v>0</v>
      </c>
      <c r="AW580" s="33" t="str">
        <f>IF(MID(E580,3,1)*1=3,$AC$68,$AB$68)</f>
        <v>보스대상</v>
      </c>
      <c r="AX580" s="31">
        <f>IF(MID(E580,5,1)*1=1,$AE$68,$AD$68)</f>
        <v>1</v>
      </c>
      <c r="AY580" s="33">
        <f>IF(MID(E580,5,1)*1=2,$AG$68,$AF$68)</f>
        <v>1</v>
      </c>
      <c r="AZ580" s="2"/>
      <c r="BA580" s="101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</row>
    <row r="581" spans="1:71" ht="12" customHeight="1">
      <c r="A581" s="2"/>
      <c r="B581" s="107">
        <v>266</v>
      </c>
      <c r="C581" s="31">
        <v>10</v>
      </c>
      <c r="D581" s="106" t="s">
        <v>16</v>
      </c>
      <c r="E581" s="2" t="s">
        <v>182</v>
      </c>
      <c r="F581" s="2"/>
      <c r="G581" s="2"/>
      <c r="H581" s="33">
        <f>AX581*2</f>
        <v>3</v>
      </c>
      <c r="I581" s="173">
        <f>M581/AE581</f>
        <v>559.49618166222035</v>
      </c>
      <c r="J581" s="174">
        <f>AH581/AE581</f>
        <v>39.260184425969328</v>
      </c>
      <c r="K581" s="207">
        <f>RANK(I581,$I$76:$I$977)</f>
        <v>506</v>
      </c>
      <c r="L581" s="208" t="e">
        <f>RANK(I581,$I$76:$I$450)</f>
        <v>#N/A</v>
      </c>
      <c r="M581" s="173">
        <f>SUM(N581:R581)</f>
        <v>3348.9807705450053</v>
      </c>
      <c r="N581" s="174">
        <f>T581*(1+((AG581+IF(F581="백어택",8,0))/100)*((AI581/100-1)))</f>
        <v>3348.9807705450053</v>
      </c>
      <c r="O581" s="174"/>
      <c r="P581" s="174"/>
      <c r="Q581" s="174"/>
      <c r="R581" s="175"/>
      <c r="S581" s="173">
        <f>SUM(T581:X581)*H581</f>
        <v>6385.9092355415869</v>
      </c>
      <c r="T581" s="174">
        <f>AL581*AU581*AX581*IF(F581="백어택",1.2,1)</f>
        <v>2128.6364118471956</v>
      </c>
      <c r="U581" s="174"/>
      <c r="V581" s="174"/>
      <c r="W581" s="174"/>
      <c r="X581" s="175"/>
      <c r="Y581" s="173">
        <f>SUM(Z581:AD581)</f>
        <v>4257.2728236943913</v>
      </c>
      <c r="Z581" s="174">
        <f>T581*$D$58/100</f>
        <v>4257.2728236943913</v>
      </c>
      <c r="AA581" s="174"/>
      <c r="AB581" s="174"/>
      <c r="AC581" s="174"/>
      <c r="AD581" s="175"/>
      <c r="AE581" s="173">
        <f>AO581*(1-$D$17/100)</f>
        <v>5.9857079999999998</v>
      </c>
      <c r="AF581" s="174">
        <f>AP581</f>
        <v>36</v>
      </c>
      <c r="AG581" s="174">
        <f>IF($D$57+AT581&gt;100,100,$D$57+AT581)</f>
        <v>34.001300000000001</v>
      </c>
      <c r="AH581" s="174">
        <f>AQ581*AR581</f>
        <v>235</v>
      </c>
      <c r="AI581" s="174">
        <f>$D$58+$D$19</f>
        <v>268.61079999999998</v>
      </c>
      <c r="AJ581" s="174">
        <f>10*AS581/IF(AX581=1,5,3.5)</f>
        <v>2.8571428571428572</v>
      </c>
      <c r="AK581" s="174">
        <f>SUM(AL581:AN581)</f>
        <v>1013.6363865939026</v>
      </c>
      <c r="AL581" s="174">
        <f>((VLOOKUP(C581,$B$36:$AG$39,23,FALSE)+VLOOKUP(C581,$B$40:$AG$43,23,FALSE)*$D$54))*$D$59/100</f>
        <v>1013.6363865939026</v>
      </c>
      <c r="AM581" s="174"/>
      <c r="AN581" s="174"/>
      <c r="AO581" s="176">
        <v>6</v>
      </c>
      <c r="AP581" s="174">
        <v>36</v>
      </c>
      <c r="AQ581" s="175">
        <f>VLOOKUP(C581,$B$45:$AA$48,23,FALSE)</f>
        <v>235</v>
      </c>
      <c r="AR581" s="31">
        <f>IF(LEFT(E581,1)*1=1,$S$66,$R$66)</f>
        <v>1</v>
      </c>
      <c r="AS581" s="2">
        <f>IF(LEFT(E581,1)*1=2,$U$66,$T$66)</f>
        <v>1</v>
      </c>
      <c r="AT581" s="33">
        <f>IF(LEFT(E581,1)*1=3,$W$66,$V$66)</f>
        <v>15</v>
      </c>
      <c r="AU581" s="31">
        <f>IF(MID(E581,3,1)*1=1,$Y$66,$X$66)</f>
        <v>1.4</v>
      </c>
      <c r="AV581" s="2">
        <f>IF(MID(E581,3,1)*1=2,$AA$66,$Z$66)</f>
        <v>0</v>
      </c>
      <c r="AW581" s="33">
        <f>IF(MID(E581,3,1)*1=3,$AC$66,$AB$66)</f>
        <v>0</v>
      </c>
      <c r="AX581" s="31">
        <f>IF(MID(E581,5,1)*1=1,$AE$66,$AD$66)</f>
        <v>1.5</v>
      </c>
      <c r="AY581" s="33">
        <f>IF(MID(E581,5,1)*1=2,$AG$66,$AF$66)</f>
        <v>1</v>
      </c>
      <c r="AZ581" s="2"/>
      <c r="BA581" s="101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</row>
    <row r="582" spans="1:71" ht="12" customHeight="1">
      <c r="A582" s="2"/>
      <c r="B582" s="107">
        <v>272</v>
      </c>
      <c r="C582" s="31">
        <v>10</v>
      </c>
      <c r="D582" s="106" t="s">
        <v>16</v>
      </c>
      <c r="E582" s="2" t="s">
        <v>145</v>
      </c>
      <c r="F582" s="2"/>
      <c r="G582" s="2"/>
      <c r="H582" s="33">
        <f>AX582*2</f>
        <v>2</v>
      </c>
      <c r="I582" s="173">
        <f>M582/AE582</f>
        <v>559.49618166222035</v>
      </c>
      <c r="J582" s="174">
        <f>AH582/AE582</f>
        <v>39.260184425969328</v>
      </c>
      <c r="K582" s="207">
        <f>RANK(I582,$I$76:$I$977)</f>
        <v>506</v>
      </c>
      <c r="L582" s="208" t="e">
        <f>RANK(I582,$I$76:$I$450)</f>
        <v>#N/A</v>
      </c>
      <c r="M582" s="173">
        <f>SUM(N582:R582)</f>
        <v>3348.9807705450053</v>
      </c>
      <c r="N582" s="174">
        <f>T582*(1+((AG582+IF(F582="백어택",8,0))/100)*((AI582/100-1)))</f>
        <v>3348.9807705450053</v>
      </c>
      <c r="O582" s="174"/>
      <c r="P582" s="174"/>
      <c r="Q582" s="174"/>
      <c r="R582" s="175"/>
      <c r="S582" s="173">
        <f>SUM(T582:X582)*H582</f>
        <v>4257.2728236943913</v>
      </c>
      <c r="T582" s="174">
        <f>AL582*AU582*AY582*IF(F582="백어택",1.2,1)</f>
        <v>2128.6364118471956</v>
      </c>
      <c r="U582" s="174"/>
      <c r="V582" s="174"/>
      <c r="W582" s="174"/>
      <c r="X582" s="175"/>
      <c r="Y582" s="173">
        <f>SUM(Z582:AD582)</f>
        <v>4257.2728236943913</v>
      </c>
      <c r="Z582" s="174">
        <f>T582*$D$58/100</f>
        <v>4257.2728236943913</v>
      </c>
      <c r="AA582" s="174"/>
      <c r="AB582" s="174"/>
      <c r="AC582" s="174"/>
      <c r="AD582" s="175"/>
      <c r="AE582" s="173">
        <f>AO582*(1-$D$17/100)</f>
        <v>5.9857079999999998</v>
      </c>
      <c r="AF582" s="174">
        <f>AP582</f>
        <v>36</v>
      </c>
      <c r="AG582" s="174">
        <f>IF($D$57+AT582&gt;100,100,$D$57+AT582)</f>
        <v>34.001300000000001</v>
      </c>
      <c r="AH582" s="174">
        <f>AQ582*AR582</f>
        <v>235</v>
      </c>
      <c r="AI582" s="174">
        <f>$D$58+$D$19</f>
        <v>268.61079999999998</v>
      </c>
      <c r="AJ582" s="174">
        <f>10*AS582/IF(AX582=1,5,3.5)</f>
        <v>2</v>
      </c>
      <c r="AK582" s="174">
        <f>SUM(AL582:AN582)</f>
        <v>1013.6363865939026</v>
      </c>
      <c r="AL582" s="174">
        <f>((VLOOKUP(C582,$B$36:$AG$39,23,FALSE)+VLOOKUP(C582,$B$40:$AG$43,23,FALSE)*$D$54))*$D$59/100</f>
        <v>1013.6363865939026</v>
      </c>
      <c r="AM582" s="174"/>
      <c r="AN582" s="174"/>
      <c r="AO582" s="176">
        <v>6</v>
      </c>
      <c r="AP582" s="174">
        <v>36</v>
      </c>
      <c r="AQ582" s="175">
        <f>VLOOKUP(C582,$B$45:$AA$48,23,FALSE)</f>
        <v>235</v>
      </c>
      <c r="AR582" s="31">
        <f>IF(LEFT(E582,1)*1=1,$S$66,$R$66)</f>
        <v>1</v>
      </c>
      <c r="AS582" s="2">
        <f>IF(LEFT(E582,1)*1=2,$U$66,$T$66)</f>
        <v>1</v>
      </c>
      <c r="AT582" s="33">
        <f>IF(LEFT(E582,1)*1=3,$W$66,$V$66)</f>
        <v>15</v>
      </c>
      <c r="AU582" s="31">
        <f>IF(MID(E582,3,1)*1=1,$Y$66,$X$66)</f>
        <v>1.4</v>
      </c>
      <c r="AV582" s="2">
        <f>IF(MID(E582,3,1)*1=2,$AA$66,$Z$66)</f>
        <v>0</v>
      </c>
      <c r="AW582" s="33">
        <f>IF(MID(E582,3,1)*1=3,$AC$66,$AB$66)</f>
        <v>0</v>
      </c>
      <c r="AX582" s="31">
        <f>IF(MID(E582,5,1)*1=1,$AE$66,$AD$66)</f>
        <v>1</v>
      </c>
      <c r="AY582" s="33">
        <f>IF(MID(E582,5,1)*1=2,$AG$66,$AF$66)</f>
        <v>1.5</v>
      </c>
      <c r="AZ582" s="2"/>
      <c r="BA582" s="101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</row>
    <row r="583" spans="1:71" ht="12" customHeight="1">
      <c r="A583" s="2"/>
      <c r="B583" s="107">
        <v>790</v>
      </c>
      <c r="C583" s="31">
        <v>4</v>
      </c>
      <c r="D583" s="111" t="s">
        <v>21</v>
      </c>
      <c r="E583" s="2" t="s">
        <v>79</v>
      </c>
      <c r="F583" s="2" t="s">
        <v>149</v>
      </c>
      <c r="G583" s="2"/>
      <c r="H583" s="33"/>
      <c r="I583" s="173">
        <f>M583/AE583</f>
        <v>559.22284103945026</v>
      </c>
      <c r="J583" s="174">
        <f>AH583/AE583</f>
        <v>9.0885601645267471</v>
      </c>
      <c r="K583" s="207">
        <f>RANK(I583,$I$76:$I$977)</f>
        <v>508</v>
      </c>
      <c r="L583" s="208">
        <f>RANK(I583,$I$451:$I$866)</f>
        <v>133</v>
      </c>
      <c r="M583" s="173">
        <f>SUM(N583:R583)</f>
        <v>15505.66353645078</v>
      </c>
      <c r="N583" s="174">
        <f>T583*(1+((AG583+IF(F583="백어택",8,0))/100)*(AI583/100-1))</f>
        <v>13411.253707766558</v>
      </c>
      <c r="O583" s="174"/>
      <c r="P583" s="174"/>
      <c r="Q583" s="174"/>
      <c r="R583" s="175">
        <f>X583*(1+(AG583/100)*(AI583/100-1))</f>
        <v>2094.4098286842218</v>
      </c>
      <c r="S583" s="173">
        <f>SUM(T583:X583)</f>
        <v>12319.923228392927</v>
      </c>
      <c r="T583" s="174">
        <f>AL583*AW583*AX583*AY583*IF(F583="백어택",1.2,1)</f>
        <v>10559.934195765365</v>
      </c>
      <c r="U583" s="174"/>
      <c r="V583" s="174"/>
      <c r="W583" s="174"/>
      <c r="X583" s="175">
        <f>AL583*AS583+IF(AX583=1,AL583*AU583,AL583*AU583*2)</f>
        <v>1759.9890326275611</v>
      </c>
      <c r="Y583" s="173">
        <f>SUM(Z583:AD583)</f>
        <v>24639.846456785846</v>
      </c>
      <c r="Z583" s="174">
        <f>T583*$D$58/100</f>
        <v>21119.868391530727</v>
      </c>
      <c r="AA583" s="174"/>
      <c r="AB583" s="174"/>
      <c r="AC583" s="174"/>
      <c r="AD583" s="175">
        <f>X583*$D$58/100</f>
        <v>3519.9780652551217</v>
      </c>
      <c r="AE583" s="173">
        <f>AO583*(1-$D$20/100)*(1-$D$17/100)-AR583</f>
        <v>27.727164197424003</v>
      </c>
      <c r="AF583" s="174">
        <f>AP583</f>
        <v>36</v>
      </c>
      <c r="AG583" s="174">
        <f>IF($D$57&gt;100,100,$D$57)</f>
        <v>19.001300000000001</v>
      </c>
      <c r="AH583" s="174">
        <f>AQ583</f>
        <v>252</v>
      </c>
      <c r="AI583" s="174">
        <f>$D$58</f>
        <v>200</v>
      </c>
      <c r="AJ583" s="174">
        <f>10/6</f>
        <v>1.6666666666666667</v>
      </c>
      <c r="AK583" s="174">
        <f>SUM(AL583:AN583)</f>
        <v>8799.9451631378051</v>
      </c>
      <c r="AL583" s="174">
        <f>(VLOOKUP(C583,$B$36:$AG$39,31,FALSE)+VLOOKUP(C583,$B$40:$AG$43,31,FALSE)*$D$54)*$D$59/100</f>
        <v>8799.9451631378051</v>
      </c>
      <c r="AM583" s="174"/>
      <c r="AN583" s="174"/>
      <c r="AO583" s="176">
        <v>36</v>
      </c>
      <c r="AP583" s="174">
        <v>36</v>
      </c>
      <c r="AQ583" s="175">
        <f>VLOOKUP(C583,$B$45:$AG$48,31,FALSE)</f>
        <v>252</v>
      </c>
      <c r="AR583" s="31">
        <f>IF(LEFT(E583,1)*1=1,$S$71,$R$71)</f>
        <v>0</v>
      </c>
      <c r="AS583" s="2">
        <f>IF(LEFT(E583,1)*1=2,$U$71,$T$71)</f>
        <v>0.2</v>
      </c>
      <c r="AT583" s="33">
        <f>IF(LEFT(E583,1)*1=3,$W$71,$V$71)</f>
        <v>0</v>
      </c>
      <c r="AU583" s="31">
        <f>IF(MID(E583,3,1)*1=1,$Y$71,$X$71)</f>
        <v>0</v>
      </c>
      <c r="AV583" s="2">
        <f>IF(MID(E583,3,1)*1=2,$AA$71,$Z$71)</f>
        <v>0</v>
      </c>
      <c r="AW583" s="33">
        <f>IF(MID(E583,3,1)*1=3,$AC$71,$AB$71)</f>
        <v>1</v>
      </c>
      <c r="AX583" s="31">
        <f>IF(MID(E583,5,1)*1=1,$AE$71,$AD$71)</f>
        <v>1</v>
      </c>
      <c r="AY583" s="33">
        <f>IF(MID(E583,5,1)*1=2,$AG$71,$AF$71)</f>
        <v>1</v>
      </c>
      <c r="AZ583" s="2"/>
      <c r="BA583" s="101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</row>
    <row r="584" spans="1:71" ht="12" customHeight="1">
      <c r="A584" s="2"/>
      <c r="B584" s="107">
        <v>803</v>
      </c>
      <c r="C584" s="31">
        <v>10</v>
      </c>
      <c r="D584" s="113" t="s">
        <v>9</v>
      </c>
      <c r="E584" s="2" t="s">
        <v>98</v>
      </c>
      <c r="F584" s="2"/>
      <c r="G584" s="2" t="s">
        <v>166</v>
      </c>
      <c r="H584" s="33"/>
      <c r="I584" s="173">
        <f>M584/AE584</f>
        <v>558.27751648791048</v>
      </c>
      <c r="J584" s="174">
        <f>AH584/AE584</f>
        <v>18.293575296355918</v>
      </c>
      <c r="K584" s="207">
        <f>RANK(I584,$I$76:$I$977)</f>
        <v>509</v>
      </c>
      <c r="L584" s="208" t="e">
        <f>RANK(I584,$I$867:$I$977)</f>
        <v>#N/A</v>
      </c>
      <c r="M584" s="173">
        <f>SUM(N584:R584)*(1+$D$22/100)</f>
        <v>20050.117179970905</v>
      </c>
      <c r="N584" s="174">
        <f>T584*(1+((AG584+IF(F584="백어택",8,0))/100)*(AI584/100-1))</f>
        <v>16020.767028009002</v>
      </c>
      <c r="O584" s="174">
        <f>U584*(1+($D$57/100)*(AI584/100-1))</f>
        <v>2044.4066741270403</v>
      </c>
      <c r="P584" s="174"/>
      <c r="Q584" s="174"/>
      <c r="R584" s="175">
        <f>X584*(1+($D$57/100)*(AI584/100-1))</f>
        <v>0</v>
      </c>
      <c r="S584" s="173">
        <f>SUM(T584:X584)</f>
        <v>10668.054211094879</v>
      </c>
      <c r="T584" s="174">
        <f>AL584*AU584*AY584</f>
        <v>8950.084177047318</v>
      </c>
      <c r="U584" s="174">
        <f>AM584*AX584</f>
        <v>1717.9700340475611</v>
      </c>
      <c r="V584" s="174"/>
      <c r="W584" s="174"/>
      <c r="X584" s="175">
        <f>AM584*AS584</f>
        <v>0</v>
      </c>
      <c r="Y584" s="173">
        <f>SUM(Z584:AD584)</f>
        <v>21336.108422189758</v>
      </c>
      <c r="Z584" s="174">
        <f>T584*$D$58/100</f>
        <v>17900.168354094636</v>
      </c>
      <c r="AA584" s="174">
        <f>U584*$D$58/100</f>
        <v>3435.9400680951221</v>
      </c>
      <c r="AB584" s="174"/>
      <c r="AC584" s="174"/>
      <c r="AD584" s="175">
        <f>X584*$D$58/100</f>
        <v>0</v>
      </c>
      <c r="AE584" s="173">
        <f>AO584*(1-$D$17/100)</f>
        <v>35.914248000000001</v>
      </c>
      <c r="AF584" s="174">
        <f>AP584</f>
        <v>36</v>
      </c>
      <c r="AG584" s="174">
        <f>IF($D$57+AW584&gt;100,100,$D$57+AW584)</f>
        <v>79.001300000000001</v>
      </c>
      <c r="AH584" s="174">
        <f>AQ584</f>
        <v>657</v>
      </c>
      <c r="AI584" s="174">
        <f>$D$58</f>
        <v>200</v>
      </c>
      <c r="AJ584" s="174">
        <f>10/(6+AT584)</f>
        <v>1.6666666666666667</v>
      </c>
      <c r="AK584" s="174">
        <f>SUM(AL584:AN584)</f>
        <v>8602.6501702378046</v>
      </c>
      <c r="AL584" s="174">
        <f>(VLOOKUP(C584,$B$36:$AG$39,11,FALSE)+VLOOKUP(C584,$B$40:$AG$43,11,FALSE)*$D$54)*$D$59/100</f>
        <v>6884.6801361902444</v>
      </c>
      <c r="AM584" s="174">
        <f>(3*(VLOOKUP(C584,$B$36:$AG$39,12,FALSE)+VLOOKUP(C584,$B$40:$AG$43,12,FALSE)*$D$54))*$D$59/100</f>
        <v>1717.9700340475611</v>
      </c>
      <c r="AN584" s="174"/>
      <c r="AO584" s="176">
        <v>36</v>
      </c>
      <c r="AP584" s="174">
        <v>36</v>
      </c>
      <c r="AQ584" s="175">
        <f>VLOOKUP(C584,$B$45:$AA$48,11,FALSE)</f>
        <v>657</v>
      </c>
      <c r="AR584" s="31">
        <f>IF(LEFT(E584,1)*1=1,$S$59,$R$59)</f>
        <v>0</v>
      </c>
      <c r="AS584" s="2">
        <f>IF(LEFT(E584,1)*1=2,$U$59,$T$59)</f>
        <v>0</v>
      </c>
      <c r="AT584" s="33">
        <f>IF(LEFT(E584,1)*1=3,$W$59,$V$59)</f>
        <v>0</v>
      </c>
      <c r="AU584" s="31">
        <f>IF(MID(E584,3,1)*1=1,$Y$59,$X$59)</f>
        <v>1</v>
      </c>
      <c r="AV584" s="2">
        <f>IF(MID(E584,3,1)*1=2,$AA$59,$Z$59)</f>
        <v>0</v>
      </c>
      <c r="AW584" s="33">
        <f>IF(MID(E584,3,1)*1=3,$AC$59,$AB$59)</f>
        <v>60</v>
      </c>
      <c r="AX584" s="31">
        <f>IF(MID(E584,5,1)*1=1,$AE$59,$AD$59)</f>
        <v>1</v>
      </c>
      <c r="AY584" s="33">
        <f>IF(MID(E584,5,1)*1=2,$AG$59,$AF$59)</f>
        <v>1.3</v>
      </c>
      <c r="AZ584" s="2"/>
      <c r="BA584" s="101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</row>
    <row r="585" spans="1:71" ht="12" customHeight="1">
      <c r="A585" s="2"/>
      <c r="B585" s="107">
        <v>809</v>
      </c>
      <c r="C585" s="31">
        <v>10</v>
      </c>
      <c r="D585" s="113" t="s">
        <v>9</v>
      </c>
      <c r="E585" s="2" t="s">
        <v>135</v>
      </c>
      <c r="F585" s="2"/>
      <c r="G585" s="2" t="s">
        <v>166</v>
      </c>
      <c r="H585" s="33"/>
      <c r="I585" s="173">
        <f>M585/AE585</f>
        <v>558.27751648791048</v>
      </c>
      <c r="J585" s="174">
        <f>AH585/AE585</f>
        <v>18.293575296355918</v>
      </c>
      <c r="K585" s="207">
        <f>RANK(I585,$I$76:$I$977)</f>
        <v>509</v>
      </c>
      <c r="L585" s="208" t="e">
        <f>RANK(I585,$I$867:$I$977)</f>
        <v>#N/A</v>
      </c>
      <c r="M585" s="173">
        <f>SUM(N585:R585)*(1+$D$22/100)</f>
        <v>20050.117179970905</v>
      </c>
      <c r="N585" s="174">
        <f>T585*(1+((AG585+IF(F585="백어택",8,0))/100)*(AI585/100-1))</f>
        <v>16020.767028009002</v>
      </c>
      <c r="O585" s="174">
        <f>U585*(1+($D$57/100)*(AI585/100-1))</f>
        <v>2044.4066741270403</v>
      </c>
      <c r="P585" s="174"/>
      <c r="Q585" s="174"/>
      <c r="R585" s="175">
        <f>X585*(1+($D$57/100)*(AI585/100-1))</f>
        <v>0</v>
      </c>
      <c r="S585" s="173">
        <f>SUM(T585:X585)</f>
        <v>10668.054211094879</v>
      </c>
      <c r="T585" s="174">
        <f>AL585*AU585*AY585</f>
        <v>8950.084177047318</v>
      </c>
      <c r="U585" s="174">
        <f>AM585*AX585</f>
        <v>1717.9700340475611</v>
      </c>
      <c r="V585" s="174"/>
      <c r="W585" s="174"/>
      <c r="X585" s="175">
        <f>AM585*AS585</f>
        <v>0</v>
      </c>
      <c r="Y585" s="173">
        <f>SUM(Z585:AD585)</f>
        <v>21336.108422189758</v>
      </c>
      <c r="Z585" s="174">
        <f>T585*$D$58/100</f>
        <v>17900.168354094636</v>
      </c>
      <c r="AA585" s="174">
        <f>U585*$D$58/100</f>
        <v>3435.9400680951221</v>
      </c>
      <c r="AB585" s="174"/>
      <c r="AC585" s="174"/>
      <c r="AD585" s="175">
        <f>X585*$D$58/100</f>
        <v>0</v>
      </c>
      <c r="AE585" s="173">
        <f>AO585*(1-$D$17/100)</f>
        <v>35.914248000000001</v>
      </c>
      <c r="AF585" s="174">
        <f>AP585</f>
        <v>36</v>
      </c>
      <c r="AG585" s="174">
        <f>IF($D$57+AW585&gt;100,100,$D$57+AW585)</f>
        <v>79.001300000000001</v>
      </c>
      <c r="AH585" s="174">
        <f>AQ585</f>
        <v>657</v>
      </c>
      <c r="AI585" s="174">
        <f>$D$58</f>
        <v>200</v>
      </c>
      <c r="AJ585" s="174">
        <f>10/(6+AT585)</f>
        <v>1.4285714285714286</v>
      </c>
      <c r="AK585" s="174">
        <f>SUM(AL585:AN585)</f>
        <v>8602.6501702378046</v>
      </c>
      <c r="AL585" s="174">
        <f>(VLOOKUP(C585,$B$36:$AG$39,11,FALSE)+VLOOKUP(C585,$B$40:$AG$43,11,FALSE)*$D$54)*$D$59/100</f>
        <v>6884.6801361902444</v>
      </c>
      <c r="AM585" s="174">
        <f>(3*(VLOOKUP(C585,$B$36:$AG$39,12,FALSE)+VLOOKUP(C585,$B$40:$AG$43,12,FALSE)*$D$54))*$D$59/100</f>
        <v>1717.9700340475611</v>
      </c>
      <c r="AN585" s="174"/>
      <c r="AO585" s="176">
        <v>36</v>
      </c>
      <c r="AP585" s="174">
        <v>36</v>
      </c>
      <c r="AQ585" s="175">
        <f>VLOOKUP(C585,$B$45:$AA$48,11,FALSE)</f>
        <v>657</v>
      </c>
      <c r="AR585" s="31">
        <f>IF(LEFT(E585,1)*1=1,$S$59,$R$59)</f>
        <v>0</v>
      </c>
      <c r="AS585" s="2">
        <f>IF(LEFT(E585,1)*1=2,$U$59,$T$59)</f>
        <v>0</v>
      </c>
      <c r="AT585" s="33">
        <f>IF(LEFT(E585,1)*1=3,$W$59,$V$59)</f>
        <v>1</v>
      </c>
      <c r="AU585" s="31">
        <f>IF(MID(E585,3,1)*1=1,$Y$59,$X$59)</f>
        <v>1</v>
      </c>
      <c r="AV585" s="2">
        <f>IF(MID(E585,3,1)*1=2,$AA$59,$Z$59)</f>
        <v>0</v>
      </c>
      <c r="AW585" s="33">
        <f>IF(MID(E585,3,1)*1=3,$AC$59,$AB$59)</f>
        <v>60</v>
      </c>
      <c r="AX585" s="31">
        <f>IF(MID(E585,5,1)*1=1,$AE$59,$AD$59)</f>
        <v>1</v>
      </c>
      <c r="AY585" s="33">
        <f>IF(MID(E585,5,1)*1=2,$AG$59,$AF$59)</f>
        <v>1.3</v>
      </c>
      <c r="AZ585" s="2"/>
      <c r="BA585" s="101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</row>
    <row r="586" spans="1:71" ht="12" customHeight="1">
      <c r="A586" s="2"/>
      <c r="B586" s="107">
        <v>802</v>
      </c>
      <c r="C586" s="31">
        <v>10</v>
      </c>
      <c r="D586" s="113" t="s">
        <v>9</v>
      </c>
      <c r="E586" s="2" t="s">
        <v>139</v>
      </c>
      <c r="F586" s="2"/>
      <c r="G586" s="2"/>
      <c r="H586" s="33"/>
      <c r="I586" s="173">
        <f>M586/AE586</f>
        <v>556.89636864261377</v>
      </c>
      <c r="J586" s="174">
        <f>AH586/AE586</f>
        <v>18.293575296355918</v>
      </c>
      <c r="K586" s="207">
        <f>RANK(I586,$I$76:$I$977)</f>
        <v>511</v>
      </c>
      <c r="L586" s="208" t="e">
        <f>RANK(I586,$I$867:$I$977)</f>
        <v>#N/A</v>
      </c>
      <c r="M586" s="173">
        <f>SUM(N586:R586)*(1+$D$22/100)</f>
        <v>20000.514293730255</v>
      </c>
      <c r="N586" s="174">
        <f>T586*(1+((AG586+IF(F586="백어택",8,0))/100)*(AI586/100-1))</f>
        <v>15976.074782670916</v>
      </c>
      <c r="O586" s="174">
        <f>U586*(1+($D$57/100)*(AI586/100-1))</f>
        <v>2044.4066741270403</v>
      </c>
      <c r="P586" s="174"/>
      <c r="Q586" s="174"/>
      <c r="R586" s="175">
        <f>X586*(1+($D$57/100)*(AI586/100-1))</f>
        <v>0</v>
      </c>
      <c r="S586" s="173">
        <f>SUM(T586:X586)</f>
        <v>15143.096299618539</v>
      </c>
      <c r="T586" s="174">
        <f>AL586*AU586*AY586</f>
        <v>13425.126265570978</v>
      </c>
      <c r="U586" s="174">
        <f>AM586*AX586</f>
        <v>1717.9700340475611</v>
      </c>
      <c r="V586" s="174"/>
      <c r="W586" s="174"/>
      <c r="X586" s="175">
        <f>AM586*AS586</f>
        <v>0</v>
      </c>
      <c r="Y586" s="173">
        <f>SUM(Z586:AD586)</f>
        <v>30286.192599237078</v>
      </c>
      <c r="Z586" s="174">
        <f>T586*$D$58/100</f>
        <v>26850.252531141956</v>
      </c>
      <c r="AA586" s="174">
        <f>U586*$D$58/100</f>
        <v>3435.9400680951221</v>
      </c>
      <c r="AB586" s="174"/>
      <c r="AC586" s="174"/>
      <c r="AD586" s="175">
        <f>X586*$D$58/100</f>
        <v>0</v>
      </c>
      <c r="AE586" s="173">
        <f>AO586*(1-$D$17/100)</f>
        <v>35.914248000000001</v>
      </c>
      <c r="AF586" s="174">
        <f>AP586</f>
        <v>36</v>
      </c>
      <c r="AG586" s="174">
        <f>IF($D$57+AW586&gt;100,100,$D$57+AW586)</f>
        <v>19.001300000000001</v>
      </c>
      <c r="AH586" s="174">
        <f>AQ586</f>
        <v>657</v>
      </c>
      <c r="AI586" s="174">
        <f>$D$58</f>
        <v>200</v>
      </c>
      <c r="AJ586" s="174">
        <f>10/(6+AT586)</f>
        <v>1.6666666666666667</v>
      </c>
      <c r="AK586" s="174">
        <f>SUM(AL586:AN586)</f>
        <v>8602.6501702378046</v>
      </c>
      <c r="AL586" s="174">
        <f>(VLOOKUP(C586,$B$36:$AG$39,11,FALSE)+VLOOKUP(C586,$B$40:$AG$43,11,FALSE)*$D$54)*$D$59/100</f>
        <v>6884.6801361902444</v>
      </c>
      <c r="AM586" s="174">
        <f>(3*(VLOOKUP(C586,$B$36:$AG$39,12,FALSE)+VLOOKUP(C586,$B$40:$AG$43,12,FALSE)*$D$54))*$D$59/100</f>
        <v>1717.9700340475611</v>
      </c>
      <c r="AN586" s="174"/>
      <c r="AO586" s="176">
        <v>36</v>
      </c>
      <c r="AP586" s="174">
        <v>36</v>
      </c>
      <c r="AQ586" s="175">
        <f>VLOOKUP(C586,$B$45:$AA$48,11,FALSE)</f>
        <v>657</v>
      </c>
      <c r="AR586" s="31">
        <f>IF(LEFT(E586,1)*1=1,$S$59,$R$59)</f>
        <v>0</v>
      </c>
      <c r="AS586" s="2">
        <f>IF(LEFT(E586,1)*1=2,$U$59,$T$59)</f>
        <v>0</v>
      </c>
      <c r="AT586" s="33">
        <f>IF(LEFT(E586,1)*1=3,$W$59,$V$59)</f>
        <v>0</v>
      </c>
      <c r="AU586" s="31">
        <f>IF(MID(E586,3,1)*1=1,$Y$59,$X$59)</f>
        <v>1.5</v>
      </c>
      <c r="AV586" s="2">
        <f>IF(MID(E586,3,1)*1=2,$AA$59,$Z$59)</f>
        <v>0</v>
      </c>
      <c r="AW586" s="33">
        <f>IF(MID(E586,3,1)*1=3,$AC$59,$AB$59)</f>
        <v>0</v>
      </c>
      <c r="AX586" s="31">
        <f>IF(MID(E586,5,1)*1=1,$AE$59,$AD$59)</f>
        <v>1</v>
      </c>
      <c r="AY586" s="33">
        <f>IF(MID(E586,5,1)*1=2,$AG$59,$AF$59)</f>
        <v>1.3</v>
      </c>
      <c r="AZ586" s="2"/>
      <c r="BA586" s="101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</row>
    <row r="587" spans="1:71" ht="12" customHeight="1">
      <c r="A587" s="2"/>
      <c r="B587" s="107">
        <v>808</v>
      </c>
      <c r="C587" s="31">
        <v>10</v>
      </c>
      <c r="D587" s="113" t="s">
        <v>9</v>
      </c>
      <c r="E587" s="2" t="s">
        <v>145</v>
      </c>
      <c r="F587" s="2"/>
      <c r="G587" s="2"/>
      <c r="H587" s="33"/>
      <c r="I587" s="173">
        <f>M587/AE587</f>
        <v>556.89636864261377</v>
      </c>
      <c r="J587" s="174">
        <f>AH587/AE587</f>
        <v>18.293575296355918</v>
      </c>
      <c r="K587" s="207">
        <f>RANK(I587,$I$76:$I$977)</f>
        <v>511</v>
      </c>
      <c r="L587" s="208" t="e">
        <f>RANK(I587,$I$867:$I$977)</f>
        <v>#N/A</v>
      </c>
      <c r="M587" s="173">
        <f>SUM(N587:R587)*(1+$D$22/100)</f>
        <v>20000.514293730255</v>
      </c>
      <c r="N587" s="174">
        <f>T587*(1+((AG587+IF(F587="백어택",8,0))/100)*(AI587/100-1))</f>
        <v>15976.074782670916</v>
      </c>
      <c r="O587" s="174">
        <f>U587*(1+($D$57/100)*(AI587/100-1))</f>
        <v>2044.4066741270403</v>
      </c>
      <c r="P587" s="174"/>
      <c r="Q587" s="174"/>
      <c r="R587" s="175">
        <f>X587*(1+($D$57/100)*(AI587/100-1))</f>
        <v>0</v>
      </c>
      <c r="S587" s="173">
        <f>SUM(T587:X587)</f>
        <v>15143.096299618539</v>
      </c>
      <c r="T587" s="174">
        <f>AL587*AU587*AY587</f>
        <v>13425.126265570978</v>
      </c>
      <c r="U587" s="174">
        <f>AM587*AX587</f>
        <v>1717.9700340475611</v>
      </c>
      <c r="V587" s="174"/>
      <c r="W587" s="174"/>
      <c r="X587" s="175">
        <f>AM587*AS587</f>
        <v>0</v>
      </c>
      <c r="Y587" s="173">
        <f>SUM(Z587:AD587)</f>
        <v>30286.192599237078</v>
      </c>
      <c r="Z587" s="174">
        <f>T587*$D$58/100</f>
        <v>26850.252531141956</v>
      </c>
      <c r="AA587" s="174">
        <f>U587*$D$58/100</f>
        <v>3435.9400680951221</v>
      </c>
      <c r="AB587" s="174"/>
      <c r="AC587" s="174"/>
      <c r="AD587" s="175">
        <f>X587*$D$58/100</f>
        <v>0</v>
      </c>
      <c r="AE587" s="173">
        <f>AO587*(1-$D$17/100)</f>
        <v>35.914248000000001</v>
      </c>
      <c r="AF587" s="174">
        <f>AP587</f>
        <v>36</v>
      </c>
      <c r="AG587" s="174">
        <f>IF($D$57+AW587&gt;100,100,$D$57+AW587)</f>
        <v>19.001300000000001</v>
      </c>
      <c r="AH587" s="174">
        <f>AQ587</f>
        <v>657</v>
      </c>
      <c r="AI587" s="174">
        <f>$D$58</f>
        <v>200</v>
      </c>
      <c r="AJ587" s="174">
        <f>10/(6+AT587)</f>
        <v>1.4285714285714286</v>
      </c>
      <c r="AK587" s="174">
        <f>SUM(AL587:AN587)</f>
        <v>8602.6501702378046</v>
      </c>
      <c r="AL587" s="174">
        <f>(VLOOKUP(C587,$B$36:$AG$39,11,FALSE)+VLOOKUP(C587,$B$40:$AG$43,11,FALSE)*$D$54)*$D$59/100</f>
        <v>6884.6801361902444</v>
      </c>
      <c r="AM587" s="174">
        <f>(3*(VLOOKUP(C587,$B$36:$AG$39,12,FALSE)+VLOOKUP(C587,$B$40:$AG$43,12,FALSE)*$D$54))*$D$59/100</f>
        <v>1717.9700340475611</v>
      </c>
      <c r="AN587" s="174"/>
      <c r="AO587" s="176">
        <v>36</v>
      </c>
      <c r="AP587" s="174">
        <v>36</v>
      </c>
      <c r="AQ587" s="175">
        <f>VLOOKUP(C587,$B$45:$AA$48,11,FALSE)</f>
        <v>657</v>
      </c>
      <c r="AR587" s="31">
        <f>IF(LEFT(E587,1)*1=1,$S$59,$R$59)</f>
        <v>0</v>
      </c>
      <c r="AS587" s="2">
        <f>IF(LEFT(E587,1)*1=2,$U$59,$T$59)</f>
        <v>0</v>
      </c>
      <c r="AT587" s="33">
        <f>IF(LEFT(E587,1)*1=3,$W$59,$V$59)</f>
        <v>1</v>
      </c>
      <c r="AU587" s="31">
        <f>IF(MID(E587,3,1)*1=1,$Y$59,$X$59)</f>
        <v>1.5</v>
      </c>
      <c r="AV587" s="2">
        <f>IF(MID(E587,3,1)*1=2,$AA$59,$Z$59)</f>
        <v>0</v>
      </c>
      <c r="AW587" s="33">
        <f>IF(MID(E587,3,1)*1=3,$AC$59,$AB$59)</f>
        <v>0</v>
      </c>
      <c r="AX587" s="31">
        <f>IF(MID(E587,5,1)*1=1,$AE$59,$AD$59)</f>
        <v>1</v>
      </c>
      <c r="AY587" s="33">
        <f>IF(MID(E587,5,1)*1=2,$AG$59,$AF$59)</f>
        <v>1.3</v>
      </c>
      <c r="AZ587" s="2"/>
      <c r="BA587" s="101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</row>
    <row r="588" spans="1:71" ht="12" customHeight="1">
      <c r="A588" s="2"/>
      <c r="B588" s="107">
        <v>73</v>
      </c>
      <c r="C588" s="31">
        <v>10</v>
      </c>
      <c r="D588" s="106" t="s">
        <v>5</v>
      </c>
      <c r="E588" s="2" t="s">
        <v>144</v>
      </c>
      <c r="F588" s="2"/>
      <c r="G588" s="2"/>
      <c r="H588" s="33">
        <v>9</v>
      </c>
      <c r="I588" s="173">
        <f>M588/AE588</f>
        <v>555.95517220397983</v>
      </c>
      <c r="J588" s="174">
        <f>AH588/AE588</f>
        <v>34.707673678702669</v>
      </c>
      <c r="K588" s="207">
        <f>RANK(I588,$I$76:$I$977)</f>
        <v>513</v>
      </c>
      <c r="L588" s="208" t="e">
        <f>RANK(I588,$I$76:$I$450)</f>
        <v>#N/A</v>
      </c>
      <c r="M588" s="173">
        <f>SUM(N588:R588)</f>
        <v>4437.0470958703199</v>
      </c>
      <c r="N588" s="174">
        <f>T588*(1+((AG588+IF(F588="백어택",8,0))/100)*((AI588/100-1)))</f>
        <v>4437.0470958703199</v>
      </c>
      <c r="O588" s="174"/>
      <c r="P588" s="174"/>
      <c r="Q588" s="174"/>
      <c r="R588" s="175"/>
      <c r="S588" s="173">
        <f>SUM(T588:X588)</f>
        <v>3360.4257095945122</v>
      </c>
      <c r="T588" s="174">
        <f>AL588*AU588*AW588*AX588*AY588</f>
        <v>3360.4257095945122</v>
      </c>
      <c r="U588" s="174"/>
      <c r="V588" s="174"/>
      <c r="W588" s="174"/>
      <c r="X588" s="175"/>
      <c r="Y588" s="173">
        <f>SUM(Z588:AD588)</f>
        <v>6720.8514191890245</v>
      </c>
      <c r="Z588" s="174">
        <f>T588*$D$58/100</f>
        <v>6720.8514191890245</v>
      </c>
      <c r="AA588" s="174"/>
      <c r="AB588" s="174"/>
      <c r="AC588" s="174"/>
      <c r="AD588" s="175"/>
      <c r="AE588" s="173">
        <f>AO588*(1-$D$17/100)</f>
        <v>7.980944</v>
      </c>
      <c r="AF588" s="174">
        <f>AP588</f>
        <v>36</v>
      </c>
      <c r="AG588" s="174">
        <f>IF($D$57&gt;100,100,$D$57)</f>
        <v>19.001300000000001</v>
      </c>
      <c r="AH588" s="174">
        <f>AQ588</f>
        <v>277</v>
      </c>
      <c r="AI588" s="174">
        <f>$D$58+$D$19</f>
        <v>268.61079999999998</v>
      </c>
      <c r="AJ588" s="174">
        <f>1*AS588</f>
        <v>1</v>
      </c>
      <c r="AK588" s="174">
        <f>SUM(AL588:AN588)</f>
        <v>2240.2838063963413</v>
      </c>
      <c r="AL588" s="174">
        <f>(H588*(VLOOKUP(C588,$B$36:$AG$39,6,FALSE)+VLOOKUP(C588,$B$40:$AG$43,6,FALSE)*$D$54))*$D$59/100</f>
        <v>2240.2838063963413</v>
      </c>
      <c r="AM588" s="174"/>
      <c r="AN588" s="174"/>
      <c r="AO588" s="176">
        <v>8</v>
      </c>
      <c r="AP588" s="174">
        <v>36</v>
      </c>
      <c r="AQ588" s="175">
        <f>VLOOKUP(C588,$B$45:$AA$48,6,FALSE)</f>
        <v>277</v>
      </c>
      <c r="AR588" s="31">
        <f>IF(LEFT(E588,1)*1=1,$S$55,$R$55)</f>
        <v>0</v>
      </c>
      <c r="AS588" s="2">
        <f>IF(LEFT(E588,1)*1=2,$U$55,$T$55)</f>
        <v>1</v>
      </c>
      <c r="AT588" s="33">
        <f>IF(LEFT(E588,1)*1=3,$W$55,$V$55)</f>
        <v>0</v>
      </c>
      <c r="AU588" s="31">
        <f>IF(MID(E588,3,1)*1=1,$Y$55,$X$55)</f>
        <v>1</v>
      </c>
      <c r="AV588" s="2">
        <f>IF(MID(E588,3,1)*1=2,$AA$55,$Z$55)</f>
        <v>0</v>
      </c>
      <c r="AW588" s="33">
        <f>IF(MID(E588,3,1)*1=3,$AC$55,$AB$55)</f>
        <v>1</v>
      </c>
      <c r="AX588" s="31">
        <f>IF(MID(E588,5,1)*1=1,$AE$55,$AD$55)</f>
        <v>1.5</v>
      </c>
      <c r="AY588" s="33">
        <f>IF(MID(E588,5,1)*1=2,$AG$55,$AF$55)</f>
        <v>1</v>
      </c>
      <c r="AZ588" s="2"/>
      <c r="BA588" s="101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</row>
    <row r="589" spans="1:71" ht="12" customHeight="1">
      <c r="A589" s="2"/>
      <c r="B589" s="107">
        <v>79</v>
      </c>
      <c r="C589" s="31">
        <v>10</v>
      </c>
      <c r="D589" s="106" t="s">
        <v>5</v>
      </c>
      <c r="E589" s="2" t="s">
        <v>161</v>
      </c>
      <c r="F589" s="2"/>
      <c r="G589" s="2"/>
      <c r="H589" s="33">
        <v>9</v>
      </c>
      <c r="I589" s="173">
        <f>M589/AE589</f>
        <v>555.95517220397983</v>
      </c>
      <c r="J589" s="174">
        <f>AH589/AE589</f>
        <v>34.707673678702669</v>
      </c>
      <c r="K589" s="207">
        <f>RANK(I589,$I$76:$I$977)</f>
        <v>513</v>
      </c>
      <c r="L589" s="208" t="e">
        <f>RANK(I589,$I$76:$I$450)</f>
        <v>#N/A</v>
      </c>
      <c r="M589" s="173">
        <f>SUM(N589:R589)</f>
        <v>4437.0470958703199</v>
      </c>
      <c r="N589" s="174">
        <f>T589*(1+((AG589+IF(F589="백어택",8,0))/100)*((AI589/100-1)))</f>
        <v>4437.0470958703199</v>
      </c>
      <c r="O589" s="174"/>
      <c r="P589" s="174"/>
      <c r="Q589" s="174"/>
      <c r="R589" s="175"/>
      <c r="S589" s="173">
        <f>SUM(T589:X589)</f>
        <v>3360.4257095945122</v>
      </c>
      <c r="T589" s="174">
        <f>AL589*AU589*AW589*AX589*AY589</f>
        <v>3360.4257095945122</v>
      </c>
      <c r="U589" s="174"/>
      <c r="V589" s="174"/>
      <c r="W589" s="174"/>
      <c r="X589" s="175"/>
      <c r="Y589" s="173">
        <f>SUM(Z589:AD589)</f>
        <v>6720.8514191890245</v>
      </c>
      <c r="Z589" s="174">
        <f>T589*$D$58/100</f>
        <v>6720.8514191890245</v>
      </c>
      <c r="AA589" s="174"/>
      <c r="AB589" s="174"/>
      <c r="AC589" s="174"/>
      <c r="AD589" s="175"/>
      <c r="AE589" s="173">
        <f>AO589*(1-$D$17/100)</f>
        <v>7.980944</v>
      </c>
      <c r="AF589" s="174">
        <f>AP589</f>
        <v>36</v>
      </c>
      <c r="AG589" s="174">
        <f>IF($D$57&gt;100,100,$D$57)</f>
        <v>19.001300000000001</v>
      </c>
      <c r="AH589" s="174">
        <f>AQ589</f>
        <v>277</v>
      </c>
      <c r="AI589" s="174">
        <f>$D$58+$D$19</f>
        <v>268.61079999999998</v>
      </c>
      <c r="AJ589" s="174">
        <f>1*AS589</f>
        <v>0.8</v>
      </c>
      <c r="AK589" s="174">
        <f>SUM(AL589:AN589)</f>
        <v>2240.2838063963413</v>
      </c>
      <c r="AL589" s="174">
        <f>(H589*(VLOOKUP(C589,$B$36:$AG$39,6,FALSE)+VLOOKUP(C589,$B$40:$AG$43,6,FALSE)*$D$54))*$D$59/100</f>
        <v>2240.2838063963413</v>
      </c>
      <c r="AM589" s="174"/>
      <c r="AN589" s="174"/>
      <c r="AO589" s="176">
        <v>8</v>
      </c>
      <c r="AP589" s="174">
        <v>36</v>
      </c>
      <c r="AQ589" s="175">
        <f>VLOOKUP(C589,$B$45:$AA$48,6,FALSE)</f>
        <v>277</v>
      </c>
      <c r="AR589" s="31">
        <f>IF(LEFT(E589,1)*1=1,$S$55,$R$55)</f>
        <v>0</v>
      </c>
      <c r="AS589" s="2">
        <f>IF(LEFT(E589,1)*1=2,$U$55,$T$55)</f>
        <v>0.8</v>
      </c>
      <c r="AT589" s="33">
        <f>IF(LEFT(E589,1)*1=3,$W$55,$V$55)</f>
        <v>0</v>
      </c>
      <c r="AU589" s="31">
        <f>IF(MID(E589,3,1)*1=1,$Y$55,$X$55)</f>
        <v>1</v>
      </c>
      <c r="AV589" s="2">
        <f>IF(MID(E589,3,1)*1=2,$AA$55,$Z$55)</f>
        <v>0</v>
      </c>
      <c r="AW589" s="33">
        <f>IF(MID(E589,3,1)*1=3,$AC$55,$AB$55)</f>
        <v>1</v>
      </c>
      <c r="AX589" s="31">
        <f>IF(MID(E589,5,1)*1=1,$AE$55,$AD$55)</f>
        <v>1.5</v>
      </c>
      <c r="AY589" s="33">
        <f>IF(MID(E589,5,1)*1=2,$AG$55,$AF$55)</f>
        <v>1</v>
      </c>
      <c r="AZ589" s="2"/>
      <c r="BA589" s="101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</row>
    <row r="590" spans="1:71" ht="12" customHeight="1">
      <c r="A590" s="2"/>
      <c r="B590" s="107">
        <v>513</v>
      </c>
      <c r="C590" s="31">
        <v>10</v>
      </c>
      <c r="D590" s="111" t="s">
        <v>14</v>
      </c>
      <c r="E590" s="2" t="s">
        <v>144</v>
      </c>
      <c r="F590" s="2"/>
      <c r="G590" s="2"/>
      <c r="H590" s="33" t="s">
        <v>80</v>
      </c>
      <c r="I590" s="173">
        <f>M590/AE590</f>
        <v>554.78513859638815</v>
      </c>
      <c r="J590" s="174">
        <f>AH590/AE590</f>
        <v>23.695174714659018</v>
      </c>
      <c r="K590" s="207">
        <f>RANK(I590,$I$76:$I$977)</f>
        <v>515</v>
      </c>
      <c r="L590" s="208">
        <f>RANK(I590,$I$451:$I$866)</f>
        <v>140</v>
      </c>
      <c r="M590" s="173">
        <f>SUM(N590:R590)</f>
        <v>15382.618632152687</v>
      </c>
      <c r="N590" s="174">
        <f>T590*(1+((AG590+IF(F590="백어택",8,0))/100)*(AI590/100-1))</f>
        <v>2868.7757347820384</v>
      </c>
      <c r="O590" s="174">
        <f>U590*(1+((AG590+IF(F590="백어택",8,0))/100)*(AI590/100-1))</f>
        <v>2868.7757347820384</v>
      </c>
      <c r="P590" s="174">
        <f>V590*(1+((AG590+IF(F590="백어택",8,0))/100)*(AI590*IF(AX590=1,AW590,1)/100-1))</f>
        <v>3876.5851755313538</v>
      </c>
      <c r="Q590" s="174">
        <f>W590*(1+((AG590+IF(F590="백어택",8,0))/100)*(AI590*AW590/100-1))</f>
        <v>5768.4819870572574</v>
      </c>
      <c r="R590" s="175"/>
      <c r="S590" s="173">
        <f>SUM(T590:X590)</f>
        <v>12926.429066029268</v>
      </c>
      <c r="T590" s="174">
        <f>AL590*AY590*IF(F590="백어택",1.2,1)</f>
        <v>2410.7095760987809</v>
      </c>
      <c r="U590" s="174">
        <f>AM590*AY590*IF(F590="백어택",1.2,1)</f>
        <v>2410.7095760987809</v>
      </c>
      <c r="V590" s="174">
        <f>AN590*AY590*IF(F590="백어택",1.2,1)</f>
        <v>3257.5990140707318</v>
      </c>
      <c r="W590" s="174">
        <f>(T590+U590+V590)*IF(AX590=1,0,0.6)*IF(F590="백어택",1.2,1)</f>
        <v>4847.4108997609756</v>
      </c>
      <c r="X590" s="175"/>
      <c r="Y590" s="173">
        <f>SUM(Z590:AD590)</f>
        <v>25852.858132058536</v>
      </c>
      <c r="Z590" s="174">
        <f>T590*AI590/100</f>
        <v>4821.4191521975617</v>
      </c>
      <c r="AA590" s="174">
        <f>U590*AI590/100</f>
        <v>4821.4191521975617</v>
      </c>
      <c r="AB590" s="174">
        <f>V590*AI590*IF(AX590=1,AW590,1)/100</f>
        <v>6515.1980281414635</v>
      </c>
      <c r="AC590" s="174">
        <f>W590*AI590*AW590/100</f>
        <v>9694.8217995219511</v>
      </c>
      <c r="AD590" s="175"/>
      <c r="AE590" s="173">
        <f>AO590*(1-$D$20/100)*(1-$D$17/100)</f>
        <v>27.727164197424003</v>
      </c>
      <c r="AF590" s="174">
        <f>AP590</f>
        <v>36</v>
      </c>
      <c r="AG590" s="174">
        <f>IF($D$57+AU590&gt;100,100,$D$57+AU590)</f>
        <v>19.001300000000001</v>
      </c>
      <c r="AH590" s="174">
        <f>AQ590*AS590</f>
        <v>657</v>
      </c>
      <c r="AI590" s="174">
        <f>$D$58+IF(H590="근접",AR590,0)+IF(AY590=1,0,50)</f>
        <v>200</v>
      </c>
      <c r="AJ590" s="174">
        <f>10/3</f>
        <v>3.3333333333333335</v>
      </c>
      <c r="AK590" s="174">
        <f>SUM(AL590:AN590)</f>
        <v>8079.0181662682935</v>
      </c>
      <c r="AL590" s="174">
        <f>(IF(H590="근접",$D$61*(VLOOKUP(C590,$B$36:$AG$39,19,FALSE)+VLOOKUP(C590,$B$40:$AG$43,19,FALSE)*$D$54),$D$60*(VLOOKUP(C590,$B$36:$AG$39,19,FALSE)+VLOOKUP(C590,$B$40:$AG$43,19,FALSE)*$D$54)))*$D$59/100</f>
        <v>2410.7095760987809</v>
      </c>
      <c r="AM590" s="174">
        <f>(IF(H590="근접",$D$61*(VLOOKUP(C590,$B$36:$AG$39,20,FALSE)+VLOOKUP(C590,$B$40:$AG$43,20,FALSE)*$D$54),$D$60*(VLOOKUP(C590,$B$36:$AG$39,20,FALSE)+VLOOKUP(C590,$B$40:$AG$43,20,FALSE)*$D$54)))*$D$59/100</f>
        <v>2410.7095760987809</v>
      </c>
      <c r="AN590" s="174">
        <f>(IF(H590="근접",$D$61*(VLOOKUP(C590,$B$36:$AG$39,21,FALSE)+VLOOKUP(C590,$B$40:$AG$43,21,FALSE)*$D$54),$D$60*(VLOOKUP(C590,$B$36:$AG$39,21,FALSE)+VLOOKUP(C590,$B$40:$AG$43,21,FALSE)*$D$54)))*$D$59/100</f>
        <v>3257.5990140707318</v>
      </c>
      <c r="AO590" s="176">
        <v>36</v>
      </c>
      <c r="AP590" s="174">
        <v>36</v>
      </c>
      <c r="AQ590" s="175">
        <f>VLOOKUP(C590,$B$45:$AA$48,19,FALSE)</f>
        <v>657</v>
      </c>
      <c r="AR590" s="31">
        <f>IF(LEFT(E590,1)*1=1,$S$64,$R$64)</f>
        <v>0</v>
      </c>
      <c r="AS590" s="2">
        <f>IF(LEFT(E590,1)*1=2,$U$64,$T$64)</f>
        <v>1</v>
      </c>
      <c r="AT590" s="33">
        <f>IF(LEFT(E590,1)*1=3,$W$64,$V$64)</f>
        <v>0</v>
      </c>
      <c r="AU590" s="31">
        <f>IF(MID(E590,3,1)*1=1,$Y$64,$X$64)</f>
        <v>0</v>
      </c>
      <c r="AV590" s="2">
        <f>IF(MID(E590,3,1)*1=2,$AA$64,$Z$64)</f>
        <v>0</v>
      </c>
      <c r="AW590" s="33">
        <f>IF(MID(E590,3,1)*1=3,$AC$64,$AB$64)</f>
        <v>1</v>
      </c>
      <c r="AX590" s="31">
        <f>IF(MID(E590,5,1)*1=1,$AE$64,$AD$64)</f>
        <v>0.6</v>
      </c>
      <c r="AY590" s="33">
        <f>IF(MID(E590,5,1)*1=2,$AG$64,$AF$64)</f>
        <v>1</v>
      </c>
      <c r="AZ590" s="2"/>
      <c r="BA590" s="101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</row>
    <row r="591" spans="1:71" ht="12" customHeight="1">
      <c r="A591" s="2"/>
      <c r="B591" s="107">
        <v>516</v>
      </c>
      <c r="C591" s="31">
        <v>10</v>
      </c>
      <c r="D591" s="111" t="s">
        <v>14</v>
      </c>
      <c r="E591" s="2" t="s">
        <v>150</v>
      </c>
      <c r="F591" s="2"/>
      <c r="G591" s="2"/>
      <c r="H591" s="33" t="s">
        <v>80</v>
      </c>
      <c r="I591" s="173">
        <f>M591/AE591</f>
        <v>554.78513859638815</v>
      </c>
      <c r="J591" s="174">
        <f>AH591/AE591</f>
        <v>23.695174714659018</v>
      </c>
      <c r="K591" s="207">
        <f>RANK(I591,$I$76:$I$977)</f>
        <v>515</v>
      </c>
      <c r="L591" s="208">
        <f>RANK(I591,$I$451:$I$866)</f>
        <v>140</v>
      </c>
      <c r="M591" s="173">
        <f>SUM(N591:R591)</f>
        <v>15382.618632152687</v>
      </c>
      <c r="N591" s="174">
        <f>T591*(1+((AG591+IF(F591="백어택",8,0))/100)*(AI591/100-1))</f>
        <v>2868.7757347820384</v>
      </c>
      <c r="O591" s="174">
        <f>U591*(1+((AG591+IF(F591="백어택",8,0))/100)*(AI591/100-1))</f>
        <v>2868.7757347820384</v>
      </c>
      <c r="P591" s="174">
        <f>V591*(1+((AG591+IF(F591="백어택",8,0))/100)*(AI591*IF(AX591=1,AW591,1)/100-1))</f>
        <v>3876.5851755313538</v>
      </c>
      <c r="Q591" s="174">
        <f>W591*(1+((AG591+IF(F591="백어택",8,0))/100)*(AI591*AW591/100-1))</f>
        <v>5768.4819870572574</v>
      </c>
      <c r="R591" s="175"/>
      <c r="S591" s="173">
        <f>SUM(T591:X591)</f>
        <v>12926.429066029268</v>
      </c>
      <c r="T591" s="174">
        <f>AL591*AY591*IF(F591="백어택",1.2,1)</f>
        <v>2410.7095760987809</v>
      </c>
      <c r="U591" s="174">
        <f>AM591*AY591*IF(F591="백어택",1.2,1)</f>
        <v>2410.7095760987809</v>
      </c>
      <c r="V591" s="174">
        <f>AN591*AY591*IF(F591="백어택",1.2,1)</f>
        <v>3257.5990140707318</v>
      </c>
      <c r="W591" s="174">
        <f>(T591+U591+V591)*IF(AX591=1,0,0.6)*IF(F591="백어택",1.2,1)</f>
        <v>4847.4108997609756</v>
      </c>
      <c r="X591" s="175"/>
      <c r="Y591" s="173">
        <f>SUM(Z591:AD591)</f>
        <v>25852.858132058536</v>
      </c>
      <c r="Z591" s="174">
        <f>T591*AI591/100</f>
        <v>4821.4191521975617</v>
      </c>
      <c r="AA591" s="174">
        <f>U591*AI591/100</f>
        <v>4821.4191521975617</v>
      </c>
      <c r="AB591" s="174">
        <f>V591*AI591*IF(AX591=1,AW591,1)/100</f>
        <v>6515.1980281414635</v>
      </c>
      <c r="AC591" s="174">
        <f>W591*AI591*AW591/100</f>
        <v>9694.8217995219511</v>
      </c>
      <c r="AD591" s="175"/>
      <c r="AE591" s="173">
        <f>AO591*(1-$D$20/100)*(1-$D$17/100)</f>
        <v>27.727164197424003</v>
      </c>
      <c r="AF591" s="174">
        <f>AP591</f>
        <v>36</v>
      </c>
      <c r="AG591" s="174">
        <f>IF($D$57+AU591&gt;100,100,$D$57+AU591)</f>
        <v>19.001300000000001</v>
      </c>
      <c r="AH591" s="174">
        <f>AQ591*AS591</f>
        <v>657</v>
      </c>
      <c r="AI591" s="174">
        <f>$D$58+IF(H591="근접",AR591,0)+IF(AY591=1,0,50)</f>
        <v>200</v>
      </c>
      <c r="AJ591" s="174">
        <f>10/3</f>
        <v>3.3333333333333335</v>
      </c>
      <c r="AK591" s="174">
        <f>SUM(AL591:AN591)</f>
        <v>8079.0181662682935</v>
      </c>
      <c r="AL591" s="174">
        <f>(IF(H591="근접",$D$61*(VLOOKUP(C591,$B$36:$AG$39,19,FALSE)+VLOOKUP(C591,$B$40:$AG$43,19,FALSE)*$D$54),$D$60*(VLOOKUP(C591,$B$36:$AG$39,19,FALSE)+VLOOKUP(C591,$B$40:$AG$43,19,FALSE)*$D$54)))*$D$59/100</f>
        <v>2410.7095760987809</v>
      </c>
      <c r="AM591" s="174">
        <f>(IF(H591="근접",$D$61*(VLOOKUP(C591,$B$36:$AG$39,20,FALSE)+VLOOKUP(C591,$B$40:$AG$43,20,FALSE)*$D$54),$D$60*(VLOOKUP(C591,$B$36:$AG$39,20,FALSE)+VLOOKUP(C591,$B$40:$AG$43,20,FALSE)*$D$54)))*$D$59/100</f>
        <v>2410.7095760987809</v>
      </c>
      <c r="AN591" s="174">
        <f>(IF(H591="근접",$D$61*(VLOOKUP(C591,$B$36:$AG$39,21,FALSE)+VLOOKUP(C591,$B$40:$AG$43,21,FALSE)*$D$54),$D$60*(VLOOKUP(C591,$B$36:$AG$39,21,FALSE)+VLOOKUP(C591,$B$40:$AG$43,21,FALSE)*$D$54)))*$D$59/100</f>
        <v>3257.5990140707318</v>
      </c>
      <c r="AO591" s="176">
        <v>36</v>
      </c>
      <c r="AP591" s="174">
        <v>36</v>
      </c>
      <c r="AQ591" s="175">
        <f>VLOOKUP(C591,$B$45:$AA$48,19,FALSE)</f>
        <v>657</v>
      </c>
      <c r="AR591" s="31">
        <f>IF(LEFT(E591,1)*1=1,$S$64,$R$64)</f>
        <v>50</v>
      </c>
      <c r="AS591" s="2">
        <f>IF(LEFT(E591,1)*1=2,$U$64,$T$64)</f>
        <v>1</v>
      </c>
      <c r="AT591" s="33">
        <f>IF(LEFT(E591,1)*1=3,$W$64,$V$64)</f>
        <v>0</v>
      </c>
      <c r="AU591" s="31">
        <f>IF(MID(E591,3,1)*1=1,$Y$64,$X$64)</f>
        <v>0</v>
      </c>
      <c r="AV591" s="2">
        <f>IF(MID(E591,3,1)*1=2,$AA$64,$Z$64)</f>
        <v>0</v>
      </c>
      <c r="AW591" s="33">
        <f>IF(MID(E591,3,1)*1=3,$AC$64,$AB$64)</f>
        <v>1</v>
      </c>
      <c r="AX591" s="31">
        <f>IF(MID(E591,5,1)*1=1,$AE$64,$AD$64)</f>
        <v>0.6</v>
      </c>
      <c r="AY591" s="33">
        <f>IF(MID(E591,5,1)*1=2,$AG$64,$AF$64)</f>
        <v>1</v>
      </c>
      <c r="AZ591" s="2"/>
      <c r="BA591" s="101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</row>
    <row r="592" spans="1:71" ht="12" customHeight="1">
      <c r="A592" s="2"/>
      <c r="B592" s="107">
        <v>519</v>
      </c>
      <c r="C592" s="31">
        <v>10</v>
      </c>
      <c r="D592" s="111" t="s">
        <v>14</v>
      </c>
      <c r="E592" s="2" t="s">
        <v>161</v>
      </c>
      <c r="F592" s="2"/>
      <c r="G592" s="2"/>
      <c r="H592" s="33" t="s">
        <v>80</v>
      </c>
      <c r="I592" s="173">
        <f>M592/AE592</f>
        <v>554.78513859638815</v>
      </c>
      <c r="J592" s="174">
        <f>AH592/AE592</f>
        <v>11.847587357329509</v>
      </c>
      <c r="K592" s="207">
        <f>RANK(I592,$I$76:$I$977)</f>
        <v>515</v>
      </c>
      <c r="L592" s="208">
        <f>RANK(I592,$I$451:$I$866)</f>
        <v>140</v>
      </c>
      <c r="M592" s="173">
        <f>SUM(N592:R592)</f>
        <v>15382.618632152687</v>
      </c>
      <c r="N592" s="174">
        <f>T592*(1+((AG592+IF(F592="백어택",8,0))/100)*(AI592/100-1))</f>
        <v>2868.7757347820384</v>
      </c>
      <c r="O592" s="174">
        <f>U592*(1+((AG592+IF(F592="백어택",8,0))/100)*(AI592/100-1))</f>
        <v>2868.7757347820384</v>
      </c>
      <c r="P592" s="174">
        <f>V592*(1+((AG592+IF(F592="백어택",8,0))/100)*(AI592*IF(AX592=1,AW592,1)/100-1))</f>
        <v>3876.5851755313538</v>
      </c>
      <c r="Q592" s="174">
        <f>W592*(1+((AG592+IF(F592="백어택",8,0))/100)*(AI592*AW592/100-1))</f>
        <v>5768.4819870572574</v>
      </c>
      <c r="R592" s="175"/>
      <c r="S592" s="173">
        <f>SUM(T592:X592)</f>
        <v>12926.429066029268</v>
      </c>
      <c r="T592" s="174">
        <f>AL592*AY592*IF(F592="백어택",1.2,1)</f>
        <v>2410.7095760987809</v>
      </c>
      <c r="U592" s="174">
        <f>AM592*AY592*IF(F592="백어택",1.2,1)</f>
        <v>2410.7095760987809</v>
      </c>
      <c r="V592" s="174">
        <f>AN592*AY592*IF(F592="백어택",1.2,1)</f>
        <v>3257.5990140707318</v>
      </c>
      <c r="W592" s="174">
        <f>(T592+U592+V592)*IF(AX592=1,0,0.6)*IF(F592="백어택",1.2,1)</f>
        <v>4847.4108997609756</v>
      </c>
      <c r="X592" s="175"/>
      <c r="Y592" s="173">
        <f>SUM(Z592:AD592)</f>
        <v>25852.858132058536</v>
      </c>
      <c r="Z592" s="174">
        <f>T592*AI592/100</f>
        <v>4821.4191521975617</v>
      </c>
      <c r="AA592" s="174">
        <f>U592*AI592/100</f>
        <v>4821.4191521975617</v>
      </c>
      <c r="AB592" s="174">
        <f>V592*AI592*IF(AX592=1,AW592,1)/100</f>
        <v>6515.1980281414635</v>
      </c>
      <c r="AC592" s="174">
        <f>W592*AI592*AW592/100</f>
        <v>9694.8217995219511</v>
      </c>
      <c r="AD592" s="175"/>
      <c r="AE592" s="173">
        <f>AO592*(1-$D$20/100)*(1-$D$17/100)</f>
        <v>27.727164197424003</v>
      </c>
      <c r="AF592" s="174">
        <f>AP592</f>
        <v>36</v>
      </c>
      <c r="AG592" s="174">
        <f>IF($D$57+AU592&gt;100,100,$D$57+AU592)</f>
        <v>19.001300000000001</v>
      </c>
      <c r="AH592" s="174">
        <f>AQ592*AS592</f>
        <v>328.5</v>
      </c>
      <c r="AI592" s="174">
        <f>$D$58+IF(H592="근접",AR592,0)+IF(AY592=1,0,50)</f>
        <v>200</v>
      </c>
      <c r="AJ592" s="174">
        <f>10/3</f>
        <v>3.3333333333333335</v>
      </c>
      <c r="AK592" s="174">
        <f>SUM(AL592:AN592)</f>
        <v>8079.0181662682935</v>
      </c>
      <c r="AL592" s="174">
        <f>(IF(H592="근접",$D$61*(VLOOKUP(C592,$B$36:$AG$39,19,FALSE)+VLOOKUP(C592,$B$40:$AG$43,19,FALSE)*$D$54),$D$60*(VLOOKUP(C592,$B$36:$AG$39,19,FALSE)+VLOOKUP(C592,$B$40:$AG$43,19,FALSE)*$D$54)))*$D$59/100</f>
        <v>2410.7095760987809</v>
      </c>
      <c r="AM592" s="174">
        <f>(IF(H592="근접",$D$61*(VLOOKUP(C592,$B$36:$AG$39,20,FALSE)+VLOOKUP(C592,$B$40:$AG$43,20,FALSE)*$D$54),$D$60*(VLOOKUP(C592,$B$36:$AG$39,20,FALSE)+VLOOKUP(C592,$B$40:$AG$43,20,FALSE)*$D$54)))*$D$59/100</f>
        <v>2410.7095760987809</v>
      </c>
      <c r="AN592" s="174">
        <f>(IF(H592="근접",$D$61*(VLOOKUP(C592,$B$36:$AG$39,21,FALSE)+VLOOKUP(C592,$B$40:$AG$43,21,FALSE)*$D$54),$D$60*(VLOOKUP(C592,$B$36:$AG$39,21,FALSE)+VLOOKUP(C592,$B$40:$AG$43,21,FALSE)*$D$54)))*$D$59/100</f>
        <v>3257.5990140707318</v>
      </c>
      <c r="AO592" s="176">
        <v>36</v>
      </c>
      <c r="AP592" s="174">
        <v>36</v>
      </c>
      <c r="AQ592" s="175">
        <f>VLOOKUP(C592,$B$45:$AA$48,19,FALSE)</f>
        <v>657</v>
      </c>
      <c r="AR592" s="31">
        <f>IF(LEFT(E592,1)*1=1,$S$64,$R$64)</f>
        <v>0</v>
      </c>
      <c r="AS592" s="2">
        <f>IF(LEFT(E592,1)*1=2,$U$64,$T$64)</f>
        <v>0.5</v>
      </c>
      <c r="AT592" s="33">
        <f>IF(LEFT(E592,1)*1=3,$W$64,$V$64)</f>
        <v>0</v>
      </c>
      <c r="AU592" s="31">
        <f>IF(MID(E592,3,1)*1=1,$Y$64,$X$64)</f>
        <v>0</v>
      </c>
      <c r="AV592" s="2">
        <f>IF(MID(E592,3,1)*1=2,$AA$64,$Z$64)</f>
        <v>0</v>
      </c>
      <c r="AW592" s="33">
        <f>IF(MID(E592,3,1)*1=3,$AC$64,$AB$64)</f>
        <v>1</v>
      </c>
      <c r="AX592" s="31">
        <f>IF(MID(E592,5,1)*1=1,$AE$64,$AD$64)</f>
        <v>0.6</v>
      </c>
      <c r="AY592" s="33">
        <f>IF(MID(E592,5,1)*1=2,$AG$64,$AF$64)</f>
        <v>1</v>
      </c>
      <c r="AZ592" s="2"/>
      <c r="BA592" s="101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</row>
    <row r="593" spans="1:71" ht="12" customHeight="1">
      <c r="A593" s="2"/>
      <c r="B593" s="107">
        <v>474</v>
      </c>
      <c r="C593" s="31">
        <v>7</v>
      </c>
      <c r="D593" s="111" t="s">
        <v>11</v>
      </c>
      <c r="E593" s="2" t="s">
        <v>148</v>
      </c>
      <c r="F593" s="2"/>
      <c r="G593" s="2"/>
      <c r="H593" s="33">
        <f>IF(AX593=1,5,1)</f>
        <v>5</v>
      </c>
      <c r="I593" s="173">
        <f>M593/AE593</f>
        <v>554.2288315554872</v>
      </c>
      <c r="J593" s="174">
        <f>AH593/AE593</f>
        <v>22.754925378555235</v>
      </c>
      <c r="K593" s="207">
        <f>RANK(I593,$I$76:$I$977)</f>
        <v>518</v>
      </c>
      <c r="L593" s="208">
        <f>RANK(I593,$I$451:$I$866)</f>
        <v>143</v>
      </c>
      <c r="M593" s="173">
        <f>SUM(N593:R593)</f>
        <v>10034.85068846043</v>
      </c>
      <c r="N593" s="174">
        <f>T593*(1+(AG593/100)*(AI593/100-1))</f>
        <v>9292.427276372704</v>
      </c>
      <c r="O593" s="174">
        <f>U593*(1+(AG593/100)*(AI593/100-1))</f>
        <v>742.42341208772552</v>
      </c>
      <c r="P593" s="174"/>
      <c r="Q593" s="174"/>
      <c r="R593" s="175"/>
      <c r="S593" s="173">
        <f>T593</f>
        <v>7808.677112243904</v>
      </c>
      <c r="T593" s="174">
        <f>H593*AL593*AX593</f>
        <v>7808.677112243904</v>
      </c>
      <c r="U593" s="174">
        <f>AM593*AV593</f>
        <v>623.87840476341478</v>
      </c>
      <c r="V593" s="174"/>
      <c r="W593" s="174"/>
      <c r="X593" s="175"/>
      <c r="Y593" s="173">
        <f>SUM(Z593:AD593)</f>
        <v>16865.111034014637</v>
      </c>
      <c r="Z593" s="174">
        <f>T593*$D$58/100</f>
        <v>15617.354224487808</v>
      </c>
      <c r="AA593" s="174">
        <f>U593*$D$58/100</f>
        <v>1247.7568095268296</v>
      </c>
      <c r="AB593" s="174"/>
      <c r="AC593" s="174"/>
      <c r="AD593" s="175"/>
      <c r="AE593" s="173">
        <f>AO593*(1-$D$20/100)*(1-$D$17/100)-AR593</f>
        <v>18.105970164519999</v>
      </c>
      <c r="AF593" s="174">
        <f>AP593</f>
        <v>36</v>
      </c>
      <c r="AG593" s="174">
        <f>IF($D$57+AS593&gt;100,100,$D$57+AS593)</f>
        <v>19.001300000000001</v>
      </c>
      <c r="AH593" s="174">
        <f>AQ593</f>
        <v>412</v>
      </c>
      <c r="AI593" s="174">
        <f>$D$58</f>
        <v>200</v>
      </c>
      <c r="AJ593" s="174">
        <f>10/IF(AX593=1,7,6)</f>
        <v>1.4285714285714286</v>
      </c>
      <c r="AK593" s="174">
        <f>SUM(AL593:AN593)</f>
        <v>2185.6138272121957</v>
      </c>
      <c r="AL593" s="174">
        <f>(VLOOKUP(C593,$B$36:$AG$39,14,FALSE)+VLOOKUP(C593,$B$40:$AG$43,14,FALSE)*$D$54)*$D$59/100</f>
        <v>1561.7354224487808</v>
      </c>
      <c r="AM593" s="174">
        <f>(VLOOKUP(C593,$B$36:$AG$39,15,FALSE)+VLOOKUP(C593,$B$40:$AG$43,15,FALSE)*$D$54)*$D$59/100</f>
        <v>623.87840476341478</v>
      </c>
      <c r="AN593" s="174"/>
      <c r="AO593" s="176">
        <v>30</v>
      </c>
      <c r="AP593" s="174">
        <v>36</v>
      </c>
      <c r="AQ593" s="175">
        <f>VLOOKUP(C593,$B$45:$AA$48,14,FALSE)</f>
        <v>412</v>
      </c>
      <c r="AR593" s="31">
        <f>IF(LEFT(E593,1)*1=1,$S$61,$R$61)</f>
        <v>5</v>
      </c>
      <c r="AS593" s="2">
        <f>IF(LEFT(E593,1)*1=2,$U$61,$T$61)</f>
        <v>0</v>
      </c>
      <c r="AT593" s="33">
        <f>IF(LEFT(E593,1)*1=3,$W$61,$V$61)</f>
        <v>0</v>
      </c>
      <c r="AU593" s="31">
        <f>IF(MID(E593,3,1)*1=1,$Y$61,$X$61)</f>
        <v>0</v>
      </c>
      <c r="AV593" s="2">
        <f>IF(MID(E593,3,1)*1=2,$AA$61,$Z$61)</f>
        <v>1</v>
      </c>
      <c r="AW593" s="33">
        <f>IF(MID(E593,3,1)*1=3,$AC$61,$AB$61)</f>
        <v>0</v>
      </c>
      <c r="AX593" s="31">
        <f>IF(MID(E593,5,1)*1=1,$AE$61,$AD$61)</f>
        <v>1</v>
      </c>
      <c r="AY593" s="33">
        <f>IF(MID(E593,5,1)*1=2,$AG$61,$AF$61)</f>
        <v>0</v>
      </c>
      <c r="AZ593" s="2"/>
      <c r="BA593" s="101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</row>
    <row r="594" spans="1:71" ht="12" customHeight="1">
      <c r="A594" s="2"/>
      <c r="B594" s="107">
        <v>4</v>
      </c>
      <c r="C594" s="31">
        <v>10</v>
      </c>
      <c r="D594" s="106" t="s">
        <v>2</v>
      </c>
      <c r="E594" s="2" t="s">
        <v>79</v>
      </c>
      <c r="F594" s="2"/>
      <c r="G594" s="2"/>
      <c r="H594" s="33"/>
      <c r="I594" s="173">
        <f>M594/AE594</f>
        <v>554.04412339207465</v>
      </c>
      <c r="J594" s="174">
        <f>AH594/AE594</f>
        <v>39.679447364138717</v>
      </c>
      <c r="K594" s="207">
        <f>RANK(I594,$I$76:$I$977)</f>
        <v>519</v>
      </c>
      <c r="L594" s="208" t="e">
        <f>RANK(I594,$I$76:$I$450)</f>
        <v>#N/A</v>
      </c>
      <c r="M594" s="173">
        <f>SUM(N594:R594)</f>
        <v>3867.750998929163</v>
      </c>
      <c r="N594" s="174">
        <f>T594*(1+((AG594+IF(F594="백어택",8,0))/100)*((AI594/100-1)))</f>
        <v>3867.750998929163</v>
      </c>
      <c r="O594" s="174"/>
      <c r="P594" s="174"/>
      <c r="Q594" s="174"/>
      <c r="R594" s="175"/>
      <c r="S594" s="173">
        <f>SUM(T594:X594)</f>
        <v>2929.2657062865856</v>
      </c>
      <c r="T594" s="174">
        <f>AL594*AV594*AW594*AY594</f>
        <v>2929.2657062865856</v>
      </c>
      <c r="U594" s="174"/>
      <c r="V594" s="174"/>
      <c r="W594" s="174"/>
      <c r="X594" s="175"/>
      <c r="Y594" s="173">
        <f>SUM(Z594:AD594)</f>
        <v>5858.5314125731711</v>
      </c>
      <c r="Z594" s="174">
        <f>T594*$D$58/100</f>
        <v>5858.5314125731711</v>
      </c>
      <c r="AA594" s="174"/>
      <c r="AB594" s="174"/>
      <c r="AC594" s="174"/>
      <c r="AD594" s="175"/>
      <c r="AE594" s="173">
        <f>AO594*(1-$D$17/100)-AS594</f>
        <v>6.980944</v>
      </c>
      <c r="AF594" s="174"/>
      <c r="AG594" s="174">
        <f>IF($D$57+AT594&gt;100,100,$D$57+AT594)</f>
        <v>19.001300000000001</v>
      </c>
      <c r="AH594" s="174">
        <f>AQ594</f>
        <v>277</v>
      </c>
      <c r="AI594" s="174">
        <f>$D$58+$D$19</f>
        <v>268.61079999999998</v>
      </c>
      <c r="AJ594" s="174">
        <f>10*AY594/12</f>
        <v>0.83333333333333337</v>
      </c>
      <c r="AK594" s="174">
        <f>SUM(AL594:AN594)</f>
        <v>2929.2657062865856</v>
      </c>
      <c r="AL594" s="174">
        <f>(VLOOKUP(C594,$B$36:$AA$39,2,FALSE)+VLOOKUP(C594,$B$40:$AA$43,2,FALSE)*$D$54)*$D$59/100</f>
        <v>2929.2657062865856</v>
      </c>
      <c r="AM594" s="174"/>
      <c r="AN594" s="174"/>
      <c r="AO594" s="176">
        <v>8</v>
      </c>
      <c r="AP594" s="174">
        <v>15</v>
      </c>
      <c r="AQ594" s="175">
        <f>VLOOKUP(C594,$B$45:$AA$48,2,FALSE)</f>
        <v>277</v>
      </c>
      <c r="AR594" s="31">
        <f>IF(LEFT(E594,1)*1=1,$S$52,$R$52)</f>
        <v>0</v>
      </c>
      <c r="AS594" s="2">
        <f>IF(LEFT(E594,1)*1=2,$U$52,$T$52)</f>
        <v>1</v>
      </c>
      <c r="AT594" s="33">
        <f>IF(LEFT(E594,1)*1=3,$W$52,$V$52)</f>
        <v>0</v>
      </c>
      <c r="AU594" s="31">
        <f>IF(MID(E594,3,1)*1=1,$Y$52,$X$52)</f>
        <v>0</v>
      </c>
      <c r="AV594" s="2">
        <f>IF(MID(E594,3,1)*1=2,$AA$52,$Z$52)</f>
        <v>1</v>
      </c>
      <c r="AW594" s="33">
        <f>IF(MID(E594,3,1)*1=3,$AC$52,$AB$52)</f>
        <v>1</v>
      </c>
      <c r="AX594" s="31">
        <f>IF(MID(E594,5,1)*1=1,$AE$52,$AD$52)</f>
        <v>0</v>
      </c>
      <c r="AY594" s="33">
        <f>IF(MID(E594,5,1)*1=2,$AG$52,$AF$52)</f>
        <v>1</v>
      </c>
      <c r="AZ594" s="2"/>
      <c r="BA594" s="101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</row>
    <row r="595" spans="1:71" ht="12" customHeight="1">
      <c r="A595" s="2"/>
      <c r="B595" s="107">
        <v>13</v>
      </c>
      <c r="C595" s="31">
        <v>10</v>
      </c>
      <c r="D595" s="106" t="s">
        <v>2</v>
      </c>
      <c r="E595" s="2" t="s">
        <v>99</v>
      </c>
      <c r="F595" s="2"/>
      <c r="G595" s="2"/>
      <c r="H595" s="33"/>
      <c r="I595" s="173">
        <f>M595/AE595</f>
        <v>554.04412339207465</v>
      </c>
      <c r="J595" s="174">
        <f>AH595/AE595</f>
        <v>39.679447364138717</v>
      </c>
      <c r="K595" s="207">
        <f>RANK(I595,$I$76:$I$977)</f>
        <v>519</v>
      </c>
      <c r="L595" s="208" t="e">
        <f>RANK(I595,$I$76:$I$450)</f>
        <v>#N/A</v>
      </c>
      <c r="M595" s="173">
        <f>SUM(N595:R595)</f>
        <v>3867.750998929163</v>
      </c>
      <c r="N595" s="174">
        <f>T595*(1+((AG595+IF(F595="백어택",8,0))/100)*((AI595/100-1)))</f>
        <v>3867.750998929163</v>
      </c>
      <c r="O595" s="174"/>
      <c r="P595" s="174"/>
      <c r="Q595" s="174"/>
      <c r="R595" s="175"/>
      <c r="S595" s="173">
        <f>SUM(T595:X595)</f>
        <v>2929.2657062865856</v>
      </c>
      <c r="T595" s="174">
        <f>AL595*AV595*AW595*AY595</f>
        <v>2929.2657062865856</v>
      </c>
      <c r="U595" s="174"/>
      <c r="V595" s="174"/>
      <c r="W595" s="174"/>
      <c r="X595" s="175"/>
      <c r="Y595" s="173">
        <f>SUM(Z595:AD595)</f>
        <v>5858.5314125731711</v>
      </c>
      <c r="Z595" s="174">
        <f>T595*$D$58/100</f>
        <v>5858.5314125731711</v>
      </c>
      <c r="AA595" s="174"/>
      <c r="AB595" s="174"/>
      <c r="AC595" s="174"/>
      <c r="AD595" s="175"/>
      <c r="AE595" s="173">
        <f>AO595*(1-$D$17/100)-AS595</f>
        <v>6.980944</v>
      </c>
      <c r="AF595" s="174"/>
      <c r="AG595" s="174">
        <f>IF($D$57+AT595&gt;100,100,$D$57+AT595)</f>
        <v>19.001300000000001</v>
      </c>
      <c r="AH595" s="174">
        <f>AQ595</f>
        <v>277</v>
      </c>
      <c r="AI595" s="174">
        <f>$D$58+$D$19</f>
        <v>268.61079999999998</v>
      </c>
      <c r="AJ595" s="174">
        <f>10*AY595/12</f>
        <v>0.83333333333333337</v>
      </c>
      <c r="AK595" s="174">
        <f>SUM(AL595:AN595)</f>
        <v>2929.2657062865856</v>
      </c>
      <c r="AL595" s="174">
        <f>(VLOOKUP(C595,$B$36:$AA$39,2,FALSE)+VLOOKUP(C595,$B$40:$AA$43,2,FALSE)*$D$54)*$D$59/100</f>
        <v>2929.2657062865856</v>
      </c>
      <c r="AM595" s="174"/>
      <c r="AN595" s="174"/>
      <c r="AO595" s="176">
        <v>8</v>
      </c>
      <c r="AP595" s="174">
        <v>15</v>
      </c>
      <c r="AQ595" s="175">
        <f>VLOOKUP(C595,$B$45:$AA$48,2,FALSE)</f>
        <v>277</v>
      </c>
      <c r="AR595" s="31">
        <f>IF(LEFT(E595,1)*1=1,$S$52,$R$52)</f>
        <v>0</v>
      </c>
      <c r="AS595" s="2">
        <f>IF(LEFT(E595,1)*1=2,$U$52,$T$52)</f>
        <v>1</v>
      </c>
      <c r="AT595" s="33">
        <f>IF(LEFT(E595,1)*1=3,$W$52,$V$52)</f>
        <v>0</v>
      </c>
      <c r="AU595" s="31">
        <f>IF(MID(E595,3,1)*1=1,$Y$52,$X$52)</f>
        <v>0</v>
      </c>
      <c r="AV595" s="2">
        <f>IF(MID(E595,3,1)*1=2,$AA$52,$Z$52)</f>
        <v>1</v>
      </c>
      <c r="AW595" s="33">
        <f>IF(MID(E595,3,1)*1=3,$AC$52,$AB$52)</f>
        <v>1</v>
      </c>
      <c r="AX595" s="31">
        <f>IF(MID(E595,5,1)*1=1,$AE$52,$AD$52)</f>
        <v>0</v>
      </c>
      <c r="AY595" s="33">
        <f>IF(MID(E595,5,1)*1=2,$AG$52,$AF$52)</f>
        <v>1</v>
      </c>
      <c r="AZ595" s="2"/>
      <c r="BA595" s="101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</row>
    <row r="596" spans="1:71" ht="12" customHeight="1">
      <c r="A596" s="2"/>
      <c r="B596" s="107">
        <v>467</v>
      </c>
      <c r="C596" s="31">
        <v>10</v>
      </c>
      <c r="D596" s="111" t="s">
        <v>11</v>
      </c>
      <c r="E596" s="2" t="s">
        <v>140</v>
      </c>
      <c r="F596" s="2"/>
      <c r="G596" s="2"/>
      <c r="H596" s="33">
        <f>IF(AX596=1,5,1)</f>
        <v>1</v>
      </c>
      <c r="I596" s="173">
        <f>M596/AE596</f>
        <v>553.97537479397056</v>
      </c>
      <c r="J596" s="174">
        <f>AH596/AE596</f>
        <v>25.621083892380163</v>
      </c>
      <c r="K596" s="207">
        <f>RANK(I596,$I$76:$I$977)</f>
        <v>521</v>
      </c>
      <c r="L596" s="208">
        <f>RANK(I596,$I$451:$I$866)</f>
        <v>146</v>
      </c>
      <c r="M596" s="173">
        <f>SUM(N596:R596)</f>
        <v>12800.138481868267</v>
      </c>
      <c r="N596" s="174">
        <f>T596*(1+(AG596/100)*(AI596/100-1))</f>
        <v>11638.605014525428</v>
      </c>
      <c r="O596" s="174">
        <f>U596*(1+(AG596/100)*(AI596/100-1))</f>
        <v>1161.5334673428379</v>
      </c>
      <c r="P596" s="174"/>
      <c r="Q596" s="174"/>
      <c r="R596" s="175"/>
      <c r="S596" s="173">
        <f>T596</f>
        <v>9780.2335054536616</v>
      </c>
      <c r="T596" s="174">
        <f>H596*AL596*AX596</f>
        <v>9780.2335054536616</v>
      </c>
      <c r="U596" s="174">
        <f>AM596*AV596</f>
        <v>976.06788105914632</v>
      </c>
      <c r="V596" s="174"/>
      <c r="W596" s="174"/>
      <c r="X596" s="175"/>
      <c r="Y596" s="173">
        <f>SUM(Z596:AD596)</f>
        <v>21512.602773025617</v>
      </c>
      <c r="Z596" s="174">
        <f>T596*$D$58/100</f>
        <v>19560.467010907323</v>
      </c>
      <c r="AA596" s="174">
        <f>U596*$D$58/100</f>
        <v>1952.1357621182926</v>
      </c>
      <c r="AB596" s="174"/>
      <c r="AC596" s="174"/>
      <c r="AD596" s="175"/>
      <c r="AE596" s="173">
        <f>AO596*(1-$D$20/100)*(1-$D$17/100)-AR596</f>
        <v>23.105970164519999</v>
      </c>
      <c r="AF596" s="174">
        <f>AP596</f>
        <v>36</v>
      </c>
      <c r="AG596" s="174">
        <f>IF($D$57+AS596&gt;100,100,$D$57+AS596)</f>
        <v>19.001300000000001</v>
      </c>
      <c r="AH596" s="174">
        <f>AQ596</f>
        <v>592</v>
      </c>
      <c r="AI596" s="174">
        <f>$D$58</f>
        <v>200</v>
      </c>
      <c r="AJ596" s="174">
        <f>10/IF(AX596=1,7,6)</f>
        <v>1.6666666666666667</v>
      </c>
      <c r="AK596" s="174">
        <f>SUM(AL596:AN596)</f>
        <v>2280.7508382817077</v>
      </c>
      <c r="AL596" s="174">
        <f>(VLOOKUP(C596,$B$36:$AG$39,14,FALSE)+VLOOKUP(C596,$B$40:$AG$43,14,FALSE)*$D$54)*$D$59/100</f>
        <v>1630.0389175756102</v>
      </c>
      <c r="AM596" s="174">
        <f>(VLOOKUP(C596,$B$36:$AG$39,15,FALSE)+VLOOKUP(C596,$B$40:$AG$43,15,FALSE)*$D$54)*$D$59/100</f>
        <v>650.71192070609754</v>
      </c>
      <c r="AN596" s="174"/>
      <c r="AO596" s="176">
        <v>30</v>
      </c>
      <c r="AP596" s="174">
        <v>36</v>
      </c>
      <c r="AQ596" s="175">
        <f>VLOOKUP(C596,$B$45:$AA$48,14,FALSE)</f>
        <v>592</v>
      </c>
      <c r="AR596" s="31">
        <f>IF(LEFT(E596,1)*1=1,$S$61,$R$61)</f>
        <v>0</v>
      </c>
      <c r="AS596" s="2">
        <f>IF(LEFT(E596,1)*1=2,$U$61,$T$61)</f>
        <v>0</v>
      </c>
      <c r="AT596" s="33">
        <f>IF(LEFT(E596,1)*1=3,$W$61,$V$61)</f>
        <v>0</v>
      </c>
      <c r="AU596" s="31">
        <f>IF(MID(E596,3,1)*1=1,$Y$61,$X$61)</f>
        <v>0</v>
      </c>
      <c r="AV596" s="2">
        <f>IF(MID(E596,3,1)*1=2,$AA$61,$Z$61)</f>
        <v>1.5</v>
      </c>
      <c r="AW596" s="33">
        <f>IF(MID(E596,3,1)*1=3,$AC$61,$AB$61)</f>
        <v>0</v>
      </c>
      <c r="AX596" s="31">
        <f>IF(MID(E596,5,1)*1=1,$AE$61,$AD$61)</f>
        <v>6</v>
      </c>
      <c r="AY596" s="33">
        <f>IF(MID(E596,5,1)*1=2,$AG$61,$AF$61)</f>
        <v>0</v>
      </c>
      <c r="AZ596" s="2"/>
      <c r="BA596" s="101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</row>
    <row r="597" spans="1:71" ht="12" customHeight="1">
      <c r="A597" s="2"/>
      <c r="B597" s="107">
        <v>166</v>
      </c>
      <c r="C597" s="31">
        <v>10</v>
      </c>
      <c r="D597" s="106" t="s">
        <v>10</v>
      </c>
      <c r="E597" s="2" t="s">
        <v>139</v>
      </c>
      <c r="F597" s="2" t="s">
        <v>149</v>
      </c>
      <c r="G597" s="2"/>
      <c r="H597" s="33"/>
      <c r="I597" s="173">
        <f>M597/AE597</f>
        <v>553.7506975933486</v>
      </c>
      <c r="J597" s="174">
        <f>AH597/AE597</f>
        <v>25.811482952392598</v>
      </c>
      <c r="K597" s="207">
        <f>RANK(I597,$I$76:$I$977)</f>
        <v>522</v>
      </c>
      <c r="L597" s="208" t="e">
        <f>RANK(I597,$I$76:$I$450)</f>
        <v>#N/A</v>
      </c>
      <c r="M597" s="173">
        <f>SUM(N597:R597)</f>
        <v>8838.9066149069004</v>
      </c>
      <c r="N597" s="174">
        <f>T597*(1+((AG597+IF(F597="백어택",8,0))/100)*((AI597/100-1)))</f>
        <v>8838.9066149069004</v>
      </c>
      <c r="O597" s="174"/>
      <c r="P597" s="174"/>
      <c r="Q597" s="174"/>
      <c r="R597" s="175"/>
      <c r="S597" s="173">
        <f>SUM(T597:X597)</f>
        <v>6073.7183195634152</v>
      </c>
      <c r="T597" s="174">
        <f>AL597*AS597*AU597*AX597*IF(AY597=0,1,0.5)*IF(F597="백어택",1.2,1)</f>
        <v>6073.7183195634152</v>
      </c>
      <c r="U597" s="174"/>
      <c r="V597" s="174"/>
      <c r="W597" s="174"/>
      <c r="X597" s="175"/>
      <c r="Y597" s="173">
        <f>SUM(Z597:AD597)</f>
        <v>16314.663367925845</v>
      </c>
      <c r="Z597" s="174">
        <f>T597*AI597/100</f>
        <v>16314.663367925845</v>
      </c>
      <c r="AA597" s="174"/>
      <c r="AB597" s="174"/>
      <c r="AC597" s="174"/>
      <c r="AD597" s="175"/>
      <c r="AE597" s="173">
        <f>AO597*(1-$D$17/100)</f>
        <v>15.961888</v>
      </c>
      <c r="AF597" s="174">
        <f>AP597</f>
        <v>36</v>
      </c>
      <c r="AG597" s="174">
        <f>IF($D$57+AV597&gt;100,100,$D$57+AV597)</f>
        <v>19.001300000000001</v>
      </c>
      <c r="AH597" s="174">
        <f>AQ597</f>
        <v>412</v>
      </c>
      <c r="AI597" s="174">
        <f>$D$58+$D$19</f>
        <v>268.61079999999998</v>
      </c>
      <c r="AJ597" s="174">
        <f>10*AR597/(7-IF(AX597=1,0,3))</f>
        <v>1.4285714285714286</v>
      </c>
      <c r="AK597" s="174">
        <f>SUM(AL597:AN597)</f>
        <v>8098.2910927512203</v>
      </c>
      <c r="AL597" s="174">
        <f>(VLOOKUP(C597,$B$36:$AG$39,13,FALSE)+VLOOKUP(C597,$B$40:$AG$43,13,FALSE)*$D$54)*$D$59/100</f>
        <v>8098.2910927512203</v>
      </c>
      <c r="AM597" s="174"/>
      <c r="AN597" s="174"/>
      <c r="AO597" s="176">
        <v>16</v>
      </c>
      <c r="AP597" s="174">
        <v>36</v>
      </c>
      <c r="AQ597" s="175">
        <f>VLOOKUP(C597,$B$45:$AA$48,13,FALSE)</f>
        <v>412</v>
      </c>
      <c r="AR597" s="31">
        <f>IF(LEFT(E597,1)*1=1,$S$60,$R$60)</f>
        <v>1</v>
      </c>
      <c r="AS597" s="2">
        <f>IF(LEFT(E597,1)*1=2,$U$60,$T$60)</f>
        <v>1</v>
      </c>
      <c r="AT597" s="33">
        <f>IF(LEFT(E597,1)*1=3,$W$60,$V$60)</f>
        <v>0</v>
      </c>
      <c r="AU597" s="31">
        <f>IF(MID(E597,3,1)*1=1,$Y$60,$X$60)</f>
        <v>1.25</v>
      </c>
      <c r="AV597" s="2">
        <f>IF(MID(E597,3,1)*1=2,$AA$60,$Z$60)</f>
        <v>0</v>
      </c>
      <c r="AW597" s="33">
        <f>IF(MID(E597,3,1)*1=3,$AC$60,$AB$60)</f>
        <v>0</v>
      </c>
      <c r="AX597" s="31">
        <f>IF(MID(E597,5,1)*1=1,$AE$60,$AD$60)</f>
        <v>1</v>
      </c>
      <c r="AY597" s="33">
        <f>IF(MID(E597,5,1)*1=2,$AG$60,$AF$60)</f>
        <v>100</v>
      </c>
      <c r="AZ597" s="2"/>
      <c r="BA597" s="101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</row>
    <row r="598" spans="1:71" ht="12" customHeight="1">
      <c r="A598" s="2"/>
      <c r="B598" s="107">
        <v>169</v>
      </c>
      <c r="C598" s="31">
        <v>10</v>
      </c>
      <c r="D598" s="106" t="s">
        <v>10</v>
      </c>
      <c r="E598" s="2" t="s">
        <v>165</v>
      </c>
      <c r="F598" s="2" t="s">
        <v>149</v>
      </c>
      <c r="G598" s="2"/>
      <c r="H598" s="33"/>
      <c r="I598" s="173">
        <f>M598/AE598</f>
        <v>553.7506975933486</v>
      </c>
      <c r="J598" s="174">
        <f>AH598/AE598</f>
        <v>25.811482952392598</v>
      </c>
      <c r="K598" s="207">
        <f>RANK(I598,$I$76:$I$977)</f>
        <v>522</v>
      </c>
      <c r="L598" s="208" t="e">
        <f>RANK(I598,$I$76:$I$450)</f>
        <v>#N/A</v>
      </c>
      <c r="M598" s="173">
        <f>SUM(N598:R598)</f>
        <v>8838.9066149069004</v>
      </c>
      <c r="N598" s="174">
        <f>T598*(1+((AG598+IF(F598="백어택",8,0))/100)*((AI598/100-1)))</f>
        <v>8838.9066149069004</v>
      </c>
      <c r="O598" s="174"/>
      <c r="P598" s="174"/>
      <c r="Q598" s="174"/>
      <c r="R598" s="175"/>
      <c r="S598" s="173">
        <f>SUM(T598:X598)</f>
        <v>6073.7183195634152</v>
      </c>
      <c r="T598" s="174">
        <f>AL598*AS598*AU598*AX598*IF(AY598=0,1,0.5)*IF(F598="백어택",1.2,1)</f>
        <v>6073.7183195634152</v>
      </c>
      <c r="U598" s="174"/>
      <c r="V598" s="174"/>
      <c r="W598" s="174"/>
      <c r="X598" s="175"/>
      <c r="Y598" s="173">
        <f>SUM(Z598:AD598)</f>
        <v>16314.663367925845</v>
      </c>
      <c r="Z598" s="174">
        <f>T598*AI598/100</f>
        <v>16314.663367925845</v>
      </c>
      <c r="AA598" s="174"/>
      <c r="AB598" s="174"/>
      <c r="AC598" s="174"/>
      <c r="AD598" s="175"/>
      <c r="AE598" s="173">
        <f>AO598*(1-$D$17/100)</f>
        <v>15.961888</v>
      </c>
      <c r="AF598" s="174">
        <f>AP598</f>
        <v>36</v>
      </c>
      <c r="AG598" s="174">
        <f>IF($D$57+AV598&gt;100,100,$D$57+AV598)</f>
        <v>19.001300000000001</v>
      </c>
      <c r="AH598" s="174">
        <f>AQ598</f>
        <v>412</v>
      </c>
      <c r="AI598" s="174">
        <f>$D$58+$D$19</f>
        <v>268.61079999999998</v>
      </c>
      <c r="AJ598" s="174">
        <f>10*AR598/(7-IF(AX598=1,0,3))</f>
        <v>1.2142857142857142</v>
      </c>
      <c r="AK598" s="174">
        <f>SUM(AL598:AN598)</f>
        <v>8098.2910927512203</v>
      </c>
      <c r="AL598" s="174">
        <f>(VLOOKUP(C598,$B$36:$AG$39,13,FALSE)+VLOOKUP(C598,$B$40:$AG$43,13,FALSE)*$D$54)*$D$59/100</f>
        <v>8098.2910927512203</v>
      </c>
      <c r="AM598" s="174"/>
      <c r="AN598" s="174"/>
      <c r="AO598" s="176">
        <v>16</v>
      </c>
      <c r="AP598" s="174">
        <v>36</v>
      </c>
      <c r="AQ598" s="175">
        <f>VLOOKUP(C598,$B$45:$AA$48,13,FALSE)</f>
        <v>412</v>
      </c>
      <c r="AR598" s="31">
        <f>IF(LEFT(E598,1)*1=1,$S$60,$R$60)</f>
        <v>0.85</v>
      </c>
      <c r="AS598" s="2">
        <f>IF(LEFT(E598,1)*1=2,$U$60,$T$60)</f>
        <v>1</v>
      </c>
      <c r="AT598" s="33">
        <f>IF(LEFT(E598,1)*1=3,$W$60,$V$60)</f>
        <v>0</v>
      </c>
      <c r="AU598" s="31">
        <f>IF(MID(E598,3,1)*1=1,$Y$60,$X$60)</f>
        <v>1.25</v>
      </c>
      <c r="AV598" s="2">
        <f>IF(MID(E598,3,1)*1=2,$AA$60,$Z$60)</f>
        <v>0</v>
      </c>
      <c r="AW598" s="33">
        <f>IF(MID(E598,3,1)*1=3,$AC$60,$AB$60)</f>
        <v>0</v>
      </c>
      <c r="AX598" s="31">
        <f>IF(MID(E598,5,1)*1=1,$AE$60,$AD$60)</f>
        <v>1</v>
      </c>
      <c r="AY598" s="33">
        <f>IF(MID(E598,5,1)*1=2,$AG$60,$AF$60)</f>
        <v>100</v>
      </c>
      <c r="AZ598" s="2"/>
      <c r="BA598" s="101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</row>
    <row r="599" spans="1:71" ht="12" customHeight="1">
      <c r="A599" s="2"/>
      <c r="B599" s="107">
        <v>25</v>
      </c>
      <c r="C599" s="31">
        <v>7</v>
      </c>
      <c r="D599" s="106" t="s">
        <v>2</v>
      </c>
      <c r="E599" s="2" t="s">
        <v>87</v>
      </c>
      <c r="F599" s="2"/>
      <c r="G599" s="2"/>
      <c r="H599" s="33"/>
      <c r="I599" s="173">
        <f>M599/AE599</f>
        <v>552.68998332861474</v>
      </c>
      <c r="J599" s="174">
        <f>AH599/AE599</f>
        <v>24.18260296025132</v>
      </c>
      <c r="K599" s="207">
        <f>RANK(I599,$I$76:$I$977)</f>
        <v>524</v>
      </c>
      <c r="L599" s="208" t="e">
        <f>RANK(I599,$I$76:$I$450)</f>
        <v>#N/A</v>
      </c>
      <c r="M599" s="173">
        <f>SUM(N599:R599)</f>
        <v>4410.987806306608</v>
      </c>
      <c r="N599" s="174">
        <f>T599*(1+((AG599+IF(F599="백어택",8,0))/100)*((AI599/100-1)))</f>
        <v>4410.987806306608</v>
      </c>
      <c r="O599" s="174"/>
      <c r="P599" s="174"/>
      <c r="Q599" s="174"/>
      <c r="R599" s="175"/>
      <c r="S599" s="173">
        <f>SUM(T599:X599)</f>
        <v>2803.6557687341465</v>
      </c>
      <c r="T599" s="174">
        <f>AL599*AV599*AW599*AY599</f>
        <v>2803.6557687341465</v>
      </c>
      <c r="U599" s="174"/>
      <c r="V599" s="174"/>
      <c r="W599" s="174"/>
      <c r="X599" s="175"/>
      <c r="Y599" s="173">
        <f>SUM(Z599:AD599)</f>
        <v>5607.311537468293</v>
      </c>
      <c r="Z599" s="174">
        <f>T599*$D$58/100</f>
        <v>5607.311537468293</v>
      </c>
      <c r="AA599" s="174"/>
      <c r="AB599" s="174"/>
      <c r="AC599" s="174"/>
      <c r="AD599" s="175"/>
      <c r="AE599" s="173">
        <f>AO599*(1-$D$17/100)-AS599</f>
        <v>7.980944</v>
      </c>
      <c r="AF599" s="174"/>
      <c r="AG599" s="174">
        <f>IF($D$57+AT599&gt;100,100,$D$57+AT599)</f>
        <v>34.001300000000001</v>
      </c>
      <c r="AH599" s="174">
        <f>AQ599</f>
        <v>193</v>
      </c>
      <c r="AI599" s="174">
        <f>$D$58+$D$19</f>
        <v>268.61079999999998</v>
      </c>
      <c r="AJ599" s="174">
        <f>10*AY599/12</f>
        <v>0.83333333333333337</v>
      </c>
      <c r="AK599" s="174">
        <f>SUM(AL599:AN599)</f>
        <v>2803.6557687341465</v>
      </c>
      <c r="AL599" s="174">
        <f>(VLOOKUP(C599,$B$36:$AA$39,2,FALSE)+VLOOKUP(C599,$B$40:$AA$43,2,FALSE)*$D$54)*$D$59/100</f>
        <v>2803.6557687341465</v>
      </c>
      <c r="AM599" s="174"/>
      <c r="AN599" s="174"/>
      <c r="AO599" s="176">
        <v>8</v>
      </c>
      <c r="AP599" s="174">
        <v>15</v>
      </c>
      <c r="AQ599" s="175">
        <f>VLOOKUP(C599,$B$45:$AA$48,2,FALSE)</f>
        <v>193</v>
      </c>
      <c r="AR599" s="31">
        <f>IF(LEFT(E599,1)*1=1,$S$52,$R$52)</f>
        <v>0</v>
      </c>
      <c r="AS599" s="2">
        <f>IF(LEFT(E599,1)*1=2,$U$52,$T$52)</f>
        <v>0</v>
      </c>
      <c r="AT599" s="33">
        <f>IF(LEFT(E599,1)*1=3,$W$52,$V$52)</f>
        <v>15</v>
      </c>
      <c r="AU599" s="31">
        <f>IF(MID(E599,3,1)*1=1,$Y$52,$X$52)</f>
        <v>0</v>
      </c>
      <c r="AV599" s="2">
        <f>IF(MID(E599,3,1)*1=2,$AA$52,$Z$52)</f>
        <v>1</v>
      </c>
      <c r="AW599" s="33">
        <f>IF(MID(E599,3,1)*1=3,$AC$52,$AB$52)</f>
        <v>1</v>
      </c>
      <c r="AX599" s="31">
        <f>IF(MID(E599,5,1)*1=1,$AE$52,$AD$52)</f>
        <v>0</v>
      </c>
      <c r="AY599" s="33">
        <f>IF(MID(E599,5,1)*1=2,$AG$52,$AF$52)</f>
        <v>1</v>
      </c>
      <c r="AZ599" s="2"/>
      <c r="BA599" s="101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</row>
    <row r="600" spans="1:71" ht="12" customHeight="1">
      <c r="A600" s="2"/>
      <c r="B600" s="107">
        <v>367</v>
      </c>
      <c r="C600" s="31">
        <v>7</v>
      </c>
      <c r="D600" s="106" t="s">
        <v>20</v>
      </c>
      <c r="E600" s="2" t="s">
        <v>163</v>
      </c>
      <c r="F600" s="2"/>
      <c r="G600" s="2"/>
      <c r="H600" s="33"/>
      <c r="I600" s="173">
        <f>M600/AE600</f>
        <v>549.76154903242002</v>
      </c>
      <c r="J600" s="174">
        <f>AH600/AE600</f>
        <v>20.525336287912033</v>
      </c>
      <c r="K600" s="207">
        <f>RANK(I600,$I$76:$I$977)</f>
        <v>525</v>
      </c>
      <c r="L600" s="208" t="e">
        <f>RANK(I600,$I$76:$I$450)</f>
        <v>#N/A</v>
      </c>
      <c r="M600" s="173">
        <f>SUM(N600:R600)</f>
        <v>8222.8516593099866</v>
      </c>
      <c r="N600" s="174">
        <f>T600*(1+((AG600+IF(F600="백어택",8,0))/100)*((AI600/100-1)))</f>
        <v>5444.8780756743117</v>
      </c>
      <c r="O600" s="174">
        <f>U600*(1+(($D$57+IF(F600="백어택",8,0))/100)*($D$58/100-1))</f>
        <v>2777.9735836356754</v>
      </c>
      <c r="P600" s="174"/>
      <c r="Q600" s="174"/>
      <c r="R600" s="175"/>
      <c r="S600" s="173">
        <f>SUM(T600:X600)</f>
        <v>4669.212161943904</v>
      </c>
      <c r="T600" s="174">
        <f>AL600*AV600*IF(F600="백어택",1.2,1)</f>
        <v>2334.8060809719518</v>
      </c>
      <c r="U600" s="174">
        <f>AM600*AX600*AY600*IF(F600="백어택",1.2,1)</f>
        <v>2334.4060809719517</v>
      </c>
      <c r="V600" s="174"/>
      <c r="W600" s="174"/>
      <c r="X600" s="175"/>
      <c r="Y600" s="173">
        <f>SUM(Z600:AD600)</f>
        <v>9338.424323887808</v>
      </c>
      <c r="Z600" s="174">
        <f>T600*$D$58/100</f>
        <v>4669.6121619439036</v>
      </c>
      <c r="AA600" s="174">
        <f>U600*$D$58/100</f>
        <v>4668.8121619439034</v>
      </c>
      <c r="AB600" s="174"/>
      <c r="AC600" s="174"/>
      <c r="AD600" s="175"/>
      <c r="AE600" s="173">
        <f>AO600*(1-$D$17/100)-AR600</f>
        <v>14.957124</v>
      </c>
      <c r="AF600" s="174">
        <f>AP600</f>
        <v>36</v>
      </c>
      <c r="AG600" s="174">
        <f>IF($D$57+AU600&gt;100,100,$D$57+AU600)</f>
        <v>79.001300000000001</v>
      </c>
      <c r="AH600" s="174">
        <f>AQ600*AS600</f>
        <v>307</v>
      </c>
      <c r="AI600" s="174">
        <f>$D$58+$D$19</f>
        <v>268.61079999999998</v>
      </c>
      <c r="AJ600" s="174">
        <f>10*IF(AV600=1,1,5/4.5)/IF(AX600=1,5,3.5)</f>
        <v>2</v>
      </c>
      <c r="AK600" s="174">
        <f>SUM(AL600:AN600)</f>
        <v>4669.212161943904</v>
      </c>
      <c r="AL600" s="174">
        <f>(VLOOKUP(C600,$B$36:$AG$39,29,FALSE)+VLOOKUP(C600,$B$40:$AG$43,29,FALSE)*$D$54)*$D$59/100</f>
        <v>2334.8060809719518</v>
      </c>
      <c r="AM600" s="174">
        <f>(VLOOKUP(C600,$B$36:$AG$39,30,FALSE)+VLOOKUP(C600,$B$40:$AG$43,30,FALSE)*$D$54)*$D$59/100</f>
        <v>2334.4060809719517</v>
      </c>
      <c r="AN600" s="174"/>
      <c r="AO600" s="176">
        <v>18</v>
      </c>
      <c r="AP600" s="174">
        <v>36</v>
      </c>
      <c r="AQ600" s="175">
        <f>VLOOKUP(C600,$B$45:$AG$48,29,FALSE)</f>
        <v>307</v>
      </c>
      <c r="AR600" s="31">
        <f>IF(LEFT(E600,1)*1=1,$S$70,$R$70)</f>
        <v>3</v>
      </c>
      <c r="AS600" s="2">
        <f>IF(LEFT(E600,1)*1=2,$U$70,$T$70)</f>
        <v>1</v>
      </c>
      <c r="AT600" s="33">
        <f>IF(LEFT(E600,1)*1=3,$W$70,$V$70)</f>
        <v>0</v>
      </c>
      <c r="AU600" s="31">
        <f>IF(MID(E600,3,1)*1=1,$Y$70,$X$70)</f>
        <v>60</v>
      </c>
      <c r="AV600" s="2">
        <f>IF(MID(E600,3,1)*1=2,$AA$70,$Z$70)</f>
        <v>1</v>
      </c>
      <c r="AW600" s="33">
        <f>IF(MID(E600,3,1)*1=3,$AC$70,$AB$70)</f>
        <v>0</v>
      </c>
      <c r="AX600" s="31">
        <f>IF(MID(E600,5,1)*1=1,$AE$70,$AD$70)</f>
        <v>1</v>
      </c>
      <c r="AY600" s="33">
        <f>IF(MID(E600,5,1)*1=2,$AG$70,$AF$70)</f>
        <v>1</v>
      </c>
      <c r="AZ600" s="2"/>
      <c r="BA600" s="101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</row>
    <row r="601" spans="1:71" ht="12" customHeight="1">
      <c r="A601" s="2"/>
      <c r="B601" s="107">
        <v>38</v>
      </c>
      <c r="C601" s="31">
        <v>7</v>
      </c>
      <c r="D601" s="106" t="s">
        <v>3</v>
      </c>
      <c r="E601" s="2" t="s">
        <v>136</v>
      </c>
      <c r="F601" s="2"/>
      <c r="G601" s="2"/>
      <c r="H601" s="33"/>
      <c r="I601" s="173">
        <f>M601/AE601</f>
        <v>547.46221463099607</v>
      </c>
      <c r="J601" s="174">
        <f>AH601/AE601</f>
        <v>27.23153217631064</v>
      </c>
      <c r="K601" s="207">
        <f>RANK(I601,$I$76:$I$977)</f>
        <v>526</v>
      </c>
      <c r="L601" s="208" t="e">
        <f>RANK(I601,$I$76:$I$450)</f>
        <v>#N/A</v>
      </c>
      <c r="M601" s="173">
        <f>SUM(N601:R601)</f>
        <v>3276.9489578144698</v>
      </c>
      <c r="N601" s="174">
        <f>T601*(1+((AG601+IF(F601="백어택",8,0))/100)*((AI601/100-1)))</f>
        <v>3276.9489578144698</v>
      </c>
      <c r="O601" s="174"/>
      <c r="P601" s="174"/>
      <c r="Q601" s="174"/>
      <c r="R601" s="175">
        <f>X601*(1+(AG601/100)*(AI601/100-1))</f>
        <v>0</v>
      </c>
      <c r="S601" s="173">
        <f>SUM(T601:X601)</f>
        <v>2481.8180400018296</v>
      </c>
      <c r="T601" s="174">
        <f>AL601*AU601*AV601*AW601*AX601</f>
        <v>2481.8180400018296</v>
      </c>
      <c r="U601" s="174"/>
      <c r="V601" s="174"/>
      <c r="W601" s="174"/>
      <c r="X601" s="175">
        <f>AL601*AU601*AV601*IF(AW601=1,1,0.25)*AX601*AY601</f>
        <v>0</v>
      </c>
      <c r="Y601" s="173">
        <f>SUM(Z601:AD601)</f>
        <v>4963.6360800036591</v>
      </c>
      <c r="Z601" s="174">
        <f>T601*$D$58/100</f>
        <v>4963.6360800036591</v>
      </c>
      <c r="AA601" s="174"/>
      <c r="AB601" s="174"/>
      <c r="AC601" s="174"/>
      <c r="AD601" s="175">
        <f>X601*$D$58/100</f>
        <v>0</v>
      </c>
      <c r="AE601" s="173">
        <f>IF(AV601=1,AO601*(1-$D$17/100),AO601*(1-$D$17/100)+6)</f>
        <v>5.9857079999999998</v>
      </c>
      <c r="AF601" s="174">
        <f>AP601</f>
        <v>36</v>
      </c>
      <c r="AG601" s="174">
        <f>IF($D$57&gt;100,100,$D$57)</f>
        <v>19.001300000000001</v>
      </c>
      <c r="AH601" s="174">
        <f>AQ601</f>
        <v>163</v>
      </c>
      <c r="AI601" s="174">
        <f>$D$58+$D$19</f>
        <v>268.61079999999998</v>
      </c>
      <c r="AJ601" s="174">
        <f>10/13</f>
        <v>0.76923076923076927</v>
      </c>
      <c r="AK601" s="174">
        <f>SUM(AL601:AN601)</f>
        <v>1654.5453600012197</v>
      </c>
      <c r="AL601" s="174">
        <f>(VLOOKUP(C601,$B$36:$AG$39,3,FALSE)+VLOOKUP(C601,$B$40:$AG$43,3,FALSE)*$D$54)*$D$59/100</f>
        <v>1654.5453600012197</v>
      </c>
      <c r="AM601" s="174"/>
      <c r="AN601" s="174"/>
      <c r="AO601" s="176">
        <v>6</v>
      </c>
      <c r="AP601" s="174">
        <v>36</v>
      </c>
      <c r="AQ601" s="175">
        <f>VLOOKUP(C601,$B$45:$AA$48,3,FALSE)</f>
        <v>163</v>
      </c>
      <c r="AR601" s="31">
        <f>IF(LEFT(E601,1)*1=1,$S$53,$R$53)</f>
        <v>0</v>
      </c>
      <c r="AS601" s="2">
        <f>IF(LEFT(E601,1)*1=2,$U$53,$T$53)</f>
        <v>0</v>
      </c>
      <c r="AT601" s="33">
        <f>IF(LEFT(E601,1)*1=3,$W$53,$V$53)</f>
        <v>0</v>
      </c>
      <c r="AU601" s="31">
        <f>IF(MID(E601,3,1)*1=1,$Y$53,$X$53)</f>
        <v>1.5</v>
      </c>
      <c r="AV601" s="2">
        <f>IF(MID(E601,3,1)*1=2,$AA$53,$Z$53)</f>
        <v>1</v>
      </c>
      <c r="AW601" s="33">
        <f>IF(MID(E601,3,1)*1=3,$AC$53,$AB$53)</f>
        <v>1</v>
      </c>
      <c r="AX601" s="31">
        <f>IF(MID(E601,5,1)*1=1,$AE$53,$AD$53)</f>
        <v>1</v>
      </c>
      <c r="AY601" s="33">
        <f>IF(MID(E601,5,1)*1=2,$AG$53,$AF$53)</f>
        <v>0</v>
      </c>
      <c r="AZ601" s="2"/>
      <c r="BA601" s="101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</row>
    <row r="602" spans="1:71" ht="12" customHeight="1">
      <c r="A602" s="2"/>
      <c r="B602" s="107">
        <v>20</v>
      </c>
      <c r="C602" s="31">
        <v>7</v>
      </c>
      <c r="D602" s="106" t="s">
        <v>2</v>
      </c>
      <c r="E602" s="2" t="s">
        <v>89</v>
      </c>
      <c r="F602" s="2"/>
      <c r="G602" s="2"/>
      <c r="H602" s="33"/>
      <c r="I602" s="173">
        <f>M602/AE602</f>
        <v>547.33368069503319</v>
      </c>
      <c r="J602" s="174">
        <f>AH602/AE602</f>
        <v>24.18260296025132</v>
      </c>
      <c r="K602" s="207">
        <f>RANK(I602,$I$76:$I$977)</f>
        <v>527</v>
      </c>
      <c r="L602" s="208" t="e">
        <f>RANK(I602,$I$76:$I$450)</f>
        <v>#N/A</v>
      </c>
      <c r="M602" s="173">
        <f>SUM(N602:R602)</f>
        <v>4368.239454940941</v>
      </c>
      <c r="N602" s="174">
        <f>T602*(1+((AG602+IF(F602="백어택",8,0))/100)*((AI602/100-1)))</f>
        <v>4368.239454940941</v>
      </c>
      <c r="O602" s="174"/>
      <c r="P602" s="174"/>
      <c r="Q602" s="174"/>
      <c r="R602" s="175"/>
      <c r="S602" s="173">
        <f>SUM(T602:X602)</f>
        <v>3308.3138071062926</v>
      </c>
      <c r="T602" s="174">
        <f>AL602*AV602*AW602*AY602</f>
        <v>3308.3138071062926</v>
      </c>
      <c r="U602" s="174"/>
      <c r="V602" s="174"/>
      <c r="W602" s="174"/>
      <c r="X602" s="175"/>
      <c r="Y602" s="173">
        <f>SUM(Z602:AD602)</f>
        <v>6616.6276142125853</v>
      </c>
      <c r="Z602" s="174">
        <f>T602*$D$58/100</f>
        <v>6616.6276142125853</v>
      </c>
      <c r="AA602" s="174"/>
      <c r="AB602" s="174"/>
      <c r="AC602" s="174"/>
      <c r="AD602" s="175"/>
      <c r="AE602" s="173">
        <f>AO602*(1-$D$17/100)-AS602</f>
        <v>7.980944</v>
      </c>
      <c r="AF602" s="174"/>
      <c r="AG602" s="174">
        <f>IF($D$57+AT602&gt;100,100,$D$57+AT602)</f>
        <v>19.001300000000001</v>
      </c>
      <c r="AH602" s="174">
        <f>AQ602</f>
        <v>193</v>
      </c>
      <c r="AI602" s="174">
        <f>$D$58+$D$19</f>
        <v>268.61079999999998</v>
      </c>
      <c r="AJ602" s="174">
        <f>10*AY602/12</f>
        <v>0.83333333333333337</v>
      </c>
      <c r="AK602" s="174">
        <f>SUM(AL602:AN602)</f>
        <v>2803.6557687341465</v>
      </c>
      <c r="AL602" s="174">
        <f>(VLOOKUP(C602,$B$36:$AA$39,2,FALSE)+VLOOKUP(C602,$B$40:$AA$43,2,FALSE)*$D$54)*$D$59/100</f>
        <v>2803.6557687341465</v>
      </c>
      <c r="AM602" s="174"/>
      <c r="AN602" s="174"/>
      <c r="AO602" s="176">
        <v>8</v>
      </c>
      <c r="AP602" s="174">
        <v>15</v>
      </c>
      <c r="AQ602" s="175">
        <f>VLOOKUP(C602,$B$45:$AA$48,2,FALSE)</f>
        <v>193</v>
      </c>
      <c r="AR602" s="31">
        <f>IF(LEFT(E602,1)*1=1,$S$52,$R$52)</f>
        <v>0</v>
      </c>
      <c r="AS602" s="2">
        <f>IF(LEFT(E602,1)*1=2,$U$52,$T$52)</f>
        <v>0</v>
      </c>
      <c r="AT602" s="33">
        <f>IF(LEFT(E602,1)*1=3,$W$52,$V$52)</f>
        <v>0</v>
      </c>
      <c r="AU602" s="31">
        <f>IF(MID(E602,3,1)*1=1,$Y$52,$X$52)</f>
        <v>0</v>
      </c>
      <c r="AV602" s="2">
        <f>IF(MID(E602,3,1)*1=2,$AA$52,$Z$52)</f>
        <v>1.18</v>
      </c>
      <c r="AW602" s="33">
        <f>IF(MID(E602,3,1)*1=3,$AC$52,$AB$52)</f>
        <v>1</v>
      </c>
      <c r="AX602" s="31">
        <f>IF(MID(E602,5,1)*1=1,$AE$52,$AD$52)</f>
        <v>0</v>
      </c>
      <c r="AY602" s="33">
        <f>IF(MID(E602,5,1)*1=2,$AG$52,$AF$52)</f>
        <v>1</v>
      </c>
      <c r="AZ602" s="2"/>
      <c r="BA602" s="101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</row>
    <row r="603" spans="1:71" ht="12" hidden="1" customHeight="1">
      <c r="A603" s="2"/>
      <c r="B603" s="107">
        <v>204</v>
      </c>
      <c r="C603" s="31">
        <v>10</v>
      </c>
      <c r="D603" s="106" t="s">
        <v>10</v>
      </c>
      <c r="E603" s="2" t="s">
        <v>102</v>
      </c>
      <c r="F603" s="2"/>
      <c r="G603" s="2" t="s">
        <v>184</v>
      </c>
      <c r="H603" s="33"/>
      <c r="I603" s="173">
        <f>M603/AE603</f>
        <v>546.65459541899759</v>
      </c>
      <c r="J603" s="174">
        <f>AH603/AE603</f>
        <v>25.811482952392598</v>
      </c>
      <c r="K603" s="207">
        <f>RANK(I603,$I$76:$I$977)</f>
        <v>528</v>
      </c>
      <c r="L603" s="208" t="e">
        <f>RANK(I603,$I$76:$I$450)</f>
        <v>#N/A</v>
      </c>
      <c r="M603" s="173">
        <f>SUM(N603:R603)</f>
        <v>8725.6394267633532</v>
      </c>
      <c r="N603" s="174">
        <f>T603*(1+((AG603+IF(F603="백어택",8,0))/100)*((AI603/100-1)))</f>
        <v>8725.6394267633532</v>
      </c>
      <c r="O603" s="174"/>
      <c r="P603" s="174"/>
      <c r="Q603" s="174"/>
      <c r="R603" s="175"/>
      <c r="S603" s="173">
        <f>SUM(T603:X603)</f>
        <v>4777.9917447232201</v>
      </c>
      <c r="T603" s="174">
        <f>AL603*AS603*AU603*AX603*IF(AY603=0,1,0.5)*IF(F603="백어택",1.2,1)</f>
        <v>4777.9917447232201</v>
      </c>
      <c r="U603" s="174"/>
      <c r="V603" s="174"/>
      <c r="W603" s="174"/>
      <c r="X603" s="175"/>
      <c r="Y603" s="173">
        <f>SUM(Z603:AD603)</f>
        <v>12834.201849434998</v>
      </c>
      <c r="Z603" s="174">
        <f>T603*AI603/100</f>
        <v>12834.201849434998</v>
      </c>
      <c r="AA603" s="174"/>
      <c r="AB603" s="174"/>
      <c r="AC603" s="174"/>
      <c r="AD603" s="175"/>
      <c r="AE603" s="173">
        <f>AO603*(1-$D$17/100)</f>
        <v>15.961888</v>
      </c>
      <c r="AF603" s="174">
        <f>AP603</f>
        <v>36</v>
      </c>
      <c r="AG603" s="174">
        <f>IF($D$57+AV603&gt;100,100,$D$57+AV603)</f>
        <v>49.001300000000001</v>
      </c>
      <c r="AH603" s="174">
        <f>AQ603</f>
        <v>412</v>
      </c>
      <c r="AI603" s="174">
        <f>$D$58+$D$19</f>
        <v>268.61079999999998</v>
      </c>
      <c r="AJ603" s="174">
        <f>10*AR603/(7-IF(AX603=1,0,3))</f>
        <v>1.4285714285714286</v>
      </c>
      <c r="AK603" s="174">
        <f>SUM(AL603:AN603)</f>
        <v>8098.2910927512203</v>
      </c>
      <c r="AL603" s="174">
        <f>(VLOOKUP(C603,$B$36:$AG$39,13,FALSE)+VLOOKUP(C603,$B$40:$AG$43,13,FALSE)*$D$54)*$D$59/100</f>
        <v>8098.2910927512203</v>
      </c>
      <c r="AM603" s="174"/>
      <c r="AN603" s="174"/>
      <c r="AO603" s="176">
        <v>16</v>
      </c>
      <c r="AP603" s="174">
        <v>36</v>
      </c>
      <c r="AQ603" s="175">
        <f>VLOOKUP(C603,$B$45:$AA$48,13,FALSE)</f>
        <v>412</v>
      </c>
      <c r="AR603" s="31">
        <f>IF(LEFT(E603,1)*1=1,$S$60,$R$60)</f>
        <v>1</v>
      </c>
      <c r="AS603" s="2">
        <f>IF(LEFT(E603,1)*1=2,$U$60,$T$60)</f>
        <v>1.18</v>
      </c>
      <c r="AT603" s="33">
        <f>IF(LEFT(E603,1)*1=3,$W$60,$V$60)</f>
        <v>0</v>
      </c>
      <c r="AU603" s="31">
        <f>IF(MID(E603,3,1)*1=1,$Y$60,$X$60)</f>
        <v>1</v>
      </c>
      <c r="AV603" s="2">
        <f>IF(MID(E603,3,1)*1=2,$AA$60,$Z$60)</f>
        <v>30</v>
      </c>
      <c r="AW603" s="33">
        <f>IF(MID(E603,3,1)*1=3,$AC$60,$AB$60)</f>
        <v>0</v>
      </c>
      <c r="AX603" s="31">
        <f>IF(MID(E603,5,1)*1=1,$AE$60,$AD$60)</f>
        <v>1</v>
      </c>
      <c r="AY603" s="33">
        <f>IF(MID(E603,5,1)*1=2,$AG$60,$AF$60)</f>
        <v>100</v>
      </c>
      <c r="AZ603" s="2"/>
      <c r="BA603" s="101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</row>
    <row r="604" spans="1:71" ht="12" customHeight="1">
      <c r="A604" s="2"/>
      <c r="B604" s="107">
        <v>224</v>
      </c>
      <c r="C604" s="31">
        <v>10</v>
      </c>
      <c r="D604" s="106" t="s">
        <v>13</v>
      </c>
      <c r="E604" s="2" t="s">
        <v>92</v>
      </c>
      <c r="F604" s="2"/>
      <c r="G604" s="2"/>
      <c r="H604" s="33"/>
      <c r="I604" s="173">
        <f>M604/AE604</f>
        <v>546.37220029910259</v>
      </c>
      <c r="J604" s="174">
        <f>AH604/AE604</f>
        <v>21.760166048861723</v>
      </c>
      <c r="K604" s="207">
        <f>RANK(I604,$I$76:$I$977)</f>
        <v>529</v>
      </c>
      <c r="L604" s="208" t="e">
        <f>RANK(I604,$I$76:$I$450)</f>
        <v>#N/A</v>
      </c>
      <c r="M604" s="173">
        <f>SUM(N604:R604)</f>
        <v>13081.697801231761</v>
      </c>
      <c r="N604" s="174">
        <f>T604*(1+((AG604+IF(F604="백어택",8,0))/100)*((AI604/100-1)))</f>
        <v>9478.489930003816</v>
      </c>
      <c r="O604" s="174">
        <f>U604*(1+($D$57/100)*($D$58/100-1))</f>
        <v>3603.2078712279454</v>
      </c>
      <c r="P604" s="174"/>
      <c r="Q604" s="174"/>
      <c r="R604" s="175">
        <f>X604*(1+($D$57/100)*($D$58/100-1))</f>
        <v>0</v>
      </c>
      <c r="S604" s="173">
        <f>SUM(T604:X604)</f>
        <v>10206.467054612938</v>
      </c>
      <c r="T604" s="174">
        <f>AL604*AY604</f>
        <v>7178.5943580726944</v>
      </c>
      <c r="U604" s="174">
        <f>AM604*AU604*AW604</f>
        <v>3027.8726965402439</v>
      </c>
      <c r="V604" s="174"/>
      <c r="W604" s="174"/>
      <c r="X604" s="175">
        <f>IF(AU604=1,0,U604*0.625)</f>
        <v>0</v>
      </c>
      <c r="Y604" s="173">
        <f>SUM(Z604:AD604)</f>
        <v>20412.934109225876</v>
      </c>
      <c r="Z604" s="174">
        <f>T604*$D$58/100</f>
        <v>14357.188716145389</v>
      </c>
      <c r="AA604" s="174">
        <f>U604*$D$58/100</f>
        <v>6055.7453930804877</v>
      </c>
      <c r="AB604" s="174"/>
      <c r="AC604" s="174"/>
      <c r="AD604" s="175">
        <f>X604*$D$58/100</f>
        <v>0</v>
      </c>
      <c r="AE604" s="173">
        <f>AO604*(1-$D$17/100)</f>
        <v>23.942831999999999</v>
      </c>
      <c r="AF604" s="174">
        <f>AP604</f>
        <v>36</v>
      </c>
      <c r="AG604" s="174">
        <f>IF($D$57+AT604&gt;100,100,$D$57+AT604)</f>
        <v>19.001300000000001</v>
      </c>
      <c r="AH604" s="174">
        <f>AQ604</f>
        <v>521</v>
      </c>
      <c r="AI604" s="174">
        <f>$D$58+$D$19</f>
        <v>268.61079999999998</v>
      </c>
      <c r="AJ604" s="174">
        <f>10/IF(AY604=1,2.5,2)</f>
        <v>5</v>
      </c>
      <c r="AK604" s="174">
        <f>SUM(AL604:AN604)</f>
        <v>8425.3120635121941</v>
      </c>
      <c r="AL604" s="174">
        <f>(VLOOKUP(C604,$B$36:$AG$39,17,FALSE)+VLOOKUP(C604,$B$40:$AG$43,17,FALSE)*$D$54)*$D$59/100</f>
        <v>5397.4393669719502</v>
      </c>
      <c r="AM604" s="174">
        <f>(VLOOKUP(C604,$B$36:$AG$39,18,FALSE)+VLOOKUP(C604,$B$40:$AG$43,18,FALSE)*$D$54)*$D$59/100</f>
        <v>3027.8726965402439</v>
      </c>
      <c r="AN604" s="174"/>
      <c r="AO604" s="176">
        <v>24</v>
      </c>
      <c r="AP604" s="174">
        <v>36</v>
      </c>
      <c r="AQ604" s="175">
        <f>VLOOKUP(C604,$B$45:$AA$48,17,FALSE)</f>
        <v>521</v>
      </c>
      <c r="AR604" s="31">
        <f>IF(LEFT(E604,1)*1=1,$S$63,$R$63)</f>
        <v>0</v>
      </c>
      <c r="AS604" s="2">
        <f>IF(LEFT(E604,1)*1=2,$U$63,$T$63)</f>
        <v>0</v>
      </c>
      <c r="AT604" s="33">
        <f>IF(LEFT(E604,1)*1=3,$W$63,$V$63)</f>
        <v>0</v>
      </c>
      <c r="AU604" s="31">
        <f>IF(MID(E604,3,1)*1=1,$Y$63,$X$63)</f>
        <v>1</v>
      </c>
      <c r="AV604" s="2">
        <f>IF(MID(E604,3,1)*1=2,$AA$63,$Z$63)</f>
        <v>0</v>
      </c>
      <c r="AW604" s="33">
        <f>IF(MID(E604,3,1)*1=3,$AC$63,$AB$63)</f>
        <v>1</v>
      </c>
      <c r="AX604" s="31">
        <f>IF(MID(E604,5,1)*1=1,$AE$63,$AD$63)</f>
        <v>0</v>
      </c>
      <c r="AY604" s="33">
        <f>IF(MID(E604,5,1)*1=2,$AG$63,$AF$63)</f>
        <v>1.33</v>
      </c>
      <c r="AZ604" s="2"/>
      <c r="BA604" s="101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</row>
    <row r="605" spans="1:71" ht="12" customHeight="1">
      <c r="A605" s="2"/>
      <c r="B605" s="107">
        <v>58</v>
      </c>
      <c r="C605" s="31">
        <v>10</v>
      </c>
      <c r="D605" s="106" t="s">
        <v>4</v>
      </c>
      <c r="E605" s="2" t="s">
        <v>144</v>
      </c>
      <c r="F605" s="2"/>
      <c r="G605" s="2" t="s">
        <v>167</v>
      </c>
      <c r="H605" s="33"/>
      <c r="I605" s="173">
        <f>M605/AE605</f>
        <v>545.55470791490507</v>
      </c>
      <c r="J605" s="174">
        <f>AH605/AE605</f>
        <v>29.152775243964456</v>
      </c>
      <c r="K605" s="207">
        <f>RANK(I605,$I$76:$I$977)</f>
        <v>530</v>
      </c>
      <c r="L605" s="208" t="e">
        <f>RANK(I605,$I$76:$I$450)</f>
        <v>#N/A</v>
      </c>
      <c r="M605" s="173">
        <f>SUM(N605:R605)</f>
        <v>6531.0623592078209</v>
      </c>
      <c r="N605" s="174">
        <f>T605*(1+((AG605+IF(F605="백어택",8,0))/100)*((AI605/100-1)))</f>
        <v>726.40092698422472</v>
      </c>
      <c r="O605" s="174">
        <f>U605*(1+((AG605+IF(F605="백어택",8,0))/100)*(AI605/100-1))</f>
        <v>5804.6614322235964</v>
      </c>
      <c r="P605" s="174"/>
      <c r="Q605" s="174"/>
      <c r="R605" s="175"/>
      <c r="S605" s="173">
        <f>SUM(T605:X605)</f>
        <v>4946.3414267731714</v>
      </c>
      <c r="T605" s="174">
        <f>AT605*AL605*IF(F605="백어택",1.2,1)</f>
        <v>550.14434099268294</v>
      </c>
      <c r="U605" s="174">
        <f>AM605*AW605*AX605*AY605*IF(F605="백어택",1.2,1)</f>
        <v>4396.1970857804881</v>
      </c>
      <c r="V605" s="174"/>
      <c r="W605" s="174"/>
      <c r="X605" s="175"/>
      <c r="Y605" s="173">
        <f>SUM(Z605:AD605)</f>
        <v>9892.6828535463428</v>
      </c>
      <c r="Z605" s="174">
        <f>T605*$D$58/100</f>
        <v>1100.2886819853659</v>
      </c>
      <c r="AA605" s="174">
        <f>U605*$D$58/100</f>
        <v>8792.3941715609762</v>
      </c>
      <c r="AB605" s="174"/>
      <c r="AC605" s="174"/>
      <c r="AD605" s="175"/>
      <c r="AE605" s="173">
        <f>AO605*(1-$D$17/100)</f>
        <v>11.971416</v>
      </c>
      <c r="AF605" s="174">
        <f>AP605</f>
        <v>36</v>
      </c>
      <c r="AG605" s="174">
        <f>IF($D$57&gt;100,100,$D$57)</f>
        <v>19.001300000000001</v>
      </c>
      <c r="AH605" s="174">
        <f>AQ605</f>
        <v>349</v>
      </c>
      <c r="AI605" s="174">
        <f>$D$58+$D$19</f>
        <v>268.61079999999998</v>
      </c>
      <c r="AJ605" s="174">
        <f>10/IF(AY605=1,5,4)</f>
        <v>2</v>
      </c>
      <c r="AK605" s="174">
        <f>SUM(AL605:AN605)</f>
        <v>2748.2428838829269</v>
      </c>
      <c r="AL605" s="174">
        <f>(VLOOKUP(C605,$B$36:$AG$39,4,FALSE)+VLOOKUP(C605,$B$40:$AG$43,4,FALSE)*$D$54)*$D$59/100</f>
        <v>550.14434099268294</v>
      </c>
      <c r="AM605" s="174">
        <f>(VLOOKUP(C605,$B$36:$AG$39,5,FALSE)+VLOOKUP(C605,$B$40:$AG$43,5,FALSE)*$D$54)*$D$59/100</f>
        <v>2198.0985428902441</v>
      </c>
      <c r="AN605" s="174"/>
      <c r="AO605" s="176">
        <v>12</v>
      </c>
      <c r="AP605" s="174">
        <v>36</v>
      </c>
      <c r="AQ605" s="175">
        <f>VLOOKUP(C605,$B$45:$AA$48,4,FALSE)</f>
        <v>349</v>
      </c>
      <c r="AR605" s="31">
        <f>IF(LEFT(E605,1)*1=1,$S$54,$R$54)</f>
        <v>0</v>
      </c>
      <c r="AS605" s="2">
        <f>IF(LEFT(E605,1)*1=2,$U$54,$T$54)</f>
        <v>0</v>
      </c>
      <c r="AT605" s="33">
        <f>IF(LEFT(E605,1)*1=3,$W$54,$V$54)</f>
        <v>1</v>
      </c>
      <c r="AU605" s="31">
        <f>IF(MID(E605,3,1)*1=1,$Y$54,$X$54)</f>
        <v>0</v>
      </c>
      <c r="AV605" s="2">
        <f>IF(MID(E605,3,1)*1=2,$AA$54,$Z$54)</f>
        <v>0</v>
      </c>
      <c r="AW605" s="33">
        <f>IF(MID(E605,3,1)*1=3,$AC$54,$AB$54)</f>
        <v>1</v>
      </c>
      <c r="AX605" s="31">
        <f>IF(MID(E605,5,1)*1=1,$AE$54,$AD$54)</f>
        <v>2</v>
      </c>
      <c r="AY605" s="33">
        <f>IF(MID(E605,5,1)*1=2,$AG$54,$AF$54)</f>
        <v>1</v>
      </c>
      <c r="AZ605" s="2"/>
      <c r="BA605" s="101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</row>
    <row r="606" spans="1:71" ht="12" customHeight="1">
      <c r="A606" s="2"/>
      <c r="B606" s="107">
        <v>54</v>
      </c>
      <c r="C606" s="31">
        <v>7</v>
      </c>
      <c r="D606" s="106" t="s">
        <v>4</v>
      </c>
      <c r="E606" s="2" t="s">
        <v>134</v>
      </c>
      <c r="F606" s="2" t="s">
        <v>149</v>
      </c>
      <c r="G606" s="2" t="s">
        <v>143</v>
      </c>
      <c r="H606" s="33"/>
      <c r="I606" s="173">
        <f>M606/AE606</f>
        <v>545.46091337454357</v>
      </c>
      <c r="J606" s="174">
        <f>AH606/AE606</f>
        <v>20.298350671299033</v>
      </c>
      <c r="K606" s="207">
        <f>RANK(I606,$I$76:$I$977)</f>
        <v>531</v>
      </c>
      <c r="L606" s="208" t="e">
        <f>RANK(I606,$I$76:$I$450)</f>
        <v>#N/A</v>
      </c>
      <c r="M606" s="173">
        <f>SUM(N606:R606)</f>
        <v>6529.9395057466245</v>
      </c>
      <c r="N606" s="174">
        <f>T606*(1+((AG606+IF(F606="백어택",8,0))/100)*((AI606/100-1)))</f>
        <v>1382.5386144406264</v>
      </c>
      <c r="O606" s="174">
        <f>U606*(1+((AG606+IF(F606="백어택",8,0))/100)*(AI606/100-1))</f>
        <v>5147.4008913059979</v>
      </c>
      <c r="P606" s="174"/>
      <c r="Q606" s="174"/>
      <c r="R606" s="175"/>
      <c r="S606" s="173">
        <f>SUM(T606:X606)</f>
        <v>4487.0949462013177</v>
      </c>
      <c r="T606" s="174">
        <f>AT606*AL606*IF(F606="백어택",1.2,1)</f>
        <v>950.02136303487805</v>
      </c>
      <c r="U606" s="174">
        <f>AM606*AW606*AX606*AY606*IF(F606="백어택",1.2,1)</f>
        <v>3537.0735831664392</v>
      </c>
      <c r="V606" s="174"/>
      <c r="W606" s="174"/>
      <c r="X606" s="175"/>
      <c r="Y606" s="173">
        <f>SUM(Z606:AD606)</f>
        <v>8974.1898924026355</v>
      </c>
      <c r="Z606" s="174">
        <f>T606*$D$58/100</f>
        <v>1900.0427260697561</v>
      </c>
      <c r="AA606" s="174">
        <f>U606*$D$58/100</f>
        <v>7074.1471663328784</v>
      </c>
      <c r="AB606" s="174"/>
      <c r="AC606" s="174"/>
      <c r="AD606" s="175"/>
      <c r="AE606" s="173">
        <f>AO606*(1-$D$17/100)</f>
        <v>11.971416</v>
      </c>
      <c r="AF606" s="174">
        <f>AP606</f>
        <v>36</v>
      </c>
      <c r="AG606" s="174">
        <f>IF($D$57&gt;100,100,$D$57)</f>
        <v>19.001300000000001</v>
      </c>
      <c r="AH606" s="174">
        <f>AQ606</f>
        <v>243</v>
      </c>
      <c r="AI606" s="174">
        <f>$D$58+$D$19</f>
        <v>268.61079999999998</v>
      </c>
      <c r="AJ606" s="174">
        <f>10/IF(AY606=1,5,4)</f>
        <v>2</v>
      </c>
      <c r="AK606" s="174">
        <f>SUM(AL606:AN606)</f>
        <v>2633.1905884914636</v>
      </c>
      <c r="AL606" s="174">
        <f>(VLOOKUP(C606,$B$36:$AG$39,4,FALSE)+VLOOKUP(C606,$B$40:$AG$43,4,FALSE)*$D$54)*$D$59/100</f>
        <v>527.78964613048777</v>
      </c>
      <c r="AM606" s="174">
        <f>(VLOOKUP(C606,$B$36:$AG$39,5,FALSE)+VLOOKUP(C606,$B$40:$AG$43,5,FALSE)*$D$54)*$D$59/100</f>
        <v>2105.4009423609759</v>
      </c>
      <c r="AN606" s="174"/>
      <c r="AO606" s="176">
        <v>12</v>
      </c>
      <c r="AP606" s="174">
        <v>36</v>
      </c>
      <c r="AQ606" s="175">
        <f>VLOOKUP(C606,$B$45:$AA$48,4,FALSE)</f>
        <v>243</v>
      </c>
      <c r="AR606" s="31">
        <f>IF(LEFT(E606,1)*1=1,$S$54,$R$54)</f>
        <v>0</v>
      </c>
      <c r="AS606" s="2">
        <f>IF(LEFT(E606,1)*1=2,$U$54,$T$54)</f>
        <v>0</v>
      </c>
      <c r="AT606" s="33">
        <f>IF(LEFT(E606,1)*1=3,$W$54,$V$54)</f>
        <v>1.5</v>
      </c>
      <c r="AU606" s="31">
        <f>IF(MID(E606,3,1)*1=1,$Y$54,$X$54)</f>
        <v>0</v>
      </c>
      <c r="AV606" s="2">
        <f>IF(MID(E606,3,1)*1=2,$AA$54,$Z$54)</f>
        <v>0</v>
      </c>
      <c r="AW606" s="33">
        <f>IF(MID(E606,3,1)*1=3,$AC$54,$AB$54)</f>
        <v>1.4</v>
      </c>
      <c r="AX606" s="31">
        <f>IF(MID(E606,5,1)*1=1,$AE$54,$AD$54)</f>
        <v>1</v>
      </c>
      <c r="AY606" s="33">
        <f>IF(MID(E606,5,1)*1=2,$AG$54,$AF$54)</f>
        <v>1</v>
      </c>
      <c r="AZ606" s="2"/>
      <c r="BA606" s="101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</row>
    <row r="607" spans="1:71" ht="12" customHeight="1">
      <c r="A607" s="2"/>
      <c r="B607" s="107">
        <v>868</v>
      </c>
      <c r="C607" s="31">
        <v>10</v>
      </c>
      <c r="D607" s="113" t="s">
        <v>19</v>
      </c>
      <c r="E607" s="2" t="s">
        <v>138</v>
      </c>
      <c r="F607" s="2"/>
      <c r="G607" s="2"/>
      <c r="H607" s="33">
        <f>IF(AY607=1,4,6)</f>
        <v>4</v>
      </c>
      <c r="I607" s="173">
        <f>M607/AE607</f>
        <v>544.58939355730001</v>
      </c>
      <c r="J607" s="174">
        <f>AH607/AE607</f>
        <v>21.760166048861723</v>
      </c>
      <c r="K607" s="207">
        <f>RANK(I607,$I$76:$I$977)</f>
        <v>532</v>
      </c>
      <c r="L607" s="208" t="e">
        <f>RANK(I607,$I$867:$I$977)</f>
        <v>#N/A</v>
      </c>
      <c r="M607" s="173">
        <f>SUM(N607:R607)*(1+$D$22/100)</f>
        <v>13039.012358924316</v>
      </c>
      <c r="N607" s="174">
        <f>T607*(1+($D$57/100)*($D$58/100-1))</f>
        <v>7520.2060388343571</v>
      </c>
      <c r="O607" s="174">
        <f>U607*(1+(AG607/100)*(AI607/100-1))</f>
        <v>4227.9558823124898</v>
      </c>
      <c r="P607" s="174"/>
      <c r="Q607" s="174"/>
      <c r="R607" s="175"/>
      <c r="S607" s="173">
        <f>SUM(T607:X607)</f>
        <v>9872.2971271295755</v>
      </c>
      <c r="T607" s="174">
        <f>AL607*AU607</f>
        <v>6319.4318371600621</v>
      </c>
      <c r="U607" s="174">
        <f>AM607*AU607</f>
        <v>3552.8652899695126</v>
      </c>
      <c r="V607" s="174"/>
      <c r="W607" s="174"/>
      <c r="X607" s="175"/>
      <c r="Y607" s="173">
        <f>SUM(Z607:AD607)</f>
        <v>19744.594254259151</v>
      </c>
      <c r="Z607" s="174">
        <f>T607*$D$58/100</f>
        <v>12638.863674320124</v>
      </c>
      <c r="AA607" s="174">
        <f>U607*$D$58/100</f>
        <v>7105.7305799390251</v>
      </c>
      <c r="AB607" s="174"/>
      <c r="AC607" s="174"/>
      <c r="AD607" s="175"/>
      <c r="AE607" s="173">
        <f>AO607*(1-$D$17/100)</f>
        <v>23.942831999999999</v>
      </c>
      <c r="AF607" s="174">
        <f>AP607</f>
        <v>36</v>
      </c>
      <c r="AG607" s="174">
        <f>IF($D$57+AT607&gt;100,100,$D$57+AT607)</f>
        <v>19.001300000000001</v>
      </c>
      <c r="AH607" s="174">
        <f>AQ607</f>
        <v>521</v>
      </c>
      <c r="AI607" s="174">
        <f>$D$58</f>
        <v>200</v>
      </c>
      <c r="AJ607" s="174">
        <f>10/IF(AY607=1,(2.5+AX607),2)</f>
        <v>2.8571428571428572</v>
      </c>
      <c r="AK607" s="174">
        <f>SUM(AL607:AN607)</f>
        <v>7897.8377017036591</v>
      </c>
      <c r="AL607" s="174">
        <f>(H607-1)*(VLOOKUP(C607,$B$36:$AG$39,27,FALSE)+VLOOKUP(C607,$B$40:$AG$43,27,FALSE)*$D$54)*$D$59/100</f>
        <v>5055.5454697280493</v>
      </c>
      <c r="AM607" s="174">
        <f>(VLOOKUP(C607,$B$36:$AG$39,28,FALSE)+VLOOKUP(C607,$B$40:$AG$43,28,FALSE)*$D$54)*$D$59/100</f>
        <v>2842.2922319756099</v>
      </c>
      <c r="AN607" s="174"/>
      <c r="AO607" s="176">
        <v>24</v>
      </c>
      <c r="AP607" s="174">
        <v>36</v>
      </c>
      <c r="AQ607" s="175">
        <f>VLOOKUP(C607,$B$45:$AG$48,27,FALSE)</f>
        <v>521</v>
      </c>
      <c r="AR607" s="31">
        <f>IF(LEFT(E607,1)*1=1,$S$69,$R$69)</f>
        <v>0</v>
      </c>
      <c r="AS607" s="2">
        <f>IF(LEFT(E607,1)*1=2,$U$69,$T$69)</f>
        <v>0</v>
      </c>
      <c r="AT607" s="33">
        <f>IF(LEFT(E607,1)*1=3,$W$69,$V$69)</f>
        <v>0</v>
      </c>
      <c r="AU607" s="31">
        <f>IF(MID(E607,3,1)*1=1,$Y$69,$X$69)</f>
        <v>1.25</v>
      </c>
      <c r="AV607" s="2">
        <f>IF(MID(E607,3,1)*1=2,$AA$69,$Z$69)</f>
        <v>0</v>
      </c>
      <c r="AW607" s="33">
        <f>IF(MID(E607,3,1)*1=3,$AC$69,$AB$69)</f>
        <v>0</v>
      </c>
      <c r="AX607" s="31">
        <f>IF(MID(E607,5,1)*1=1,$AE$69,$AD$69)</f>
        <v>1</v>
      </c>
      <c r="AY607" s="33">
        <f>IF(MID(E607,5,1)*1=2,$AG$69,$AF$69)</f>
        <v>1</v>
      </c>
      <c r="AZ607" s="2"/>
      <c r="BA607" s="101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</row>
    <row r="608" spans="1:71" ht="12" customHeight="1">
      <c r="A608" s="2"/>
      <c r="B608" s="107">
        <v>389</v>
      </c>
      <c r="C608" s="31">
        <v>7</v>
      </c>
      <c r="D608" s="111" t="s">
        <v>8</v>
      </c>
      <c r="E608" s="2" t="s">
        <v>136</v>
      </c>
      <c r="F608" s="2"/>
      <c r="G608" s="2"/>
      <c r="H608" s="33" t="s">
        <v>81</v>
      </c>
      <c r="I608" s="173">
        <f>M608/AE608</f>
        <v>543.99453311685136</v>
      </c>
      <c r="J608" s="174">
        <f>AH608/AE608</f>
        <v>19.637781784066725</v>
      </c>
      <c r="K608" s="207">
        <f>RANK(I608,$I$76:$I$977)</f>
        <v>533</v>
      </c>
      <c r="L608" s="208">
        <f>RANK(I608,$I$451:$I$866)</f>
        <v>158</v>
      </c>
      <c r="M608" s="173">
        <f>SUM(N608:R608)</f>
        <v>10055.617161487962</v>
      </c>
      <c r="N608" s="174">
        <f>T608*(1+((AG608+IF(F608="백어택",8,0))/100)*(IF(AY608=1,$D$58,$D$58+50)/100-1))</f>
        <v>4415.381839684248</v>
      </c>
      <c r="O608" s="174">
        <f>U608*(1+((AG608+IF(F608="백어택",8,0))/100)*(AI608/100-1))</f>
        <v>5640.2353218037142</v>
      </c>
      <c r="P608" s="174">
        <f>V608*(1+((AG608+IF(F608="백어택",8,0))/100)*(AI608/100-1))</f>
        <v>0</v>
      </c>
      <c r="Q608" s="174"/>
      <c r="R608" s="175"/>
      <c r="S608" s="173">
        <f>SUM(T608:X608)</f>
        <v>6983.0044322432941</v>
      </c>
      <c r="T608" s="174">
        <f>AL608*IF(H608="근접",AR608,1)*AY608*IF(F608="백어택",1.2,1)</f>
        <v>3066.2097076097566</v>
      </c>
      <c r="U608" s="174">
        <f>AM608*IF(H608="근접",AR608,1)*AY608*IF(F608="백어택",1.2,1)</f>
        <v>3916.7947246335375</v>
      </c>
      <c r="V608" s="174">
        <f>IF(AX608=1,0,AM608*IF(H608="근접",AR608,1)*AY608)*IF(F608="백어택",1.2,1)</f>
        <v>0</v>
      </c>
      <c r="W608" s="174"/>
      <c r="X608" s="175"/>
      <c r="Y608" s="173">
        <f>SUM(Z608:AD608)</f>
        <v>13966.008864486588</v>
      </c>
      <c r="Z608" s="174">
        <f>T608*IF(AY608=1,$D$58,$D$58+50)/100</f>
        <v>6132.4194152195132</v>
      </c>
      <c r="AA608" s="174">
        <f>U608*AI608/100</f>
        <v>7833.589449267075</v>
      </c>
      <c r="AB608" s="174">
        <f>V608*AI608/100</f>
        <v>0</v>
      </c>
      <c r="AC608" s="174"/>
      <c r="AD608" s="175"/>
      <c r="AE608" s="173">
        <f>AO608*(1-$D$20/100)*(1-$D$17/100)</f>
        <v>18.484776131615998</v>
      </c>
      <c r="AF608" s="174">
        <f>AP608</f>
        <v>36</v>
      </c>
      <c r="AG608" s="174">
        <f>IF($D$57+AU608&gt;100,100,$D$57+AU608)</f>
        <v>44.001300000000001</v>
      </c>
      <c r="AH608" s="174">
        <f>IF(AX608=1,AQ608,AQ608*1.4)</f>
        <v>363</v>
      </c>
      <c r="AI608" s="174">
        <f>IF(AY608=1,$D$58,$D$58+50)*AW608</f>
        <v>200</v>
      </c>
      <c r="AJ608" s="174">
        <f>10/6/AX608</f>
        <v>1.6666666666666667</v>
      </c>
      <c r="AK608" s="174">
        <f>SUM(AL608:AN608)</f>
        <v>6983.0044322432941</v>
      </c>
      <c r="AL608" s="174">
        <f>(IF(H608="근접",$D$61*(VLOOKUP(C608,$B$36:$AG$39,9,FALSE)+VLOOKUP(C608,$B$40:$AG$43,9,FALSE)*$D$54),$D$60*(VLOOKUP(C608,$B$36:$AG$39,9,FALSE)+VLOOKUP(C608,$B$40:$AG$43,9,FALSE)*$D$54)))*$D$59/100</f>
        <v>3066.2097076097566</v>
      </c>
      <c r="AM608" s="174">
        <f>(IF(H608="근접",$D$61*(VLOOKUP(C608,$B$36:$AG$39,10,FALSE)+VLOOKUP(C608,$B$40:$AG$43,10,FALSE)*$D$54),$D$60*(VLOOKUP(C608,$B$36:$AG$39,10,FALSE)+VLOOKUP(C608,$B$40:$AG$43,10,FALSE)*$D$54)))*$D$59/100</f>
        <v>3916.7947246335375</v>
      </c>
      <c r="AN608" s="174"/>
      <c r="AO608" s="176">
        <v>24</v>
      </c>
      <c r="AP608" s="174">
        <v>36</v>
      </c>
      <c r="AQ608" s="175">
        <f>VLOOKUP(C608,$B$45:$AA$48,9,FALSE)</f>
        <v>363</v>
      </c>
      <c r="AR608" s="31">
        <f>IF(LEFT(E608,1)*1=1,$S$58,$R$58)</f>
        <v>1</v>
      </c>
      <c r="AS608" s="2">
        <f>IF(LEFT(E608,1)*1=2,$U$58,$T$58)</f>
        <v>0</v>
      </c>
      <c r="AT608" s="33">
        <f>IF(LEFT(E608,1)*1=3,$W$58,$V$58)</f>
        <v>0</v>
      </c>
      <c r="AU608" s="31">
        <f>IF(MID(E608,3,1)*1=1,$Y$58,$X$58)</f>
        <v>25</v>
      </c>
      <c r="AV608" s="2">
        <f>IF(MID(E608,3,1)*1=2,$AA$58,$Z$58)</f>
        <v>0</v>
      </c>
      <c r="AW608" s="33">
        <f>IF(MID(E608,3,1)*1=3,$AC$58,$AB$58)</f>
        <v>1</v>
      </c>
      <c r="AX608" s="31">
        <f>IF(MID(E608,5,1)*1=1,$AE$58,$AD$58)</f>
        <v>1</v>
      </c>
      <c r="AY608" s="33">
        <f>IF(MID(E608,5,1)*1=2,$AG$58,$AF$58)</f>
        <v>1</v>
      </c>
      <c r="AZ608" s="2"/>
      <c r="BA608" s="101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</row>
    <row r="609" spans="1:71" ht="12" customHeight="1">
      <c r="A609" s="2"/>
      <c r="B609" s="107">
        <v>869</v>
      </c>
      <c r="C609" s="31">
        <v>10</v>
      </c>
      <c r="D609" s="113" t="s">
        <v>19</v>
      </c>
      <c r="E609" s="2" t="s">
        <v>146</v>
      </c>
      <c r="F609" s="2"/>
      <c r="G609" s="2"/>
      <c r="H609" s="33">
        <f>IF(AY609=1,4,6)</f>
        <v>4</v>
      </c>
      <c r="I609" s="173">
        <f>M609/AE609</f>
        <v>542.39156776264474</v>
      </c>
      <c r="J609" s="174">
        <f>AH609/AE609</f>
        <v>21.760166048861723</v>
      </c>
      <c r="K609" s="207">
        <f>RANK(I609,$I$76:$I$977)</f>
        <v>534</v>
      </c>
      <c r="L609" s="208" t="e">
        <f>RANK(I609,$I$867:$I$977)</f>
        <v>#N/A</v>
      </c>
      <c r="M609" s="173">
        <f>SUM(N609:R609)*(1+$D$22/100)</f>
        <v>12986.390185157617</v>
      </c>
      <c r="N609" s="174">
        <f>T609*(1+($D$57/100)*($D$58/100-1))</f>
        <v>6016.1648310674855</v>
      </c>
      <c r="O609" s="174">
        <f>U609*(1+(AG609/100)*(AI609/100-1))</f>
        <v>5684.5844639512197</v>
      </c>
      <c r="P609" s="174"/>
      <c r="Q609" s="174"/>
      <c r="R609" s="175"/>
      <c r="S609" s="173">
        <f>SUM(T609:X609)</f>
        <v>7897.8377017036591</v>
      </c>
      <c r="T609" s="174">
        <f>AL609*AU609</f>
        <v>5055.5454697280493</v>
      </c>
      <c r="U609" s="174">
        <f>AM609*AU609</f>
        <v>2842.2922319756099</v>
      </c>
      <c r="V609" s="174"/>
      <c r="W609" s="174"/>
      <c r="X609" s="175"/>
      <c r="Y609" s="173">
        <f>SUM(Z609:AD609)</f>
        <v>15795.675403407318</v>
      </c>
      <c r="Z609" s="174">
        <f>T609*$D$58/100</f>
        <v>10111.090939456099</v>
      </c>
      <c r="AA609" s="174">
        <f>U609*$D$58/100</f>
        <v>5684.5844639512197</v>
      </c>
      <c r="AB609" s="174"/>
      <c r="AC609" s="174"/>
      <c r="AD609" s="175"/>
      <c r="AE609" s="173">
        <f>AO609*(1-$D$17/100)</f>
        <v>23.942831999999999</v>
      </c>
      <c r="AF609" s="174">
        <f>AP609</f>
        <v>36</v>
      </c>
      <c r="AG609" s="174">
        <f>IF($D$57+AT609&gt;100,100,$D$57+AT609)</f>
        <v>100</v>
      </c>
      <c r="AH609" s="174">
        <f>AQ609</f>
        <v>521</v>
      </c>
      <c r="AI609" s="174">
        <f>$D$58</f>
        <v>200</v>
      </c>
      <c r="AJ609" s="174">
        <f>10/IF(AY609=1,(2.5+AX609),2)</f>
        <v>2.8571428571428572</v>
      </c>
      <c r="AK609" s="174">
        <f>SUM(AL609:AN609)</f>
        <v>7897.8377017036591</v>
      </c>
      <c r="AL609" s="174">
        <f>(H609-1)*(VLOOKUP(C609,$B$36:$AG$39,27,FALSE)+VLOOKUP(C609,$B$40:$AG$43,27,FALSE)*$D$54)*$D$59/100</f>
        <v>5055.5454697280493</v>
      </c>
      <c r="AM609" s="174">
        <f>(VLOOKUP(C609,$B$36:$AG$39,28,FALSE)+VLOOKUP(C609,$B$40:$AG$43,28,FALSE)*$D$54)*$D$59/100</f>
        <v>2842.2922319756099</v>
      </c>
      <c r="AN609" s="174"/>
      <c r="AO609" s="176">
        <v>24</v>
      </c>
      <c r="AP609" s="174">
        <v>36</v>
      </c>
      <c r="AQ609" s="175">
        <f>VLOOKUP(C609,$B$45:$AG$48,27,FALSE)</f>
        <v>521</v>
      </c>
      <c r="AR609" s="31">
        <f>IF(LEFT(E609,1)*1=1,$S$69,$R$69)</f>
        <v>0</v>
      </c>
      <c r="AS609" s="2">
        <f>IF(LEFT(E609,1)*1=2,$U$69,$T$69)</f>
        <v>0</v>
      </c>
      <c r="AT609" s="33">
        <f>IF(LEFT(E609,1)*1=3,$W$69,$V$69)</f>
        <v>100</v>
      </c>
      <c r="AU609" s="31">
        <f>IF(MID(E609,3,1)*1=1,$Y$69,$X$69)</f>
        <v>1</v>
      </c>
      <c r="AV609" s="2">
        <f>IF(MID(E609,3,1)*1=2,$AA$69,$Z$69)</f>
        <v>0</v>
      </c>
      <c r="AW609" s="33">
        <f>IF(MID(E609,3,1)*1=3,$AC$69,$AB$69)</f>
        <v>0</v>
      </c>
      <c r="AX609" s="31">
        <f>IF(MID(E609,5,1)*1=1,$AE$69,$AD$69)</f>
        <v>1</v>
      </c>
      <c r="AY609" s="33">
        <f>IF(MID(E609,5,1)*1=2,$AG$69,$AF$69)</f>
        <v>1</v>
      </c>
      <c r="AZ609" s="2"/>
      <c r="BA609" s="101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</row>
    <row r="610" spans="1:71" ht="12" customHeight="1">
      <c r="A610" s="2"/>
      <c r="B610" s="107">
        <v>290</v>
      </c>
      <c r="C610" s="31">
        <v>10</v>
      </c>
      <c r="D610" s="106" t="s">
        <v>17</v>
      </c>
      <c r="E610" s="2" t="s">
        <v>159</v>
      </c>
      <c r="F610" s="2"/>
      <c r="G610" s="2"/>
      <c r="H610" s="33">
        <f>IF(AT610=1,3,IF(AY610=1,3,2))</f>
        <v>3</v>
      </c>
      <c r="I610" s="173">
        <f>M610/AE610</f>
        <v>541.02740978682664</v>
      </c>
      <c r="J610" s="174">
        <f>AH610/AE610</f>
        <v>34.707673678702669</v>
      </c>
      <c r="K610" s="207">
        <f>RANK(I610,$I$76:$I$977)</f>
        <v>535</v>
      </c>
      <c r="L610" s="208" t="e">
        <f>RANK(I610,$I$76:$I$450)</f>
        <v>#N/A</v>
      </c>
      <c r="M610" s="173">
        <f>SUM(N610:R610)</f>
        <v>4317.9094599737155</v>
      </c>
      <c r="N610" s="174">
        <f>T610*(1+((AG610+IF(F610="백어택",8,0))/100)*((AI610/100-1)))</f>
        <v>1850.532625703021</v>
      </c>
      <c r="O610" s="174">
        <f>U610*(1+(AG610/100)*(AI610/100-1))</f>
        <v>1233.6884171353472</v>
      </c>
      <c r="P610" s="174">
        <f>V610*(1+(AG610/100)*(AI610/100-1))</f>
        <v>1233.6884171353472</v>
      </c>
      <c r="Q610" s="174"/>
      <c r="R610" s="175"/>
      <c r="S610" s="173">
        <f>SUM(T610:X610)</f>
        <v>3270.1960667719518</v>
      </c>
      <c r="T610" s="174">
        <f>AL610*AV610</f>
        <v>1401.5126000451221</v>
      </c>
      <c r="U610" s="174">
        <f>AL610*AW610</f>
        <v>934.34173336341473</v>
      </c>
      <c r="V610" s="174">
        <f>IF(H610=3,AL610,0)*(1+AW610-1+AW610-1)</f>
        <v>934.34173336341473</v>
      </c>
      <c r="W610" s="174"/>
      <c r="X610" s="175"/>
      <c r="Y610" s="173">
        <f>SUM(Z610:AD610)</f>
        <v>8784.0998165246729</v>
      </c>
      <c r="Z610" s="174">
        <f>T610*AI610/100</f>
        <v>3764.6142070820024</v>
      </c>
      <c r="AA610" s="174">
        <f>U610*AI610/100</f>
        <v>2509.7428047213352</v>
      </c>
      <c r="AB610" s="174">
        <f>V610*AI610/100</f>
        <v>2509.7428047213352</v>
      </c>
      <c r="AC610" s="174"/>
      <c r="AD610" s="175"/>
      <c r="AE610" s="173">
        <f>AO610*(1-$D$17/100)</f>
        <v>7.980944</v>
      </c>
      <c r="AF610" s="174">
        <f>AP610</f>
        <v>36</v>
      </c>
      <c r="AG610" s="174">
        <f>IF($D$57&gt;100,100,$D$57)</f>
        <v>19.001300000000001</v>
      </c>
      <c r="AH610" s="174">
        <f>AQ610</f>
        <v>277</v>
      </c>
      <c r="AI610" s="174">
        <f>$D$58+$D$19</f>
        <v>268.61079999999998</v>
      </c>
      <c r="AJ610" s="174">
        <f>10*AR610/IF(AT610=0,IF(AY610=0,8,5),5)</f>
        <v>2</v>
      </c>
      <c r="AK610" s="174">
        <f>H610*SUM(AL610:AN610)</f>
        <v>2803.0252000902442</v>
      </c>
      <c r="AL610" s="174">
        <f>((VLOOKUP(C610,$B$36:$AG$39,24,FALSE)+VLOOKUP(C610,$B$40:$AG$43,24,FALSE)*$D$54))*$D$59/100</f>
        <v>934.34173336341473</v>
      </c>
      <c r="AM610" s="174"/>
      <c r="AN610" s="174"/>
      <c r="AO610" s="176">
        <v>8</v>
      </c>
      <c r="AP610" s="174">
        <v>36</v>
      </c>
      <c r="AQ610" s="175">
        <f>VLOOKUP(C610,$B$45:$AA$48,24,FALSE)</f>
        <v>277</v>
      </c>
      <c r="AR610" s="31">
        <f>IF(LEFT(E610,1)*1=1,$S$67,$R$67)</f>
        <v>1</v>
      </c>
      <c r="AS610" s="2">
        <f>IF(LEFT(E610,1)*1=2,$U$67,$T$67)</f>
        <v>0</v>
      </c>
      <c r="AT610" s="33">
        <f>IF(LEFT(E610,1)*1=3,$W$67,$V$67)</f>
        <v>1</v>
      </c>
      <c r="AU610" s="31">
        <f>IF(MID(E610,3,1)*1=1,$Y$67,$X$67)</f>
        <v>0</v>
      </c>
      <c r="AV610" s="2">
        <f>IF(MID(E610,3,1)*1=2,$AA$67,$Z$67)</f>
        <v>1.5</v>
      </c>
      <c r="AW610" s="33">
        <f>IF(MID(E610,3,1)*1=3,$AC$67,$AB$67)</f>
        <v>1</v>
      </c>
      <c r="AX610" s="31">
        <f>IF(MID(E610,5,1)*1=1,$AE$67,$AD$67)</f>
        <v>150</v>
      </c>
      <c r="AY610" s="33">
        <f>IF(MID(E610,5,1)*1=2,$AG$67,$AF$67)</f>
        <v>0</v>
      </c>
      <c r="AZ610" s="2"/>
      <c r="BA610" s="101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</row>
    <row r="611" spans="1:71" ht="12" customHeight="1">
      <c r="A611" s="2"/>
      <c r="B611" s="107">
        <v>293</v>
      </c>
      <c r="C611" s="31">
        <v>10</v>
      </c>
      <c r="D611" s="106" t="s">
        <v>17</v>
      </c>
      <c r="E611" s="2" t="s">
        <v>95</v>
      </c>
      <c r="F611" s="2"/>
      <c r="G611" s="2"/>
      <c r="H611" s="33">
        <f>IF(AT611=1,3,IF(AY611=1,3,2))</f>
        <v>3</v>
      </c>
      <c r="I611" s="173">
        <f>M611/AE611</f>
        <v>541.02740978682664</v>
      </c>
      <c r="J611" s="174">
        <f>AH611/AE611</f>
        <v>34.707673678702669</v>
      </c>
      <c r="K611" s="207">
        <f>RANK(I611,$I$76:$I$977)</f>
        <v>535</v>
      </c>
      <c r="L611" s="208" t="e">
        <f>RANK(I611,$I$76:$I$450)</f>
        <v>#N/A</v>
      </c>
      <c r="M611" s="173">
        <f>SUM(N611:R611)</f>
        <v>4317.9094599737155</v>
      </c>
      <c r="N611" s="174">
        <f>T611*(1+((AG611+IF(F611="백어택",8,0))/100)*((AI611/100-1)))</f>
        <v>1850.532625703021</v>
      </c>
      <c r="O611" s="174">
        <f>U611*(1+(AG611/100)*(AI611/100-1))</f>
        <v>1233.6884171353472</v>
      </c>
      <c r="P611" s="174">
        <f>V611*(1+(AG611/100)*(AI611/100-1))</f>
        <v>1233.6884171353472</v>
      </c>
      <c r="Q611" s="174"/>
      <c r="R611" s="175"/>
      <c r="S611" s="173">
        <f>SUM(T611:X611)</f>
        <v>3270.1960667719518</v>
      </c>
      <c r="T611" s="174">
        <f>AL611*AV611</f>
        <v>1401.5126000451221</v>
      </c>
      <c r="U611" s="174">
        <f>AL611*AW611</f>
        <v>934.34173336341473</v>
      </c>
      <c r="V611" s="174">
        <f>IF(H611=3,AL611,0)*(1+AW611-1+AW611-1)</f>
        <v>934.34173336341473</v>
      </c>
      <c r="W611" s="174"/>
      <c r="X611" s="175"/>
      <c r="Y611" s="173">
        <f>SUM(Z611:AD611)</f>
        <v>8784.0998165246729</v>
      </c>
      <c r="Z611" s="174">
        <f>T611*AI611/100</f>
        <v>3764.6142070820024</v>
      </c>
      <c r="AA611" s="174">
        <f>U611*AI611/100</f>
        <v>2509.7428047213352</v>
      </c>
      <c r="AB611" s="174">
        <f>V611*AI611/100</f>
        <v>2509.7428047213352</v>
      </c>
      <c r="AC611" s="174"/>
      <c r="AD611" s="175"/>
      <c r="AE611" s="173">
        <f>AO611*(1-$D$17/100)</f>
        <v>7.980944</v>
      </c>
      <c r="AF611" s="174">
        <f>AP611</f>
        <v>36</v>
      </c>
      <c r="AG611" s="174">
        <f>IF($D$57&gt;100,100,$D$57)</f>
        <v>19.001300000000001</v>
      </c>
      <c r="AH611" s="174">
        <f>AQ611</f>
        <v>277</v>
      </c>
      <c r="AI611" s="174">
        <f>$D$58+$D$19</f>
        <v>268.61079999999998</v>
      </c>
      <c r="AJ611" s="174">
        <f>10*AR611/IF(AT611=0,IF(AY611=0,8,5),5)</f>
        <v>2</v>
      </c>
      <c r="AK611" s="174">
        <f>H611*SUM(AL611:AN611)</f>
        <v>2803.0252000902442</v>
      </c>
      <c r="AL611" s="174">
        <f>((VLOOKUP(C611,$B$36:$AG$39,24,FALSE)+VLOOKUP(C611,$B$40:$AG$43,24,FALSE)*$D$54))*$D$59/100</f>
        <v>934.34173336341473</v>
      </c>
      <c r="AM611" s="174"/>
      <c r="AN611" s="174"/>
      <c r="AO611" s="176">
        <v>8</v>
      </c>
      <c r="AP611" s="174">
        <v>36</v>
      </c>
      <c r="AQ611" s="175">
        <f>VLOOKUP(C611,$B$45:$AA$48,24,FALSE)</f>
        <v>277</v>
      </c>
      <c r="AR611" s="31">
        <f>IF(LEFT(E611,1)*1=1,$S$67,$R$67)</f>
        <v>1</v>
      </c>
      <c r="AS611" s="2">
        <f>IF(LEFT(E611,1)*1=2,$U$67,$T$67)</f>
        <v>0</v>
      </c>
      <c r="AT611" s="33">
        <f>IF(LEFT(E611,1)*1=3,$W$67,$V$67)</f>
        <v>0</v>
      </c>
      <c r="AU611" s="31">
        <f>IF(MID(E611,3,1)*1=1,$Y$67,$X$67)</f>
        <v>0</v>
      </c>
      <c r="AV611" s="2">
        <f>IF(MID(E611,3,1)*1=2,$AA$67,$Z$67)</f>
        <v>1.5</v>
      </c>
      <c r="AW611" s="33">
        <f>IF(MID(E611,3,1)*1=3,$AC$67,$AB$67)</f>
        <v>1</v>
      </c>
      <c r="AX611" s="31">
        <f>IF(MID(E611,5,1)*1=1,$AE$67,$AD$67)</f>
        <v>0</v>
      </c>
      <c r="AY611" s="33">
        <f>IF(MID(E611,5,1)*1=2,$AG$67,$AF$67)</f>
        <v>1</v>
      </c>
      <c r="AZ611" s="2"/>
      <c r="BA611" s="101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</row>
    <row r="612" spans="1:71" ht="12" customHeight="1">
      <c r="A612" s="2"/>
      <c r="B612" s="107">
        <v>296</v>
      </c>
      <c r="C612" s="31">
        <v>10</v>
      </c>
      <c r="D612" s="106" t="s">
        <v>17</v>
      </c>
      <c r="E612" s="2" t="s">
        <v>154</v>
      </c>
      <c r="F612" s="2"/>
      <c r="G612" s="2"/>
      <c r="H612" s="33">
        <f>IF(AT612=1,3,IF(AY612=1,3,2))</f>
        <v>3</v>
      </c>
      <c r="I612" s="173">
        <f>M612/AE612</f>
        <v>541.02740978682664</v>
      </c>
      <c r="J612" s="174">
        <f>AH612/AE612</f>
        <v>34.707673678702669</v>
      </c>
      <c r="K612" s="207">
        <f>RANK(I612,$I$76:$I$977)</f>
        <v>535</v>
      </c>
      <c r="L612" s="208" t="e">
        <f>RANK(I612,$I$76:$I$450)</f>
        <v>#N/A</v>
      </c>
      <c r="M612" s="173">
        <f>SUM(N612:R612)</f>
        <v>4317.9094599737155</v>
      </c>
      <c r="N612" s="174">
        <f>T612*(1+((AG612+IF(F612="백어택",8,0))/100)*((AI612/100-1)))</f>
        <v>1850.532625703021</v>
      </c>
      <c r="O612" s="174">
        <f>U612*(1+(AG612/100)*(AI612/100-1))</f>
        <v>1233.6884171353472</v>
      </c>
      <c r="P612" s="174">
        <f>V612*(1+(AG612/100)*(AI612/100-1))</f>
        <v>1233.6884171353472</v>
      </c>
      <c r="Q612" s="174"/>
      <c r="R612" s="175"/>
      <c r="S612" s="173">
        <f>SUM(T612:X612)</f>
        <v>3270.1960667719518</v>
      </c>
      <c r="T612" s="174">
        <f>AL612*AV612</f>
        <v>1401.5126000451221</v>
      </c>
      <c r="U612" s="174">
        <f>AL612*AW612</f>
        <v>934.34173336341473</v>
      </c>
      <c r="V612" s="174">
        <f>IF(H612=3,AL612,0)*(1+AW612-1+AW612-1)</f>
        <v>934.34173336341473</v>
      </c>
      <c r="W612" s="174"/>
      <c r="X612" s="175"/>
      <c r="Y612" s="173">
        <f>SUM(Z612:AD612)</f>
        <v>8784.0998165246729</v>
      </c>
      <c r="Z612" s="174">
        <f>T612*AI612/100</f>
        <v>3764.6142070820024</v>
      </c>
      <c r="AA612" s="174">
        <f>U612*AI612/100</f>
        <v>2509.7428047213352</v>
      </c>
      <c r="AB612" s="174">
        <f>V612*AI612/100</f>
        <v>2509.7428047213352</v>
      </c>
      <c r="AC612" s="174"/>
      <c r="AD612" s="175"/>
      <c r="AE612" s="173">
        <f>AO612*(1-$D$17/100)</f>
        <v>7.980944</v>
      </c>
      <c r="AF612" s="174">
        <f>AP612</f>
        <v>36</v>
      </c>
      <c r="AG612" s="174">
        <f>IF($D$57&gt;100,100,$D$57)</f>
        <v>19.001300000000001</v>
      </c>
      <c r="AH612" s="174">
        <f>AQ612</f>
        <v>277</v>
      </c>
      <c r="AI612" s="174">
        <f>$D$58+$D$19</f>
        <v>268.61079999999998</v>
      </c>
      <c r="AJ612" s="174">
        <f>10*AR612/IF(AT612=0,IF(AY612=0,8,5),5)</f>
        <v>1.6</v>
      </c>
      <c r="AK612" s="174">
        <f>H612*SUM(AL612:AN612)</f>
        <v>2803.0252000902442</v>
      </c>
      <c r="AL612" s="174">
        <f>((VLOOKUP(C612,$B$36:$AG$39,24,FALSE)+VLOOKUP(C612,$B$40:$AG$43,24,FALSE)*$D$54))*$D$59/100</f>
        <v>934.34173336341473</v>
      </c>
      <c r="AM612" s="174"/>
      <c r="AN612" s="174"/>
      <c r="AO612" s="176">
        <v>8</v>
      </c>
      <c r="AP612" s="174">
        <v>36</v>
      </c>
      <c r="AQ612" s="175">
        <f>VLOOKUP(C612,$B$45:$AA$48,24,FALSE)</f>
        <v>277</v>
      </c>
      <c r="AR612" s="31">
        <f>IF(LEFT(E612,1)*1=1,$S$67,$R$67)</f>
        <v>0.8</v>
      </c>
      <c r="AS612" s="2">
        <f>IF(LEFT(E612,1)*1=2,$U$67,$T$67)</f>
        <v>0</v>
      </c>
      <c r="AT612" s="33">
        <f>IF(LEFT(E612,1)*1=3,$W$67,$V$67)</f>
        <v>0</v>
      </c>
      <c r="AU612" s="31">
        <f>IF(MID(E612,3,1)*1=1,$Y$67,$X$67)</f>
        <v>0</v>
      </c>
      <c r="AV612" s="2">
        <f>IF(MID(E612,3,1)*1=2,$AA$67,$Z$67)</f>
        <v>1.5</v>
      </c>
      <c r="AW612" s="33">
        <f>IF(MID(E612,3,1)*1=3,$AC$67,$AB$67)</f>
        <v>1</v>
      </c>
      <c r="AX612" s="31">
        <f>IF(MID(E612,5,1)*1=1,$AE$67,$AD$67)</f>
        <v>0</v>
      </c>
      <c r="AY612" s="33">
        <f>IF(MID(E612,5,1)*1=2,$AG$67,$AF$67)</f>
        <v>1</v>
      </c>
      <c r="AZ612" s="2"/>
      <c r="BA612" s="101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</row>
    <row r="613" spans="1:71" ht="12" customHeight="1">
      <c r="A613" s="2"/>
      <c r="B613" s="107">
        <v>299</v>
      </c>
      <c r="C613" s="31">
        <v>10</v>
      </c>
      <c r="D613" s="106" t="s">
        <v>17</v>
      </c>
      <c r="E613" s="2" t="s">
        <v>132</v>
      </c>
      <c r="F613" s="2"/>
      <c r="G613" s="2"/>
      <c r="H613" s="33">
        <f>IF(AT613=1,3,IF(AY613=1,3,2))</f>
        <v>3</v>
      </c>
      <c r="I613" s="173">
        <f>M613/AE613</f>
        <v>541.02740978682664</v>
      </c>
      <c r="J613" s="174">
        <f>AH613/AE613</f>
        <v>34.707673678702669</v>
      </c>
      <c r="K613" s="207">
        <f>RANK(I613,$I$76:$I$977)</f>
        <v>535</v>
      </c>
      <c r="L613" s="208" t="e">
        <f>RANK(I613,$I$76:$I$450)</f>
        <v>#N/A</v>
      </c>
      <c r="M613" s="173">
        <f>SUM(N613:R613)</f>
        <v>4317.9094599737155</v>
      </c>
      <c r="N613" s="174">
        <f>T613*(1+((AG613+IF(F613="백어택",8,0))/100)*((AI613/100-1)))</f>
        <v>1850.532625703021</v>
      </c>
      <c r="O613" s="174">
        <f>U613*(1+(AG613/100)*(AI613/100-1))</f>
        <v>1233.6884171353472</v>
      </c>
      <c r="P613" s="174">
        <f>V613*(1+(AG613/100)*(AI613/100-1))</f>
        <v>1233.6884171353472</v>
      </c>
      <c r="Q613" s="174"/>
      <c r="R613" s="175"/>
      <c r="S613" s="173">
        <f>SUM(T613:X613)</f>
        <v>3270.1960667719518</v>
      </c>
      <c r="T613" s="174">
        <f>AL613*AV613</f>
        <v>1401.5126000451221</v>
      </c>
      <c r="U613" s="174">
        <f>AL613*AW613</f>
        <v>934.34173336341473</v>
      </c>
      <c r="V613" s="174">
        <f>IF(H613=3,AL613,0)*(1+AW613-1+AW613-1)</f>
        <v>934.34173336341473</v>
      </c>
      <c r="W613" s="174"/>
      <c r="X613" s="175"/>
      <c r="Y613" s="173">
        <f>SUM(Z613:AD613)</f>
        <v>8784.0998165246729</v>
      </c>
      <c r="Z613" s="174">
        <f>T613*AI613/100</f>
        <v>3764.6142070820024</v>
      </c>
      <c r="AA613" s="174">
        <f>U613*AI613/100</f>
        <v>2509.7428047213352</v>
      </c>
      <c r="AB613" s="174">
        <f>V613*AI613/100</f>
        <v>2509.7428047213352</v>
      </c>
      <c r="AC613" s="174"/>
      <c r="AD613" s="175"/>
      <c r="AE613" s="173">
        <f>AO613*(1-$D$17/100)</f>
        <v>7.980944</v>
      </c>
      <c r="AF613" s="174">
        <f>AP613</f>
        <v>36</v>
      </c>
      <c r="AG613" s="174">
        <f>IF($D$57&gt;100,100,$D$57)</f>
        <v>19.001300000000001</v>
      </c>
      <c r="AH613" s="174">
        <f>AQ613</f>
        <v>277</v>
      </c>
      <c r="AI613" s="174">
        <f>$D$58+$D$19</f>
        <v>268.61079999999998</v>
      </c>
      <c r="AJ613" s="174">
        <f>10*AR613/IF(AT613=0,IF(AY613=0,8,5),5)</f>
        <v>2</v>
      </c>
      <c r="AK613" s="174">
        <f>H613*SUM(AL613:AN613)</f>
        <v>2803.0252000902442</v>
      </c>
      <c r="AL613" s="174">
        <f>((VLOOKUP(C613,$B$36:$AG$39,24,FALSE)+VLOOKUP(C613,$B$40:$AG$43,24,FALSE)*$D$54))*$D$59/100</f>
        <v>934.34173336341473</v>
      </c>
      <c r="AM613" s="174"/>
      <c r="AN613" s="174"/>
      <c r="AO613" s="176">
        <v>8</v>
      </c>
      <c r="AP613" s="174">
        <v>36</v>
      </c>
      <c r="AQ613" s="175">
        <f>VLOOKUP(C613,$B$45:$AA$48,24,FALSE)</f>
        <v>277</v>
      </c>
      <c r="AR613" s="31">
        <f>IF(LEFT(E613,1)*1=1,$S$67,$R$67)</f>
        <v>1</v>
      </c>
      <c r="AS613" s="2">
        <f>IF(LEFT(E613,1)*1=2,$U$67,$T$67)</f>
        <v>0</v>
      </c>
      <c r="AT613" s="33">
        <f>IF(LEFT(E613,1)*1=3,$W$67,$V$67)</f>
        <v>1</v>
      </c>
      <c r="AU613" s="31">
        <f>IF(MID(E613,3,1)*1=1,$Y$67,$X$67)</f>
        <v>0</v>
      </c>
      <c r="AV613" s="2">
        <f>IF(MID(E613,3,1)*1=2,$AA$67,$Z$67)</f>
        <v>1.5</v>
      </c>
      <c r="AW613" s="33">
        <f>IF(MID(E613,3,1)*1=3,$AC$67,$AB$67)</f>
        <v>1</v>
      </c>
      <c r="AX613" s="31">
        <f>IF(MID(E613,5,1)*1=1,$AE$67,$AD$67)</f>
        <v>0</v>
      </c>
      <c r="AY613" s="33">
        <f>IF(MID(E613,5,1)*1=2,$AG$67,$AF$67)</f>
        <v>1</v>
      </c>
      <c r="AZ613" s="2"/>
      <c r="BA613" s="101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</row>
    <row r="614" spans="1:71" ht="12" customHeight="1">
      <c r="A614" s="2"/>
      <c r="B614" s="107">
        <v>391</v>
      </c>
      <c r="C614" s="31">
        <v>7</v>
      </c>
      <c r="D614" s="111" t="s">
        <v>8</v>
      </c>
      <c r="E614" s="2" t="s">
        <v>148</v>
      </c>
      <c r="F614" s="2"/>
      <c r="G614" s="2"/>
      <c r="H614" s="33" t="s">
        <v>81</v>
      </c>
      <c r="I614" s="173">
        <f>M614/AE614</f>
        <v>539.46226846950708</v>
      </c>
      <c r="J614" s="174">
        <f>AH614/AE614</f>
        <v>19.637781784066725</v>
      </c>
      <c r="K614" s="207">
        <f>RANK(I614,$I$76:$I$977)</f>
        <v>539</v>
      </c>
      <c r="L614" s="208">
        <f>RANK(I614,$I$451:$I$866)</f>
        <v>164</v>
      </c>
      <c r="M614" s="173">
        <f>SUM(N614:R614)</f>
        <v>9971.8392641125665</v>
      </c>
      <c r="N614" s="174">
        <f>T614*(1+((AG614+IF(F614="백어택",8,0))/100)*(IF(AY614=1,$D$58,$D$58+50)/100-1))</f>
        <v>4378.5952953381711</v>
      </c>
      <c r="O614" s="174">
        <f>U614*(1+((AG614+IF(F614="백어택",8,0))/100)*(AI614/100-1))</f>
        <v>5593.2439687743954</v>
      </c>
      <c r="P614" s="174">
        <f>V614*(1+((AG614+IF(F614="백어택",8,0))/100)*(AI614/100-1))</f>
        <v>0</v>
      </c>
      <c r="Q614" s="174"/>
      <c r="R614" s="175"/>
      <c r="S614" s="173">
        <f>SUM(T614:X614)</f>
        <v>8379.6053186919526</v>
      </c>
      <c r="T614" s="174">
        <f>AL614*IF(H614="근접",AR614,1)*AY614*IF(F614="백어택",1.2,1)</f>
        <v>3679.4516491317077</v>
      </c>
      <c r="U614" s="174">
        <f>AM614*IF(H614="근접",AR614,1)*AY614*IF(F614="백어택",1.2,1)</f>
        <v>4700.1536695602445</v>
      </c>
      <c r="V614" s="174">
        <f>IF(AX614=1,0,AM614*IF(H614="근접",AR614,1)*AY614)*IF(F614="백어택",1.2,1)</f>
        <v>0</v>
      </c>
      <c r="W614" s="174"/>
      <c r="X614" s="175"/>
      <c r="Y614" s="173">
        <f>SUM(Z614:AD614)</f>
        <v>16759.210637383905</v>
      </c>
      <c r="Z614" s="174">
        <f>T614*IF(AY614=1,$D$58,$D$58+50)/100</f>
        <v>7358.9032982634144</v>
      </c>
      <c r="AA614" s="174">
        <f>U614*AI614/100</f>
        <v>9400.3073391204889</v>
      </c>
      <c r="AB614" s="174">
        <f>V614*AI614/100</f>
        <v>0</v>
      </c>
      <c r="AC614" s="174"/>
      <c r="AD614" s="175"/>
      <c r="AE614" s="173">
        <f>AO614*(1-$D$20/100)*(1-$D$17/100)</f>
        <v>18.484776131615998</v>
      </c>
      <c r="AF614" s="174">
        <f>AP614</f>
        <v>36</v>
      </c>
      <c r="AG614" s="174">
        <f>IF($D$57+AU614&gt;100,100,$D$57+AU614)</f>
        <v>19.001300000000001</v>
      </c>
      <c r="AH614" s="174">
        <f>IF(AX614=1,AQ614,AQ614*1.4)</f>
        <v>363</v>
      </c>
      <c r="AI614" s="174">
        <f>IF(AY614=1,$D$58,$D$58+50)*AW614</f>
        <v>200</v>
      </c>
      <c r="AJ614" s="174">
        <f>10/6/AX614</f>
        <v>1.6666666666666667</v>
      </c>
      <c r="AK614" s="174">
        <f>SUM(AL614:AN614)</f>
        <v>6983.0044322432941</v>
      </c>
      <c r="AL614" s="174">
        <f>(IF(H614="근접",$D$61*(VLOOKUP(C614,$B$36:$AG$39,9,FALSE)+VLOOKUP(C614,$B$40:$AG$43,9,FALSE)*$D$54),$D$60*(VLOOKUP(C614,$B$36:$AG$39,9,FALSE)+VLOOKUP(C614,$B$40:$AG$43,9,FALSE)*$D$54)))*$D$59/100</f>
        <v>3066.2097076097566</v>
      </c>
      <c r="AM614" s="174">
        <f>(IF(H614="근접",$D$61*(VLOOKUP(C614,$B$36:$AG$39,10,FALSE)+VLOOKUP(C614,$B$40:$AG$43,10,FALSE)*$D$54),$D$60*(VLOOKUP(C614,$B$36:$AG$39,10,FALSE)+VLOOKUP(C614,$B$40:$AG$43,10,FALSE)*$D$54)))*$D$59/100</f>
        <v>3916.7947246335375</v>
      </c>
      <c r="AN614" s="174"/>
      <c r="AO614" s="176">
        <v>24</v>
      </c>
      <c r="AP614" s="174">
        <v>36</v>
      </c>
      <c r="AQ614" s="175">
        <f>VLOOKUP(C614,$B$45:$AA$48,9,FALSE)</f>
        <v>363</v>
      </c>
      <c r="AR614" s="31">
        <f>IF(LEFT(E614,1)*1=1,$S$58,$R$58)</f>
        <v>1.2</v>
      </c>
      <c r="AS614" s="2">
        <f>IF(LEFT(E614,1)*1=2,$U$58,$T$58)</f>
        <v>0</v>
      </c>
      <c r="AT614" s="33">
        <f>IF(LEFT(E614,1)*1=3,$W$58,$V$58)</f>
        <v>0</v>
      </c>
      <c r="AU614" s="31">
        <f>IF(MID(E614,3,1)*1=1,$Y$58,$X$58)</f>
        <v>0</v>
      </c>
      <c r="AV614" s="2">
        <f>IF(MID(E614,3,1)*1=2,$AA$58,$Z$58)</f>
        <v>0</v>
      </c>
      <c r="AW614" s="33">
        <f>IF(MID(E614,3,1)*1=3,$AC$58,$AB$58)</f>
        <v>1</v>
      </c>
      <c r="AX614" s="31">
        <f>IF(MID(E614,5,1)*1=1,$AE$58,$AD$58)</f>
        <v>1</v>
      </c>
      <c r="AY614" s="33">
        <f>IF(MID(E614,5,1)*1=2,$AG$58,$AF$58)</f>
        <v>1</v>
      </c>
      <c r="AZ614" s="2"/>
      <c r="BA614" s="101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</row>
    <row r="615" spans="1:71" ht="12" customHeight="1">
      <c r="A615" s="2"/>
      <c r="B615" s="107">
        <v>334</v>
      </c>
      <c r="C615" s="31">
        <v>7</v>
      </c>
      <c r="D615" s="106" t="s">
        <v>20</v>
      </c>
      <c r="E615" s="2" t="s">
        <v>89</v>
      </c>
      <c r="F615" s="2" t="s">
        <v>149</v>
      </c>
      <c r="G615" s="2"/>
      <c r="H615" s="33"/>
      <c r="I615" s="173">
        <f>M615/AE615</f>
        <v>538.7091865220317</v>
      </c>
      <c r="J615" s="174">
        <f>AH615/AE615</f>
        <v>17.096278891876004</v>
      </c>
      <c r="K615" s="207">
        <f>RANK(I615,$I$76:$I$977)</f>
        <v>540</v>
      </c>
      <c r="L615" s="208" t="e">
        <f>RANK(I615,$I$76:$I$450)</f>
        <v>#N/A</v>
      </c>
      <c r="M615" s="173">
        <f>SUM(N615:R615)</f>
        <v>9673.6676623152525</v>
      </c>
      <c r="N615" s="174">
        <f>T615*(1+((AG615+IF(F615="백어택",8,0))/100)*((AI615/100-1)))</f>
        <v>6115.9963781791357</v>
      </c>
      <c r="O615" s="174">
        <f>U615*(1+(($D$57+IF(F615="백어택",8,0))/100)*($D$58/100-1))</f>
        <v>3557.6712841361177</v>
      </c>
      <c r="P615" s="174"/>
      <c r="Q615" s="174"/>
      <c r="R615" s="175"/>
      <c r="S615" s="173">
        <f>SUM(T615:X615)</f>
        <v>7003.938242915855</v>
      </c>
      <c r="T615" s="174">
        <f>AL615*AV615*IF(F615="백어택",1.2,1)</f>
        <v>4202.6509457495131</v>
      </c>
      <c r="U615" s="174">
        <f>AM615*AX615*AY615*IF(F615="백어택",1.2,1)</f>
        <v>2801.2872971663419</v>
      </c>
      <c r="V615" s="174"/>
      <c r="W615" s="174"/>
      <c r="X615" s="175"/>
      <c r="Y615" s="173">
        <f>SUM(Z615:AD615)</f>
        <v>14007.87648583171</v>
      </c>
      <c r="Z615" s="174">
        <f>T615*$D$58/100</f>
        <v>8405.3018914990262</v>
      </c>
      <c r="AA615" s="174">
        <f>U615*$D$58/100</f>
        <v>5602.5745943326838</v>
      </c>
      <c r="AB615" s="174"/>
      <c r="AC615" s="174"/>
      <c r="AD615" s="175"/>
      <c r="AE615" s="173">
        <f>AO615*(1-$D$17/100)-AR615</f>
        <v>17.957124</v>
      </c>
      <c r="AF615" s="174">
        <f>AP615</f>
        <v>36</v>
      </c>
      <c r="AG615" s="174">
        <f>IF($D$57+AU615&gt;100,100,$D$57+AU615)</f>
        <v>19.001300000000001</v>
      </c>
      <c r="AH615" s="174">
        <f>AQ615*AS615</f>
        <v>307</v>
      </c>
      <c r="AI615" s="174">
        <f>$D$58+$D$19</f>
        <v>268.61079999999998</v>
      </c>
      <c r="AJ615" s="174">
        <f>10*IF(AV615=1,1,5/4.5)/IF(AX615=1,5,3.5)</f>
        <v>2.2222222222222223</v>
      </c>
      <c r="AK615" s="174">
        <f>SUM(AL615:AN615)</f>
        <v>4669.212161943904</v>
      </c>
      <c r="AL615" s="174">
        <f>(VLOOKUP(C615,$B$36:$AG$39,29,FALSE)+VLOOKUP(C615,$B$40:$AG$43,29,FALSE)*$D$54)*$D$59/100</f>
        <v>2334.8060809719518</v>
      </c>
      <c r="AM615" s="174">
        <f>(VLOOKUP(C615,$B$36:$AG$39,30,FALSE)+VLOOKUP(C615,$B$40:$AG$43,30,FALSE)*$D$54)*$D$59/100</f>
        <v>2334.4060809719517</v>
      </c>
      <c r="AN615" s="174"/>
      <c r="AO615" s="176">
        <v>18</v>
      </c>
      <c r="AP615" s="174">
        <v>36</v>
      </c>
      <c r="AQ615" s="175">
        <f>VLOOKUP(C615,$B$45:$AG$48,29,FALSE)</f>
        <v>307</v>
      </c>
      <c r="AR615" s="31">
        <f>IF(LEFT(E615,1)*1=1,$S$70,$R$70)</f>
        <v>0</v>
      </c>
      <c r="AS615" s="2">
        <f>IF(LEFT(E615,1)*1=2,$U$70,$T$70)</f>
        <v>1</v>
      </c>
      <c r="AT615" s="33">
        <f>IF(LEFT(E615,1)*1=3,$W$70,$V$70)</f>
        <v>0</v>
      </c>
      <c r="AU615" s="31">
        <f>IF(MID(E615,3,1)*1=1,$Y$70,$X$70)</f>
        <v>0</v>
      </c>
      <c r="AV615" s="2">
        <f>IF(MID(E615,3,1)*1=2,$AA$70,$Z$70)</f>
        <v>1.5</v>
      </c>
      <c r="AW615" s="33">
        <f>IF(MID(E615,3,1)*1=3,$AC$70,$AB$70)</f>
        <v>0</v>
      </c>
      <c r="AX615" s="31">
        <f>IF(MID(E615,5,1)*1=1,$AE$70,$AD$70)</f>
        <v>1</v>
      </c>
      <c r="AY615" s="33">
        <f>IF(MID(E615,5,1)*1=2,$AG$70,$AF$70)</f>
        <v>1</v>
      </c>
      <c r="AZ615" s="2"/>
      <c r="BA615" s="101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</row>
    <row r="616" spans="1:71" ht="12" customHeight="1">
      <c r="A616" s="2"/>
      <c r="B616" s="107">
        <v>340</v>
      </c>
      <c r="C616" s="31">
        <v>7</v>
      </c>
      <c r="D616" s="106" t="s">
        <v>20</v>
      </c>
      <c r="E616" s="2" t="s">
        <v>101</v>
      </c>
      <c r="F616" s="2" t="s">
        <v>149</v>
      </c>
      <c r="G616" s="2"/>
      <c r="H616" s="33"/>
      <c r="I616" s="173">
        <f>M616/AE616</f>
        <v>538.7091865220317</v>
      </c>
      <c r="J616" s="174">
        <f>AH616/AE616</f>
        <v>8.548139445938002</v>
      </c>
      <c r="K616" s="207">
        <f>RANK(I616,$I$76:$I$977)</f>
        <v>540</v>
      </c>
      <c r="L616" s="208" t="e">
        <f>RANK(I616,$I$76:$I$450)</f>
        <v>#N/A</v>
      </c>
      <c r="M616" s="173">
        <f>SUM(N616:R616)</f>
        <v>9673.6676623152525</v>
      </c>
      <c r="N616" s="174">
        <f>T616*(1+((AG616+IF(F616="백어택",8,0))/100)*((AI616/100-1)))</f>
        <v>6115.9963781791357</v>
      </c>
      <c r="O616" s="174">
        <f>U616*(1+(($D$57+IF(F616="백어택",8,0))/100)*($D$58/100-1))</f>
        <v>3557.6712841361177</v>
      </c>
      <c r="P616" s="174"/>
      <c r="Q616" s="174"/>
      <c r="R616" s="175"/>
      <c r="S616" s="173">
        <f>SUM(T616:X616)</f>
        <v>7003.938242915855</v>
      </c>
      <c r="T616" s="174">
        <f>AL616*AV616*IF(F616="백어택",1.2,1)</f>
        <v>4202.6509457495131</v>
      </c>
      <c r="U616" s="174">
        <f>AM616*AX616*AY616*IF(F616="백어택",1.2,1)</f>
        <v>2801.2872971663419</v>
      </c>
      <c r="V616" s="174"/>
      <c r="W616" s="174"/>
      <c r="X616" s="175"/>
      <c r="Y616" s="173">
        <f>SUM(Z616:AD616)</f>
        <v>14007.87648583171</v>
      </c>
      <c r="Z616" s="174">
        <f>T616*$D$58/100</f>
        <v>8405.3018914990262</v>
      </c>
      <c r="AA616" s="174">
        <f>U616*$D$58/100</f>
        <v>5602.5745943326838</v>
      </c>
      <c r="AB616" s="174"/>
      <c r="AC616" s="174"/>
      <c r="AD616" s="175"/>
      <c r="AE616" s="173">
        <f>AO616*(1-$D$17/100)-AR616</f>
        <v>17.957124</v>
      </c>
      <c r="AF616" s="174">
        <f>AP616</f>
        <v>36</v>
      </c>
      <c r="AG616" s="174">
        <f>IF($D$57+AU616&gt;100,100,$D$57+AU616)</f>
        <v>19.001300000000001</v>
      </c>
      <c r="AH616" s="174">
        <f>AQ616*AS616</f>
        <v>153.5</v>
      </c>
      <c r="AI616" s="174">
        <f>$D$58+$D$19</f>
        <v>268.61079999999998</v>
      </c>
      <c r="AJ616" s="174">
        <f>10*IF(AV616=1,1,5/4.5)/IF(AX616=1,5,3.5)</f>
        <v>2.2222222222222223</v>
      </c>
      <c r="AK616" s="174">
        <f>SUM(AL616:AN616)</f>
        <v>4669.212161943904</v>
      </c>
      <c r="AL616" s="174">
        <f>(VLOOKUP(C616,$B$36:$AG$39,29,FALSE)+VLOOKUP(C616,$B$40:$AG$43,29,FALSE)*$D$54)*$D$59/100</f>
        <v>2334.8060809719518</v>
      </c>
      <c r="AM616" s="174">
        <f>(VLOOKUP(C616,$B$36:$AG$39,30,FALSE)+VLOOKUP(C616,$B$40:$AG$43,30,FALSE)*$D$54)*$D$59/100</f>
        <v>2334.4060809719517</v>
      </c>
      <c r="AN616" s="174"/>
      <c r="AO616" s="176">
        <v>18</v>
      </c>
      <c r="AP616" s="174">
        <v>36</v>
      </c>
      <c r="AQ616" s="175">
        <f>VLOOKUP(C616,$B$45:$AG$48,29,FALSE)</f>
        <v>307</v>
      </c>
      <c r="AR616" s="31">
        <f>IF(LEFT(E616,1)*1=1,$S$70,$R$70)</f>
        <v>0</v>
      </c>
      <c r="AS616" s="2">
        <f>IF(LEFT(E616,1)*1=2,$U$70,$T$70)</f>
        <v>0.5</v>
      </c>
      <c r="AT616" s="33">
        <f>IF(LEFT(E616,1)*1=3,$W$70,$V$70)</f>
        <v>0</v>
      </c>
      <c r="AU616" s="31">
        <f>IF(MID(E616,3,1)*1=1,$Y$70,$X$70)</f>
        <v>0</v>
      </c>
      <c r="AV616" s="2">
        <f>IF(MID(E616,3,1)*1=2,$AA$70,$Z$70)</f>
        <v>1.5</v>
      </c>
      <c r="AW616" s="33">
        <f>IF(MID(E616,3,1)*1=3,$AC$70,$AB$70)</f>
        <v>0</v>
      </c>
      <c r="AX616" s="31">
        <f>IF(MID(E616,5,1)*1=1,$AE$70,$AD$70)</f>
        <v>1</v>
      </c>
      <c r="AY616" s="33">
        <f>IF(MID(E616,5,1)*1=2,$AG$70,$AF$70)</f>
        <v>1</v>
      </c>
      <c r="AZ616" s="2"/>
      <c r="BA616" s="101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</row>
    <row r="617" spans="1:71" ht="12" customHeight="1">
      <c r="A617" s="2"/>
      <c r="B617" s="107">
        <v>503</v>
      </c>
      <c r="C617" s="31">
        <v>7</v>
      </c>
      <c r="D617" s="111" t="s">
        <v>14</v>
      </c>
      <c r="E617" s="2" t="s">
        <v>148</v>
      </c>
      <c r="F617" s="2"/>
      <c r="G617" s="2"/>
      <c r="H617" s="33" t="s">
        <v>81</v>
      </c>
      <c r="I617" s="173">
        <f>M617/AE617</f>
        <v>537.55424559930668</v>
      </c>
      <c r="J617" s="174">
        <f>AH617/AE617</f>
        <v>16.518097441877977</v>
      </c>
      <c r="K617" s="207">
        <f>RANK(I617,$I$76:$I$977)</f>
        <v>542</v>
      </c>
      <c r="L617" s="208">
        <f>RANK(I617,$I$451:$I$866)</f>
        <v>167</v>
      </c>
      <c r="M617" s="173">
        <f>SUM(N617:R617)</f>
        <v>14904.854832754365</v>
      </c>
      <c r="N617" s="174">
        <f>T617*(1+((AG617+IF(F617="백어택",8,0))/100)*(AI617/100-1))</f>
        <v>4448.4567323842075</v>
      </c>
      <c r="O617" s="174">
        <f>U617*(1+((AG617+IF(F617="백어택",8,0))/100)*(AI617/100-1))</f>
        <v>4448.4567323842075</v>
      </c>
      <c r="P617" s="174">
        <f>V617*(1+((AG617+IF(F617="백어택",8,0))/100)*(AI617*IF(AX617=1,AW617,1)/100-1))</f>
        <v>6007.941367985949</v>
      </c>
      <c r="Q617" s="174">
        <f>W617*(1+((AG617+IF(F617="백어택",8,0))/100)*(AI617*AW617/100-1))</f>
        <v>0</v>
      </c>
      <c r="R617" s="175"/>
      <c r="S617" s="173">
        <f>SUM(T617:X617)</f>
        <v>11598.932804330489</v>
      </c>
      <c r="T617" s="174">
        <f>AL617*AY617*IF(F617="백어택",1.2,1)</f>
        <v>3461.7815001128056</v>
      </c>
      <c r="U617" s="174">
        <f>AM617*AY617*IF(F617="백어택",1.2,1)</f>
        <v>3461.7815001128056</v>
      </c>
      <c r="V617" s="174">
        <f>AN617*AY617*IF(F617="백어택",1.2,1)</f>
        <v>4675.3698041048783</v>
      </c>
      <c r="W617" s="174">
        <f>(T617+U617+V617)*IF(AX617=1,0,0.6)*IF(F617="백어택",1.2,1)</f>
        <v>0</v>
      </c>
      <c r="X617" s="175"/>
      <c r="Y617" s="173">
        <f>SUM(Z617:AD617)</f>
        <v>28997.332010826223</v>
      </c>
      <c r="Z617" s="174">
        <f>T617*AI617/100</f>
        <v>8654.4537502820131</v>
      </c>
      <c r="AA617" s="174">
        <f>U617*AI617/100</f>
        <v>8654.4537502820131</v>
      </c>
      <c r="AB617" s="174">
        <f>V617*AI617*IF(AX617=1,AW617,1)/100</f>
        <v>11688.424510262197</v>
      </c>
      <c r="AC617" s="174">
        <f>W617*AI617*AW617/100</f>
        <v>0</v>
      </c>
      <c r="AD617" s="175"/>
      <c r="AE617" s="173">
        <f>AO617*(1-$D$20/100)*(1-$D$17/100)</f>
        <v>27.727164197424003</v>
      </c>
      <c r="AF617" s="174">
        <f>AP617</f>
        <v>36</v>
      </c>
      <c r="AG617" s="174">
        <f>IF($D$57+AU617&gt;100,100,$D$57+AU617)</f>
        <v>19.001300000000001</v>
      </c>
      <c r="AH617" s="174">
        <f>AQ617*AS617</f>
        <v>458</v>
      </c>
      <c r="AI617" s="174">
        <f>$D$58+IF(H617="근접",AR617,0)+IF(AY617=1,0,50)</f>
        <v>250</v>
      </c>
      <c r="AJ617" s="174">
        <f>10/3</f>
        <v>3.3333333333333335</v>
      </c>
      <c r="AK617" s="174">
        <f>SUM(AL617:AN617)</f>
        <v>11598.932804330489</v>
      </c>
      <c r="AL617" s="174">
        <f>(IF(H617="근접",$D$61*(VLOOKUP(C617,$B$36:$AG$39,19,FALSE)+VLOOKUP(C617,$B$40:$AG$43,19,FALSE)*$D$54),$D$60*(VLOOKUP(C617,$B$36:$AG$39,19,FALSE)+VLOOKUP(C617,$B$40:$AG$43,19,FALSE)*$D$54)))*$D$59/100</f>
        <v>3461.7815001128056</v>
      </c>
      <c r="AM617" s="174">
        <f>(IF(H617="근접",$D$61*(VLOOKUP(C617,$B$36:$AG$39,20,FALSE)+VLOOKUP(C617,$B$40:$AG$43,20,FALSE)*$D$54),$D$60*(VLOOKUP(C617,$B$36:$AG$39,20,FALSE)+VLOOKUP(C617,$B$40:$AG$43,20,FALSE)*$D$54)))*$D$59/100</f>
        <v>3461.7815001128056</v>
      </c>
      <c r="AN617" s="174">
        <f>(IF(H617="근접",$D$61*(VLOOKUP(C617,$B$36:$AG$39,21,FALSE)+VLOOKUP(C617,$B$40:$AG$43,21,FALSE)*$D$54),$D$60*(VLOOKUP(C617,$B$36:$AG$39,21,FALSE)+VLOOKUP(C617,$B$40:$AG$43,21,FALSE)*$D$54)))*$D$59/100</f>
        <v>4675.3698041048783</v>
      </c>
      <c r="AO617" s="176">
        <v>36</v>
      </c>
      <c r="AP617" s="174">
        <v>36</v>
      </c>
      <c r="AQ617" s="175">
        <f>VLOOKUP(C617,$B$45:$AA$48,19,FALSE)</f>
        <v>458</v>
      </c>
      <c r="AR617" s="31">
        <f>IF(LEFT(E617,1)*1=1,$S$64,$R$64)</f>
        <v>50</v>
      </c>
      <c r="AS617" s="2">
        <f>IF(LEFT(E617,1)*1=2,$U$64,$T$64)</f>
        <v>1</v>
      </c>
      <c r="AT617" s="33">
        <f>IF(LEFT(E617,1)*1=3,$W$64,$V$64)</f>
        <v>0</v>
      </c>
      <c r="AU617" s="31">
        <f>IF(MID(E617,3,1)*1=1,$Y$64,$X$64)</f>
        <v>0</v>
      </c>
      <c r="AV617" s="2">
        <f>IF(MID(E617,3,1)*1=2,$AA$64,$Z$64)</f>
        <v>0</v>
      </c>
      <c r="AW617" s="33">
        <f>IF(MID(E617,3,1)*1=3,$AC$64,$AB$64)</f>
        <v>1</v>
      </c>
      <c r="AX617" s="31">
        <f>IF(MID(E617,5,1)*1=1,$AE$64,$AD$64)</f>
        <v>1</v>
      </c>
      <c r="AY617" s="33">
        <f>IF(MID(E617,5,1)*1=2,$AG$64,$AF$64)</f>
        <v>1</v>
      </c>
      <c r="AZ617" s="2"/>
      <c r="BA617" s="101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</row>
    <row r="618" spans="1:71" ht="12" customHeight="1">
      <c r="A618" s="2"/>
      <c r="B618" s="107">
        <v>466</v>
      </c>
      <c r="C618" s="31">
        <v>10</v>
      </c>
      <c r="D618" s="111" t="s">
        <v>11</v>
      </c>
      <c r="E618" s="2" t="s">
        <v>144</v>
      </c>
      <c r="F618" s="2"/>
      <c r="G618" s="2"/>
      <c r="H618" s="33">
        <f>IF(AX618=1,5,1)</f>
        <v>1</v>
      </c>
      <c r="I618" s="173">
        <f>M618/AE618</f>
        <v>537.21876082403912</v>
      </c>
      <c r="J618" s="174">
        <f>AH618/AE618</f>
        <v>25.621083892380163</v>
      </c>
      <c r="K618" s="207">
        <f>RANK(I618,$I$76:$I$977)</f>
        <v>543</v>
      </c>
      <c r="L618" s="208">
        <f>RANK(I618,$I$451:$I$866)</f>
        <v>168</v>
      </c>
      <c r="M618" s="173">
        <f>SUM(N618:R618)</f>
        <v>12412.960659420654</v>
      </c>
      <c r="N618" s="174">
        <f>T618*(1+(AG618/100)*(AI618/100-1))</f>
        <v>11638.605014525428</v>
      </c>
      <c r="O618" s="174">
        <f>U618*(1+(AG618/100)*(AI618/100-1))</f>
        <v>774.35564489522528</v>
      </c>
      <c r="P618" s="174"/>
      <c r="Q618" s="174"/>
      <c r="R618" s="175"/>
      <c r="S618" s="173">
        <f>T618</f>
        <v>9780.2335054536616</v>
      </c>
      <c r="T618" s="174">
        <f>H618*AL618*AX618</f>
        <v>9780.2335054536616</v>
      </c>
      <c r="U618" s="174">
        <f>AM618*AV618</f>
        <v>650.71192070609754</v>
      </c>
      <c r="V618" s="174"/>
      <c r="W618" s="174"/>
      <c r="X618" s="175"/>
      <c r="Y618" s="173">
        <f>SUM(Z618:AD618)</f>
        <v>20861.890852319517</v>
      </c>
      <c r="Z618" s="174">
        <f>T618*$D$58/100</f>
        <v>19560.467010907323</v>
      </c>
      <c r="AA618" s="174">
        <f>U618*$D$58/100</f>
        <v>1301.4238414121951</v>
      </c>
      <c r="AB618" s="174"/>
      <c r="AC618" s="174"/>
      <c r="AD618" s="175"/>
      <c r="AE618" s="173">
        <f>AO618*(1-$D$20/100)*(1-$D$17/100)-AR618</f>
        <v>23.105970164519999</v>
      </c>
      <c r="AF618" s="174">
        <f>AP618</f>
        <v>36</v>
      </c>
      <c r="AG618" s="174">
        <f>IF($D$57+AS618&gt;100,100,$D$57+AS618)</f>
        <v>19.001300000000001</v>
      </c>
      <c r="AH618" s="174">
        <f>AQ618</f>
        <v>592</v>
      </c>
      <c r="AI618" s="174">
        <f>$D$58</f>
        <v>200</v>
      </c>
      <c r="AJ618" s="174">
        <f>10/IF(AX618=1,7,6)</f>
        <v>1.6666666666666667</v>
      </c>
      <c r="AK618" s="174">
        <f>SUM(AL618:AN618)</f>
        <v>2280.7508382817077</v>
      </c>
      <c r="AL618" s="174">
        <f>(VLOOKUP(C618,$B$36:$AG$39,14,FALSE)+VLOOKUP(C618,$B$40:$AG$43,14,FALSE)*$D$54)*$D$59/100</f>
        <v>1630.0389175756102</v>
      </c>
      <c r="AM618" s="174">
        <f>(VLOOKUP(C618,$B$36:$AG$39,15,FALSE)+VLOOKUP(C618,$B$40:$AG$43,15,FALSE)*$D$54)*$D$59/100</f>
        <v>650.71192070609754</v>
      </c>
      <c r="AN618" s="174"/>
      <c r="AO618" s="176">
        <v>30</v>
      </c>
      <c r="AP618" s="174">
        <v>36</v>
      </c>
      <c r="AQ618" s="175">
        <f>VLOOKUP(C618,$B$45:$AA$48,14,FALSE)</f>
        <v>592</v>
      </c>
      <c r="AR618" s="31">
        <f>IF(LEFT(E618,1)*1=1,$S$61,$R$61)</f>
        <v>0</v>
      </c>
      <c r="AS618" s="2">
        <f>IF(LEFT(E618,1)*1=2,$U$61,$T$61)</f>
        <v>0</v>
      </c>
      <c r="AT618" s="33">
        <f>IF(LEFT(E618,1)*1=3,$W$61,$V$61)</f>
        <v>0</v>
      </c>
      <c r="AU618" s="31">
        <f>IF(MID(E618,3,1)*1=1,$Y$61,$X$61)</f>
        <v>0</v>
      </c>
      <c r="AV618" s="2">
        <f>IF(MID(E618,3,1)*1=2,$AA$61,$Z$61)</f>
        <v>1</v>
      </c>
      <c r="AW618" s="33">
        <f>IF(MID(E618,3,1)*1=3,$AC$61,$AB$61)</f>
        <v>0</v>
      </c>
      <c r="AX618" s="31">
        <f>IF(MID(E618,5,1)*1=1,$AE$61,$AD$61)</f>
        <v>6</v>
      </c>
      <c r="AY618" s="33">
        <f>IF(MID(E618,5,1)*1=2,$AG$61,$AF$61)</f>
        <v>0</v>
      </c>
      <c r="AZ618" s="2"/>
      <c r="BA618" s="101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</row>
    <row r="619" spans="1:71" ht="12" hidden="1" customHeight="1">
      <c r="A619" s="2"/>
      <c r="B619" s="107">
        <v>133</v>
      </c>
      <c r="C619" s="31">
        <v>10</v>
      </c>
      <c r="D619" s="106" t="s">
        <v>7</v>
      </c>
      <c r="E619" s="2" t="s">
        <v>162</v>
      </c>
      <c r="F619" s="2"/>
      <c r="G619" s="2" t="s">
        <v>184</v>
      </c>
      <c r="H619" s="33"/>
      <c r="I619" s="173">
        <f>M619/AE619</f>
        <v>534.60534344267205</v>
      </c>
      <c r="J619" s="174">
        <f>AH619/AE619</f>
        <v>32.967417276842326</v>
      </c>
      <c r="K619" s="207">
        <f>RANK(I619,$I$76:$I$977)</f>
        <v>544</v>
      </c>
      <c r="L619" s="208" t="e">
        <f>RANK(I619,$I$76:$I$450)</f>
        <v>#N/A</v>
      </c>
      <c r="M619" s="173">
        <f>N619+R619/2</f>
        <v>4799.9872216313242</v>
      </c>
      <c r="N619" s="174">
        <f>T619*(1+((AG619+IF(F619="백어택",8,0))/100)*((AI619/100-1)))</f>
        <v>4347.1582384585581</v>
      </c>
      <c r="O619" s="174"/>
      <c r="P619" s="174"/>
      <c r="Q619" s="174"/>
      <c r="R619" s="175">
        <f>X619*(1+(AG619/100)*(AI619/100-1))</f>
        <v>905.65796634553283</v>
      </c>
      <c r="S619" s="173">
        <f>SUM(T619:X619)</f>
        <v>3978.2536089885671</v>
      </c>
      <c r="T619" s="174">
        <f>AL619*AV619*AX619</f>
        <v>3292.3478143353659</v>
      </c>
      <c r="U619" s="174"/>
      <c r="V619" s="174"/>
      <c r="W619" s="174"/>
      <c r="X619" s="175">
        <f>AS619*AL619</f>
        <v>685.90579465320116</v>
      </c>
      <c r="Y619" s="173">
        <f>SUM(Z619:AD619)</f>
        <v>7956.5072179771341</v>
      </c>
      <c r="Z619" s="174">
        <f>T619*$D$58/100</f>
        <v>6584.6956286707318</v>
      </c>
      <c r="AA619" s="174"/>
      <c r="AB619" s="174"/>
      <c r="AC619" s="174"/>
      <c r="AD619" s="175">
        <f>X619*$D$58/100</f>
        <v>1371.8115893064023</v>
      </c>
      <c r="AE619" s="173">
        <f>AO619*(1-$D$17/100)-AY619</f>
        <v>8.9785620000000002</v>
      </c>
      <c r="AF619" s="174">
        <f>AP619</f>
        <v>36</v>
      </c>
      <c r="AG619" s="174">
        <f>IF($D$57&gt;100,100,$D$57)</f>
        <v>19.001300000000001</v>
      </c>
      <c r="AH619" s="174">
        <f>AQ619*AR619</f>
        <v>296</v>
      </c>
      <c r="AI619" s="174">
        <f>$D$58+$D$19</f>
        <v>268.61079999999998</v>
      </c>
      <c r="AJ619" s="174">
        <f>10*AX619*AU619/9</f>
        <v>2.2222222222222223</v>
      </c>
      <c r="AK619" s="174">
        <f>SUM(AL619:AN619)</f>
        <v>1097.4492714451219</v>
      </c>
      <c r="AL619" s="174">
        <f>(VLOOKUP(C619,$B$36:$AG$39,8,FALSE)+VLOOKUP(C619,$B$40:$AG$43,8,FALSE)*$D$54)*$D$59/100</f>
        <v>1097.4492714451219</v>
      </c>
      <c r="AM619" s="174"/>
      <c r="AN619" s="174"/>
      <c r="AO619" s="176">
        <v>9</v>
      </c>
      <c r="AP619" s="174">
        <v>36</v>
      </c>
      <c r="AQ619" s="175">
        <f>VLOOKUP(C619,$B$45:$AA$48,8,FALSE)</f>
        <v>296</v>
      </c>
      <c r="AR619" s="31">
        <f>IF(LEFT(E619,1)*1=1,$S$57,$R$57)</f>
        <v>1</v>
      </c>
      <c r="AS619" s="2">
        <f>IF(LEFT(E619,1)*1=2,$U$57,$T$57)</f>
        <v>0.625</v>
      </c>
      <c r="AT619" s="33">
        <f>IF(LEFT(E619,1)*1=3,$W$57,$V$57)</f>
        <v>0</v>
      </c>
      <c r="AU619" s="31">
        <f>IF(MID(E619,3,1)*1=1,$Y$57,$X$57)</f>
        <v>1</v>
      </c>
      <c r="AV619" s="2">
        <f>IF(MID(E619,3,1)*1=2,$AA$57,$Z$57)</f>
        <v>1.5</v>
      </c>
      <c r="AW619" s="33">
        <f>IF(MID(E619,3,1)*1=3,$AC$57,$AB$57)</f>
        <v>0</v>
      </c>
      <c r="AX619" s="31">
        <f>IF(MID(E619,5,1)*1=1,$AE$57,$AD$57)</f>
        <v>2</v>
      </c>
      <c r="AY619" s="33">
        <f>IF(MID(E619,5,1)*1=2,$AG$57,$AF$57)</f>
        <v>0</v>
      </c>
      <c r="AZ619" s="2"/>
      <c r="BA619" s="101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</row>
    <row r="620" spans="1:71" ht="12" customHeight="1">
      <c r="A620" s="2"/>
      <c r="B620" s="107">
        <v>436</v>
      </c>
      <c r="C620" s="31">
        <v>4</v>
      </c>
      <c r="D620" s="111" t="s">
        <v>8</v>
      </c>
      <c r="E620" s="2" t="s">
        <v>67</v>
      </c>
      <c r="F620" s="2" t="s">
        <v>149</v>
      </c>
      <c r="G620" s="2"/>
      <c r="H620" s="33" t="s">
        <v>81</v>
      </c>
      <c r="I620" s="173">
        <f>M620/AE620</f>
        <v>533.3741391407691</v>
      </c>
      <c r="J620" s="174">
        <f>AH620/AE620</f>
        <v>10.765615909171565</v>
      </c>
      <c r="K620" s="207">
        <f>RANK(I620,$I$76:$I$977)</f>
        <v>545</v>
      </c>
      <c r="L620" s="208">
        <f>RANK(I620,$I$451:$I$866)</f>
        <v>170</v>
      </c>
      <c r="M620" s="173">
        <f>SUM(N620:R620)</f>
        <v>9859.301556410519</v>
      </c>
      <c r="N620" s="174">
        <f>T620*(1+((AG620+IF(F620="백어택",8,0))/100)*(IF(AY620=1,$D$58,$D$58+50)/100-1))</f>
        <v>4333.6062190020466</v>
      </c>
      <c r="O620" s="174">
        <f>U620*(1+((AG620+IF(F620="백어택",8,0))/100)*(AI620/100-1))</f>
        <v>5525.6953374084715</v>
      </c>
      <c r="P620" s="174">
        <f>V620*(1+((AG620+IF(F620="백어택",8,0))/100)*(AI620/100-1))</f>
        <v>0</v>
      </c>
      <c r="Q620" s="174"/>
      <c r="R620" s="175"/>
      <c r="S620" s="173">
        <f>SUM(T620:X620)</f>
        <v>7763.1501066607325</v>
      </c>
      <c r="T620" s="174">
        <f>AL620*IF(H620="근접",AR620,1)*AY620*IF(F620="백어택",1.2,1)</f>
        <v>3412.2534328404877</v>
      </c>
      <c r="U620" s="174">
        <f>AM620*IF(H620="근접",AR620,1)*AY620*IF(F620="백어택",1.2,1)</f>
        <v>4350.8966738202453</v>
      </c>
      <c r="V620" s="174">
        <f>IF(AX620=1,0,AM620*IF(H620="근접",AR620,1)*AY620)*IF(F620="백어택",1.2,1)</f>
        <v>0</v>
      </c>
      <c r="W620" s="174"/>
      <c r="X620" s="175"/>
      <c r="Y620" s="173">
        <f>SUM(Z620:AD620)</f>
        <v>15526.300213321465</v>
      </c>
      <c r="Z620" s="174">
        <f>T620*IF(AY620=1,$D$58,$D$58+50)/100</f>
        <v>6824.5068656809754</v>
      </c>
      <c r="AA620" s="174">
        <f>U620*AI620/100</f>
        <v>8701.7933476404905</v>
      </c>
      <c r="AB620" s="174">
        <f>V620*AI620/100</f>
        <v>0</v>
      </c>
      <c r="AC620" s="174"/>
      <c r="AD620" s="175"/>
      <c r="AE620" s="173">
        <f>AO620*(1-$D$20/100)*(1-$D$17/100)</f>
        <v>18.484776131615998</v>
      </c>
      <c r="AF620" s="174">
        <f>AP620</f>
        <v>36</v>
      </c>
      <c r="AG620" s="174">
        <f>IF($D$57+AU620&gt;100,100,$D$57+AU620)</f>
        <v>19.001300000000001</v>
      </c>
      <c r="AH620" s="174">
        <f>IF(AX620=1,AQ620,AQ620*1.4)</f>
        <v>199</v>
      </c>
      <c r="AI620" s="174">
        <f>IF(AY620=1,$D$58,$D$58+50)*AW620</f>
        <v>200</v>
      </c>
      <c r="AJ620" s="174">
        <f>10/6/AX620</f>
        <v>1.6666666666666667</v>
      </c>
      <c r="AK620" s="174">
        <f>SUM(AL620:AN620)</f>
        <v>6469.291755550611</v>
      </c>
      <c r="AL620" s="174">
        <f>(IF(H620="근접",$D$61*(VLOOKUP(C620,$B$36:$AG$39,9,FALSE)+VLOOKUP(C620,$B$40:$AG$43,9,FALSE)*$D$54),$D$60*(VLOOKUP(C620,$B$36:$AG$39,9,FALSE)+VLOOKUP(C620,$B$40:$AG$43,9,FALSE)*$D$54)))*$D$59/100</f>
        <v>2843.544527367073</v>
      </c>
      <c r="AM620" s="174">
        <f>(IF(H620="근접",$D$61*(VLOOKUP(C620,$B$36:$AG$39,10,FALSE)+VLOOKUP(C620,$B$40:$AG$43,10,FALSE)*$D$54),$D$60*(VLOOKUP(C620,$B$36:$AG$39,10,FALSE)+VLOOKUP(C620,$B$40:$AG$43,10,FALSE)*$D$54)))*$D$59/100</f>
        <v>3625.747228183538</v>
      </c>
      <c r="AN620" s="174"/>
      <c r="AO620" s="176">
        <v>24</v>
      </c>
      <c r="AP620" s="174">
        <v>36</v>
      </c>
      <c r="AQ620" s="175">
        <f>VLOOKUP(C620,$B$45:$AA$48,9,FALSE)</f>
        <v>199</v>
      </c>
      <c r="AR620" s="31">
        <f>IF(LEFT(E620,1)*1=1,$S$58,$R$58)</f>
        <v>1</v>
      </c>
      <c r="AS620" s="2">
        <f>IF(LEFT(E620,1)*1=2,$U$58,$T$58)</f>
        <v>0</v>
      </c>
      <c r="AT620" s="33">
        <f>IF(LEFT(E620,1)*1=3,$W$58,$V$58)</f>
        <v>0</v>
      </c>
      <c r="AU620" s="31">
        <f>IF(MID(E620,3,1)*1=1,$Y$58,$X$58)</f>
        <v>0</v>
      </c>
      <c r="AV620" s="2">
        <f>IF(MID(E620,3,1)*1=2,$AA$58,$Z$58)</f>
        <v>0</v>
      </c>
      <c r="AW620" s="33">
        <f>IF(MID(E620,3,1)*1=3,$AC$58,$AB$58)</f>
        <v>1</v>
      </c>
      <c r="AX620" s="31">
        <f>IF(MID(E620,5,1)*1=1,$AE$58,$AD$58)</f>
        <v>1</v>
      </c>
      <c r="AY620" s="33">
        <f>IF(MID(E620,5,1)*1=2,$AG$58,$AF$58)</f>
        <v>1</v>
      </c>
      <c r="AZ620" s="2"/>
      <c r="BA620" s="101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</row>
    <row r="621" spans="1:71" ht="12" customHeight="1">
      <c r="A621" s="2"/>
      <c r="B621" s="107">
        <v>836</v>
      </c>
      <c r="C621" s="31">
        <v>10</v>
      </c>
      <c r="D621" s="113" t="s">
        <v>15</v>
      </c>
      <c r="E621" s="2" t="s">
        <v>144</v>
      </c>
      <c r="F621" s="2"/>
      <c r="G621" s="1" t="s">
        <v>174</v>
      </c>
      <c r="H621" s="33">
        <f>IF(AX621=AT621,3,4)</f>
        <v>4</v>
      </c>
      <c r="I621" s="173">
        <f>M621/AE621</f>
        <v>532.62275430908903</v>
      </c>
      <c r="J621" s="174">
        <f>AH621/AE621</f>
        <v>19.780450366105395</v>
      </c>
      <c r="K621" s="207">
        <f>RANK(I621,$I$76:$I$977)</f>
        <v>546</v>
      </c>
      <c r="L621" s="208" t="e">
        <f>RANK(I621,$I$867:$I$977)</f>
        <v>#N/A</v>
      </c>
      <c r="M621" s="173">
        <f>SUM(N621:R621)*(1+$D$22/100)</f>
        <v>15940.621407249744</v>
      </c>
      <c r="N621" s="174">
        <f>T621*(1+((AG621+IF(F621="백어택",8,0))/100)*(AI621/100-1))</f>
        <v>3590.6285741015899</v>
      </c>
      <c r="O621" s="174">
        <f>U621*(1+(AG621/100)*(AI621/100-1))</f>
        <v>3590.6285741015899</v>
      </c>
      <c r="P621" s="174">
        <f>V621*(1+(AG621/100)*(AI621/100-1))</f>
        <v>3590.6285741015899</v>
      </c>
      <c r="Q621" s="174">
        <f>W621*(1+(AG621/100)*(AI621/100-1))</f>
        <v>3590.6285741015899</v>
      </c>
      <c r="R621" s="175">
        <f>X621*(1+(AG621/100)*(AI621/100-1))</f>
        <v>0</v>
      </c>
      <c r="S621" s="173">
        <f>SUM(T621:X621)</f>
        <v>9032.9540050341475</v>
      </c>
      <c r="T621" s="174">
        <f>AL621*AS621*AY621</f>
        <v>2258.2385012585369</v>
      </c>
      <c r="U621" s="174">
        <f>AL621*AS621*AY621</f>
        <v>2258.2385012585369</v>
      </c>
      <c r="V621" s="174">
        <f>AL621*AS621*AY621</f>
        <v>2258.2385012585369</v>
      </c>
      <c r="W621" s="174">
        <f>IF(H621=4,AL621*AS621*IF(AT621=0,AY621,1),0)</f>
        <v>2258.2385012585369</v>
      </c>
      <c r="X621" s="175">
        <f>AL621*IF(H621=3,11,IF(AT621=1,15,13))*IF(AW621=1,0,AW621)</f>
        <v>0</v>
      </c>
      <c r="Y621" s="173">
        <f>SUM(Z621:AD621)</f>
        <v>18065.908010068295</v>
      </c>
      <c r="Z621" s="174">
        <f>T621*AI621/100</f>
        <v>4516.4770025170737</v>
      </c>
      <c r="AA621" s="174">
        <f>U621*AI621/100</f>
        <v>4516.4770025170737</v>
      </c>
      <c r="AB621" s="174">
        <f>V621*AI621/100</f>
        <v>4516.4770025170737</v>
      </c>
      <c r="AC621" s="174">
        <f>W621*AI621/100</f>
        <v>4516.4770025170737</v>
      </c>
      <c r="AD621" s="175">
        <f>X621*AI621/100</f>
        <v>0</v>
      </c>
      <c r="AE621" s="173">
        <f>AO621*(1-$D$17/100)</f>
        <v>29.928540000000002</v>
      </c>
      <c r="AF621" s="174">
        <f>AP621</f>
        <v>36</v>
      </c>
      <c r="AG621" s="174">
        <f>IF($D$57+AX621&gt;100,100,$D$57+AX621)</f>
        <v>59.001300000000001</v>
      </c>
      <c r="AH621" s="174">
        <f>AQ621</f>
        <v>592</v>
      </c>
      <c r="AI621" s="174">
        <f>$D$58</f>
        <v>200</v>
      </c>
      <c r="AJ621" s="174">
        <f>10*AU621/IF(AT621=1,2.5,(IF(AY621=1,3,2.5)))</f>
        <v>3.3333333333333335</v>
      </c>
      <c r="AK621" s="174">
        <f>SUM(AL621:AN621)</f>
        <v>2258.2385012585369</v>
      </c>
      <c r="AL621" s="174">
        <f>((VLOOKUP(C621,$B$36:$AG$39,22,FALSE)+VLOOKUP(C621,$B$40:$AG$43,22,FALSE)*$D$54))*$D$59/100</f>
        <v>2258.2385012585369</v>
      </c>
      <c r="AM621" s="174"/>
      <c r="AN621" s="174"/>
      <c r="AO621" s="176">
        <v>30</v>
      </c>
      <c r="AP621" s="174">
        <v>36</v>
      </c>
      <c r="AQ621" s="175">
        <f>VLOOKUP(C621,$B$45:$AA$48,22,FALSE)</f>
        <v>592</v>
      </c>
      <c r="AR621" s="31">
        <f>IF(LEFT(E621,1)*1=1,$S$65,$R$65)</f>
        <v>0</v>
      </c>
      <c r="AS621" s="2">
        <f>IF(LEFT(E621,1)*1=2,$U$65,$T$65)</f>
        <v>1</v>
      </c>
      <c r="AT621" s="33">
        <f>IF(LEFT(E621,1)*1=3,$W$65,$V$65)</f>
        <v>0</v>
      </c>
      <c r="AU621" s="31">
        <f>IF(MID(E621,3,1)*1=1,$Y$65,$X$65)</f>
        <v>1</v>
      </c>
      <c r="AV621" s="2">
        <f>IF(MID(E621,3,1)*1=2,$AA$65,$Z$65)</f>
        <v>0</v>
      </c>
      <c r="AW621" s="33">
        <f>IF(MID(E621,3,1)*1=3,$AC$65,$AB$65)</f>
        <v>1</v>
      </c>
      <c r="AX621" s="31">
        <f>IF(MID(E621,5,1)*1=1,$AE$65,$AD$65)</f>
        <v>40</v>
      </c>
      <c r="AY621" s="33">
        <f>IF(MID(E621,5,1)*1=2,$AG$65,$AF$65)</f>
        <v>1</v>
      </c>
      <c r="AZ621" s="2"/>
      <c r="BA621" s="101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</row>
    <row r="622" spans="1:71" ht="12" customHeight="1">
      <c r="A622" s="2"/>
      <c r="B622" s="107">
        <v>837</v>
      </c>
      <c r="C622" s="31">
        <v>10</v>
      </c>
      <c r="D622" s="113" t="s">
        <v>15</v>
      </c>
      <c r="E622" s="2" t="s">
        <v>138</v>
      </c>
      <c r="F622" s="2"/>
      <c r="G622" s="1" t="s">
        <v>174</v>
      </c>
      <c r="H622" s="33">
        <f>IF(AX622=AT622,3,4)</f>
        <v>4</v>
      </c>
      <c r="I622" s="173">
        <f>M622/AE622</f>
        <v>532.62275430908903</v>
      </c>
      <c r="J622" s="174">
        <f>AH622/AE622</f>
        <v>19.780450366105395</v>
      </c>
      <c r="K622" s="207">
        <f>RANK(I622,$I$76:$I$977)</f>
        <v>546</v>
      </c>
      <c r="L622" s="208" t="e">
        <f>RANK(I622,$I$867:$I$977)</f>
        <v>#N/A</v>
      </c>
      <c r="M622" s="173">
        <f>SUM(N622:R622)*(1+$D$22/100)</f>
        <v>15940.621407249744</v>
      </c>
      <c r="N622" s="174">
        <f>T622*(1+((AG622+IF(F622="백어택",8,0))/100)*(AI622/100-1))</f>
        <v>3590.6285741015899</v>
      </c>
      <c r="O622" s="174">
        <f>U622*(1+(AG622/100)*(AI622/100-1))</f>
        <v>3590.6285741015899</v>
      </c>
      <c r="P622" s="174">
        <f>V622*(1+(AG622/100)*(AI622/100-1))</f>
        <v>3590.6285741015899</v>
      </c>
      <c r="Q622" s="174">
        <f>W622*(1+(AG622/100)*(AI622/100-1))</f>
        <v>3590.6285741015899</v>
      </c>
      <c r="R622" s="175">
        <f>X622*(1+(AG622/100)*(AI622/100-1))</f>
        <v>0</v>
      </c>
      <c r="S622" s="173">
        <f>SUM(T622:X622)</f>
        <v>9032.9540050341475</v>
      </c>
      <c r="T622" s="174">
        <f>AL622*AS622*AY622</f>
        <v>2258.2385012585369</v>
      </c>
      <c r="U622" s="174">
        <f>AL622*AS622*AY622</f>
        <v>2258.2385012585369</v>
      </c>
      <c r="V622" s="174">
        <f>AL622*AS622*AY622</f>
        <v>2258.2385012585369</v>
      </c>
      <c r="W622" s="174">
        <f>IF(H622=4,AL622*AS622*IF(AT622=0,AY622,1),0)</f>
        <v>2258.2385012585369</v>
      </c>
      <c r="X622" s="175">
        <f>AL622*IF(H622=3,11,IF(AT622=1,15,13))*IF(AW622=1,0,AW622)</f>
        <v>0</v>
      </c>
      <c r="Y622" s="173">
        <f>SUM(Z622:AD622)</f>
        <v>18065.908010068295</v>
      </c>
      <c r="Z622" s="174">
        <f>T622*AI622/100</f>
        <v>4516.4770025170737</v>
      </c>
      <c r="AA622" s="174">
        <f>U622*AI622/100</f>
        <v>4516.4770025170737</v>
      </c>
      <c r="AB622" s="174">
        <f>V622*AI622/100</f>
        <v>4516.4770025170737</v>
      </c>
      <c r="AC622" s="174">
        <f>W622*AI622/100</f>
        <v>4516.4770025170737</v>
      </c>
      <c r="AD622" s="175">
        <f>X622*AI622/100</f>
        <v>0</v>
      </c>
      <c r="AE622" s="173">
        <f>AO622*(1-$D$17/100)</f>
        <v>29.928540000000002</v>
      </c>
      <c r="AF622" s="174">
        <f>AP622</f>
        <v>36</v>
      </c>
      <c r="AG622" s="174">
        <f>IF($D$57+AX622&gt;100,100,$D$57+AX622)</f>
        <v>59.001300000000001</v>
      </c>
      <c r="AH622" s="174">
        <f>AQ622</f>
        <v>592</v>
      </c>
      <c r="AI622" s="174">
        <f>$D$58</f>
        <v>200</v>
      </c>
      <c r="AJ622" s="174">
        <f>10*AU622/IF(AT622=1,2.5,(IF(AY622=1,3,2.5)))</f>
        <v>2.6666666666666665</v>
      </c>
      <c r="AK622" s="174">
        <f>SUM(AL622:AN622)</f>
        <v>2258.2385012585369</v>
      </c>
      <c r="AL622" s="174">
        <f>((VLOOKUP(C622,$B$36:$AG$39,22,FALSE)+VLOOKUP(C622,$B$40:$AG$43,22,FALSE)*$D$54))*$D$59/100</f>
        <v>2258.2385012585369</v>
      </c>
      <c r="AM622" s="174"/>
      <c r="AN622" s="174"/>
      <c r="AO622" s="176">
        <v>30</v>
      </c>
      <c r="AP622" s="174">
        <v>36</v>
      </c>
      <c r="AQ622" s="175">
        <f>VLOOKUP(C622,$B$45:$AA$48,22,FALSE)</f>
        <v>592</v>
      </c>
      <c r="AR622" s="31">
        <f>IF(LEFT(E622,1)*1=1,$S$65,$R$65)</f>
        <v>0</v>
      </c>
      <c r="AS622" s="2">
        <f>IF(LEFT(E622,1)*1=2,$U$65,$T$65)</f>
        <v>1</v>
      </c>
      <c r="AT622" s="33">
        <f>IF(LEFT(E622,1)*1=3,$W$65,$V$65)</f>
        <v>0</v>
      </c>
      <c r="AU622" s="31">
        <f>IF(MID(E622,3,1)*1=1,$Y$65,$X$65)</f>
        <v>0.8</v>
      </c>
      <c r="AV622" s="2">
        <f>IF(MID(E622,3,1)*1=2,$AA$65,$Z$65)</f>
        <v>0</v>
      </c>
      <c r="AW622" s="33">
        <f>IF(MID(E622,3,1)*1=3,$AC$65,$AB$65)</f>
        <v>1</v>
      </c>
      <c r="AX622" s="31">
        <f>IF(MID(E622,5,1)*1=1,$AE$65,$AD$65)</f>
        <v>40</v>
      </c>
      <c r="AY622" s="33">
        <f>IF(MID(E622,5,1)*1=2,$AG$65,$AF$65)</f>
        <v>1</v>
      </c>
      <c r="AZ622" s="2"/>
      <c r="BA622" s="101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</row>
    <row r="623" spans="1:71" ht="12" customHeight="1">
      <c r="A623" s="2"/>
      <c r="B623" s="107">
        <v>842</v>
      </c>
      <c r="C623" s="31">
        <v>10</v>
      </c>
      <c r="D623" s="113" t="s">
        <v>15</v>
      </c>
      <c r="E623" s="2" t="s">
        <v>146</v>
      </c>
      <c r="F623" s="2"/>
      <c r="G623" s="1" t="s">
        <v>174</v>
      </c>
      <c r="H623" s="33">
        <f>IF(AX623=AT623,3,4)</f>
        <v>4</v>
      </c>
      <c r="I623" s="173">
        <f>M623/AE623</f>
        <v>532.62275430908903</v>
      </c>
      <c r="J623" s="174">
        <f>AH623/AE623</f>
        <v>19.780450366105395</v>
      </c>
      <c r="K623" s="207">
        <f>RANK(I623,$I$76:$I$977)</f>
        <v>546</v>
      </c>
      <c r="L623" s="208" t="e">
        <f>RANK(I623,$I$867:$I$977)</f>
        <v>#N/A</v>
      </c>
      <c r="M623" s="173">
        <f>SUM(N623:R623)*(1+$D$22/100)</f>
        <v>15940.621407249744</v>
      </c>
      <c r="N623" s="174">
        <f>T623*(1+((AG623+IF(F623="백어택",8,0))/100)*(AI623/100-1))</f>
        <v>3590.6285741015899</v>
      </c>
      <c r="O623" s="174">
        <f>U623*(1+(AG623/100)*(AI623/100-1))</f>
        <v>3590.6285741015899</v>
      </c>
      <c r="P623" s="174">
        <f>V623*(1+(AG623/100)*(AI623/100-1))</f>
        <v>3590.6285741015899</v>
      </c>
      <c r="Q623" s="174">
        <f>W623*(1+(AG623/100)*(AI623/100-1))</f>
        <v>3590.6285741015899</v>
      </c>
      <c r="R623" s="175">
        <f>X623*(1+(AG623/100)*(AI623/100-1))</f>
        <v>0</v>
      </c>
      <c r="S623" s="173">
        <f>SUM(T623:X623)</f>
        <v>9032.9540050341475</v>
      </c>
      <c r="T623" s="174">
        <f>AL623*AS623*AY623</f>
        <v>2258.2385012585369</v>
      </c>
      <c r="U623" s="174">
        <f>AL623*AS623*AY623</f>
        <v>2258.2385012585369</v>
      </c>
      <c r="V623" s="174">
        <f>AL623*AS623*AY623</f>
        <v>2258.2385012585369</v>
      </c>
      <c r="W623" s="174">
        <f>IF(H623=4,AL623*AS623*IF(AT623=0,AY623,1),0)</f>
        <v>2258.2385012585369</v>
      </c>
      <c r="X623" s="175">
        <f>AL623*IF(H623=3,11,IF(AT623=1,15,13))*IF(AW623=1,0,AW623)</f>
        <v>0</v>
      </c>
      <c r="Y623" s="173">
        <f>SUM(Z623:AD623)</f>
        <v>18065.908010068295</v>
      </c>
      <c r="Z623" s="174">
        <f>T623*AI623/100</f>
        <v>4516.4770025170737</v>
      </c>
      <c r="AA623" s="174">
        <f>U623*AI623/100</f>
        <v>4516.4770025170737</v>
      </c>
      <c r="AB623" s="174">
        <f>V623*AI623/100</f>
        <v>4516.4770025170737</v>
      </c>
      <c r="AC623" s="174">
        <f>W623*AI623/100</f>
        <v>4516.4770025170737</v>
      </c>
      <c r="AD623" s="175">
        <f>X623*AI623/100</f>
        <v>0</v>
      </c>
      <c r="AE623" s="173">
        <f>AO623*(1-$D$17/100)</f>
        <v>29.928540000000002</v>
      </c>
      <c r="AF623" s="174">
        <f>AP623</f>
        <v>36</v>
      </c>
      <c r="AG623" s="174">
        <f>IF($D$57+AX623&gt;100,100,$D$57+AX623)</f>
        <v>59.001300000000001</v>
      </c>
      <c r="AH623" s="174">
        <f>AQ623</f>
        <v>592</v>
      </c>
      <c r="AI623" s="174">
        <f>$D$58</f>
        <v>200</v>
      </c>
      <c r="AJ623" s="174">
        <f>10*AU623/IF(AT623=1,2.5,(IF(AY623=1,3,2.5)))</f>
        <v>4</v>
      </c>
      <c r="AK623" s="174">
        <f>SUM(AL623:AN623)</f>
        <v>2258.2385012585369</v>
      </c>
      <c r="AL623" s="174">
        <f>((VLOOKUP(C623,$B$36:$AG$39,22,FALSE)+VLOOKUP(C623,$B$40:$AG$43,22,FALSE)*$D$54))*$D$59/100</f>
        <v>2258.2385012585369</v>
      </c>
      <c r="AM623" s="174"/>
      <c r="AN623" s="174"/>
      <c r="AO623" s="176">
        <v>30</v>
      </c>
      <c r="AP623" s="174">
        <v>36</v>
      </c>
      <c r="AQ623" s="175">
        <f>VLOOKUP(C623,$B$45:$AA$48,22,FALSE)</f>
        <v>592</v>
      </c>
      <c r="AR623" s="31">
        <f>IF(LEFT(E623,1)*1=1,$S$65,$R$65)</f>
        <v>0</v>
      </c>
      <c r="AS623" s="2">
        <f>IF(LEFT(E623,1)*1=2,$U$65,$T$65)</f>
        <v>1</v>
      </c>
      <c r="AT623" s="74">
        <f>IF(LEFT(E623,1)*1=3,$W$65,$V$65)</f>
        <v>1</v>
      </c>
      <c r="AU623" s="31">
        <f>IF(MID(E623,3,1)*1=1,$Y$65,$X$65)</f>
        <v>1</v>
      </c>
      <c r="AV623" s="2">
        <f>IF(MID(E623,3,1)*1=2,$AA$65,$Z$65)</f>
        <v>0</v>
      </c>
      <c r="AW623" s="33">
        <f>IF(MID(E623,3,1)*1=3,$AC$65,$AB$65)</f>
        <v>1</v>
      </c>
      <c r="AX623" s="31">
        <f>IF(MID(E623,5,1)*1=1,$AE$65,$AD$65)</f>
        <v>40</v>
      </c>
      <c r="AY623" s="33">
        <f>IF(MID(E623,5,1)*1=2,$AG$65,$AF$65)</f>
        <v>1</v>
      </c>
      <c r="AZ623" s="2"/>
      <c r="BA623" s="101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</row>
    <row r="624" spans="1:71" ht="12" customHeight="1">
      <c r="A624" s="2"/>
      <c r="B624" s="107">
        <v>843</v>
      </c>
      <c r="C624" s="31">
        <v>10</v>
      </c>
      <c r="D624" s="113" t="s">
        <v>15</v>
      </c>
      <c r="E624" s="2" t="s">
        <v>182</v>
      </c>
      <c r="F624" s="2"/>
      <c r="G624" s="1" t="s">
        <v>174</v>
      </c>
      <c r="H624" s="33">
        <f>IF(AX624=AT624,3,4)</f>
        <v>4</v>
      </c>
      <c r="I624" s="173">
        <f>M624/AE624</f>
        <v>532.62275430908903</v>
      </c>
      <c r="J624" s="174">
        <f>AH624/AE624</f>
        <v>19.780450366105395</v>
      </c>
      <c r="K624" s="207">
        <f>RANK(I624,$I$76:$I$977)</f>
        <v>546</v>
      </c>
      <c r="L624" s="208" t="e">
        <f>RANK(I624,$I$867:$I$977)</f>
        <v>#N/A</v>
      </c>
      <c r="M624" s="173">
        <f>SUM(N624:R624)*(1+$D$22/100)</f>
        <v>15940.621407249744</v>
      </c>
      <c r="N624" s="174">
        <f>T624*(1+((AG624+IF(F624="백어택",8,0))/100)*(AI624/100-1))</f>
        <v>3590.6285741015899</v>
      </c>
      <c r="O624" s="174">
        <f>U624*(1+(AG624/100)*(AI624/100-1))</f>
        <v>3590.6285741015899</v>
      </c>
      <c r="P624" s="174">
        <f>V624*(1+(AG624/100)*(AI624/100-1))</f>
        <v>3590.6285741015899</v>
      </c>
      <c r="Q624" s="174">
        <f>W624*(1+(AG624/100)*(AI624/100-1))</f>
        <v>3590.6285741015899</v>
      </c>
      <c r="R624" s="175">
        <f>X624*(1+(AG624/100)*(AI624/100-1))</f>
        <v>0</v>
      </c>
      <c r="S624" s="173">
        <f>SUM(T624:X624)</f>
        <v>9032.9540050341475</v>
      </c>
      <c r="T624" s="174">
        <f>AL624*AS624*AY624</f>
        <v>2258.2385012585369</v>
      </c>
      <c r="U624" s="174">
        <f>AL624*AS624*AY624</f>
        <v>2258.2385012585369</v>
      </c>
      <c r="V624" s="174">
        <f>AL624*AS624*AY624</f>
        <v>2258.2385012585369</v>
      </c>
      <c r="W624" s="174">
        <f>IF(H624=4,AL624*AS624*IF(AT624=0,AY624,1),0)</f>
        <v>2258.2385012585369</v>
      </c>
      <c r="X624" s="175">
        <f>AL624*IF(H624=3,11,IF(AT624=1,15,13))*IF(AW624=1,0,AW624)</f>
        <v>0</v>
      </c>
      <c r="Y624" s="173">
        <f>SUM(Z624:AD624)</f>
        <v>18065.908010068295</v>
      </c>
      <c r="Z624" s="174">
        <f>T624*AI624/100</f>
        <v>4516.4770025170737</v>
      </c>
      <c r="AA624" s="174">
        <f>U624*AI624/100</f>
        <v>4516.4770025170737</v>
      </c>
      <c r="AB624" s="174">
        <f>V624*AI624/100</f>
        <v>4516.4770025170737</v>
      </c>
      <c r="AC624" s="174">
        <f>W624*AI624/100</f>
        <v>4516.4770025170737</v>
      </c>
      <c r="AD624" s="175">
        <f>X624*AI624/100</f>
        <v>0</v>
      </c>
      <c r="AE624" s="173">
        <f>AO624*(1-$D$17/100)</f>
        <v>29.928540000000002</v>
      </c>
      <c r="AF624" s="174">
        <f>AP624</f>
        <v>36</v>
      </c>
      <c r="AG624" s="174">
        <f>IF($D$57+AX624&gt;100,100,$D$57+AX624)</f>
        <v>59.001300000000001</v>
      </c>
      <c r="AH624" s="174">
        <f>AQ624</f>
        <v>592</v>
      </c>
      <c r="AI624" s="174">
        <f>$D$58</f>
        <v>200</v>
      </c>
      <c r="AJ624" s="174">
        <f>10*AU624/IF(AT624=1,2.5,(IF(AY624=1,3,2.5)))</f>
        <v>3.2</v>
      </c>
      <c r="AK624" s="174">
        <f>SUM(AL624:AN624)</f>
        <v>2258.2385012585369</v>
      </c>
      <c r="AL624" s="174">
        <f>((VLOOKUP(C624,$B$36:$AG$39,22,FALSE)+VLOOKUP(C624,$B$40:$AG$43,22,FALSE)*$D$54))*$D$59/100</f>
        <v>2258.2385012585369</v>
      </c>
      <c r="AM624" s="174"/>
      <c r="AN624" s="174"/>
      <c r="AO624" s="176">
        <v>30</v>
      </c>
      <c r="AP624" s="174">
        <v>36</v>
      </c>
      <c r="AQ624" s="175">
        <f>VLOOKUP(C624,$B$45:$AA$48,22,FALSE)</f>
        <v>592</v>
      </c>
      <c r="AR624" s="31">
        <f>IF(LEFT(E624,1)*1=1,$S$65,$R$65)</f>
        <v>0</v>
      </c>
      <c r="AS624" s="2">
        <f>IF(LEFT(E624,1)*1=2,$U$65,$T$65)</f>
        <v>1</v>
      </c>
      <c r="AT624" s="74">
        <f>IF(LEFT(E624,1)*1=3,$W$65,$V$65)</f>
        <v>1</v>
      </c>
      <c r="AU624" s="31">
        <f>IF(MID(E624,3,1)*1=1,$Y$65,$X$65)</f>
        <v>0.8</v>
      </c>
      <c r="AV624" s="2">
        <f>IF(MID(E624,3,1)*1=2,$AA$65,$Z$65)</f>
        <v>0</v>
      </c>
      <c r="AW624" s="33">
        <f>IF(MID(E624,3,1)*1=3,$AC$65,$AB$65)</f>
        <v>1</v>
      </c>
      <c r="AX624" s="31">
        <f>IF(MID(E624,5,1)*1=1,$AE$65,$AD$65)</f>
        <v>40</v>
      </c>
      <c r="AY624" s="33">
        <f>IF(MID(E624,5,1)*1=2,$AG$65,$AF$65)</f>
        <v>1</v>
      </c>
      <c r="AZ624" s="2"/>
      <c r="BA624" s="101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</row>
    <row r="625" spans="1:71" ht="12" customHeight="1">
      <c r="A625" s="2"/>
      <c r="B625" s="107">
        <v>445</v>
      </c>
      <c r="C625" s="31">
        <v>10</v>
      </c>
      <c r="D625" s="111" t="s">
        <v>8</v>
      </c>
      <c r="E625" s="2" t="s">
        <v>92</v>
      </c>
      <c r="F625" s="2" t="s">
        <v>149</v>
      </c>
      <c r="G625" s="2"/>
      <c r="H625" s="33" t="s">
        <v>80</v>
      </c>
      <c r="I625" s="173">
        <f>M625/AE625</f>
        <v>532.28302323164007</v>
      </c>
      <c r="J625" s="174">
        <f>AH625/AE625</f>
        <v>28.185356224514496</v>
      </c>
      <c r="K625" s="207">
        <f>RANK(I625,$I$76:$I$977)</f>
        <v>550</v>
      </c>
      <c r="L625" s="208">
        <f>RANK(I625,$I$451:$I$866)</f>
        <v>175</v>
      </c>
      <c r="M625" s="173">
        <f>SUM(N625:R625)</f>
        <v>9839.1325230966249</v>
      </c>
      <c r="N625" s="174">
        <f>T625*(1+((AG625+IF(F625="백어택",8,0))/100)*(IF(AY625=1,$D$58,$D$58+50)/100-1))</f>
        <v>4322.5001501772031</v>
      </c>
      <c r="O625" s="174">
        <f>U625*(1+((AG625+IF(F625="백어택",8,0))/100)*(AI625/100-1))</f>
        <v>5516.6323729194219</v>
      </c>
      <c r="P625" s="174">
        <f>V625*(1+((AG625+IF(F625="백어택",8,0))/100)*(AI625/100-1))</f>
        <v>0</v>
      </c>
      <c r="Q625" s="174"/>
      <c r="R625" s="175"/>
      <c r="S625" s="173">
        <f>SUM(T625:X625)</f>
        <v>7002.8441050794145</v>
      </c>
      <c r="T625" s="174">
        <f>AL625*IF(H625="근접",AR625,1)*AY625*IF(F625="백어택",1.2,1)</f>
        <v>3076.4698640675119</v>
      </c>
      <c r="U625" s="174">
        <f>AM625*IF(H625="근접",AR625,1)*AY625*IF(F625="백어택",1.2,1)</f>
        <v>3926.3742410119025</v>
      </c>
      <c r="V625" s="174">
        <f>IF(AX625=1,0,AM625*IF(H625="근접",AR625,1)*AY625)*IF(F625="백어택",1.2,1)</f>
        <v>0</v>
      </c>
      <c r="W625" s="174"/>
      <c r="X625" s="175"/>
      <c r="Y625" s="173">
        <f>SUM(Z625:AD625)</f>
        <v>17507.110262698538</v>
      </c>
      <c r="Z625" s="174">
        <f>T625*IF(AY625=1,$D$58,$D$58+50)/100</f>
        <v>7691.1746601687801</v>
      </c>
      <c r="AA625" s="174">
        <f>U625*AI625/100</f>
        <v>9815.9356025297566</v>
      </c>
      <c r="AB625" s="174">
        <f>V625*AI625/100</f>
        <v>0</v>
      </c>
      <c r="AC625" s="174"/>
      <c r="AD625" s="175"/>
      <c r="AE625" s="173">
        <f>AO625*(1-$D$20/100)*(1-$D$17/100)</f>
        <v>18.484776131615998</v>
      </c>
      <c r="AF625" s="174">
        <f>AP625</f>
        <v>36</v>
      </c>
      <c r="AG625" s="174">
        <f>IF($D$57+AU625&gt;100,100,$D$57+AU625)</f>
        <v>19.001300000000001</v>
      </c>
      <c r="AH625" s="174">
        <f>IF(AX625=1,AQ625,AQ625*1.4)</f>
        <v>521</v>
      </c>
      <c r="AI625" s="174">
        <f>IF(AY625=1,$D$58,$D$58+50)*AW625</f>
        <v>250</v>
      </c>
      <c r="AJ625" s="174">
        <f>10/6/AX625</f>
        <v>1.6666666666666667</v>
      </c>
      <c r="AK625" s="174">
        <f>SUM(AL625:AN625)</f>
        <v>4863.0861840829275</v>
      </c>
      <c r="AL625" s="174">
        <f>(IF(H625="근접",$D$61*(VLOOKUP(C625,$B$36:$AG$39,9,FALSE)+VLOOKUP(C625,$B$40:$AG$43,9,FALSE)*$D$54),$D$60*(VLOOKUP(C625,$B$36:$AG$39,9,FALSE)+VLOOKUP(C625,$B$40:$AG$43,9,FALSE)*$D$54)))*$D$59/100</f>
        <v>2136.437405602439</v>
      </c>
      <c r="AM625" s="174">
        <f>(IF(H625="근접",$D$61*(VLOOKUP(C625,$B$36:$AG$39,10,FALSE)+VLOOKUP(C625,$B$40:$AG$43,10,FALSE)*$D$54),$D$60*(VLOOKUP(C625,$B$36:$AG$39,10,FALSE)+VLOOKUP(C625,$B$40:$AG$43,10,FALSE)*$D$54)))*$D$59/100</f>
        <v>2726.6487784804881</v>
      </c>
      <c r="AN625" s="174"/>
      <c r="AO625" s="176">
        <v>24</v>
      </c>
      <c r="AP625" s="174">
        <v>36</v>
      </c>
      <c r="AQ625" s="175">
        <f>VLOOKUP(C625,$B$45:$AA$48,9,FALSE)</f>
        <v>521</v>
      </c>
      <c r="AR625" s="31">
        <f>IF(LEFT(E625,1)*1=1,$S$58,$R$58)</f>
        <v>1</v>
      </c>
      <c r="AS625" s="2">
        <f>IF(LEFT(E625,1)*1=2,$U$58,$T$58)</f>
        <v>0</v>
      </c>
      <c r="AT625" s="33">
        <f>IF(LEFT(E625,1)*1=3,$W$58,$V$58)</f>
        <v>0</v>
      </c>
      <c r="AU625" s="31">
        <f>IF(MID(E625,3,1)*1=1,$Y$58,$X$58)</f>
        <v>0</v>
      </c>
      <c r="AV625" s="2">
        <f>IF(MID(E625,3,1)*1=2,$AA$58,$Z$58)</f>
        <v>0</v>
      </c>
      <c r="AW625" s="33">
        <f>IF(MID(E625,3,1)*1=3,$AC$58,$AB$58)</f>
        <v>1</v>
      </c>
      <c r="AX625" s="31">
        <f>IF(MID(E625,5,1)*1=1,$AE$58,$AD$58)</f>
        <v>1</v>
      </c>
      <c r="AY625" s="33">
        <f>IF(MID(E625,5,1)*1=2,$AG$58,$AF$58)</f>
        <v>1.2</v>
      </c>
      <c r="AZ625" s="2"/>
      <c r="BA625" s="101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</row>
    <row r="626" spans="1:71" ht="12" customHeight="1">
      <c r="A626" s="2"/>
      <c r="B626" s="107">
        <v>448</v>
      </c>
      <c r="C626" s="31">
        <v>10</v>
      </c>
      <c r="D626" s="111" t="s">
        <v>8</v>
      </c>
      <c r="E626" s="2" t="s">
        <v>151</v>
      </c>
      <c r="F626" s="2" t="s">
        <v>149</v>
      </c>
      <c r="G626" s="2"/>
      <c r="H626" s="33" t="s">
        <v>80</v>
      </c>
      <c r="I626" s="173">
        <f>M626/AE626</f>
        <v>532.28302323164007</v>
      </c>
      <c r="J626" s="174">
        <f>AH626/AE626</f>
        <v>28.185356224514496</v>
      </c>
      <c r="K626" s="207">
        <f>RANK(I626,$I$76:$I$977)</f>
        <v>550</v>
      </c>
      <c r="L626" s="208">
        <f>RANK(I626,$I$451:$I$866)</f>
        <v>175</v>
      </c>
      <c r="M626" s="173">
        <f>SUM(N626:R626)</f>
        <v>9839.1325230966249</v>
      </c>
      <c r="N626" s="174">
        <f>T626*(1+((AG626+IF(F626="백어택",8,0))/100)*(IF(AY626=1,$D$58,$D$58+50)/100-1))</f>
        <v>4322.5001501772031</v>
      </c>
      <c r="O626" s="174">
        <f>U626*(1+((AG626+IF(F626="백어택",8,0))/100)*(AI626/100-1))</f>
        <v>5516.6323729194219</v>
      </c>
      <c r="P626" s="174">
        <f>V626*(1+((AG626+IF(F626="백어택",8,0))/100)*(AI626/100-1))</f>
        <v>0</v>
      </c>
      <c r="Q626" s="174"/>
      <c r="R626" s="175"/>
      <c r="S626" s="173">
        <f>SUM(T626:X626)</f>
        <v>7002.8441050794145</v>
      </c>
      <c r="T626" s="174">
        <f>AL626*IF(H626="근접",AR626,1)*AY626*IF(F626="백어택",1.2,1)</f>
        <v>3076.4698640675119</v>
      </c>
      <c r="U626" s="174">
        <f>AM626*IF(H626="근접",AR626,1)*AY626*IF(F626="백어택",1.2,1)</f>
        <v>3926.3742410119025</v>
      </c>
      <c r="V626" s="174">
        <f>IF(AX626=1,0,AM626*IF(H626="근접",AR626,1)*AY626)*IF(F626="백어택",1.2,1)</f>
        <v>0</v>
      </c>
      <c r="W626" s="174"/>
      <c r="X626" s="175"/>
      <c r="Y626" s="173">
        <f>SUM(Z626:AD626)</f>
        <v>17507.110262698538</v>
      </c>
      <c r="Z626" s="174">
        <f>T626*IF(AY626=1,$D$58,$D$58+50)/100</f>
        <v>7691.1746601687801</v>
      </c>
      <c r="AA626" s="174">
        <f>U626*AI626/100</f>
        <v>9815.9356025297566</v>
      </c>
      <c r="AB626" s="174">
        <f>V626*AI626/100</f>
        <v>0</v>
      </c>
      <c r="AC626" s="174"/>
      <c r="AD626" s="175"/>
      <c r="AE626" s="173">
        <f>AO626*(1-$D$20/100)*(1-$D$17/100)</f>
        <v>18.484776131615998</v>
      </c>
      <c r="AF626" s="174">
        <f>AP626</f>
        <v>36</v>
      </c>
      <c r="AG626" s="174">
        <f>IF($D$57+AU626&gt;100,100,$D$57+AU626)</f>
        <v>19.001300000000001</v>
      </c>
      <c r="AH626" s="174">
        <f>IF(AX626=1,AQ626,AQ626*1.4)</f>
        <v>521</v>
      </c>
      <c r="AI626" s="174">
        <f>IF(AY626=1,$D$58,$D$58+50)*AW626</f>
        <v>250</v>
      </c>
      <c r="AJ626" s="174">
        <f>10/6/AX626</f>
        <v>1.6666666666666667</v>
      </c>
      <c r="AK626" s="174">
        <f>SUM(AL626:AN626)</f>
        <v>4863.0861840829275</v>
      </c>
      <c r="AL626" s="174">
        <f>(IF(H626="근접",$D$61*(VLOOKUP(C626,$B$36:$AG$39,9,FALSE)+VLOOKUP(C626,$B$40:$AG$43,9,FALSE)*$D$54),$D$60*(VLOOKUP(C626,$B$36:$AG$39,9,FALSE)+VLOOKUP(C626,$B$40:$AG$43,9,FALSE)*$D$54)))*$D$59/100</f>
        <v>2136.437405602439</v>
      </c>
      <c r="AM626" s="174">
        <f>(IF(H626="근접",$D$61*(VLOOKUP(C626,$B$36:$AG$39,10,FALSE)+VLOOKUP(C626,$B$40:$AG$43,10,FALSE)*$D$54),$D$60*(VLOOKUP(C626,$B$36:$AG$39,10,FALSE)+VLOOKUP(C626,$B$40:$AG$43,10,FALSE)*$D$54)))*$D$59/100</f>
        <v>2726.6487784804881</v>
      </c>
      <c r="AN626" s="174"/>
      <c r="AO626" s="176">
        <v>24</v>
      </c>
      <c r="AP626" s="174">
        <v>36</v>
      </c>
      <c r="AQ626" s="175">
        <f>VLOOKUP(C626,$B$45:$AA$48,9,FALSE)</f>
        <v>521</v>
      </c>
      <c r="AR626" s="31">
        <f>IF(LEFT(E626,1)*1=1,$S$58,$R$58)</f>
        <v>1.2</v>
      </c>
      <c r="AS626" s="2">
        <f>IF(LEFT(E626,1)*1=2,$U$58,$T$58)</f>
        <v>0</v>
      </c>
      <c r="AT626" s="33">
        <f>IF(LEFT(E626,1)*1=3,$W$58,$V$58)</f>
        <v>0</v>
      </c>
      <c r="AU626" s="31">
        <f>IF(MID(E626,3,1)*1=1,$Y$58,$X$58)</f>
        <v>0</v>
      </c>
      <c r="AV626" s="2">
        <f>IF(MID(E626,3,1)*1=2,$AA$58,$Z$58)</f>
        <v>0</v>
      </c>
      <c r="AW626" s="33">
        <f>IF(MID(E626,3,1)*1=3,$AC$58,$AB$58)</f>
        <v>1</v>
      </c>
      <c r="AX626" s="31">
        <f>IF(MID(E626,5,1)*1=1,$AE$58,$AD$58)</f>
        <v>1</v>
      </c>
      <c r="AY626" s="33">
        <f>IF(MID(E626,5,1)*1=2,$AG$58,$AF$58)</f>
        <v>1.2</v>
      </c>
      <c r="AZ626" s="2"/>
      <c r="BA626" s="101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</row>
    <row r="627" spans="1:71" ht="12" customHeight="1">
      <c r="A627" s="2"/>
      <c r="B627" s="107">
        <v>237</v>
      </c>
      <c r="C627" s="31">
        <v>4</v>
      </c>
      <c r="D627" s="106" t="s">
        <v>13</v>
      </c>
      <c r="E627" s="2" t="s">
        <v>87</v>
      </c>
      <c r="F627" s="2"/>
      <c r="G627" s="2"/>
      <c r="H627" s="33"/>
      <c r="I627" s="173">
        <f>M627/AE627</f>
        <v>531.69470115215097</v>
      </c>
      <c r="J627" s="174">
        <f>AH627/AE627</f>
        <v>8.3114645752849956</v>
      </c>
      <c r="K627" s="207">
        <f>RANK(I627,$I$76:$I$977)</f>
        <v>552</v>
      </c>
      <c r="L627" s="208" t="e">
        <f>RANK(I627,$I$76:$I$450)</f>
        <v>#N/A</v>
      </c>
      <c r="M627" s="173">
        <f>SUM(N627:R627)</f>
        <v>12730.276904976155</v>
      </c>
      <c r="N627" s="174">
        <f>T627*(1+((AG627+IF(F627="백어택",8,0))/100)*((AI627/100-1)))</f>
        <v>9534.0490727904817</v>
      </c>
      <c r="O627" s="174">
        <f>U627*(1+($D$57/100)*($D$58/100-1))</f>
        <v>3196.2278321856734</v>
      </c>
      <c r="P627" s="174"/>
      <c r="Q627" s="174"/>
      <c r="R627" s="175">
        <f>X627*(1+($D$57/100)*($D$58/100-1))</f>
        <v>0</v>
      </c>
      <c r="S627" s="173">
        <f>SUM(T627:X627)</f>
        <v>7465.2660790353666</v>
      </c>
      <c r="T627" s="174">
        <f>AL627*AY627</f>
        <v>4779.3896792097567</v>
      </c>
      <c r="U627" s="174">
        <f>AM627*AU627*AW627</f>
        <v>2685.87639982561</v>
      </c>
      <c r="V627" s="174"/>
      <c r="W627" s="174"/>
      <c r="X627" s="175">
        <f>IF(AU627=1,0,U627*0.625)</f>
        <v>0</v>
      </c>
      <c r="Y627" s="173">
        <f>SUM(Z627:AD627)</f>
        <v>14930.532158070733</v>
      </c>
      <c r="Z627" s="174">
        <f>T627*$D$58/100</f>
        <v>9558.7793584195133</v>
      </c>
      <c r="AA627" s="174">
        <f>U627*$D$58/100</f>
        <v>5371.7527996512199</v>
      </c>
      <c r="AB627" s="174"/>
      <c r="AC627" s="174"/>
      <c r="AD627" s="175">
        <f>X627*$D$58/100</f>
        <v>0</v>
      </c>
      <c r="AE627" s="173">
        <f>AO627*(1-$D$17/100)</f>
        <v>23.942831999999999</v>
      </c>
      <c r="AF627" s="174">
        <f>AP627</f>
        <v>36</v>
      </c>
      <c r="AG627" s="174">
        <f>IF($D$57+AT627&gt;100,100,$D$57+AT627)</f>
        <v>59.001300000000001</v>
      </c>
      <c r="AH627" s="174">
        <f>AQ627</f>
        <v>199</v>
      </c>
      <c r="AI627" s="174">
        <f>$D$58+$D$19</f>
        <v>268.61079999999998</v>
      </c>
      <c r="AJ627" s="174">
        <f>10/IF(AY627=1,2.5,2)</f>
        <v>4</v>
      </c>
      <c r="AK627" s="174">
        <f>SUM(AL627:AN627)</f>
        <v>7465.2660790353666</v>
      </c>
      <c r="AL627" s="174">
        <f>(VLOOKUP(C627,$B$36:$AG$39,17,FALSE)+VLOOKUP(C627,$B$40:$AG$43,17,FALSE)*$D$54)*$D$59/100</f>
        <v>4779.3896792097567</v>
      </c>
      <c r="AM627" s="174">
        <f>(VLOOKUP(C627,$B$36:$AG$39,18,FALSE)+VLOOKUP(C627,$B$40:$AG$43,18,FALSE)*$D$54)*$D$59/100</f>
        <v>2685.87639982561</v>
      </c>
      <c r="AN627" s="174"/>
      <c r="AO627" s="176">
        <v>24</v>
      </c>
      <c r="AP627" s="174">
        <v>36</v>
      </c>
      <c r="AQ627" s="175">
        <f>VLOOKUP(C627,$B$45:$AA$48,17,FALSE)</f>
        <v>199</v>
      </c>
      <c r="AR627" s="31">
        <f>IF(LEFT(E627,1)*1=1,$S$63,$R$63)</f>
        <v>0</v>
      </c>
      <c r="AS627" s="2">
        <f>IF(LEFT(E627,1)*1=2,$U$63,$T$63)</f>
        <v>0</v>
      </c>
      <c r="AT627" s="33">
        <f>IF(LEFT(E627,1)*1=3,$W$63,$V$63)</f>
        <v>40</v>
      </c>
      <c r="AU627" s="31">
        <f>IF(MID(E627,3,1)*1=1,$Y$63,$X$63)</f>
        <v>1</v>
      </c>
      <c r="AV627" s="2">
        <f>IF(MID(E627,3,1)*1=2,$AA$63,$Z$63)</f>
        <v>0</v>
      </c>
      <c r="AW627" s="33">
        <f>IF(MID(E627,3,1)*1=3,$AC$63,$AB$63)</f>
        <v>1</v>
      </c>
      <c r="AX627" s="31">
        <f>IF(MID(E627,5,1)*1=1,$AE$63,$AD$63)</f>
        <v>0</v>
      </c>
      <c r="AY627" s="33">
        <f>IF(MID(E627,5,1)*1=2,$AG$63,$AF$63)</f>
        <v>1</v>
      </c>
      <c r="AZ627" s="2"/>
      <c r="BA627" s="101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</row>
    <row r="628" spans="1:71" ht="12" customHeight="1">
      <c r="A628" s="2"/>
      <c r="B628" s="107">
        <v>22</v>
      </c>
      <c r="C628" s="31">
        <v>7</v>
      </c>
      <c r="D628" s="106" t="s">
        <v>2</v>
      </c>
      <c r="E628" s="2" t="s">
        <v>79</v>
      </c>
      <c r="F628" s="2"/>
      <c r="G628" s="2"/>
      <c r="H628" s="33"/>
      <c r="I628" s="173">
        <f>M628/AE628</f>
        <v>530.28613940611604</v>
      </c>
      <c r="J628" s="174">
        <f>AH628/AE628</f>
        <v>27.646690762739251</v>
      </c>
      <c r="K628" s="207">
        <f>RANK(I628,$I$76:$I$977)</f>
        <v>553</v>
      </c>
      <c r="L628" s="208" t="e">
        <f>RANK(I628,$I$76:$I$450)</f>
        <v>#N/A</v>
      </c>
      <c r="M628" s="173">
        <f>SUM(N628:R628)</f>
        <v>3701.8978431702894</v>
      </c>
      <c r="N628" s="174">
        <f>T628*(1+((AG628+IF(F628="백어택",8,0))/100)*((AI628/100-1)))</f>
        <v>3701.8978431702894</v>
      </c>
      <c r="O628" s="174"/>
      <c r="P628" s="174"/>
      <c r="Q628" s="174"/>
      <c r="R628" s="175"/>
      <c r="S628" s="173">
        <f>SUM(T628:X628)</f>
        <v>2803.6557687341465</v>
      </c>
      <c r="T628" s="174">
        <f>AL628*AV628*AW628*AY628</f>
        <v>2803.6557687341465</v>
      </c>
      <c r="U628" s="174"/>
      <c r="V628" s="174"/>
      <c r="W628" s="174"/>
      <c r="X628" s="175"/>
      <c r="Y628" s="173">
        <f>SUM(Z628:AD628)</f>
        <v>5607.311537468293</v>
      </c>
      <c r="Z628" s="174">
        <f>T628*$D$58/100</f>
        <v>5607.311537468293</v>
      </c>
      <c r="AA628" s="174"/>
      <c r="AB628" s="174"/>
      <c r="AC628" s="174"/>
      <c r="AD628" s="175"/>
      <c r="AE628" s="173">
        <f>AO628*(1-$D$17/100)-AS628</f>
        <v>6.980944</v>
      </c>
      <c r="AF628" s="174"/>
      <c r="AG628" s="174">
        <f>IF($D$57+AT628&gt;100,100,$D$57+AT628)</f>
        <v>19.001300000000001</v>
      </c>
      <c r="AH628" s="174">
        <f>AQ628</f>
        <v>193</v>
      </c>
      <c r="AI628" s="174">
        <f>$D$58+$D$19</f>
        <v>268.61079999999998</v>
      </c>
      <c r="AJ628" s="174">
        <f>10*AY628/12</f>
        <v>0.83333333333333337</v>
      </c>
      <c r="AK628" s="174">
        <f>SUM(AL628:AN628)</f>
        <v>2803.6557687341465</v>
      </c>
      <c r="AL628" s="174">
        <f>(VLOOKUP(C628,$B$36:$AA$39,2,FALSE)+VLOOKUP(C628,$B$40:$AA$43,2,FALSE)*$D$54)*$D$59/100</f>
        <v>2803.6557687341465</v>
      </c>
      <c r="AM628" s="174"/>
      <c r="AN628" s="174"/>
      <c r="AO628" s="176">
        <v>8</v>
      </c>
      <c r="AP628" s="174">
        <v>15</v>
      </c>
      <c r="AQ628" s="175">
        <f>VLOOKUP(C628,$B$45:$AA$48,2,FALSE)</f>
        <v>193</v>
      </c>
      <c r="AR628" s="31">
        <f>IF(LEFT(E628,1)*1=1,$S$52,$R$52)</f>
        <v>0</v>
      </c>
      <c r="AS628" s="2">
        <f>IF(LEFT(E628,1)*1=2,$U$52,$T$52)</f>
        <v>1</v>
      </c>
      <c r="AT628" s="33">
        <f>IF(LEFT(E628,1)*1=3,$W$52,$V$52)</f>
        <v>0</v>
      </c>
      <c r="AU628" s="31">
        <f>IF(MID(E628,3,1)*1=1,$Y$52,$X$52)</f>
        <v>0</v>
      </c>
      <c r="AV628" s="2">
        <f>IF(MID(E628,3,1)*1=2,$AA$52,$Z$52)</f>
        <v>1</v>
      </c>
      <c r="AW628" s="33">
        <f>IF(MID(E628,3,1)*1=3,$AC$52,$AB$52)</f>
        <v>1</v>
      </c>
      <c r="AX628" s="31">
        <f>IF(MID(E628,5,1)*1=1,$AE$52,$AD$52)</f>
        <v>0</v>
      </c>
      <c r="AY628" s="33">
        <f>IF(MID(E628,5,1)*1=2,$AG$52,$AF$52)</f>
        <v>1</v>
      </c>
      <c r="AZ628" s="2"/>
      <c r="BA628" s="101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</row>
    <row r="629" spans="1:71" ht="12" customHeight="1">
      <c r="A629" s="2"/>
      <c r="B629" s="107">
        <v>749</v>
      </c>
      <c r="C629" s="31">
        <v>7</v>
      </c>
      <c r="D629" s="111" t="s">
        <v>21</v>
      </c>
      <c r="E629" s="2" t="s">
        <v>136</v>
      </c>
      <c r="F629" s="2"/>
      <c r="G629" s="2"/>
      <c r="H629" s="33"/>
      <c r="I629" s="173">
        <f>M629/AE629</f>
        <v>529.90566310234294</v>
      </c>
      <c r="J629" s="174">
        <f>AH629/AE629</f>
        <v>16.518097441877977</v>
      </c>
      <c r="K629" s="207">
        <f>RANK(I629,$I$76:$I$977)</f>
        <v>554</v>
      </c>
      <c r="L629" s="208">
        <f>RANK(I629,$I$451:$I$866)</f>
        <v>179</v>
      </c>
      <c r="M629" s="173">
        <f>SUM(N629:R629)</f>
        <v>14692.781329983507</v>
      </c>
      <c r="N629" s="174">
        <f>T629*(1+((AG629+IF(F629="백어택",8,0))/100)*(AI629/100-1))</f>
        <v>11302.139484602698</v>
      </c>
      <c r="O629" s="174"/>
      <c r="P629" s="174"/>
      <c r="Q629" s="174"/>
      <c r="R629" s="175">
        <f>X629*(1+(AG629/100)*(AI629/100-1))</f>
        <v>3390.6418453808096</v>
      </c>
      <c r="S629" s="173">
        <f>SUM(T629:X629)</f>
        <v>12346.740186858049</v>
      </c>
      <c r="T629" s="174">
        <f>AL629*AW629*AX629*AY629*IF(F629="백어택",1.2,1)</f>
        <v>9497.4924514292688</v>
      </c>
      <c r="U629" s="174"/>
      <c r="V629" s="174"/>
      <c r="W629" s="174"/>
      <c r="X629" s="175">
        <f>AL629*AS629+IF(AX629=1,AL629*AU629,AL629*AU629*2)</f>
        <v>2849.2477354287807</v>
      </c>
      <c r="Y629" s="173">
        <f>SUM(Z629:AD629)</f>
        <v>24693.480373716098</v>
      </c>
      <c r="Z629" s="174">
        <f>T629*$D$58/100</f>
        <v>18994.984902858538</v>
      </c>
      <c r="AA629" s="174"/>
      <c r="AB629" s="174"/>
      <c r="AC629" s="174"/>
      <c r="AD629" s="175">
        <f>X629*$D$58/100</f>
        <v>5698.4954708575624</v>
      </c>
      <c r="AE629" s="173">
        <f>AO629*(1-$D$20/100)*(1-$D$17/100)-AR629</f>
        <v>27.727164197424003</v>
      </c>
      <c r="AF629" s="174">
        <f>AP629</f>
        <v>36</v>
      </c>
      <c r="AG629" s="174">
        <f>IF($D$57&gt;100,100,$D$57)</f>
        <v>19.001300000000001</v>
      </c>
      <c r="AH629" s="174">
        <f>AQ629</f>
        <v>458</v>
      </c>
      <c r="AI629" s="174">
        <f>$D$58</f>
        <v>200</v>
      </c>
      <c r="AJ629" s="174">
        <f>10/6</f>
        <v>1.6666666666666667</v>
      </c>
      <c r="AK629" s="174">
        <f>SUM(AL629:AN629)</f>
        <v>9497.4924514292688</v>
      </c>
      <c r="AL629" s="174">
        <f>(VLOOKUP(C629,$B$36:$AG$39,31,FALSE)+VLOOKUP(C629,$B$40:$AG$43,31,FALSE)*$D$54)*$D$59/100</f>
        <v>9497.4924514292688</v>
      </c>
      <c r="AM629" s="174"/>
      <c r="AN629" s="174"/>
      <c r="AO629" s="176">
        <v>36</v>
      </c>
      <c r="AP629" s="174">
        <v>36</v>
      </c>
      <c r="AQ629" s="175">
        <f>VLOOKUP(C629,$B$45:$AG$48,31,FALSE)</f>
        <v>458</v>
      </c>
      <c r="AR629" s="31">
        <f>IF(LEFT(E629,1)*1=1,$S$71,$R$71)</f>
        <v>0</v>
      </c>
      <c r="AS629" s="2">
        <f>IF(LEFT(E629,1)*1=2,$U$71,$T$71)</f>
        <v>0</v>
      </c>
      <c r="AT629" s="33">
        <f>IF(LEFT(E629,1)*1=3,$W$71,$V$71)</f>
        <v>0</v>
      </c>
      <c r="AU629" s="31">
        <f>IF(MID(E629,3,1)*1=1,$Y$71,$X$71)</f>
        <v>0.3</v>
      </c>
      <c r="AV629" s="2">
        <f>IF(MID(E629,3,1)*1=2,$AA$71,$Z$71)</f>
        <v>0</v>
      </c>
      <c r="AW629" s="33">
        <f>IF(MID(E629,3,1)*1=3,$AC$71,$AB$71)</f>
        <v>1</v>
      </c>
      <c r="AX629" s="31">
        <f>IF(MID(E629,5,1)*1=1,$AE$71,$AD$71)</f>
        <v>1</v>
      </c>
      <c r="AY629" s="33">
        <f>IF(MID(E629,5,1)*1=2,$AG$71,$AF$71)</f>
        <v>1</v>
      </c>
      <c r="AZ629" s="2"/>
      <c r="BA629" s="101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</row>
    <row r="630" spans="1:71" ht="12" customHeight="1">
      <c r="A630" s="2"/>
      <c r="B630" s="107">
        <v>465</v>
      </c>
      <c r="C630" s="31">
        <v>10</v>
      </c>
      <c r="D630" s="111" t="s">
        <v>11</v>
      </c>
      <c r="E630" s="2" t="s">
        <v>101</v>
      </c>
      <c r="F630" s="2"/>
      <c r="G630" s="2"/>
      <c r="H630" s="33">
        <f>IF(AX630=1,5,1)</f>
        <v>5</v>
      </c>
      <c r="I630" s="173">
        <f>M630/AE630</f>
        <v>529.27058516532054</v>
      </c>
      <c r="J630" s="174">
        <f>AH630/AE630</f>
        <v>25.621083892380163</v>
      </c>
      <c r="K630" s="207">
        <f>RANK(I630,$I$76:$I$977)</f>
        <v>555</v>
      </c>
      <c r="L630" s="208">
        <f>RANK(I630,$I$451:$I$866)</f>
        <v>180</v>
      </c>
      <c r="M630" s="173">
        <f>SUM(N630:R630)</f>
        <v>12229.310349787938</v>
      </c>
      <c r="N630" s="174">
        <f>T630*(1+(AG630/100)*(AI630/100-1))</f>
        <v>10921.366700286229</v>
      </c>
      <c r="O630" s="174">
        <f>U630*(1+(AG630/100)*(AI630/100-1))</f>
        <v>1307.9436495017098</v>
      </c>
      <c r="P630" s="174"/>
      <c r="Q630" s="174"/>
      <c r="R630" s="175"/>
      <c r="S630" s="173">
        <f>T630</f>
        <v>8150.1945878780507</v>
      </c>
      <c r="T630" s="174">
        <f>H630*AL630*AX630</f>
        <v>8150.1945878780507</v>
      </c>
      <c r="U630" s="174">
        <f>AM630*AV630</f>
        <v>976.06788105914632</v>
      </c>
      <c r="V630" s="174"/>
      <c r="W630" s="174"/>
      <c r="X630" s="175"/>
      <c r="Y630" s="173">
        <f>SUM(Z630:AD630)</f>
        <v>18252.524937874394</v>
      </c>
      <c r="Z630" s="174">
        <f>T630*$D$58/100</f>
        <v>16300.389175756101</v>
      </c>
      <c r="AA630" s="174">
        <f>U630*$D$58/100</f>
        <v>1952.1357621182926</v>
      </c>
      <c r="AB630" s="174"/>
      <c r="AC630" s="174"/>
      <c r="AD630" s="175"/>
      <c r="AE630" s="173">
        <f>AO630*(1-$D$20/100)*(1-$D$17/100)-AR630</f>
        <v>23.105970164519999</v>
      </c>
      <c r="AF630" s="174">
        <f>AP630</f>
        <v>36</v>
      </c>
      <c r="AG630" s="174">
        <f>IF($D$57+AS630&gt;100,100,$D$57+AS630)</f>
        <v>34.001300000000001</v>
      </c>
      <c r="AH630" s="174">
        <f>AQ630</f>
        <v>592</v>
      </c>
      <c r="AI630" s="174">
        <f>$D$58</f>
        <v>200</v>
      </c>
      <c r="AJ630" s="174">
        <f>10/IF(AX630=1,7,6)</f>
        <v>1.4285714285714286</v>
      </c>
      <c r="AK630" s="174">
        <f>SUM(AL630:AN630)</f>
        <v>2280.7508382817077</v>
      </c>
      <c r="AL630" s="174">
        <f>(VLOOKUP(C630,$B$36:$AG$39,14,FALSE)+VLOOKUP(C630,$B$40:$AG$43,14,FALSE)*$D$54)*$D$59/100</f>
        <v>1630.0389175756102</v>
      </c>
      <c r="AM630" s="174">
        <f>(VLOOKUP(C630,$B$36:$AG$39,15,FALSE)+VLOOKUP(C630,$B$40:$AG$43,15,FALSE)*$D$54)*$D$59/100</f>
        <v>650.71192070609754</v>
      </c>
      <c r="AN630" s="174"/>
      <c r="AO630" s="176">
        <v>30</v>
      </c>
      <c r="AP630" s="174">
        <v>36</v>
      </c>
      <c r="AQ630" s="175">
        <f>VLOOKUP(C630,$B$45:$AA$48,14,FALSE)</f>
        <v>592</v>
      </c>
      <c r="AR630" s="31">
        <f>IF(LEFT(E630,1)*1=1,$S$61,$R$61)</f>
        <v>0</v>
      </c>
      <c r="AS630" s="2">
        <f>IF(LEFT(E630,1)*1=2,$U$61,$T$61)</f>
        <v>15</v>
      </c>
      <c r="AT630" s="33">
        <f>IF(LEFT(E630,1)*1=3,$W$61,$V$61)</f>
        <v>0</v>
      </c>
      <c r="AU630" s="31">
        <f>IF(MID(E630,3,1)*1=1,$Y$61,$X$61)</f>
        <v>0</v>
      </c>
      <c r="AV630" s="2">
        <f>IF(MID(E630,3,1)*1=2,$AA$61,$Z$61)</f>
        <v>1.5</v>
      </c>
      <c r="AW630" s="33">
        <f>IF(MID(E630,3,1)*1=3,$AC$61,$AB$61)</f>
        <v>0</v>
      </c>
      <c r="AX630" s="31">
        <f>IF(MID(E630,5,1)*1=1,$AE$61,$AD$61)</f>
        <v>1</v>
      </c>
      <c r="AY630" s="33">
        <f>IF(MID(E630,5,1)*1=2,$AG$61,$AF$61)</f>
        <v>0</v>
      </c>
      <c r="AZ630" s="2"/>
      <c r="BA630" s="101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</row>
    <row r="631" spans="1:71" ht="12" customHeight="1">
      <c r="A631" s="2"/>
      <c r="B631" s="107">
        <v>103</v>
      </c>
      <c r="C631" s="31">
        <v>10</v>
      </c>
      <c r="D631" s="106" t="s">
        <v>6</v>
      </c>
      <c r="E631" s="2" t="s">
        <v>92</v>
      </c>
      <c r="F631" s="2"/>
      <c r="G631" s="2"/>
      <c r="H631" s="33"/>
      <c r="I631" s="173">
        <f>M631/AE631</f>
        <v>525.7989842282492</v>
      </c>
      <c r="J631" s="174">
        <f>AH631/AE631</f>
        <v>23.505991271208018</v>
      </c>
      <c r="K631" s="207">
        <f>RANK(I631,$I$76:$I$977)</f>
        <v>556</v>
      </c>
      <c r="L631" s="208" t="e">
        <f>RANK(I631,$I$76:$I$450)</f>
        <v>#N/A</v>
      </c>
      <c r="M631" s="173">
        <f>SUM(N631:R631)</f>
        <v>10490.930620956349</v>
      </c>
      <c r="N631" s="174">
        <f>T631*(1+((AG631+IF(F631="백어택",8,0))/100)*((AI631/100-1)))</f>
        <v>10490.930620956349</v>
      </c>
      <c r="O631" s="174"/>
      <c r="P631" s="174"/>
      <c r="Q631" s="174"/>
      <c r="R631" s="175"/>
      <c r="S631" s="173">
        <f>SUM(T631:X631)</f>
        <v>7945.3727252626832</v>
      </c>
      <c r="T631" s="174">
        <f>AL631*AW631*AT631*AX631*AY631</f>
        <v>7945.3727252626832</v>
      </c>
      <c r="U631" s="174"/>
      <c r="V631" s="174"/>
      <c r="W631" s="174"/>
      <c r="X631" s="175"/>
      <c r="Y631" s="173">
        <f>SUM(Z631:AD631)</f>
        <v>15890.745450525365</v>
      </c>
      <c r="Z631" s="174">
        <f>T631*$D$58/100</f>
        <v>15890.745450525365</v>
      </c>
      <c r="AA631" s="174"/>
      <c r="AB631" s="174"/>
      <c r="AC631" s="174"/>
      <c r="AD631" s="175"/>
      <c r="AE631" s="173">
        <f>AO631*(1-$D$17/100)</f>
        <v>19.952359999999999</v>
      </c>
      <c r="AF631" s="174">
        <f>AP631</f>
        <v>36</v>
      </c>
      <c r="AG631" s="174">
        <f>IF($D$57+AV631&gt;100,100,$D$57+AV631)</f>
        <v>19.001300000000001</v>
      </c>
      <c r="AH631" s="174">
        <f>AQ631*AR631</f>
        <v>469</v>
      </c>
      <c r="AI631" s="174">
        <f>$D$58+$D$19</f>
        <v>268.61079999999998</v>
      </c>
      <c r="AJ631" s="174">
        <f>10/IF(AX631=1,IF(AY631=1,5,6),4)</f>
        <v>1.6666666666666667</v>
      </c>
      <c r="AK631" s="174">
        <f>SUM(AL631:AN631)</f>
        <v>5675.2662323304885</v>
      </c>
      <c r="AL631" s="174">
        <f>(VLOOKUP(C631,$B$36:$AG$39,7,FALSE)+VLOOKUP(C631,$B$40:$AG$43,7,FALSE)*$D$54)*$D$59/100</f>
        <v>5675.2662323304885</v>
      </c>
      <c r="AM631" s="174"/>
      <c r="AN631" s="174"/>
      <c r="AO631" s="176">
        <v>20</v>
      </c>
      <c r="AP631" s="174">
        <v>36</v>
      </c>
      <c r="AQ631" s="175">
        <f>VLOOKUP(C631,$B$45:$AA$48,7,FALSE)</f>
        <v>469</v>
      </c>
      <c r="AR631" s="31">
        <f>IF(LEFT(E631,1)*1=1,$S$56,$R$56)</f>
        <v>1</v>
      </c>
      <c r="AS631" s="2">
        <f>IF(LEFT(E631,1)*1=2,$U$56,$T$56)</f>
        <v>0</v>
      </c>
      <c r="AT631" s="33">
        <f>IF(LEFT(E631,1)*1=3,$W$56,$V$56)</f>
        <v>1</v>
      </c>
      <c r="AU631" s="31">
        <f>IF(MID(E631,3,1)*1=1,$Y$56,$X$56)</f>
        <v>0</v>
      </c>
      <c r="AV631" s="2">
        <f>IF(MID(E631,3,1)*1=2,$AA$56,$Z$56)</f>
        <v>0</v>
      </c>
      <c r="AW631" s="33">
        <f>IF(MID(E631,3,1)*1=3,$AC$56,$AB$56)</f>
        <v>1</v>
      </c>
      <c r="AX631" s="31">
        <f>IF(MID(E631,5,1)*1=1,$AE$56,$AD$56)</f>
        <v>1</v>
      </c>
      <c r="AY631" s="33">
        <f>IF(MID(E631,5,1)*1=2,$AG$56,$AF$56)</f>
        <v>1.4</v>
      </c>
      <c r="AZ631" s="2"/>
      <c r="BA631" s="101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</row>
    <row r="632" spans="1:71" ht="12" customHeight="1">
      <c r="A632" s="2"/>
      <c r="B632" s="107">
        <v>106</v>
      </c>
      <c r="C632" s="31">
        <v>10</v>
      </c>
      <c r="D632" s="106" t="s">
        <v>6</v>
      </c>
      <c r="E632" s="2" t="s">
        <v>151</v>
      </c>
      <c r="F632" s="2"/>
      <c r="G632" s="2"/>
      <c r="H632" s="33"/>
      <c r="I632" s="173">
        <f>M632/AE632</f>
        <v>525.7989842282492</v>
      </c>
      <c r="J632" s="174">
        <f>AH632/AE632</f>
        <v>11.752995635604009</v>
      </c>
      <c r="K632" s="207">
        <f>RANK(I632,$I$76:$I$977)</f>
        <v>556</v>
      </c>
      <c r="L632" s="208" t="e">
        <f>RANK(I632,$I$76:$I$450)</f>
        <v>#N/A</v>
      </c>
      <c r="M632" s="173">
        <f>SUM(N632:R632)</f>
        <v>10490.930620956349</v>
      </c>
      <c r="N632" s="174">
        <f>T632*(1+((AG632+IF(F632="백어택",8,0))/100)*((AI632/100-1)))</f>
        <v>10490.930620956349</v>
      </c>
      <c r="O632" s="174"/>
      <c r="P632" s="174"/>
      <c r="Q632" s="174"/>
      <c r="R632" s="175"/>
      <c r="S632" s="173">
        <f>SUM(T632:X632)</f>
        <v>7945.3727252626832</v>
      </c>
      <c r="T632" s="174">
        <f>AL632*AW632*AT632*AX632*AY632</f>
        <v>7945.3727252626832</v>
      </c>
      <c r="U632" s="174"/>
      <c r="V632" s="174"/>
      <c r="W632" s="174"/>
      <c r="X632" s="175"/>
      <c r="Y632" s="173">
        <f>SUM(Z632:AD632)</f>
        <v>15890.745450525365</v>
      </c>
      <c r="Z632" s="174">
        <f>T632*$D$58/100</f>
        <v>15890.745450525365</v>
      </c>
      <c r="AA632" s="174"/>
      <c r="AB632" s="174"/>
      <c r="AC632" s="174"/>
      <c r="AD632" s="175"/>
      <c r="AE632" s="173">
        <f>AO632*(1-$D$17/100)</f>
        <v>19.952359999999999</v>
      </c>
      <c r="AF632" s="174">
        <f>AP632</f>
        <v>36</v>
      </c>
      <c r="AG632" s="174">
        <f>IF($D$57+AV632&gt;100,100,$D$57+AV632)</f>
        <v>19.001300000000001</v>
      </c>
      <c r="AH632" s="174">
        <f>AQ632*AR632</f>
        <v>234.5</v>
      </c>
      <c r="AI632" s="174">
        <f>$D$58+$D$19</f>
        <v>268.61079999999998</v>
      </c>
      <c r="AJ632" s="174">
        <f>10/IF(AX632=1,IF(AY632=1,5,6),4)</f>
        <v>1.6666666666666667</v>
      </c>
      <c r="AK632" s="174">
        <f>SUM(AL632:AN632)</f>
        <v>5675.2662323304885</v>
      </c>
      <c r="AL632" s="174">
        <f>(VLOOKUP(C632,$B$36:$AG$39,7,FALSE)+VLOOKUP(C632,$B$40:$AG$43,7,FALSE)*$D$54)*$D$59/100</f>
        <v>5675.2662323304885</v>
      </c>
      <c r="AM632" s="174"/>
      <c r="AN632" s="174"/>
      <c r="AO632" s="176">
        <v>20</v>
      </c>
      <c r="AP632" s="174">
        <v>36</v>
      </c>
      <c r="AQ632" s="175">
        <f>VLOOKUP(C632,$B$45:$AA$48,7,FALSE)</f>
        <v>469</v>
      </c>
      <c r="AR632" s="31">
        <f>IF(LEFT(E632,1)*1=1,$S$56,$R$56)</f>
        <v>0.5</v>
      </c>
      <c r="AS632" s="2">
        <f>IF(LEFT(E632,1)*1=2,$U$56,$T$56)</f>
        <v>0</v>
      </c>
      <c r="AT632" s="33">
        <f>IF(LEFT(E632,1)*1=3,$W$56,$V$56)</f>
        <v>1</v>
      </c>
      <c r="AU632" s="31">
        <f>IF(MID(E632,3,1)*1=1,$Y$56,$X$56)</f>
        <v>0</v>
      </c>
      <c r="AV632" s="2">
        <f>IF(MID(E632,3,1)*1=2,$AA$56,$Z$56)</f>
        <v>0</v>
      </c>
      <c r="AW632" s="33">
        <f>IF(MID(E632,3,1)*1=3,$AC$56,$AB$56)</f>
        <v>1</v>
      </c>
      <c r="AX632" s="31">
        <f>IF(MID(E632,5,1)*1=1,$AE$56,$AD$56)</f>
        <v>1</v>
      </c>
      <c r="AY632" s="33">
        <f>IF(MID(E632,5,1)*1=2,$AG$56,$AF$56)</f>
        <v>1.4</v>
      </c>
      <c r="AZ632" s="2"/>
      <c r="BA632" s="101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</row>
    <row r="633" spans="1:71" ht="12" customHeight="1">
      <c r="A633" s="2"/>
      <c r="B633" s="107">
        <v>404</v>
      </c>
      <c r="C633" s="31">
        <v>10</v>
      </c>
      <c r="D633" s="111" t="s">
        <v>8</v>
      </c>
      <c r="E633" s="2" t="s">
        <v>139</v>
      </c>
      <c r="F633" s="2"/>
      <c r="G633" s="2"/>
      <c r="H633" s="33" t="s">
        <v>80</v>
      </c>
      <c r="I633" s="173">
        <f>M633/AE633</f>
        <v>524.07350816333621</v>
      </c>
      <c r="J633" s="174">
        <f>AH633/AE633</f>
        <v>28.185356224514496</v>
      </c>
      <c r="K633" s="207">
        <f>RANK(I633,$I$76:$I$977)</f>
        <v>558</v>
      </c>
      <c r="L633" s="208">
        <f>RANK(I633,$I$451:$I$866)</f>
        <v>183</v>
      </c>
      <c r="M633" s="173">
        <f>SUM(N633:R633)</f>
        <v>9687.3814749098983</v>
      </c>
      <c r="N633" s="174">
        <f>T633*(1+((AG633+IF(F633="백어택",8,0))/100)*(IF(AY633=1,$D$58,$D$58+50)/100-1))</f>
        <v>4255.8333045953495</v>
      </c>
      <c r="O633" s="174">
        <f>U633*(1+((AG633+IF(F633="백어택",8,0))/100)*(AI633/100-1))</f>
        <v>5431.5481703145488</v>
      </c>
      <c r="P633" s="174">
        <f>V633*(1+((AG633+IF(F633="백어택",8,0))/100)*(AI633/100-1))</f>
        <v>0</v>
      </c>
      <c r="Q633" s="174"/>
      <c r="R633" s="175"/>
      <c r="S633" s="173">
        <f>SUM(T633:X633)</f>
        <v>5835.7034208995119</v>
      </c>
      <c r="T633" s="174">
        <f>AL633*IF(H633="근접",AR633,1)*AY633*IF(F633="백어택",1.2,1)</f>
        <v>2563.7248867229268</v>
      </c>
      <c r="U633" s="174">
        <f>AM633*IF(H633="근접",AR633,1)*AY633*IF(F633="백어택",1.2,1)</f>
        <v>3271.9785341765855</v>
      </c>
      <c r="V633" s="174">
        <f>IF(AX633=1,0,AM633*IF(H633="근접",AR633,1)*AY633)*IF(F633="백어택",1.2,1)</f>
        <v>0</v>
      </c>
      <c r="W633" s="174"/>
      <c r="X633" s="175"/>
      <c r="Y633" s="173">
        <f>SUM(Z633:AD633)</f>
        <v>14589.258552248783</v>
      </c>
      <c r="Z633" s="174">
        <f>T633*IF(AY633=1,$D$58,$D$58+50)/100</f>
        <v>6409.3122168073178</v>
      </c>
      <c r="AA633" s="174">
        <f>U633*AI633/100</f>
        <v>8179.9463354414647</v>
      </c>
      <c r="AB633" s="174">
        <f>V633*AI633/100</f>
        <v>0</v>
      </c>
      <c r="AC633" s="174"/>
      <c r="AD633" s="175"/>
      <c r="AE633" s="173">
        <f>AO633*(1-$D$20/100)*(1-$D$17/100)</f>
        <v>18.484776131615998</v>
      </c>
      <c r="AF633" s="174">
        <f>AP633</f>
        <v>36</v>
      </c>
      <c r="AG633" s="174">
        <f>IF($D$57+AU633&gt;100,100,$D$57+AU633)</f>
        <v>44.001300000000001</v>
      </c>
      <c r="AH633" s="174">
        <f>IF(AX633=1,AQ633,AQ633*1.4)</f>
        <v>521</v>
      </c>
      <c r="AI633" s="174">
        <f>IF(AY633=1,$D$58,$D$58+50)*AW633</f>
        <v>250</v>
      </c>
      <c r="AJ633" s="174">
        <f>10/6/AX633</f>
        <v>1.6666666666666667</v>
      </c>
      <c r="AK633" s="174">
        <f>SUM(AL633:AN633)</f>
        <v>4863.0861840829275</v>
      </c>
      <c r="AL633" s="174">
        <f>(IF(H633="근접",$D$61*(VLOOKUP(C633,$B$36:$AG$39,9,FALSE)+VLOOKUP(C633,$B$40:$AG$43,9,FALSE)*$D$54),$D$60*(VLOOKUP(C633,$B$36:$AG$39,9,FALSE)+VLOOKUP(C633,$B$40:$AG$43,9,FALSE)*$D$54)))*$D$59/100</f>
        <v>2136.437405602439</v>
      </c>
      <c r="AM633" s="174">
        <f>(IF(H633="근접",$D$61*(VLOOKUP(C633,$B$36:$AG$39,10,FALSE)+VLOOKUP(C633,$B$40:$AG$43,10,FALSE)*$D$54),$D$60*(VLOOKUP(C633,$B$36:$AG$39,10,FALSE)+VLOOKUP(C633,$B$40:$AG$43,10,FALSE)*$D$54)))*$D$59/100</f>
        <v>2726.6487784804881</v>
      </c>
      <c r="AN633" s="174"/>
      <c r="AO633" s="176">
        <v>24</v>
      </c>
      <c r="AP633" s="174">
        <v>36</v>
      </c>
      <c r="AQ633" s="175">
        <f>VLOOKUP(C633,$B$45:$AA$48,9,FALSE)</f>
        <v>521</v>
      </c>
      <c r="AR633" s="31">
        <f>IF(LEFT(E633,1)*1=1,$S$58,$R$58)</f>
        <v>1</v>
      </c>
      <c r="AS633" s="2">
        <f>IF(LEFT(E633,1)*1=2,$U$58,$T$58)</f>
        <v>0</v>
      </c>
      <c r="AT633" s="33">
        <f>IF(LEFT(E633,1)*1=3,$W$58,$V$58)</f>
        <v>0</v>
      </c>
      <c r="AU633" s="31">
        <f>IF(MID(E633,3,1)*1=1,$Y$58,$X$58)</f>
        <v>25</v>
      </c>
      <c r="AV633" s="2">
        <f>IF(MID(E633,3,1)*1=2,$AA$58,$Z$58)</f>
        <v>0</v>
      </c>
      <c r="AW633" s="33">
        <f>IF(MID(E633,3,1)*1=3,$AC$58,$AB$58)</f>
        <v>1</v>
      </c>
      <c r="AX633" s="31">
        <f>IF(MID(E633,5,1)*1=1,$AE$58,$AD$58)</f>
        <v>1</v>
      </c>
      <c r="AY633" s="33">
        <f>IF(MID(E633,5,1)*1=2,$AG$58,$AF$58)</f>
        <v>1.2</v>
      </c>
      <c r="AZ633" s="2"/>
      <c r="BA633" s="101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</row>
    <row r="634" spans="1:71" ht="12" customHeight="1">
      <c r="A634" s="2"/>
      <c r="B634" s="107">
        <v>407</v>
      </c>
      <c r="C634" s="31">
        <v>10</v>
      </c>
      <c r="D634" s="111" t="s">
        <v>8</v>
      </c>
      <c r="E634" s="2" t="s">
        <v>165</v>
      </c>
      <c r="F634" s="2"/>
      <c r="G634" s="2"/>
      <c r="H634" s="33" t="s">
        <v>80</v>
      </c>
      <c r="I634" s="173">
        <f>M634/AE634</f>
        <v>524.07350816333621</v>
      </c>
      <c r="J634" s="174">
        <f>AH634/AE634</f>
        <v>28.185356224514496</v>
      </c>
      <c r="K634" s="207">
        <f>RANK(I634,$I$76:$I$977)</f>
        <v>558</v>
      </c>
      <c r="L634" s="208">
        <f>RANK(I634,$I$451:$I$866)</f>
        <v>183</v>
      </c>
      <c r="M634" s="173">
        <f>SUM(N634:R634)</f>
        <v>9687.3814749098983</v>
      </c>
      <c r="N634" s="174">
        <f>T634*(1+((AG634+IF(F634="백어택",8,0))/100)*(IF(AY634=1,$D$58,$D$58+50)/100-1))</f>
        <v>4255.8333045953495</v>
      </c>
      <c r="O634" s="174">
        <f>U634*(1+((AG634+IF(F634="백어택",8,0))/100)*(AI634/100-1))</f>
        <v>5431.5481703145488</v>
      </c>
      <c r="P634" s="174">
        <f>V634*(1+((AG634+IF(F634="백어택",8,0))/100)*(AI634/100-1))</f>
        <v>0</v>
      </c>
      <c r="Q634" s="174"/>
      <c r="R634" s="175"/>
      <c r="S634" s="173">
        <f>SUM(T634:X634)</f>
        <v>5835.7034208995119</v>
      </c>
      <c r="T634" s="174">
        <f>AL634*IF(H634="근접",AR634,1)*AY634*IF(F634="백어택",1.2,1)</f>
        <v>2563.7248867229268</v>
      </c>
      <c r="U634" s="174">
        <f>AM634*IF(H634="근접",AR634,1)*AY634*IF(F634="백어택",1.2,1)</f>
        <v>3271.9785341765855</v>
      </c>
      <c r="V634" s="174">
        <f>IF(AX634=1,0,AM634*IF(H634="근접",AR634,1)*AY634)*IF(F634="백어택",1.2,1)</f>
        <v>0</v>
      </c>
      <c r="W634" s="174"/>
      <c r="X634" s="175"/>
      <c r="Y634" s="173">
        <f>SUM(Z634:AD634)</f>
        <v>14589.258552248783</v>
      </c>
      <c r="Z634" s="174">
        <f>T634*IF(AY634=1,$D$58,$D$58+50)/100</f>
        <v>6409.3122168073178</v>
      </c>
      <c r="AA634" s="174">
        <f>U634*AI634/100</f>
        <v>8179.9463354414647</v>
      </c>
      <c r="AB634" s="174">
        <f>V634*AI634/100</f>
        <v>0</v>
      </c>
      <c r="AC634" s="174"/>
      <c r="AD634" s="175"/>
      <c r="AE634" s="173">
        <f>AO634*(1-$D$20/100)*(1-$D$17/100)</f>
        <v>18.484776131615998</v>
      </c>
      <c r="AF634" s="174">
        <f>AP634</f>
        <v>36</v>
      </c>
      <c r="AG634" s="174">
        <f>IF($D$57+AU634&gt;100,100,$D$57+AU634)</f>
        <v>44.001300000000001</v>
      </c>
      <c r="AH634" s="174">
        <f>IF(AX634=1,AQ634,AQ634*1.4)</f>
        <v>521</v>
      </c>
      <c r="AI634" s="174">
        <f>IF(AY634=1,$D$58,$D$58+50)*AW634</f>
        <v>250</v>
      </c>
      <c r="AJ634" s="174">
        <f>10/6/AX634</f>
        <v>1.6666666666666667</v>
      </c>
      <c r="AK634" s="174">
        <f>SUM(AL634:AN634)</f>
        <v>4863.0861840829275</v>
      </c>
      <c r="AL634" s="174">
        <f>(IF(H634="근접",$D$61*(VLOOKUP(C634,$B$36:$AG$39,9,FALSE)+VLOOKUP(C634,$B$40:$AG$43,9,FALSE)*$D$54),$D$60*(VLOOKUP(C634,$B$36:$AG$39,9,FALSE)+VLOOKUP(C634,$B$40:$AG$43,9,FALSE)*$D$54)))*$D$59/100</f>
        <v>2136.437405602439</v>
      </c>
      <c r="AM634" s="174">
        <f>(IF(H634="근접",$D$61*(VLOOKUP(C634,$B$36:$AG$39,10,FALSE)+VLOOKUP(C634,$B$40:$AG$43,10,FALSE)*$D$54),$D$60*(VLOOKUP(C634,$B$36:$AG$39,10,FALSE)+VLOOKUP(C634,$B$40:$AG$43,10,FALSE)*$D$54)))*$D$59/100</f>
        <v>2726.6487784804881</v>
      </c>
      <c r="AN634" s="174"/>
      <c r="AO634" s="176">
        <v>24</v>
      </c>
      <c r="AP634" s="174">
        <v>36</v>
      </c>
      <c r="AQ634" s="175">
        <f>VLOOKUP(C634,$B$45:$AA$48,9,FALSE)</f>
        <v>521</v>
      </c>
      <c r="AR634" s="31">
        <f>IF(LEFT(E634,1)*1=1,$S$58,$R$58)</f>
        <v>1.2</v>
      </c>
      <c r="AS634" s="2">
        <f>IF(LEFT(E634,1)*1=2,$U$58,$T$58)</f>
        <v>0</v>
      </c>
      <c r="AT634" s="33">
        <f>IF(LEFT(E634,1)*1=3,$W$58,$V$58)</f>
        <v>0</v>
      </c>
      <c r="AU634" s="31">
        <f>IF(MID(E634,3,1)*1=1,$Y$58,$X$58)</f>
        <v>25</v>
      </c>
      <c r="AV634" s="2">
        <f>IF(MID(E634,3,1)*1=2,$AA$58,$Z$58)</f>
        <v>0</v>
      </c>
      <c r="AW634" s="33">
        <f>IF(MID(E634,3,1)*1=3,$AC$58,$AB$58)</f>
        <v>1</v>
      </c>
      <c r="AX634" s="31">
        <f>IF(MID(E634,5,1)*1=1,$AE$58,$AD$58)</f>
        <v>1</v>
      </c>
      <c r="AY634" s="33">
        <f>IF(MID(E634,5,1)*1=2,$AG$58,$AF$58)</f>
        <v>1.2</v>
      </c>
      <c r="AZ634" s="2"/>
      <c r="BA634" s="101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</row>
    <row r="635" spans="1:71" ht="12" hidden="1" customHeight="1">
      <c r="A635" s="2"/>
      <c r="B635" s="107">
        <v>171</v>
      </c>
      <c r="C635" s="31">
        <v>10</v>
      </c>
      <c r="D635" s="106" t="s">
        <v>10</v>
      </c>
      <c r="E635" s="2" t="s">
        <v>99</v>
      </c>
      <c r="F635" s="2" t="s">
        <v>149</v>
      </c>
      <c r="G635" s="2" t="s">
        <v>184</v>
      </c>
      <c r="H635" s="33"/>
      <c r="I635" s="173">
        <f>M635/AE635</f>
        <v>522.740658528121</v>
      </c>
      <c r="J635" s="174">
        <f>AH635/AE635</f>
        <v>25.811482952392598</v>
      </c>
      <c r="K635" s="207">
        <f>RANK(I635,$I$76:$I$977)</f>
        <v>560</v>
      </c>
      <c r="L635" s="208" t="e">
        <f>RANK(I635,$I$76:$I$450)</f>
        <v>#N/A</v>
      </c>
      <c r="M635" s="173">
        <f>SUM(N635:R635)</f>
        <v>8343.9278444721131</v>
      </c>
      <c r="N635" s="174">
        <f>T635*(1+((AG635+IF(F635="백어택",8,0))/100)*((AI635/100-1)))</f>
        <v>8343.9278444721131</v>
      </c>
      <c r="O635" s="174"/>
      <c r="P635" s="174"/>
      <c r="Q635" s="174"/>
      <c r="R635" s="175"/>
      <c r="S635" s="173">
        <f>SUM(T635:X635)</f>
        <v>5733.5900936678636</v>
      </c>
      <c r="T635" s="174">
        <f>AL635*AS635*AU635*AX635*IF(AY635=0,1,0.5)*IF(F635="백어택",1.2,1)</f>
        <v>5733.5900936678636</v>
      </c>
      <c r="U635" s="174"/>
      <c r="V635" s="174"/>
      <c r="W635" s="174"/>
      <c r="X635" s="175"/>
      <c r="Y635" s="173">
        <f>SUM(Z635:AD635)</f>
        <v>15401.042219321998</v>
      </c>
      <c r="Z635" s="174">
        <f>T635*AI635/100</f>
        <v>15401.042219321998</v>
      </c>
      <c r="AA635" s="174"/>
      <c r="AB635" s="174"/>
      <c r="AC635" s="174"/>
      <c r="AD635" s="175"/>
      <c r="AE635" s="173">
        <f>AO635*(1-$D$17/100)</f>
        <v>15.961888</v>
      </c>
      <c r="AF635" s="174">
        <f>AP635</f>
        <v>36</v>
      </c>
      <c r="AG635" s="174">
        <f>IF($D$57+AV635&gt;100,100,$D$57+AV635)</f>
        <v>19.001300000000001</v>
      </c>
      <c r="AH635" s="174">
        <f>AQ635</f>
        <v>412</v>
      </c>
      <c r="AI635" s="174">
        <f>$D$58+$D$19</f>
        <v>268.61079999999998</v>
      </c>
      <c r="AJ635" s="174">
        <f>10*AR635/(7-IF(AX635=1,0,3))</f>
        <v>1.4285714285714286</v>
      </c>
      <c r="AK635" s="174">
        <f>SUM(AL635:AN635)</f>
        <v>8098.2910927512203</v>
      </c>
      <c r="AL635" s="174">
        <f>(VLOOKUP(C635,$B$36:$AG$39,13,FALSE)+VLOOKUP(C635,$B$40:$AG$43,13,FALSE)*$D$54)*$D$59/100</f>
        <v>8098.2910927512203</v>
      </c>
      <c r="AM635" s="174"/>
      <c r="AN635" s="174"/>
      <c r="AO635" s="176">
        <v>16</v>
      </c>
      <c r="AP635" s="174">
        <v>36</v>
      </c>
      <c r="AQ635" s="175">
        <f>VLOOKUP(C635,$B$45:$AA$48,13,FALSE)</f>
        <v>412</v>
      </c>
      <c r="AR635" s="31">
        <f>IF(LEFT(E635,1)*1=1,$S$60,$R$60)</f>
        <v>1</v>
      </c>
      <c r="AS635" s="2">
        <f>IF(LEFT(E635,1)*1=2,$U$60,$T$60)</f>
        <v>1.18</v>
      </c>
      <c r="AT635" s="33">
        <f>IF(LEFT(E635,1)*1=3,$W$60,$V$60)</f>
        <v>0</v>
      </c>
      <c r="AU635" s="31">
        <f>IF(MID(E635,3,1)*1=1,$Y$60,$X$60)</f>
        <v>1</v>
      </c>
      <c r="AV635" s="2">
        <f>IF(MID(E635,3,1)*1=2,$AA$60,$Z$60)</f>
        <v>0</v>
      </c>
      <c r="AW635" s="33">
        <f>IF(MID(E635,3,1)*1=3,$AC$60,$AB$60)</f>
        <v>0</v>
      </c>
      <c r="AX635" s="31">
        <f>IF(MID(E635,5,1)*1=1,$AE$60,$AD$60)</f>
        <v>1</v>
      </c>
      <c r="AY635" s="33">
        <f>IF(MID(E635,5,1)*1=2,$AG$60,$AF$60)</f>
        <v>100</v>
      </c>
      <c r="AZ635" s="2"/>
      <c r="BA635" s="101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</row>
    <row r="636" spans="1:71" ht="12" customHeight="1">
      <c r="A636" s="2"/>
      <c r="B636" s="107">
        <v>779</v>
      </c>
      <c r="C636" s="31">
        <v>7</v>
      </c>
      <c r="D636" s="111" t="s">
        <v>21</v>
      </c>
      <c r="E636" s="2" t="s">
        <v>67</v>
      </c>
      <c r="F636" s="2" t="s">
        <v>149</v>
      </c>
      <c r="G636" s="2"/>
      <c r="H636" s="33"/>
      <c r="I636" s="173">
        <f>M636/AE636</f>
        <v>522.02693913448206</v>
      </c>
      <c r="J636" s="174">
        <f>AH636/AE636</f>
        <v>16.518097441877977</v>
      </c>
      <c r="K636" s="207">
        <f>RANK(I636,$I$76:$I$977)</f>
        <v>561</v>
      </c>
      <c r="L636" s="208">
        <f>RANK(I636,$I$451:$I$866)</f>
        <v>186</v>
      </c>
      <c r="M636" s="173">
        <f>SUM(N636:R636)</f>
        <v>14474.326656860449</v>
      </c>
      <c r="N636" s="174">
        <f>T636*(1+((AG636+IF(F636="백어택",8,0))/100)*(AI636/100-1))</f>
        <v>14474.326656860449</v>
      </c>
      <c r="O636" s="174"/>
      <c r="P636" s="174"/>
      <c r="Q636" s="174"/>
      <c r="R636" s="175">
        <f>X636*(1+(AG636/100)*(AI636/100-1))</f>
        <v>0</v>
      </c>
      <c r="S636" s="173">
        <f>SUM(T636:X636)</f>
        <v>11396.990941715123</v>
      </c>
      <c r="T636" s="174">
        <f>AL636*AW636*AX636*AY636*IF(F636="백어택",1.2,1)</f>
        <v>11396.990941715123</v>
      </c>
      <c r="U636" s="174"/>
      <c r="V636" s="174"/>
      <c r="W636" s="174"/>
      <c r="X636" s="175">
        <f>AL636*AS636+IF(AX636=1,AL636*AU636,AL636*AU636*2)</f>
        <v>0</v>
      </c>
      <c r="Y636" s="173">
        <f>SUM(Z636:AD636)</f>
        <v>22793.98188343025</v>
      </c>
      <c r="Z636" s="174">
        <f>T636*$D$58/100</f>
        <v>22793.98188343025</v>
      </c>
      <c r="AA636" s="174"/>
      <c r="AB636" s="174"/>
      <c r="AC636" s="174"/>
      <c r="AD636" s="175">
        <f>X636*$D$58/100</f>
        <v>0</v>
      </c>
      <c r="AE636" s="173">
        <f>AO636*(1-$D$20/100)*(1-$D$17/100)-AR636</f>
        <v>27.727164197424003</v>
      </c>
      <c r="AF636" s="174">
        <f>AP636</f>
        <v>36</v>
      </c>
      <c r="AG636" s="174">
        <f>IF($D$57&gt;100,100,$D$57)</f>
        <v>19.001300000000001</v>
      </c>
      <c r="AH636" s="174">
        <f>AQ636</f>
        <v>458</v>
      </c>
      <c r="AI636" s="174">
        <f>$D$58</f>
        <v>200</v>
      </c>
      <c r="AJ636" s="174">
        <f>10/6</f>
        <v>1.6666666666666667</v>
      </c>
      <c r="AK636" s="174">
        <f>SUM(AL636:AN636)</f>
        <v>9497.4924514292688</v>
      </c>
      <c r="AL636" s="174">
        <f>(VLOOKUP(C636,$B$36:$AG$39,31,FALSE)+VLOOKUP(C636,$B$40:$AG$43,31,FALSE)*$D$54)*$D$59/100</f>
        <v>9497.4924514292688</v>
      </c>
      <c r="AM636" s="174"/>
      <c r="AN636" s="174"/>
      <c r="AO636" s="176">
        <v>36</v>
      </c>
      <c r="AP636" s="174">
        <v>36</v>
      </c>
      <c r="AQ636" s="175">
        <f>VLOOKUP(C636,$B$45:$AG$48,31,FALSE)</f>
        <v>458</v>
      </c>
      <c r="AR636" s="31">
        <f>IF(LEFT(E636,1)*1=1,$S$71,$R$71)</f>
        <v>0</v>
      </c>
      <c r="AS636" s="2">
        <f>IF(LEFT(E636,1)*1=2,$U$71,$T$71)</f>
        <v>0</v>
      </c>
      <c r="AT636" s="33">
        <f>IF(LEFT(E636,1)*1=3,$W$71,$V$71)</f>
        <v>0</v>
      </c>
      <c r="AU636" s="31">
        <f>IF(MID(E636,3,1)*1=1,$Y$71,$X$71)</f>
        <v>0</v>
      </c>
      <c r="AV636" s="2">
        <f>IF(MID(E636,3,1)*1=2,$AA$71,$Z$71)</f>
        <v>0</v>
      </c>
      <c r="AW636" s="33">
        <f>IF(MID(E636,3,1)*1=3,$AC$71,$AB$71)</f>
        <v>1</v>
      </c>
      <c r="AX636" s="31">
        <f>IF(MID(E636,5,1)*1=1,$AE$71,$AD$71)</f>
        <v>1</v>
      </c>
      <c r="AY636" s="33">
        <f>IF(MID(E636,5,1)*1=2,$AG$71,$AF$71)</f>
        <v>1</v>
      </c>
      <c r="AZ636" s="2"/>
      <c r="BA636" s="101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</row>
    <row r="637" spans="1:71" ht="12" customHeight="1">
      <c r="A637" s="2"/>
      <c r="B637" s="107">
        <v>876</v>
      </c>
      <c r="C637" s="31">
        <v>7</v>
      </c>
      <c r="D637" s="113" t="s">
        <v>19</v>
      </c>
      <c r="E637" s="2" t="s">
        <v>136</v>
      </c>
      <c r="F637" s="2"/>
      <c r="G637" s="2"/>
      <c r="H637" s="33">
        <f>IF(AY637=1,4,6)</f>
        <v>4</v>
      </c>
      <c r="I637" s="173">
        <f>M637/AE637</f>
        <v>521.12306078718325</v>
      </c>
      <c r="J637" s="174">
        <f>AH637/AE637</f>
        <v>15.161113773007305</v>
      </c>
      <c r="K637" s="207">
        <f>RANK(I637,$I$76:$I$977)</f>
        <v>562</v>
      </c>
      <c r="L637" s="208" t="e">
        <f>RANK(I637,$I$867:$I$977)</f>
        <v>#N/A</v>
      </c>
      <c r="M637" s="173">
        <f>SUM(N637:R637)*(1+$D$22/100)</f>
        <v>12477.161895753316</v>
      </c>
      <c r="N637" s="174">
        <f>T637*(1+($D$57/100)*($D$58/100-1))</f>
        <v>7195.4114046212871</v>
      </c>
      <c r="O637" s="174">
        <f>U637*(1+(AG637/100)*(AI637/100-1))</f>
        <v>4046.5227413607854</v>
      </c>
      <c r="P637" s="174"/>
      <c r="Q637" s="174"/>
      <c r="R637" s="175"/>
      <c r="S637" s="173">
        <f>SUM(T637:X637)</f>
        <v>9446.9002825868902</v>
      </c>
      <c r="T637" s="174">
        <f>AL637*AU637</f>
        <v>6046.4981513826215</v>
      </c>
      <c r="U637" s="174">
        <f>AM637*AU637</f>
        <v>3400.4021312042687</v>
      </c>
      <c r="V637" s="174"/>
      <c r="W637" s="174"/>
      <c r="X637" s="175"/>
      <c r="Y637" s="173">
        <f>SUM(Z637:AD637)</f>
        <v>18893.80056517378</v>
      </c>
      <c r="Z637" s="174">
        <f>T637*$D$58/100</f>
        <v>12092.996302765243</v>
      </c>
      <c r="AA637" s="174">
        <f>U637*$D$58/100</f>
        <v>6800.8042624085374</v>
      </c>
      <c r="AB637" s="174"/>
      <c r="AC637" s="174"/>
      <c r="AD637" s="175"/>
      <c r="AE637" s="173">
        <f>AO637*(1-$D$17/100)</f>
        <v>23.942831999999999</v>
      </c>
      <c r="AF637" s="174">
        <f>AP637</f>
        <v>36</v>
      </c>
      <c r="AG637" s="174">
        <f>IF($D$57+AT637&gt;100,100,$D$57+AT637)</f>
        <v>19.001300000000001</v>
      </c>
      <c r="AH637" s="174">
        <f>AQ637</f>
        <v>363</v>
      </c>
      <c r="AI637" s="174">
        <f>$D$58</f>
        <v>200</v>
      </c>
      <c r="AJ637" s="174">
        <f>10/IF(AY637=1,(2.5+AX637),2)</f>
        <v>4</v>
      </c>
      <c r="AK637" s="174">
        <f>SUM(AL637:AN637)</f>
        <v>7557.5202260695123</v>
      </c>
      <c r="AL637" s="174">
        <f>(H637-1)*(VLOOKUP(C637,$B$36:$AG$39,27,FALSE)+VLOOKUP(C637,$B$40:$AG$43,27,FALSE)*$D$54)*$D$59/100</f>
        <v>4837.1985211060974</v>
      </c>
      <c r="AM637" s="174">
        <f>(VLOOKUP(C637,$B$36:$AG$39,28,FALSE)+VLOOKUP(C637,$B$40:$AG$43,28,FALSE)*$D$54)*$D$59/100</f>
        <v>2720.321704963415</v>
      </c>
      <c r="AN637" s="174"/>
      <c r="AO637" s="176">
        <v>24</v>
      </c>
      <c r="AP637" s="174">
        <v>36</v>
      </c>
      <c r="AQ637" s="175">
        <f>VLOOKUP(C637,$B$45:$AG$48,27,FALSE)</f>
        <v>363</v>
      </c>
      <c r="AR637" s="31">
        <f>IF(LEFT(E637,1)*1=1,$S$69,$R$69)</f>
        <v>0</v>
      </c>
      <c r="AS637" s="2">
        <f>IF(LEFT(E637,1)*1=2,$U$69,$T$69)</f>
        <v>0</v>
      </c>
      <c r="AT637" s="33">
        <f>IF(LEFT(E637,1)*1=3,$W$69,$V$69)</f>
        <v>0</v>
      </c>
      <c r="AU637" s="31">
        <f>IF(MID(E637,3,1)*1=1,$Y$69,$X$69)</f>
        <v>1.25</v>
      </c>
      <c r="AV637" s="2">
        <f>IF(MID(E637,3,1)*1=2,$AA$69,$Z$69)</f>
        <v>0</v>
      </c>
      <c r="AW637" s="33">
        <f>IF(MID(E637,3,1)*1=3,$AC$69,$AB$69)</f>
        <v>0</v>
      </c>
      <c r="AX637" s="31">
        <f>IF(MID(E637,5,1)*1=1,$AE$69,$AD$69)</f>
        <v>0</v>
      </c>
      <c r="AY637" s="33">
        <f>IF(MID(E637,5,1)*1=2,$AG$69,$AF$69)</f>
        <v>1</v>
      </c>
      <c r="AZ637" s="2"/>
      <c r="BA637" s="101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</row>
    <row r="638" spans="1:71" ht="12" customHeight="1">
      <c r="A638" s="2"/>
      <c r="B638" s="107">
        <v>502</v>
      </c>
      <c r="C638" s="31">
        <v>7</v>
      </c>
      <c r="D638" s="111" t="s">
        <v>14</v>
      </c>
      <c r="E638" s="2" t="s">
        <v>91</v>
      </c>
      <c r="F638" s="2"/>
      <c r="G638" s="2"/>
      <c r="H638" s="33" t="s">
        <v>81</v>
      </c>
      <c r="I638" s="173">
        <f>M638/AE638</f>
        <v>520.87963525979467</v>
      </c>
      <c r="J638" s="174">
        <f>AH638/AE638</f>
        <v>16.518097441877977</v>
      </c>
      <c r="K638" s="207">
        <f>RANK(I638,$I$76:$I$977)</f>
        <v>563</v>
      </c>
      <c r="L638" s="208">
        <f>RANK(I638,$I$451:$I$866)</f>
        <v>188</v>
      </c>
      <c r="M638" s="173">
        <f>SUM(N638:R638)</f>
        <v>14442.515173942653</v>
      </c>
      <c r="N638" s="174">
        <f>T638*(1+((AG638+IF(F638="백어택",8,0))/100)*(AI638/100-1))</f>
        <v>4119.5649882937405</v>
      </c>
      <c r="O638" s="174">
        <f>U638*(1+((AG638+IF(F638="백어택",8,0))/100)*(AI638/100-1))</f>
        <v>4119.5649882937405</v>
      </c>
      <c r="P638" s="174">
        <f>V638*(1+((AG638+IF(F638="백어택",8,0))/100)*(AI638*IF(AX638=1,AW638,1)/100-1))</f>
        <v>6203.3851973551718</v>
      </c>
      <c r="Q638" s="174">
        <f>W638*(1+((AG638+IF(F638="백어택",8,0))/100)*(AI638*AW638/100-1))</f>
        <v>0</v>
      </c>
      <c r="R638" s="175"/>
      <c r="S638" s="173">
        <f>SUM(T638:X638)</f>
        <v>11598.932804330489</v>
      </c>
      <c r="T638" s="174">
        <f>AL638*AY638*IF(F638="백어택",1.2,1)</f>
        <v>3461.7815001128056</v>
      </c>
      <c r="U638" s="174">
        <f>AM638*AY638*IF(F638="백어택",1.2,1)</f>
        <v>3461.7815001128056</v>
      </c>
      <c r="V638" s="174">
        <f>AN638*AY638*IF(F638="백어택",1.2,1)</f>
        <v>4675.3698041048783</v>
      </c>
      <c r="W638" s="174">
        <f>(T638+U638+V638)*IF(AX638=1,0,0.6)*IF(F638="백어택",1.2,1)</f>
        <v>0</v>
      </c>
      <c r="X638" s="175"/>
      <c r="Y638" s="173">
        <f>SUM(Z638:AD638)</f>
        <v>26564.131867616496</v>
      </c>
      <c r="Z638" s="174">
        <f>T638*AI638/100</f>
        <v>6923.5630002256112</v>
      </c>
      <c r="AA638" s="174">
        <f>U638*AI638/100</f>
        <v>6923.5630002256112</v>
      </c>
      <c r="AB638" s="174">
        <f>V638*AI638*IF(AX638=1,AW638,1)/100</f>
        <v>12717.005867165271</v>
      </c>
      <c r="AC638" s="174">
        <f>W638*AI638*AW638/100</f>
        <v>0</v>
      </c>
      <c r="AD638" s="175"/>
      <c r="AE638" s="173">
        <f>AO638*(1-$D$20/100)*(1-$D$17/100)</f>
        <v>27.727164197424003</v>
      </c>
      <c r="AF638" s="174">
        <f>AP638</f>
        <v>36</v>
      </c>
      <c r="AG638" s="174">
        <f>IF($D$57+AU638&gt;100,100,$D$57+AU638)</f>
        <v>19.001300000000001</v>
      </c>
      <c r="AH638" s="174">
        <f>AQ638*AS638</f>
        <v>458</v>
      </c>
      <c r="AI638" s="174">
        <f>$D$58+IF(H638="근접",AR638,0)+IF(AY638=1,0,50)</f>
        <v>200</v>
      </c>
      <c r="AJ638" s="174">
        <f>10/3</f>
        <v>3.3333333333333335</v>
      </c>
      <c r="AK638" s="174">
        <f>SUM(AL638:AN638)</f>
        <v>11598.932804330489</v>
      </c>
      <c r="AL638" s="174">
        <f>(IF(H638="근접",$D$61*(VLOOKUP(C638,$B$36:$AG$39,19,FALSE)+VLOOKUP(C638,$B$40:$AG$43,19,FALSE)*$D$54),$D$60*(VLOOKUP(C638,$B$36:$AG$39,19,FALSE)+VLOOKUP(C638,$B$40:$AG$43,19,FALSE)*$D$54)))*$D$59/100</f>
        <v>3461.7815001128056</v>
      </c>
      <c r="AM638" s="174">
        <f>(IF(H638="근접",$D$61*(VLOOKUP(C638,$B$36:$AG$39,20,FALSE)+VLOOKUP(C638,$B$40:$AG$43,20,FALSE)*$D$54),$D$60*(VLOOKUP(C638,$B$36:$AG$39,20,FALSE)+VLOOKUP(C638,$B$40:$AG$43,20,FALSE)*$D$54)))*$D$59/100</f>
        <v>3461.7815001128056</v>
      </c>
      <c r="AN638" s="174">
        <f>(IF(H638="근접",$D$61*(VLOOKUP(C638,$B$36:$AG$39,21,FALSE)+VLOOKUP(C638,$B$40:$AG$43,21,FALSE)*$D$54),$D$60*(VLOOKUP(C638,$B$36:$AG$39,21,FALSE)+VLOOKUP(C638,$B$40:$AG$43,21,FALSE)*$D$54)))*$D$59/100</f>
        <v>4675.3698041048783</v>
      </c>
      <c r="AO638" s="176">
        <v>36</v>
      </c>
      <c r="AP638" s="174">
        <v>36</v>
      </c>
      <c r="AQ638" s="175">
        <f>VLOOKUP(C638,$B$45:$AA$48,19,FALSE)</f>
        <v>458</v>
      </c>
      <c r="AR638" s="31">
        <f>IF(LEFT(E638,1)*1=1,$S$64,$R$64)</f>
        <v>0</v>
      </c>
      <c r="AS638" s="2">
        <f>IF(LEFT(E638,1)*1=2,$U$64,$T$64)</f>
        <v>1</v>
      </c>
      <c r="AT638" s="33">
        <f>IF(LEFT(E638,1)*1=3,$W$64,$V$64)</f>
        <v>0</v>
      </c>
      <c r="AU638" s="31">
        <f>IF(MID(E638,3,1)*1=1,$Y$64,$X$64)</f>
        <v>0</v>
      </c>
      <c r="AV638" s="2">
        <f>IF(MID(E638,3,1)*1=2,$AA$64,$Z$64)</f>
        <v>0</v>
      </c>
      <c r="AW638" s="33">
        <f>IF(MID(E638,3,1)*1=3,$AC$64,$AB$64)</f>
        <v>1.36</v>
      </c>
      <c r="AX638" s="31">
        <f>IF(MID(E638,5,1)*1=1,$AE$64,$AD$64)</f>
        <v>1</v>
      </c>
      <c r="AY638" s="33">
        <f>IF(MID(E638,5,1)*1=2,$AG$64,$AF$64)</f>
        <v>1</v>
      </c>
      <c r="AZ638" s="2"/>
      <c r="BA638" s="101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</row>
    <row r="639" spans="1:71" ht="12" customHeight="1">
      <c r="A639" s="2"/>
      <c r="B639" s="107">
        <v>508</v>
      </c>
      <c r="C639" s="31">
        <v>7</v>
      </c>
      <c r="D639" s="111" t="s">
        <v>14</v>
      </c>
      <c r="E639" s="2" t="s">
        <v>103</v>
      </c>
      <c r="F639" s="2"/>
      <c r="G639" s="2"/>
      <c r="H639" s="33" t="s">
        <v>81</v>
      </c>
      <c r="I639" s="173">
        <f>M639/AE639</f>
        <v>520.87963525979467</v>
      </c>
      <c r="J639" s="174">
        <f>AH639/AE639</f>
        <v>8.2590487209389885</v>
      </c>
      <c r="K639" s="207">
        <f>RANK(I639,$I$76:$I$977)</f>
        <v>563</v>
      </c>
      <c r="L639" s="208">
        <f>RANK(I639,$I$451:$I$866)</f>
        <v>188</v>
      </c>
      <c r="M639" s="173">
        <f>SUM(N639:R639)</f>
        <v>14442.515173942653</v>
      </c>
      <c r="N639" s="174">
        <f>T639*(1+((AG639+IF(F639="백어택",8,0))/100)*(AI639/100-1))</f>
        <v>4119.5649882937405</v>
      </c>
      <c r="O639" s="174">
        <f>U639*(1+((AG639+IF(F639="백어택",8,0))/100)*(AI639/100-1))</f>
        <v>4119.5649882937405</v>
      </c>
      <c r="P639" s="174">
        <f>V639*(1+((AG639+IF(F639="백어택",8,0))/100)*(AI639*IF(AX639=1,AW639,1)/100-1))</f>
        <v>6203.3851973551718</v>
      </c>
      <c r="Q639" s="174">
        <f>W639*(1+((AG639+IF(F639="백어택",8,0))/100)*(AI639*AW639/100-1))</f>
        <v>0</v>
      </c>
      <c r="R639" s="175"/>
      <c r="S639" s="173">
        <f>SUM(T639:X639)</f>
        <v>11598.932804330489</v>
      </c>
      <c r="T639" s="174">
        <f>AL639*AY639*IF(F639="백어택",1.2,1)</f>
        <v>3461.7815001128056</v>
      </c>
      <c r="U639" s="174">
        <f>AM639*AY639*IF(F639="백어택",1.2,1)</f>
        <v>3461.7815001128056</v>
      </c>
      <c r="V639" s="174">
        <f>AN639*AY639*IF(F639="백어택",1.2,1)</f>
        <v>4675.3698041048783</v>
      </c>
      <c r="W639" s="174">
        <f>(T639+U639+V639)*IF(AX639=1,0,0.6)*IF(F639="백어택",1.2,1)</f>
        <v>0</v>
      </c>
      <c r="X639" s="175"/>
      <c r="Y639" s="173">
        <f>SUM(Z639:AD639)</f>
        <v>26564.131867616496</v>
      </c>
      <c r="Z639" s="174">
        <f>T639*AI639/100</f>
        <v>6923.5630002256112</v>
      </c>
      <c r="AA639" s="174">
        <f>U639*AI639/100</f>
        <v>6923.5630002256112</v>
      </c>
      <c r="AB639" s="174">
        <f>V639*AI639*IF(AX639=1,AW639,1)/100</f>
        <v>12717.005867165271</v>
      </c>
      <c r="AC639" s="174">
        <f>W639*AI639*AW639/100</f>
        <v>0</v>
      </c>
      <c r="AD639" s="175"/>
      <c r="AE639" s="173">
        <f>AO639*(1-$D$20/100)*(1-$D$17/100)</f>
        <v>27.727164197424003</v>
      </c>
      <c r="AF639" s="174">
        <f>AP639</f>
        <v>36</v>
      </c>
      <c r="AG639" s="174">
        <f>IF($D$57+AU639&gt;100,100,$D$57+AU639)</f>
        <v>19.001300000000001</v>
      </c>
      <c r="AH639" s="174">
        <f>AQ639*AS639</f>
        <v>229</v>
      </c>
      <c r="AI639" s="174">
        <f>$D$58+IF(H639="근접",AR639,0)+IF(AY639=1,0,50)</f>
        <v>200</v>
      </c>
      <c r="AJ639" s="174">
        <f>10/3</f>
        <v>3.3333333333333335</v>
      </c>
      <c r="AK639" s="174">
        <f>SUM(AL639:AN639)</f>
        <v>11598.932804330489</v>
      </c>
      <c r="AL639" s="174">
        <f>(IF(H639="근접",$D$61*(VLOOKUP(C639,$B$36:$AG$39,19,FALSE)+VLOOKUP(C639,$B$40:$AG$43,19,FALSE)*$D$54),$D$60*(VLOOKUP(C639,$B$36:$AG$39,19,FALSE)+VLOOKUP(C639,$B$40:$AG$43,19,FALSE)*$D$54)))*$D$59/100</f>
        <v>3461.7815001128056</v>
      </c>
      <c r="AM639" s="174">
        <f>(IF(H639="근접",$D$61*(VLOOKUP(C639,$B$36:$AG$39,20,FALSE)+VLOOKUP(C639,$B$40:$AG$43,20,FALSE)*$D$54),$D$60*(VLOOKUP(C639,$B$36:$AG$39,20,FALSE)+VLOOKUP(C639,$B$40:$AG$43,20,FALSE)*$D$54)))*$D$59/100</f>
        <v>3461.7815001128056</v>
      </c>
      <c r="AN639" s="174">
        <f>(IF(H639="근접",$D$61*(VLOOKUP(C639,$B$36:$AG$39,21,FALSE)+VLOOKUP(C639,$B$40:$AG$43,21,FALSE)*$D$54),$D$60*(VLOOKUP(C639,$B$36:$AG$39,21,FALSE)+VLOOKUP(C639,$B$40:$AG$43,21,FALSE)*$D$54)))*$D$59/100</f>
        <v>4675.3698041048783</v>
      </c>
      <c r="AO639" s="176">
        <v>36</v>
      </c>
      <c r="AP639" s="174">
        <v>36</v>
      </c>
      <c r="AQ639" s="175">
        <f>VLOOKUP(C639,$B$45:$AA$48,19,FALSE)</f>
        <v>458</v>
      </c>
      <c r="AR639" s="31">
        <f>IF(LEFT(E639,1)*1=1,$S$64,$R$64)</f>
        <v>0</v>
      </c>
      <c r="AS639" s="2">
        <f>IF(LEFT(E639,1)*1=2,$U$64,$T$64)</f>
        <v>0.5</v>
      </c>
      <c r="AT639" s="33">
        <f>IF(LEFT(E639,1)*1=3,$W$64,$V$64)</f>
        <v>0</v>
      </c>
      <c r="AU639" s="31">
        <f>IF(MID(E639,3,1)*1=1,$Y$64,$X$64)</f>
        <v>0</v>
      </c>
      <c r="AV639" s="2">
        <f>IF(MID(E639,3,1)*1=2,$AA$64,$Z$64)</f>
        <v>0</v>
      </c>
      <c r="AW639" s="33">
        <f>IF(MID(E639,3,1)*1=3,$AC$64,$AB$64)</f>
        <v>1.36</v>
      </c>
      <c r="AX639" s="31">
        <f>IF(MID(E639,5,1)*1=1,$AE$64,$AD$64)</f>
        <v>1</v>
      </c>
      <c r="AY639" s="33">
        <f>IF(MID(E639,5,1)*1=2,$AG$64,$AF$64)</f>
        <v>1</v>
      </c>
      <c r="AZ639" s="2"/>
      <c r="BA639" s="101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</row>
    <row r="640" spans="1:71" ht="12" customHeight="1">
      <c r="A640" s="2"/>
      <c r="B640" s="107">
        <v>243</v>
      </c>
      <c r="C640" s="31">
        <v>10</v>
      </c>
      <c r="D640" s="106" t="s">
        <v>16</v>
      </c>
      <c r="E640" s="2" t="s">
        <v>146</v>
      </c>
      <c r="F640" s="2" t="s">
        <v>149</v>
      </c>
      <c r="G640" s="2"/>
      <c r="H640" s="33">
        <f>AX640*2</f>
        <v>3</v>
      </c>
      <c r="I640" s="173">
        <f>M640/AE640</f>
        <v>520.68450494700562</v>
      </c>
      <c r="J640" s="174">
        <f>AH640/AE640</f>
        <v>39.260184425969328</v>
      </c>
      <c r="K640" s="207">
        <f>RANK(I640,$I$76:$I$977)</f>
        <v>565</v>
      </c>
      <c r="L640" s="208" t="e">
        <f>RANK(I640,$I$76:$I$450)</f>
        <v>#N/A</v>
      </c>
      <c r="M640" s="173">
        <f>SUM(N640:R640)</f>
        <v>3116.6654067373311</v>
      </c>
      <c r="N640" s="174">
        <f>T640*(1+((AG640+IF(F640="백어택",8,0))/100)*((AI640/100-1)))</f>
        <v>3116.6654067373311</v>
      </c>
      <c r="O640" s="174"/>
      <c r="P640" s="174"/>
      <c r="Q640" s="174"/>
      <c r="R640" s="175"/>
      <c r="S640" s="173">
        <f>SUM(T640:X640)*H640</f>
        <v>5473.6364876070738</v>
      </c>
      <c r="T640" s="174">
        <f>AL640*AU640*AX640*IF(F640="백어택",1.2,1)</f>
        <v>1824.5454958690245</v>
      </c>
      <c r="U640" s="174"/>
      <c r="V640" s="174"/>
      <c r="W640" s="174"/>
      <c r="X640" s="175"/>
      <c r="Y640" s="173">
        <f>SUM(Z640:AD640)</f>
        <v>3649.0909917380491</v>
      </c>
      <c r="Z640" s="174">
        <f>T640*$D$58/100</f>
        <v>3649.0909917380491</v>
      </c>
      <c r="AA640" s="174"/>
      <c r="AB640" s="174"/>
      <c r="AC640" s="174"/>
      <c r="AD640" s="175"/>
      <c r="AE640" s="173">
        <f>AO640*(1-$D$17/100)</f>
        <v>5.9857079999999998</v>
      </c>
      <c r="AF640" s="174">
        <f>AP640</f>
        <v>36</v>
      </c>
      <c r="AG640" s="174">
        <f>IF($D$57+AT640&gt;100,100,$D$57+AT640)</f>
        <v>34.001300000000001</v>
      </c>
      <c r="AH640" s="174">
        <f>AQ640*AR640</f>
        <v>235</v>
      </c>
      <c r="AI640" s="174">
        <f>$D$58+$D$19</f>
        <v>268.61079999999998</v>
      </c>
      <c r="AJ640" s="174">
        <f>10*AS640/IF(AX640=1,5,3.5)</f>
        <v>2.8571428571428572</v>
      </c>
      <c r="AK640" s="174">
        <f>SUM(AL640:AN640)</f>
        <v>1013.6363865939026</v>
      </c>
      <c r="AL640" s="174">
        <f>((VLOOKUP(C640,$B$36:$AG$39,23,FALSE)+VLOOKUP(C640,$B$40:$AG$43,23,FALSE)*$D$54))*$D$59/100</f>
        <v>1013.6363865939026</v>
      </c>
      <c r="AM640" s="174"/>
      <c r="AN640" s="174"/>
      <c r="AO640" s="176">
        <v>6</v>
      </c>
      <c r="AP640" s="174">
        <v>36</v>
      </c>
      <c r="AQ640" s="175">
        <f>VLOOKUP(C640,$B$45:$AA$48,23,FALSE)</f>
        <v>235</v>
      </c>
      <c r="AR640" s="31">
        <f>IF(LEFT(E640,1)*1=1,$S$66,$R$66)</f>
        <v>1</v>
      </c>
      <c r="AS640" s="2">
        <f>IF(LEFT(E640,1)*1=2,$U$66,$T$66)</f>
        <v>1</v>
      </c>
      <c r="AT640" s="33">
        <f>IF(LEFT(E640,1)*1=3,$W$66,$V$66)</f>
        <v>15</v>
      </c>
      <c r="AU640" s="31">
        <f>IF(MID(E640,3,1)*1=1,$Y$66,$X$66)</f>
        <v>1</v>
      </c>
      <c r="AV640" s="2">
        <f>IF(MID(E640,3,1)*1=2,$AA$66,$Z$66)</f>
        <v>0</v>
      </c>
      <c r="AW640" s="33">
        <f>IF(MID(E640,3,1)*1=3,$AC$66,$AB$66)</f>
        <v>0</v>
      </c>
      <c r="AX640" s="31">
        <f>IF(MID(E640,5,1)*1=1,$AE$66,$AD$66)</f>
        <v>1.5</v>
      </c>
      <c r="AY640" s="33">
        <f>IF(MID(E640,5,1)*1=2,$AG$66,$AF$66)</f>
        <v>1</v>
      </c>
      <c r="AZ640" s="2"/>
      <c r="BA640" s="101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</row>
    <row r="641" spans="1:71" ht="12" customHeight="1">
      <c r="A641" s="2"/>
      <c r="B641" s="107">
        <v>249</v>
      </c>
      <c r="C641" s="31">
        <v>10</v>
      </c>
      <c r="D641" s="106" t="s">
        <v>16</v>
      </c>
      <c r="E641" s="2" t="s">
        <v>111</v>
      </c>
      <c r="F641" s="2" t="s">
        <v>149</v>
      </c>
      <c r="G641" s="2"/>
      <c r="H641" s="33">
        <f>AX641*2</f>
        <v>2</v>
      </c>
      <c r="I641" s="173">
        <f>M641/AE641</f>
        <v>520.68450494700562</v>
      </c>
      <c r="J641" s="174">
        <f>AH641/AE641</f>
        <v>39.260184425969328</v>
      </c>
      <c r="K641" s="207">
        <f>RANK(I641,$I$76:$I$977)</f>
        <v>565</v>
      </c>
      <c r="L641" s="208" t="e">
        <f>RANK(I641,$I$76:$I$450)</f>
        <v>#N/A</v>
      </c>
      <c r="M641" s="173">
        <f>SUM(N641:R641)</f>
        <v>3116.6654067373311</v>
      </c>
      <c r="N641" s="174">
        <f>T641*(1+((AG641+IF(F641="백어택",8,0))/100)*((AI641/100-1)))</f>
        <v>3116.6654067373311</v>
      </c>
      <c r="O641" s="174"/>
      <c r="P641" s="174"/>
      <c r="Q641" s="174"/>
      <c r="R641" s="175"/>
      <c r="S641" s="173">
        <f>SUM(T641:X641)*H641</f>
        <v>3649.0909917380491</v>
      </c>
      <c r="T641" s="174">
        <f>AL641*AU641*AY641*IF(F641="백어택",1.2,1)</f>
        <v>1824.5454958690245</v>
      </c>
      <c r="U641" s="174"/>
      <c r="V641" s="174"/>
      <c r="W641" s="174"/>
      <c r="X641" s="175"/>
      <c r="Y641" s="173">
        <f>SUM(Z641:AD641)</f>
        <v>3649.0909917380491</v>
      </c>
      <c r="Z641" s="174">
        <f>T641*$D$58/100</f>
        <v>3649.0909917380491</v>
      </c>
      <c r="AA641" s="174"/>
      <c r="AB641" s="174"/>
      <c r="AC641" s="174"/>
      <c r="AD641" s="175"/>
      <c r="AE641" s="173">
        <f>AO641*(1-$D$17/100)</f>
        <v>5.9857079999999998</v>
      </c>
      <c r="AF641" s="174">
        <f>AP641</f>
        <v>36</v>
      </c>
      <c r="AG641" s="174">
        <f>IF($D$57+AT641&gt;100,100,$D$57+AT641)</f>
        <v>34.001300000000001</v>
      </c>
      <c r="AH641" s="174">
        <f>AQ641*AR641</f>
        <v>235</v>
      </c>
      <c r="AI641" s="174">
        <f>$D$58+$D$19</f>
        <v>268.61079999999998</v>
      </c>
      <c r="AJ641" s="174">
        <f>10*AS641/IF(AX641=1,5,3.5)</f>
        <v>2</v>
      </c>
      <c r="AK641" s="174">
        <f>SUM(AL641:AN641)</f>
        <v>1013.6363865939026</v>
      </c>
      <c r="AL641" s="174">
        <f>((VLOOKUP(C641,$B$36:$AG$39,23,FALSE)+VLOOKUP(C641,$B$40:$AG$43,23,FALSE)*$D$54))*$D$59/100</f>
        <v>1013.6363865939026</v>
      </c>
      <c r="AM641" s="174"/>
      <c r="AN641" s="174"/>
      <c r="AO641" s="176">
        <v>6</v>
      </c>
      <c r="AP641" s="174">
        <v>36</v>
      </c>
      <c r="AQ641" s="175">
        <f>VLOOKUP(C641,$B$45:$AA$48,23,FALSE)</f>
        <v>235</v>
      </c>
      <c r="AR641" s="31">
        <f>IF(LEFT(E641,1)*1=1,$S$66,$R$66)</f>
        <v>1</v>
      </c>
      <c r="AS641" s="2">
        <f>IF(LEFT(E641,1)*1=2,$U$66,$T$66)</f>
        <v>1</v>
      </c>
      <c r="AT641" s="33">
        <f>IF(LEFT(E641,1)*1=3,$W$66,$V$66)</f>
        <v>15</v>
      </c>
      <c r="AU641" s="31">
        <f>IF(MID(E641,3,1)*1=1,$Y$66,$X$66)</f>
        <v>1</v>
      </c>
      <c r="AV641" s="2">
        <f>IF(MID(E641,3,1)*1=2,$AA$66,$Z$66)</f>
        <v>0</v>
      </c>
      <c r="AW641" s="33">
        <f>IF(MID(E641,3,1)*1=3,$AC$66,$AB$66)</f>
        <v>0</v>
      </c>
      <c r="AX641" s="31">
        <f>IF(MID(E641,5,1)*1=1,$AE$66,$AD$66)</f>
        <v>1</v>
      </c>
      <c r="AY641" s="33">
        <f>IF(MID(E641,5,1)*1=2,$AG$66,$AF$66)</f>
        <v>1.5</v>
      </c>
      <c r="AZ641" s="2"/>
      <c r="BA641" s="101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</row>
    <row r="642" spans="1:71" ht="12" customHeight="1">
      <c r="A642" s="2"/>
      <c r="B642" s="107">
        <v>751</v>
      </c>
      <c r="C642" s="31">
        <v>7</v>
      </c>
      <c r="D642" s="111" t="s">
        <v>21</v>
      </c>
      <c r="E642" s="2" t="s">
        <v>148</v>
      </c>
      <c r="F642" s="2"/>
      <c r="G642" s="2"/>
      <c r="H642" s="33"/>
      <c r="I642" s="173">
        <f>M642/AE642</f>
        <v>520.18475038462191</v>
      </c>
      <c r="J642" s="174">
        <f>AH642/AE642</f>
        <v>21.079603202626</v>
      </c>
      <c r="K642" s="207">
        <f>RANK(I642,$I$76:$I$977)</f>
        <v>567</v>
      </c>
      <c r="L642" s="208">
        <f>RANK(I642,$I$451:$I$866)</f>
        <v>192</v>
      </c>
      <c r="M642" s="173">
        <f>SUM(N642:R642)</f>
        <v>11302.139484602698</v>
      </c>
      <c r="N642" s="174">
        <f>T642*(1+((AG642+IF(F642="백어택",8,0))/100)*(AI642/100-1))</f>
        <v>11302.139484602698</v>
      </c>
      <c r="O642" s="174"/>
      <c r="P642" s="174"/>
      <c r="Q642" s="174"/>
      <c r="R642" s="175">
        <f>X642*(1+(AG642/100)*(AI642/100-1))</f>
        <v>0</v>
      </c>
      <c r="S642" s="173">
        <f>SUM(T642:X642)</f>
        <v>9497.4924514292688</v>
      </c>
      <c r="T642" s="174">
        <f>AL642*AW642*AX642*AY642*IF(F642="백어택",1.2,1)</f>
        <v>9497.4924514292688</v>
      </c>
      <c r="U642" s="174"/>
      <c r="V642" s="174"/>
      <c r="W642" s="174"/>
      <c r="X642" s="175">
        <f>AL642*AS642+IF(AX642=1,AL642*AU642,AL642*AU642*2)</f>
        <v>0</v>
      </c>
      <c r="Y642" s="173">
        <f>SUM(Z642:AD642)</f>
        <v>18994.984902858538</v>
      </c>
      <c r="Z642" s="174">
        <f>T642*$D$58/100</f>
        <v>18994.984902858538</v>
      </c>
      <c r="AA642" s="174"/>
      <c r="AB642" s="174"/>
      <c r="AC642" s="174"/>
      <c r="AD642" s="175">
        <f>X642*$D$58/100</f>
        <v>0</v>
      </c>
      <c r="AE642" s="173">
        <f>AO642*(1-$D$20/100)*(1-$D$17/100)-AR642</f>
        <v>21.727164197424003</v>
      </c>
      <c r="AF642" s="174">
        <f>AP642</f>
        <v>36</v>
      </c>
      <c r="AG642" s="174">
        <f>IF($D$57&gt;100,100,$D$57)</f>
        <v>19.001300000000001</v>
      </c>
      <c r="AH642" s="174">
        <f>AQ642</f>
        <v>458</v>
      </c>
      <c r="AI642" s="174">
        <f>$D$58</f>
        <v>200</v>
      </c>
      <c r="AJ642" s="174">
        <f>10/6</f>
        <v>1.6666666666666667</v>
      </c>
      <c r="AK642" s="174">
        <f>SUM(AL642:AN642)</f>
        <v>9497.4924514292688</v>
      </c>
      <c r="AL642" s="174">
        <f>(VLOOKUP(C642,$B$36:$AG$39,31,FALSE)+VLOOKUP(C642,$B$40:$AG$43,31,FALSE)*$D$54)*$D$59/100</f>
        <v>9497.4924514292688</v>
      </c>
      <c r="AM642" s="174"/>
      <c r="AN642" s="174"/>
      <c r="AO642" s="176">
        <v>36</v>
      </c>
      <c r="AP642" s="174">
        <v>36</v>
      </c>
      <c r="AQ642" s="175">
        <f>VLOOKUP(C642,$B$45:$AG$48,31,FALSE)</f>
        <v>458</v>
      </c>
      <c r="AR642" s="31">
        <f>IF(LEFT(E642,1)*1=1,$S$71,$R$71)</f>
        <v>6</v>
      </c>
      <c r="AS642" s="2">
        <f>IF(LEFT(E642,1)*1=2,$U$71,$T$71)</f>
        <v>0</v>
      </c>
      <c r="AT642" s="33">
        <f>IF(LEFT(E642,1)*1=3,$W$71,$V$71)</f>
        <v>0</v>
      </c>
      <c r="AU642" s="31">
        <f>IF(MID(E642,3,1)*1=1,$Y$71,$X$71)</f>
        <v>0</v>
      </c>
      <c r="AV642" s="2">
        <f>IF(MID(E642,3,1)*1=2,$AA$71,$Z$71)</f>
        <v>0</v>
      </c>
      <c r="AW642" s="33">
        <f>IF(MID(E642,3,1)*1=3,$AC$71,$AB$71)</f>
        <v>1</v>
      </c>
      <c r="AX642" s="31">
        <f>IF(MID(E642,5,1)*1=1,$AE$71,$AD$71)</f>
        <v>1</v>
      </c>
      <c r="AY642" s="33">
        <f>IF(MID(E642,5,1)*1=2,$AG$71,$AF$71)</f>
        <v>1</v>
      </c>
      <c r="AZ642" s="2"/>
      <c r="BA642" s="101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</row>
    <row r="643" spans="1:71" ht="12" customHeight="1">
      <c r="A643" s="2"/>
      <c r="B643" s="107">
        <v>877</v>
      </c>
      <c r="C643" s="31">
        <v>7</v>
      </c>
      <c r="D643" s="113" t="s">
        <v>19</v>
      </c>
      <c r="E643" s="2" t="s">
        <v>87</v>
      </c>
      <c r="F643" s="2"/>
      <c r="G643" s="2"/>
      <c r="H643" s="33">
        <f>IF(AY643=1,4,6)</f>
        <v>4</v>
      </c>
      <c r="I643" s="173">
        <f>M643/AE643</f>
        <v>519.03885243426271</v>
      </c>
      <c r="J643" s="174">
        <f>AH643/AE643</f>
        <v>15.161113773007305</v>
      </c>
      <c r="K643" s="207">
        <f>RANK(I643,$I$76:$I$977)</f>
        <v>568</v>
      </c>
      <c r="L643" s="208" t="e">
        <f>RANK(I643,$I$867:$I$977)</f>
        <v>#N/A</v>
      </c>
      <c r="M643" s="173">
        <f>SUM(N643:R643)*(1+$D$22/100)</f>
        <v>12427.260045306342</v>
      </c>
      <c r="N643" s="174">
        <f>T643*(1+($D$57/100)*($D$58/100-1))</f>
        <v>5756.3291236970299</v>
      </c>
      <c r="O643" s="174">
        <f>U643*(1+(AG643/100)*(AI643/100-1))</f>
        <v>5440.6434099268299</v>
      </c>
      <c r="P643" s="174"/>
      <c r="Q643" s="174"/>
      <c r="R643" s="175"/>
      <c r="S643" s="173">
        <f>SUM(T643:X643)</f>
        <v>7557.5202260695123</v>
      </c>
      <c r="T643" s="174">
        <f>AL643*AU643</f>
        <v>4837.1985211060974</v>
      </c>
      <c r="U643" s="174">
        <f>AM643*AU643</f>
        <v>2720.321704963415</v>
      </c>
      <c r="V643" s="174"/>
      <c r="W643" s="174"/>
      <c r="X643" s="175"/>
      <c r="Y643" s="173">
        <f>SUM(Z643:AD643)</f>
        <v>15115.040452139025</v>
      </c>
      <c r="Z643" s="174">
        <f>T643*$D$58/100</f>
        <v>9674.3970422121947</v>
      </c>
      <c r="AA643" s="174">
        <f>U643*$D$58/100</f>
        <v>5440.6434099268299</v>
      </c>
      <c r="AB643" s="174"/>
      <c r="AC643" s="174"/>
      <c r="AD643" s="175"/>
      <c r="AE643" s="173">
        <f>AO643*(1-$D$17/100)</f>
        <v>23.942831999999999</v>
      </c>
      <c r="AF643" s="174">
        <f>AP643</f>
        <v>36</v>
      </c>
      <c r="AG643" s="174">
        <f>IF($D$57+AT643&gt;100,100,$D$57+AT643)</f>
        <v>100</v>
      </c>
      <c r="AH643" s="174">
        <f>AQ643</f>
        <v>363</v>
      </c>
      <c r="AI643" s="174">
        <f>$D$58</f>
        <v>200</v>
      </c>
      <c r="AJ643" s="174">
        <f>10/IF(AY643=1,(2.5+AX643),2)</f>
        <v>4</v>
      </c>
      <c r="AK643" s="174">
        <f>SUM(AL643:AN643)</f>
        <v>7557.5202260695123</v>
      </c>
      <c r="AL643" s="174">
        <f>(H643-1)*(VLOOKUP(C643,$B$36:$AG$39,27,FALSE)+VLOOKUP(C643,$B$40:$AG$43,27,FALSE)*$D$54)*$D$59/100</f>
        <v>4837.1985211060974</v>
      </c>
      <c r="AM643" s="174">
        <f>(VLOOKUP(C643,$B$36:$AG$39,28,FALSE)+VLOOKUP(C643,$B$40:$AG$43,28,FALSE)*$D$54)*$D$59/100</f>
        <v>2720.321704963415</v>
      </c>
      <c r="AN643" s="174"/>
      <c r="AO643" s="176">
        <v>24</v>
      </c>
      <c r="AP643" s="174">
        <v>36</v>
      </c>
      <c r="AQ643" s="175">
        <f>VLOOKUP(C643,$B$45:$AG$48,27,FALSE)</f>
        <v>363</v>
      </c>
      <c r="AR643" s="31">
        <f>IF(LEFT(E643,1)*1=1,$S$69,$R$69)</f>
        <v>0</v>
      </c>
      <c r="AS643" s="2">
        <f>IF(LEFT(E643,1)*1=2,$U$69,$T$69)</f>
        <v>0</v>
      </c>
      <c r="AT643" s="33">
        <f>IF(LEFT(E643,1)*1=3,$W$69,$V$69)</f>
        <v>100</v>
      </c>
      <c r="AU643" s="31">
        <f>IF(MID(E643,3,1)*1=1,$Y$69,$X$69)</f>
        <v>1</v>
      </c>
      <c r="AV643" s="2">
        <f>IF(MID(E643,3,1)*1=2,$AA$69,$Z$69)</f>
        <v>0</v>
      </c>
      <c r="AW643" s="33">
        <f>IF(MID(E643,3,1)*1=3,$AC$69,$AB$69)</f>
        <v>0</v>
      </c>
      <c r="AX643" s="31">
        <f>IF(MID(E643,5,1)*1=1,$AE$69,$AD$69)</f>
        <v>0</v>
      </c>
      <c r="AY643" s="33">
        <f>IF(MID(E643,5,1)*1=2,$AG$69,$AF$69)</f>
        <v>1</v>
      </c>
      <c r="AZ643" s="2"/>
      <c r="BA643" s="101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</row>
    <row r="644" spans="1:71" ht="12" customHeight="1">
      <c r="A644" s="2"/>
      <c r="B644" s="107">
        <v>120</v>
      </c>
      <c r="C644" s="31">
        <v>7</v>
      </c>
      <c r="D644" s="106" t="s">
        <v>6</v>
      </c>
      <c r="E644" s="2" t="s">
        <v>134</v>
      </c>
      <c r="F644" s="2"/>
      <c r="G644" s="2" t="s">
        <v>86</v>
      </c>
      <c r="H644" s="33"/>
      <c r="I644" s="173">
        <f>M644/AE644</f>
        <v>518.80280757954006</v>
      </c>
      <c r="J644" s="174">
        <f>AH644/AE644</f>
        <v>16.338919305786384</v>
      </c>
      <c r="K644" s="207">
        <f>RANK(I644,$I$76:$I$977)</f>
        <v>569</v>
      </c>
      <c r="L644" s="208" t="e">
        <f>RANK(I644,$I$76:$I$450)</f>
        <v>#N/A</v>
      </c>
      <c r="M644" s="173">
        <f>SUM(N644:R644)</f>
        <v>10351.340385837711</v>
      </c>
      <c r="N644" s="174">
        <f>T644*(1+((AG644+IF(F644="백어택",8,0))/100)*((AI644/100-1)))</f>
        <v>10351.340385837711</v>
      </c>
      <c r="O644" s="174"/>
      <c r="P644" s="174"/>
      <c r="Q644" s="174"/>
      <c r="R644" s="175"/>
      <c r="S644" s="173">
        <f>SUM(T644:X644)</f>
        <v>7839.6531769311805</v>
      </c>
      <c r="T644" s="174">
        <f>AL644*AW644*AT644*AX644*AY644</f>
        <v>7839.6531769311805</v>
      </c>
      <c r="U644" s="174"/>
      <c r="V644" s="174"/>
      <c r="W644" s="174"/>
      <c r="X644" s="175"/>
      <c r="Y644" s="173">
        <f>SUM(Z644:AD644)</f>
        <v>15679.306353862361</v>
      </c>
      <c r="Z644" s="174">
        <f>T644*$D$58/100</f>
        <v>15679.306353862361</v>
      </c>
      <c r="AA644" s="174"/>
      <c r="AB644" s="174"/>
      <c r="AC644" s="174"/>
      <c r="AD644" s="175"/>
      <c r="AE644" s="173">
        <f>AO644*(1-$D$17/100)</f>
        <v>19.952359999999999</v>
      </c>
      <c r="AF644" s="174">
        <f>AP644</f>
        <v>36</v>
      </c>
      <c r="AG644" s="174">
        <f>IF($D$57+AV644&gt;100,100,$D$57+AV644)</f>
        <v>19.001300000000001</v>
      </c>
      <c r="AH644" s="174">
        <f>AQ644*AR644</f>
        <v>326</v>
      </c>
      <c r="AI644" s="174">
        <f>$D$58+$D$19</f>
        <v>268.61079999999998</v>
      </c>
      <c r="AJ644" s="174">
        <f>10/IF(AX644=1,IF(AY644=1,5,6),4)</f>
        <v>2</v>
      </c>
      <c r="AK644" s="174">
        <f>SUM(AL644:AN644)</f>
        <v>5268.5841242817078</v>
      </c>
      <c r="AL644" s="174">
        <f>(VLOOKUP(C644,$B$36:$AG$39,7,FALSE)+VLOOKUP(C644,$B$40:$AG$43,7,FALSE)*$D$54)*$D$59/100</f>
        <v>5268.5841242817078</v>
      </c>
      <c r="AM644" s="174"/>
      <c r="AN644" s="174"/>
      <c r="AO644" s="176">
        <v>20</v>
      </c>
      <c r="AP644" s="174">
        <v>36</v>
      </c>
      <c r="AQ644" s="175">
        <f>VLOOKUP(C644,$B$45:$AA$48,7,FALSE)</f>
        <v>326</v>
      </c>
      <c r="AR644" s="31">
        <f>IF(LEFT(E644,1)*1=1,$S$56,$R$56)</f>
        <v>1</v>
      </c>
      <c r="AS644" s="2">
        <f>IF(LEFT(E644,1)*1=2,$U$56,$T$56)</f>
        <v>0</v>
      </c>
      <c r="AT644" s="33">
        <f>IF(LEFT(E644,1)*1=3,$W$56,$V$56)</f>
        <v>1.2</v>
      </c>
      <c r="AU644" s="31">
        <f>IF(MID(E644,3,1)*1=1,$Y$56,$X$56)</f>
        <v>0</v>
      </c>
      <c r="AV644" s="2">
        <f>IF(MID(E644,3,1)*1=2,$AA$56,$Z$56)</f>
        <v>0</v>
      </c>
      <c r="AW644" s="33">
        <f>IF(MID(E644,3,1)*1=3,$AC$56,$AB$56)</f>
        <v>1.24</v>
      </c>
      <c r="AX644" s="31">
        <f>IF(MID(E644,5,1)*1=1,$AE$56,$AD$56)</f>
        <v>1</v>
      </c>
      <c r="AY644" s="33">
        <f>IF(MID(E644,5,1)*1=2,$AG$56,$AF$56)</f>
        <v>1</v>
      </c>
      <c r="AZ644" s="2"/>
      <c r="BA644" s="101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</row>
    <row r="645" spans="1:71" ht="12" customHeight="1">
      <c r="A645" s="2"/>
      <c r="B645" s="107">
        <v>308</v>
      </c>
      <c r="C645" s="31">
        <v>7</v>
      </c>
      <c r="D645" s="106" t="s">
        <v>17</v>
      </c>
      <c r="E645" s="2" t="s">
        <v>117</v>
      </c>
      <c r="F645" s="2"/>
      <c r="G645" s="2"/>
      <c r="H645" s="33">
        <f>IF(AT645=1,3,IF(AY645=1,3,2))</f>
        <v>3</v>
      </c>
      <c r="I645" s="173">
        <f>M645/AE645</f>
        <v>517.96365418835421</v>
      </c>
      <c r="J645" s="174">
        <f>AH645/AE645</f>
        <v>24.18260296025132</v>
      </c>
      <c r="K645" s="207">
        <f>RANK(I645,$I$76:$I$977)</f>
        <v>570</v>
      </c>
      <c r="L645" s="208" t="e">
        <f>RANK(I645,$I$76:$I$450)</f>
        <v>#N/A</v>
      </c>
      <c r="M645" s="173">
        <f>SUM(N645:R645)</f>
        <v>4133.8389181126204</v>
      </c>
      <c r="N645" s="174">
        <f>T645*(1+((AG645+IF(F645="백어택",8,0))/100)*((AI645/100-1)))</f>
        <v>1771.6452506196945</v>
      </c>
      <c r="O645" s="174">
        <f>U645*(1+(AG645/100)*(AI645/100-1))</f>
        <v>1181.0968337464628</v>
      </c>
      <c r="P645" s="174">
        <f>V645*(1+(AG645/100)*(AI645/100-1))</f>
        <v>1181.0968337464628</v>
      </c>
      <c r="Q645" s="174"/>
      <c r="R645" s="175"/>
      <c r="S645" s="173">
        <f>SUM(T645:X645)</f>
        <v>3130.7890765182929</v>
      </c>
      <c r="T645" s="174">
        <f>AL645*AV645</f>
        <v>1341.7667470792685</v>
      </c>
      <c r="U645" s="174">
        <f>AL645*AW645</f>
        <v>894.51116471951229</v>
      </c>
      <c r="V645" s="174">
        <f>IF(H645=3,AL645,0)*(1+AW645-1+AW645-1)</f>
        <v>894.51116471951229</v>
      </c>
      <c r="W645" s="174"/>
      <c r="X645" s="175"/>
      <c r="Y645" s="173">
        <f>SUM(Z645:AD645)</f>
        <v>8409.6375847483996</v>
      </c>
      <c r="Z645" s="174">
        <f>T645*AI645/100</f>
        <v>3604.1303934635998</v>
      </c>
      <c r="AA645" s="174">
        <f>U645*AI645/100</f>
        <v>2402.7535956423994</v>
      </c>
      <c r="AB645" s="174">
        <f>V645*AI645/100</f>
        <v>2402.7535956423994</v>
      </c>
      <c r="AC645" s="174"/>
      <c r="AD645" s="175"/>
      <c r="AE645" s="173">
        <f>AO645*(1-$D$17/100)</f>
        <v>7.980944</v>
      </c>
      <c r="AF645" s="174">
        <f>AP645</f>
        <v>36</v>
      </c>
      <c r="AG645" s="174">
        <f>IF($D$57&gt;100,100,$D$57)</f>
        <v>19.001300000000001</v>
      </c>
      <c r="AH645" s="174">
        <f>AQ645</f>
        <v>193</v>
      </c>
      <c r="AI645" s="174">
        <f>$D$58+$D$19</f>
        <v>268.61079999999998</v>
      </c>
      <c r="AJ645" s="174">
        <f>10*AR645/IF(AT645=0,IF(AY645=0,8,5),5)</f>
        <v>2</v>
      </c>
      <c r="AK645" s="174">
        <f>H645*SUM(AL645:AN645)</f>
        <v>2683.533494158537</v>
      </c>
      <c r="AL645" s="174">
        <f>((VLOOKUP(C645,$B$36:$AG$39,24,FALSE)+VLOOKUP(C645,$B$40:$AG$43,24,FALSE)*$D$54))*$D$59/100</f>
        <v>894.51116471951229</v>
      </c>
      <c r="AM645" s="174"/>
      <c r="AN645" s="174"/>
      <c r="AO645" s="176">
        <v>8</v>
      </c>
      <c r="AP645" s="174">
        <v>36</v>
      </c>
      <c r="AQ645" s="175">
        <f>VLOOKUP(C645,$B$45:$AA$48,24,FALSE)</f>
        <v>193</v>
      </c>
      <c r="AR645" s="31">
        <f>IF(LEFT(E645,1)*1=1,$S$67,$R$67)</f>
        <v>1</v>
      </c>
      <c r="AS645" s="2">
        <f>IF(LEFT(E645,1)*1=2,$U$67,$T$67)</f>
        <v>0</v>
      </c>
      <c r="AT645" s="33">
        <f>IF(LEFT(E645,1)*1=3,$W$67,$V$67)</f>
        <v>1</v>
      </c>
      <c r="AU645" s="31">
        <f>IF(MID(E645,3,1)*1=1,$Y$67,$X$67)</f>
        <v>0</v>
      </c>
      <c r="AV645" s="2">
        <f>IF(MID(E645,3,1)*1=2,$AA$67,$Z$67)</f>
        <v>1.5</v>
      </c>
      <c r="AW645" s="33">
        <f>IF(MID(E645,3,1)*1=3,$AC$67,$AB$67)</f>
        <v>1</v>
      </c>
      <c r="AX645" s="31">
        <f>IF(MID(E645,5,1)*1=1,$AE$67,$AD$67)</f>
        <v>0</v>
      </c>
      <c r="AY645" s="33">
        <f>IF(MID(E645,5,1)*1=2,$AG$67,$AF$67)</f>
        <v>0</v>
      </c>
      <c r="AZ645" s="2"/>
      <c r="BA645" s="101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</row>
    <row r="646" spans="1:71" ht="12" customHeight="1">
      <c r="A646" s="2"/>
      <c r="B646" s="107">
        <v>655</v>
      </c>
      <c r="C646" s="31">
        <v>7</v>
      </c>
      <c r="D646" s="111" t="s">
        <v>18</v>
      </c>
      <c r="E646" s="2" t="s">
        <v>163</v>
      </c>
      <c r="F646" s="2"/>
      <c r="G646" s="2"/>
      <c r="H646" s="33" t="s">
        <v>80</v>
      </c>
      <c r="I646" s="173">
        <f>M646/AE646</f>
        <v>515.82210945711779</v>
      </c>
      <c r="J646" s="174">
        <f>AH646/AE646</f>
        <v>25.060794637183101</v>
      </c>
      <c r="K646" s="207">
        <f>RANK(I646,$I$76:$I$977)</f>
        <v>571</v>
      </c>
      <c r="L646" s="208">
        <f>RANK(I646,$I$451:$I$866)</f>
        <v>196</v>
      </c>
      <c r="M646" s="173">
        <f>SUM(N646:R646)</f>
        <v>7471.567779224275</v>
      </c>
      <c r="N646" s="174">
        <f>T646*(1+((AG646+IF(F646="백어택",8,0))/100)*(AI646/100-1))</f>
        <v>4963.1165592367815</v>
      </c>
      <c r="O646" s="174">
        <f>U646*(1+(($D$57+IF(F646="백어택",8,0))/100)*(AI646/100-1))</f>
        <v>2508.4512199874939</v>
      </c>
      <c r="P646" s="174"/>
      <c r="Q646" s="174"/>
      <c r="R646" s="175"/>
      <c r="S646" s="173">
        <f>SUM(T646:X646)</f>
        <v>5229.3506083390257</v>
      </c>
      <c r="T646" s="174">
        <f>AL646*IF(H646="근접",AT646,IF(AV646=1,AT646,1))*AX646*IF(F646="백어택",1.2,1)</f>
        <v>3121.4314343573178</v>
      </c>
      <c r="U646" s="174">
        <f>IF(AX646=1,AM646*IF(H646="근접",AT646,IF(AV646=1,AT646,1)),0)*AY646*IF(AX646=1,1,0)*IF(F646="백어택",1.2,1)</f>
        <v>2107.9191739817079</v>
      </c>
      <c r="V646" s="174"/>
      <c r="W646" s="174"/>
      <c r="X646" s="175"/>
      <c r="Y646" s="173">
        <f>SUM(Z646:AD646)</f>
        <v>10458.701216678051</v>
      </c>
      <c r="Z646" s="174">
        <f>T646*$D$58/100</f>
        <v>6242.8628687146356</v>
      </c>
      <c r="AA646" s="174">
        <f>U646*$D$58/100</f>
        <v>4215.8383479634158</v>
      </c>
      <c r="AB646" s="174"/>
      <c r="AC646" s="174"/>
      <c r="AD646" s="175"/>
      <c r="AE646" s="173">
        <f>(AO646*(1-$D$20/100)*(1-$D$17/100)-AR646)*IF(AW646="보스대상",1,POWER(0.85,AW646))</f>
        <v>14.484776131615998</v>
      </c>
      <c r="AF646" s="174">
        <f>AP646</f>
        <v>36</v>
      </c>
      <c r="AG646" s="174">
        <f>IF($D$57+AU646&gt;100,100,$D$57+AU646)</f>
        <v>59.001300000000001</v>
      </c>
      <c r="AH646" s="174">
        <f>AQ646</f>
        <v>363</v>
      </c>
      <c r="AI646" s="174">
        <f>$D$58</f>
        <v>200</v>
      </c>
      <c r="AJ646" s="174">
        <f>10*AS646/IF(AX646=1,IF(AY646=1,4.5,4),4)</f>
        <v>2.2222222222222223</v>
      </c>
      <c r="AK646" s="174">
        <f>SUM(AL646:AN646)</f>
        <v>5229.3506083390257</v>
      </c>
      <c r="AL646" s="174">
        <f>IF(AV646=1,$D$61*(VLOOKUP(C646,$B$36:$AG$39,25,FALSE)+VLOOKUP(C646,$B$40:$AG$43,25,FALSE)*$D$54),(IF(H646="근접",$D$61*(VLOOKUP(C646,$B$36:$AG$39,25,FALSE)+VLOOKUP(C646,$B$40:$AG$43,25,FALSE)*$D$54),$D$60*(VLOOKUP(C646,$B$36:$AG$39,25,FALSE)+VLOOKUP(C646,$B$40:$AG$43,25,FALSE)*$D$54))))*$D$59/100</f>
        <v>3121.4314343573178</v>
      </c>
      <c r="AM646" s="174">
        <f>(IF(AV646=1,$D$61*(VLOOKUP(C646,$B$36:$AG$39,26,FALSE)+VLOOKUP(C646,$B$40:$AG$43,26,FALSE)*$D$54),IF(H646="근접",$D$61*(VLOOKUP(C646,$B$36:$AG$39,26,FALSE)+VLOOKUP(C646,$B$40:$AG$43,26,FALSE)*$D$54),$D$60*(VLOOKUP(C646,$B$36:$AG$39,26,FALSE)+VLOOKUP(C646,$B$40:$AG$43,26,FALSE)*$D$54))))*$D$59/100</f>
        <v>2107.9191739817079</v>
      </c>
      <c r="AN646" s="174"/>
      <c r="AO646" s="176">
        <v>24</v>
      </c>
      <c r="AP646" s="174">
        <v>36</v>
      </c>
      <c r="AQ646" s="175">
        <f>VLOOKUP(C646,$B$45:$AA$48,25,FALSE)</f>
        <v>363</v>
      </c>
      <c r="AR646" s="31">
        <f>IF(LEFT(E646,1)*1=1,$S$68,$R$68)</f>
        <v>4</v>
      </c>
      <c r="AS646" s="2">
        <f>IF(LEFT(E646,1)*1=2,$U$68,$T$68)</f>
        <v>1</v>
      </c>
      <c r="AT646" s="33">
        <f>IF(LEFT(E646,1)*1=3,$W$68,$V$68)</f>
        <v>1</v>
      </c>
      <c r="AU646" s="31">
        <f>IF(MID(E646,3,1)*1=1,$Y$68,$X$68)</f>
        <v>40</v>
      </c>
      <c r="AV646" s="2">
        <f>IF(MID(E646,3,1)*1=2,$AA$68,$Z$68)</f>
        <v>0</v>
      </c>
      <c r="AW646" s="33" t="str">
        <f>IF(MID(E646,3,1)*1=3,$AC$68,$AB$68)</f>
        <v>보스대상</v>
      </c>
      <c r="AX646" s="31">
        <f>IF(MID(E646,5,1)*1=1,$AE$68,$AD$68)</f>
        <v>1</v>
      </c>
      <c r="AY646" s="33">
        <f>IF(MID(E646,5,1)*1=2,$AG$68,$AF$68)</f>
        <v>1</v>
      </c>
      <c r="AZ646" s="2"/>
      <c r="BA646" s="101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</row>
    <row r="647" spans="1:71" ht="12" customHeight="1">
      <c r="A647" s="2"/>
      <c r="B647" s="107">
        <v>399</v>
      </c>
      <c r="C647" s="31">
        <v>10</v>
      </c>
      <c r="D647" s="111" t="s">
        <v>8</v>
      </c>
      <c r="E647" s="2" t="s">
        <v>141</v>
      </c>
      <c r="F647" s="2"/>
      <c r="G647" s="2"/>
      <c r="H647" s="33" t="s">
        <v>80</v>
      </c>
      <c r="I647" s="173">
        <f>M647/AE647</f>
        <v>515.51925595019338</v>
      </c>
      <c r="J647" s="174">
        <f>AH647/AE647</f>
        <v>39.459498714320297</v>
      </c>
      <c r="K647" s="207">
        <f>RANK(I647,$I$76:$I$977)</f>
        <v>572</v>
      </c>
      <c r="L647" s="208">
        <f>RANK(I647,$I$451:$I$866)</f>
        <v>197</v>
      </c>
      <c r="M647" s="173">
        <f>SUM(N647:R647)</f>
        <v>9529.2580377765735</v>
      </c>
      <c r="N647" s="174">
        <f>T647*(1+((AG647+IF(F647="백어택",8,0))/100)*(IF(AY647=1,$D$58,$D$58+50)/100-1))</f>
        <v>2542.3882863531753</v>
      </c>
      <c r="O647" s="174">
        <f>U647*(1+((AG647+IF(F647="백어택",8,0))/100)*(AI647/100-1))</f>
        <v>3493.4348757116991</v>
      </c>
      <c r="P647" s="174">
        <f>V647*(1+((AG647+IF(F647="백어택",8,0))/100)*(AI647/100-1))</f>
        <v>3493.4348757116991</v>
      </c>
      <c r="Q647" s="174"/>
      <c r="R647" s="175"/>
      <c r="S647" s="173">
        <f>SUM(T647:X647)</f>
        <v>7589.734962563416</v>
      </c>
      <c r="T647" s="174">
        <f>AL647*IF(H647="근접",AR647,1)*AY647*IF(F647="백어택",1.2,1)</f>
        <v>2136.437405602439</v>
      </c>
      <c r="U647" s="174">
        <f>AM647*IF(H647="근접",AR647,1)*AY647*IF(F647="백어택",1.2,1)</f>
        <v>2726.6487784804881</v>
      </c>
      <c r="V647" s="174">
        <f>IF(AX647=1,0,AM647*IF(H647="근접",AR647,1)*AY647)*IF(F647="백어택",1.2,1)</f>
        <v>2726.6487784804881</v>
      </c>
      <c r="W647" s="174"/>
      <c r="X647" s="175"/>
      <c r="Y647" s="173">
        <f>SUM(Z647:AD647)</f>
        <v>17797.052752468098</v>
      </c>
      <c r="Z647" s="174">
        <f>T647*IF(AY647=1,$D$58,$D$58+50)/100</f>
        <v>4272.8748112048779</v>
      </c>
      <c r="AA647" s="174">
        <f>U647*AI647/100</f>
        <v>6762.0889706316102</v>
      </c>
      <c r="AB647" s="174">
        <f>V647*AI647/100</f>
        <v>6762.0889706316102</v>
      </c>
      <c r="AC647" s="174"/>
      <c r="AD647" s="175"/>
      <c r="AE647" s="173">
        <f>AO647*(1-$D$20/100)*(1-$D$17/100)</f>
        <v>18.484776131615998</v>
      </c>
      <c r="AF647" s="174">
        <f>AP647</f>
        <v>36</v>
      </c>
      <c r="AG647" s="174">
        <f>IF($D$57+AU647&gt;100,100,$D$57+AU647)</f>
        <v>19.001300000000001</v>
      </c>
      <c r="AH647" s="174">
        <f>IF(AX647=1,AQ647,AQ647*1.4)</f>
        <v>729.4</v>
      </c>
      <c r="AI647" s="174">
        <f>IF(AY647=1,$D$58,$D$58+50)*AW647</f>
        <v>248</v>
      </c>
      <c r="AJ647" s="174">
        <f>10/6/AX647</f>
        <v>1.1111111111111112</v>
      </c>
      <c r="AK647" s="174">
        <f>SUM(AL647:AN647)</f>
        <v>4863.0861840829275</v>
      </c>
      <c r="AL647" s="174">
        <f>(IF(H647="근접",$D$61*(VLOOKUP(C647,$B$36:$AG$39,9,FALSE)+VLOOKUP(C647,$B$40:$AG$43,9,FALSE)*$D$54),$D$60*(VLOOKUP(C647,$B$36:$AG$39,9,FALSE)+VLOOKUP(C647,$B$40:$AG$43,9,FALSE)*$D$54)))*$D$59/100</f>
        <v>2136.437405602439</v>
      </c>
      <c r="AM647" s="174">
        <f>(IF(H647="근접",$D$61*(VLOOKUP(C647,$B$36:$AG$39,10,FALSE)+VLOOKUP(C647,$B$40:$AG$43,10,FALSE)*$D$54),$D$60*(VLOOKUP(C647,$B$36:$AG$39,10,FALSE)+VLOOKUP(C647,$B$40:$AG$43,10,FALSE)*$D$54)))*$D$59/100</f>
        <v>2726.6487784804881</v>
      </c>
      <c r="AN647" s="174"/>
      <c r="AO647" s="176">
        <v>24</v>
      </c>
      <c r="AP647" s="174">
        <v>36</v>
      </c>
      <c r="AQ647" s="175">
        <f>VLOOKUP(C647,$B$45:$AA$48,9,FALSE)</f>
        <v>521</v>
      </c>
      <c r="AR647" s="31">
        <f>IF(LEFT(E647,1)*1=1,$S$58,$R$58)</f>
        <v>1</v>
      </c>
      <c r="AS647" s="2">
        <f>IF(LEFT(E647,1)*1=2,$U$58,$T$58)</f>
        <v>0</v>
      </c>
      <c r="AT647" s="33">
        <f>IF(LEFT(E647,1)*1=3,$W$58,$V$58)</f>
        <v>0</v>
      </c>
      <c r="AU647" s="31">
        <f>IF(MID(E647,3,1)*1=1,$Y$58,$X$58)</f>
        <v>0</v>
      </c>
      <c r="AV647" s="2">
        <f>IF(MID(E647,3,1)*1=2,$AA$58,$Z$58)</f>
        <v>0</v>
      </c>
      <c r="AW647" s="33">
        <f>IF(MID(E647,3,1)*1=3,$AC$58,$AB$58)</f>
        <v>1.24</v>
      </c>
      <c r="AX647" s="31">
        <f>IF(MID(E647,5,1)*1=1,$AE$58,$AD$58)</f>
        <v>1.5</v>
      </c>
      <c r="AY647" s="33">
        <f>IF(MID(E647,5,1)*1=2,$AG$58,$AF$58)</f>
        <v>1</v>
      </c>
      <c r="AZ647" s="2"/>
      <c r="BA647" s="101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</row>
    <row r="648" spans="1:71" ht="12" customHeight="1">
      <c r="A648" s="2"/>
      <c r="B648" s="107">
        <v>402</v>
      </c>
      <c r="C648" s="31">
        <v>10</v>
      </c>
      <c r="D648" s="111" t="s">
        <v>8</v>
      </c>
      <c r="E648" s="2" t="s">
        <v>156</v>
      </c>
      <c r="F648" s="2"/>
      <c r="G648" s="2"/>
      <c r="H648" s="33" t="s">
        <v>80</v>
      </c>
      <c r="I648" s="173">
        <f>M648/AE648</f>
        <v>515.51925595019338</v>
      </c>
      <c r="J648" s="174">
        <f>AH648/AE648</f>
        <v>39.459498714320297</v>
      </c>
      <c r="K648" s="207">
        <f>RANK(I648,$I$76:$I$977)</f>
        <v>572</v>
      </c>
      <c r="L648" s="208">
        <f>RANK(I648,$I$451:$I$866)</f>
        <v>197</v>
      </c>
      <c r="M648" s="173">
        <f>SUM(N648:R648)</f>
        <v>9529.2580377765735</v>
      </c>
      <c r="N648" s="174">
        <f>T648*(1+((AG648+IF(F648="백어택",8,0))/100)*(IF(AY648=1,$D$58,$D$58+50)/100-1))</f>
        <v>2542.3882863531753</v>
      </c>
      <c r="O648" s="174">
        <f>U648*(1+((AG648+IF(F648="백어택",8,0))/100)*(AI648/100-1))</f>
        <v>3493.4348757116991</v>
      </c>
      <c r="P648" s="174">
        <f>V648*(1+((AG648+IF(F648="백어택",8,0))/100)*(AI648/100-1))</f>
        <v>3493.4348757116991</v>
      </c>
      <c r="Q648" s="174"/>
      <c r="R648" s="175"/>
      <c r="S648" s="173">
        <f>SUM(T648:X648)</f>
        <v>7589.734962563416</v>
      </c>
      <c r="T648" s="174">
        <f>AL648*IF(H648="근접",AR648,1)*AY648*IF(F648="백어택",1.2,1)</f>
        <v>2136.437405602439</v>
      </c>
      <c r="U648" s="174">
        <f>AM648*IF(H648="근접",AR648,1)*AY648*IF(F648="백어택",1.2,1)</f>
        <v>2726.6487784804881</v>
      </c>
      <c r="V648" s="174">
        <f>IF(AX648=1,0,AM648*IF(H648="근접",AR648,1)*AY648)*IF(F648="백어택",1.2,1)</f>
        <v>2726.6487784804881</v>
      </c>
      <c r="W648" s="174"/>
      <c r="X648" s="175"/>
      <c r="Y648" s="173">
        <f>SUM(Z648:AD648)</f>
        <v>17797.052752468098</v>
      </c>
      <c r="Z648" s="174">
        <f>T648*IF(AY648=1,$D$58,$D$58+50)/100</f>
        <v>4272.8748112048779</v>
      </c>
      <c r="AA648" s="174">
        <f>U648*AI648/100</f>
        <v>6762.0889706316102</v>
      </c>
      <c r="AB648" s="174">
        <f>V648*AI648/100</f>
        <v>6762.0889706316102</v>
      </c>
      <c r="AC648" s="174"/>
      <c r="AD648" s="175"/>
      <c r="AE648" s="173">
        <f>AO648*(1-$D$20/100)*(1-$D$17/100)</f>
        <v>18.484776131615998</v>
      </c>
      <c r="AF648" s="174">
        <f>AP648</f>
        <v>36</v>
      </c>
      <c r="AG648" s="174">
        <f>IF($D$57+AU648&gt;100,100,$D$57+AU648)</f>
        <v>19.001300000000001</v>
      </c>
      <c r="AH648" s="174">
        <f>IF(AX648=1,AQ648,AQ648*1.4)</f>
        <v>729.4</v>
      </c>
      <c r="AI648" s="174">
        <f>IF(AY648=1,$D$58,$D$58+50)*AW648</f>
        <v>248</v>
      </c>
      <c r="AJ648" s="174">
        <f>10/6/AX648</f>
        <v>1.1111111111111112</v>
      </c>
      <c r="AK648" s="174">
        <f>SUM(AL648:AN648)</f>
        <v>4863.0861840829275</v>
      </c>
      <c r="AL648" s="174">
        <f>(IF(H648="근접",$D$61*(VLOOKUP(C648,$B$36:$AG$39,9,FALSE)+VLOOKUP(C648,$B$40:$AG$43,9,FALSE)*$D$54),$D$60*(VLOOKUP(C648,$B$36:$AG$39,9,FALSE)+VLOOKUP(C648,$B$40:$AG$43,9,FALSE)*$D$54)))*$D$59/100</f>
        <v>2136.437405602439</v>
      </c>
      <c r="AM648" s="174">
        <f>(IF(H648="근접",$D$61*(VLOOKUP(C648,$B$36:$AG$39,10,FALSE)+VLOOKUP(C648,$B$40:$AG$43,10,FALSE)*$D$54),$D$60*(VLOOKUP(C648,$B$36:$AG$39,10,FALSE)+VLOOKUP(C648,$B$40:$AG$43,10,FALSE)*$D$54)))*$D$59/100</f>
        <v>2726.6487784804881</v>
      </c>
      <c r="AN648" s="174"/>
      <c r="AO648" s="176">
        <v>24</v>
      </c>
      <c r="AP648" s="174">
        <v>36</v>
      </c>
      <c r="AQ648" s="175">
        <f>VLOOKUP(C648,$B$45:$AA$48,9,FALSE)</f>
        <v>521</v>
      </c>
      <c r="AR648" s="31">
        <f>IF(LEFT(E648,1)*1=1,$S$58,$R$58)</f>
        <v>1.2</v>
      </c>
      <c r="AS648" s="2">
        <f>IF(LEFT(E648,1)*1=2,$U$58,$T$58)</f>
        <v>0</v>
      </c>
      <c r="AT648" s="33">
        <f>IF(LEFT(E648,1)*1=3,$W$58,$V$58)</f>
        <v>0</v>
      </c>
      <c r="AU648" s="31">
        <f>IF(MID(E648,3,1)*1=1,$Y$58,$X$58)</f>
        <v>0</v>
      </c>
      <c r="AV648" s="2">
        <f>IF(MID(E648,3,1)*1=2,$AA$58,$Z$58)</f>
        <v>0</v>
      </c>
      <c r="AW648" s="33">
        <f>IF(MID(E648,3,1)*1=3,$AC$58,$AB$58)</f>
        <v>1.24</v>
      </c>
      <c r="AX648" s="31">
        <f>IF(MID(E648,5,1)*1=1,$AE$58,$AD$58)</f>
        <v>1.5</v>
      </c>
      <c r="AY648" s="33">
        <f>IF(MID(E648,5,1)*1=2,$AG$58,$AF$58)</f>
        <v>1</v>
      </c>
      <c r="AZ648" s="2"/>
      <c r="BA648" s="101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</row>
    <row r="649" spans="1:71" ht="12" customHeight="1">
      <c r="A649" s="2"/>
      <c r="B649" s="107">
        <v>479</v>
      </c>
      <c r="C649" s="31">
        <v>4</v>
      </c>
      <c r="D649" s="111" t="s">
        <v>11</v>
      </c>
      <c r="E649" s="2" t="s">
        <v>148</v>
      </c>
      <c r="F649" s="2"/>
      <c r="G649" s="2"/>
      <c r="H649" s="33">
        <f>IF(AX649=1,5,1)</f>
        <v>5</v>
      </c>
      <c r="I649" s="173">
        <f>M649/AE649</f>
        <v>513.13733873739318</v>
      </c>
      <c r="J649" s="174">
        <f>AH649/AE649</f>
        <v>12.537301118767083</v>
      </c>
      <c r="K649" s="207">
        <f>RANK(I649,$I$76:$I$977)</f>
        <v>574</v>
      </c>
      <c r="L649" s="208">
        <f>RANK(I649,$I$451:$I$866)</f>
        <v>199</v>
      </c>
      <c r="M649" s="173">
        <f>SUM(N649:R649)</f>
        <v>9290.849345480432</v>
      </c>
      <c r="N649" s="174">
        <f>T649*(1+(AG649/100)*(AI649/100-1))</f>
        <v>8602.6295978420239</v>
      </c>
      <c r="O649" s="174">
        <f>U649*(1+(AG649/100)*(AI649/100-1))</f>
        <v>688.21974763840728</v>
      </c>
      <c r="P649" s="174"/>
      <c r="Q649" s="174"/>
      <c r="R649" s="175"/>
      <c r="S649" s="173">
        <f>T649</f>
        <v>7229.0215298841476</v>
      </c>
      <c r="T649" s="174">
        <f>H649*AL649*AX649</f>
        <v>7229.0215298841476</v>
      </c>
      <c r="U649" s="174">
        <f>AM649*AV649</f>
        <v>578.32960449878055</v>
      </c>
      <c r="V649" s="174"/>
      <c r="W649" s="174"/>
      <c r="X649" s="175"/>
      <c r="Y649" s="173">
        <f>SUM(Z649:AD649)</f>
        <v>15614.702268765857</v>
      </c>
      <c r="Z649" s="174">
        <f>T649*$D$58/100</f>
        <v>14458.043059768295</v>
      </c>
      <c r="AA649" s="174">
        <f>U649*$D$58/100</f>
        <v>1156.6592089975611</v>
      </c>
      <c r="AB649" s="174"/>
      <c r="AC649" s="174"/>
      <c r="AD649" s="175"/>
      <c r="AE649" s="173">
        <f>AO649*(1-$D$20/100)*(1-$D$17/100)-AR649</f>
        <v>18.105970164519999</v>
      </c>
      <c r="AF649" s="174">
        <f>AP649</f>
        <v>36</v>
      </c>
      <c r="AG649" s="174">
        <f>IF($D$57+AS649&gt;100,100,$D$57+AS649)</f>
        <v>19.001300000000001</v>
      </c>
      <c r="AH649" s="174">
        <f>AQ649</f>
        <v>227</v>
      </c>
      <c r="AI649" s="174">
        <f>$D$58</f>
        <v>200</v>
      </c>
      <c r="AJ649" s="174">
        <f>10/IF(AX649=1,7,6)</f>
        <v>1.4285714285714286</v>
      </c>
      <c r="AK649" s="174">
        <f>SUM(AL649:AN649)</f>
        <v>2024.13391047561</v>
      </c>
      <c r="AL649" s="174">
        <f>(VLOOKUP(C649,$B$36:$AG$39,14,FALSE)+VLOOKUP(C649,$B$40:$AG$43,14,FALSE)*$D$54)*$D$59/100</f>
        <v>1445.8043059768295</v>
      </c>
      <c r="AM649" s="174">
        <f>(VLOOKUP(C649,$B$36:$AG$39,15,FALSE)+VLOOKUP(C649,$B$40:$AG$43,15,FALSE)*$D$54)*$D$59/100</f>
        <v>578.32960449878055</v>
      </c>
      <c r="AN649" s="174"/>
      <c r="AO649" s="176">
        <v>30</v>
      </c>
      <c r="AP649" s="174">
        <v>36</v>
      </c>
      <c r="AQ649" s="175">
        <f>VLOOKUP(C649,$B$45:$AA$48,14,FALSE)</f>
        <v>227</v>
      </c>
      <c r="AR649" s="31">
        <f>IF(LEFT(E649,1)*1=1,$S$61,$R$61)</f>
        <v>5</v>
      </c>
      <c r="AS649" s="2">
        <f>IF(LEFT(E649,1)*1=2,$U$61,$T$61)</f>
        <v>0</v>
      </c>
      <c r="AT649" s="33">
        <f>IF(LEFT(E649,1)*1=3,$W$61,$V$61)</f>
        <v>0</v>
      </c>
      <c r="AU649" s="31">
        <f>IF(MID(E649,3,1)*1=1,$Y$61,$X$61)</f>
        <v>0</v>
      </c>
      <c r="AV649" s="2">
        <f>IF(MID(E649,3,1)*1=2,$AA$61,$Z$61)</f>
        <v>1</v>
      </c>
      <c r="AW649" s="33">
        <f>IF(MID(E649,3,1)*1=3,$AC$61,$AB$61)</f>
        <v>0</v>
      </c>
      <c r="AX649" s="31">
        <f>IF(MID(E649,5,1)*1=1,$AE$61,$AD$61)</f>
        <v>1</v>
      </c>
      <c r="AY649" s="33">
        <f>IF(MID(E649,5,1)*1=2,$AG$61,$AF$61)</f>
        <v>0</v>
      </c>
      <c r="AZ649" s="2"/>
      <c r="BA649" s="101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</row>
    <row r="650" spans="1:71" ht="12" customHeight="1">
      <c r="A650" s="2"/>
      <c r="B650" s="107">
        <v>720</v>
      </c>
      <c r="C650" s="31">
        <v>7</v>
      </c>
      <c r="D650" s="111" t="s">
        <v>18</v>
      </c>
      <c r="E650" s="2" t="s">
        <v>168</v>
      </c>
      <c r="F650" s="2" t="s">
        <v>149</v>
      </c>
      <c r="G650" s="2"/>
      <c r="H650" s="33" t="s">
        <v>80</v>
      </c>
      <c r="I650" s="173">
        <f>M650/AE650</f>
        <v>512.19981924887736</v>
      </c>
      <c r="J650" s="174">
        <f>AH650/AE650</f>
        <v>19.637781784066725</v>
      </c>
      <c r="K650" s="207">
        <f>RANK(I650,$I$76:$I$977)</f>
        <v>575</v>
      </c>
      <c r="L650" s="208">
        <f>RANK(I650,$I$451:$I$866)</f>
        <v>200</v>
      </c>
      <c r="M650" s="173">
        <f>SUM(N650:R650)</f>
        <v>9467.8989934696765</v>
      </c>
      <c r="N650" s="174">
        <f>T650*(1+((AG650+IF(F650="백어택",8,0))/100)*(AI650/100-1))</f>
        <v>6255.3972887824402</v>
      </c>
      <c r="O650" s="174">
        <f>U650*(1+(($D$57+IF(F650="백어택",8,0))/100)*(AI650/100-1))</f>
        <v>3212.5017046872367</v>
      </c>
      <c r="P650" s="174"/>
      <c r="Q650" s="174"/>
      <c r="R650" s="175"/>
      <c r="S650" s="173">
        <f>SUM(T650:X650)</f>
        <v>6275.2207300068303</v>
      </c>
      <c r="T650" s="174">
        <f>AL650*IF(H650="근접",AT650,IF(AV650=1,AT650,1))*AX650*IF(F650="백어택",1.2,1)</f>
        <v>3745.7177212287811</v>
      </c>
      <c r="U650" s="174">
        <f>IF(AX650=1,AM650*IF(H650="근접",AT650,IF(AV650=1,AT650,1)),0)*AY650*IF(AX650=1,1,0)*IF(F650="백어택",1.2,1)</f>
        <v>2529.5030087780492</v>
      </c>
      <c r="V650" s="174"/>
      <c r="W650" s="174"/>
      <c r="X650" s="175"/>
      <c r="Y650" s="173">
        <f>SUM(Z650:AD650)</f>
        <v>12550.441460013661</v>
      </c>
      <c r="Z650" s="174">
        <f>T650*$D$58/100</f>
        <v>7491.4354424575622</v>
      </c>
      <c r="AA650" s="174">
        <f>U650*$D$58/100</f>
        <v>5059.0060175560984</v>
      </c>
      <c r="AB650" s="174"/>
      <c r="AC650" s="174"/>
      <c r="AD650" s="175"/>
      <c r="AE650" s="173">
        <f>(AO650*(1-$D$20/100)*(1-$D$17/100)-AR650)*IF(AW650="보스대상",1,POWER(0.85,AW650))</f>
        <v>18.484776131615998</v>
      </c>
      <c r="AF650" s="174">
        <f>AP650</f>
        <v>36</v>
      </c>
      <c r="AG650" s="174">
        <f>IF($D$57+AU650&gt;100,100,$D$57+AU650)</f>
        <v>59.001300000000001</v>
      </c>
      <c r="AH650" s="174">
        <f>AQ650</f>
        <v>363</v>
      </c>
      <c r="AI650" s="174">
        <f>$D$58</f>
        <v>200</v>
      </c>
      <c r="AJ650" s="174">
        <f>10*AS650/IF(AX650=1,IF(AY650=1,4.5,4),4)</f>
        <v>1.7777777777777777</v>
      </c>
      <c r="AK650" s="174">
        <f>SUM(AL650:AN650)</f>
        <v>5229.3506083390257</v>
      </c>
      <c r="AL650" s="174">
        <f>IF(AV650=1,$D$61*(VLOOKUP(C650,$B$36:$AG$39,25,FALSE)+VLOOKUP(C650,$B$40:$AG$43,25,FALSE)*$D$54),(IF(H650="근접",$D$61*(VLOOKUP(C650,$B$36:$AG$39,25,FALSE)+VLOOKUP(C650,$B$40:$AG$43,25,FALSE)*$D$54),$D$60*(VLOOKUP(C650,$B$36:$AG$39,25,FALSE)+VLOOKUP(C650,$B$40:$AG$43,25,FALSE)*$D$54))))*$D$59/100</f>
        <v>3121.4314343573178</v>
      </c>
      <c r="AM650" s="174">
        <f>(IF(AV650=1,$D$61*(VLOOKUP(C650,$B$36:$AG$39,26,FALSE)+VLOOKUP(C650,$B$40:$AG$43,26,FALSE)*$D$54),IF(H650="근접",$D$61*(VLOOKUP(C650,$B$36:$AG$39,26,FALSE)+VLOOKUP(C650,$B$40:$AG$43,26,FALSE)*$D$54),$D$60*(VLOOKUP(C650,$B$36:$AG$39,26,FALSE)+VLOOKUP(C650,$B$40:$AG$43,26,FALSE)*$D$54))))*$D$59/100</f>
        <v>2107.9191739817079</v>
      </c>
      <c r="AN650" s="174"/>
      <c r="AO650" s="176">
        <v>24</v>
      </c>
      <c r="AP650" s="174">
        <v>36</v>
      </c>
      <c r="AQ650" s="175">
        <f>VLOOKUP(C650,$B$45:$AA$48,25,FALSE)</f>
        <v>363</v>
      </c>
      <c r="AR650" s="31">
        <f>IF(LEFT(E650,1)*1=1,$S$68,$R$68)</f>
        <v>0</v>
      </c>
      <c r="AS650" s="2">
        <f>IF(LEFT(E650,1)*1=2,$U$68,$T$68)</f>
        <v>0.8</v>
      </c>
      <c r="AT650" s="33">
        <f>IF(LEFT(E650,1)*1=3,$W$68,$V$68)</f>
        <v>1</v>
      </c>
      <c r="AU650" s="31">
        <f>IF(MID(E650,3,1)*1=1,$Y$68,$X$68)</f>
        <v>40</v>
      </c>
      <c r="AV650" s="2">
        <f>IF(MID(E650,3,1)*1=2,$AA$68,$Z$68)</f>
        <v>0</v>
      </c>
      <c r="AW650" s="33" t="str">
        <f>IF(MID(E650,3,1)*1=3,$AC$68,$AB$68)</f>
        <v>보스대상</v>
      </c>
      <c r="AX650" s="31">
        <f>IF(MID(E650,5,1)*1=1,$AE$68,$AD$68)</f>
        <v>1</v>
      </c>
      <c r="AY650" s="33">
        <f>IF(MID(E650,5,1)*1=2,$AG$68,$AF$68)</f>
        <v>1</v>
      </c>
      <c r="AZ650" s="2"/>
      <c r="BA650" s="101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</row>
    <row r="651" spans="1:71" ht="12" customHeight="1">
      <c r="A651" s="2"/>
      <c r="B651" s="107">
        <v>723</v>
      </c>
      <c r="C651" s="31">
        <v>7</v>
      </c>
      <c r="D651" s="111" t="s">
        <v>18</v>
      </c>
      <c r="E651" s="2" t="s">
        <v>179</v>
      </c>
      <c r="F651" s="2" t="s">
        <v>149</v>
      </c>
      <c r="G651" s="2"/>
      <c r="H651" s="33" t="s">
        <v>80</v>
      </c>
      <c r="I651" s="173">
        <f>M651/AE651</f>
        <v>512.19981924887736</v>
      </c>
      <c r="J651" s="174">
        <f>AH651/AE651</f>
        <v>19.637781784066725</v>
      </c>
      <c r="K651" s="207">
        <f>RANK(I651,$I$76:$I$977)</f>
        <v>575</v>
      </c>
      <c r="L651" s="208">
        <f>RANK(I651,$I$451:$I$866)</f>
        <v>200</v>
      </c>
      <c r="M651" s="173">
        <f>SUM(N651:R651)</f>
        <v>9467.8989934696765</v>
      </c>
      <c r="N651" s="174">
        <f>T651*(1+((AG651+IF(F651="백어택",8,0))/100)*(AI651/100-1))</f>
        <v>6255.3972887824402</v>
      </c>
      <c r="O651" s="174">
        <f>U651*(1+(($D$57+IF(F651="백어택",8,0))/100)*(AI651/100-1))</f>
        <v>3212.5017046872367</v>
      </c>
      <c r="P651" s="174"/>
      <c r="Q651" s="174"/>
      <c r="R651" s="175"/>
      <c r="S651" s="173">
        <f>SUM(T651:X651)</f>
        <v>6275.2207300068303</v>
      </c>
      <c r="T651" s="174">
        <f>AL651*IF(H651="근접",AT651,IF(AV651=1,AT651,1))*AX651*IF(F651="백어택",1.2,1)</f>
        <v>3745.7177212287811</v>
      </c>
      <c r="U651" s="174">
        <f>IF(AX651=1,AM651*IF(H651="근접",AT651,IF(AV651=1,AT651,1)),0)*AY651*IF(AX651=1,1,0)*IF(F651="백어택",1.2,1)</f>
        <v>2529.5030087780492</v>
      </c>
      <c r="V651" s="174"/>
      <c r="W651" s="174"/>
      <c r="X651" s="175"/>
      <c r="Y651" s="173">
        <f>SUM(Z651:AD651)</f>
        <v>12550.441460013661</v>
      </c>
      <c r="Z651" s="174">
        <f>T651*$D$58/100</f>
        <v>7491.4354424575622</v>
      </c>
      <c r="AA651" s="174">
        <f>U651*$D$58/100</f>
        <v>5059.0060175560984</v>
      </c>
      <c r="AB651" s="174"/>
      <c r="AC651" s="174"/>
      <c r="AD651" s="175"/>
      <c r="AE651" s="173">
        <f>(AO651*(1-$D$20/100)*(1-$D$17/100)-AR651)*IF(AW651="보스대상",1,POWER(0.85,AW651))</f>
        <v>18.484776131615998</v>
      </c>
      <c r="AF651" s="174">
        <f>AP651</f>
        <v>36</v>
      </c>
      <c r="AG651" s="174">
        <f>IF($D$57+AU651&gt;100,100,$D$57+AU651)</f>
        <v>59.001300000000001</v>
      </c>
      <c r="AH651" s="174">
        <f>AQ651</f>
        <v>363</v>
      </c>
      <c r="AI651" s="174">
        <f>$D$58</f>
        <v>200</v>
      </c>
      <c r="AJ651" s="174">
        <f>10*AS651/IF(AX651=1,IF(AY651=1,4.5,4),4)</f>
        <v>2.2222222222222223</v>
      </c>
      <c r="AK651" s="174">
        <f>SUM(AL651:AN651)</f>
        <v>5229.3506083390257</v>
      </c>
      <c r="AL651" s="174">
        <f>IF(AV651=1,$D$61*(VLOOKUP(C651,$B$36:$AG$39,25,FALSE)+VLOOKUP(C651,$B$40:$AG$43,25,FALSE)*$D$54),(IF(H651="근접",$D$61*(VLOOKUP(C651,$B$36:$AG$39,25,FALSE)+VLOOKUP(C651,$B$40:$AG$43,25,FALSE)*$D$54),$D$60*(VLOOKUP(C651,$B$36:$AG$39,25,FALSE)+VLOOKUP(C651,$B$40:$AG$43,25,FALSE)*$D$54))))*$D$59/100</f>
        <v>3121.4314343573178</v>
      </c>
      <c r="AM651" s="174">
        <f>(IF(AV651=1,$D$61*(VLOOKUP(C651,$B$36:$AG$39,26,FALSE)+VLOOKUP(C651,$B$40:$AG$43,26,FALSE)*$D$54),IF(H651="근접",$D$61*(VLOOKUP(C651,$B$36:$AG$39,26,FALSE)+VLOOKUP(C651,$B$40:$AG$43,26,FALSE)*$D$54),$D$60*(VLOOKUP(C651,$B$36:$AG$39,26,FALSE)+VLOOKUP(C651,$B$40:$AG$43,26,FALSE)*$D$54))))*$D$59/100</f>
        <v>2107.9191739817079</v>
      </c>
      <c r="AN651" s="174"/>
      <c r="AO651" s="176">
        <v>24</v>
      </c>
      <c r="AP651" s="174">
        <v>36</v>
      </c>
      <c r="AQ651" s="175">
        <f>VLOOKUP(C651,$B$45:$AA$48,25,FALSE)</f>
        <v>363</v>
      </c>
      <c r="AR651" s="31">
        <f>IF(LEFT(E651,1)*1=1,$S$68,$R$68)</f>
        <v>0</v>
      </c>
      <c r="AS651" s="2">
        <f>IF(LEFT(E651,1)*1=2,$U$68,$T$68)</f>
        <v>1</v>
      </c>
      <c r="AT651" s="33">
        <f>IF(LEFT(E651,1)*1=3,$W$68,$V$68)</f>
        <v>1.2</v>
      </c>
      <c r="AU651" s="31">
        <f>IF(MID(E651,3,1)*1=1,$Y$68,$X$68)</f>
        <v>40</v>
      </c>
      <c r="AV651" s="2">
        <f>IF(MID(E651,3,1)*1=2,$AA$68,$Z$68)</f>
        <v>0</v>
      </c>
      <c r="AW651" s="33" t="str">
        <f>IF(MID(E651,3,1)*1=3,$AC$68,$AB$68)</f>
        <v>보스대상</v>
      </c>
      <c r="AX651" s="31">
        <f>IF(MID(E651,5,1)*1=1,$AE$68,$AD$68)</f>
        <v>1</v>
      </c>
      <c r="AY651" s="33">
        <f>IF(MID(E651,5,1)*1=2,$AG$68,$AF$68)</f>
        <v>1</v>
      </c>
      <c r="AZ651" s="2"/>
      <c r="BA651" s="101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</row>
    <row r="652" spans="1:71" ht="12" customHeight="1">
      <c r="A652" s="2"/>
      <c r="B652" s="107">
        <v>833</v>
      </c>
      <c r="C652" s="31">
        <v>7</v>
      </c>
      <c r="D652" s="113" t="s">
        <v>12</v>
      </c>
      <c r="E652" s="2" t="s">
        <v>91</v>
      </c>
      <c r="F652" s="2"/>
      <c r="G652" s="2" t="s">
        <v>183</v>
      </c>
      <c r="H652" s="33"/>
      <c r="I652" s="173">
        <f>M652/AE652</f>
        <v>511.33010980400758</v>
      </c>
      <c r="J652" s="174">
        <f>AH652/AE652</f>
        <v>15.161113773007305</v>
      </c>
      <c r="K652" s="207">
        <f>RANK(I652,$I$76:$I$977)</f>
        <v>577</v>
      </c>
      <c r="L652" s="208" t="e">
        <f>RANK(I652,$I$867:$I$977)</f>
        <v>#N/A</v>
      </c>
      <c r="M652" s="173">
        <f>SUM(N652:R652)*(1+$D$22/100)</f>
        <v>12242.690915578905</v>
      </c>
      <c r="N652" s="174">
        <f>T652*(1+((AG652+IF(F652="백어택",8,0))/100)*(AI652/100-1))</f>
        <v>11030.675580910336</v>
      </c>
      <c r="O652" s="174">
        <f>U652*(1+($D$57/100)*(AI652/100-1))</f>
        <v>0</v>
      </c>
      <c r="P652" s="174"/>
      <c r="Q652" s="174"/>
      <c r="R652" s="175">
        <f>X652*(1+($D$57/100)*(AI652/100-1))</f>
        <v>0</v>
      </c>
      <c r="S652" s="173">
        <f>SUM(T652:X652)</f>
        <v>9269.3740160068301</v>
      </c>
      <c r="T652" s="174">
        <f>AL652*AU652*AW652</f>
        <v>9269.3740160068301</v>
      </c>
      <c r="U652" s="174">
        <f>AL652*AU652*AW652*AX652</f>
        <v>0</v>
      </c>
      <c r="V652" s="174"/>
      <c r="W652" s="174"/>
      <c r="X652" s="175">
        <f>AL652*AY652</f>
        <v>0</v>
      </c>
      <c r="Y652" s="173">
        <f>SUM(Z652:AD652)</f>
        <v>18538.74803201366</v>
      </c>
      <c r="Z652" s="174">
        <f>T652*$D$58/100</f>
        <v>18538.74803201366</v>
      </c>
      <c r="AA652" s="174">
        <f>U652*$D$58/100</f>
        <v>0</v>
      </c>
      <c r="AB652" s="174"/>
      <c r="AC652" s="174"/>
      <c r="AD652" s="175">
        <f>X652*$D$58/100</f>
        <v>0</v>
      </c>
      <c r="AE652" s="173">
        <f>AO652*(1-$D$17/100)</f>
        <v>23.942831999999999</v>
      </c>
      <c r="AF652" s="174">
        <f>AP652</f>
        <v>36</v>
      </c>
      <c r="AG652" s="174">
        <f>IF($D$57+AV652&gt;100,100,$D$57+AV652)</f>
        <v>19.001300000000001</v>
      </c>
      <c r="AH652" s="174">
        <f>AQ652</f>
        <v>363</v>
      </c>
      <c r="AI652" s="174">
        <f>$D$58</f>
        <v>200</v>
      </c>
      <c r="AJ652" s="174">
        <f>10/7</f>
        <v>1.4285714285714286</v>
      </c>
      <c r="AK652" s="174">
        <f>SUM(AL652:AN652)</f>
        <v>6620.981440004879</v>
      </c>
      <c r="AL652" s="174">
        <f>(VLOOKUP(C652,$B$36:$AG$39,16,FALSE)+VLOOKUP(C652,$B$40:$AG$43,16,FALSE)*$D$54)*$D$59/100</f>
        <v>6620.981440004879</v>
      </c>
      <c r="AM652" s="174"/>
      <c r="AN652" s="174"/>
      <c r="AO652" s="176">
        <v>24</v>
      </c>
      <c r="AP652" s="174">
        <v>36</v>
      </c>
      <c r="AQ652" s="175">
        <f>VLOOKUP(C652,$B$45:$AA$48,16,FALSE)</f>
        <v>363</v>
      </c>
      <c r="AR652" s="31">
        <f>IF(LEFT(E652,1)*1=1,$S$62,$R$62)</f>
        <v>0</v>
      </c>
      <c r="AS652" s="2">
        <f>IF(LEFT(E652,1)*1=2,$U$62,$T$62)</f>
        <v>0</v>
      </c>
      <c r="AT652" s="33">
        <f>IF(LEFT(E652,1)*1=3,$W$62,$V$62)</f>
        <v>0</v>
      </c>
      <c r="AU652" s="31">
        <f>IF(MID(E652,3,1)*1=1,$Y$62,$X$62)</f>
        <v>1</v>
      </c>
      <c r="AV652" s="2">
        <f>IF(MID(E652,3,1)*1=2,$AA$62,$Z$62)</f>
        <v>0</v>
      </c>
      <c r="AW652" s="33">
        <f>IF(MID(E652,3,1)*1=3,$AC$62,$AB$62)</f>
        <v>1.4</v>
      </c>
      <c r="AX652" s="31">
        <f>IF(MID(E652,5,1)*1=1,$AE$62,$AD$62)</f>
        <v>0</v>
      </c>
      <c r="AY652" s="33">
        <f>IF(MID(E652,5,1)*1=2,$AG$62,$AF$62)</f>
        <v>0</v>
      </c>
      <c r="AZ652" s="2"/>
      <c r="BA652" s="101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</row>
    <row r="653" spans="1:71" ht="12" customHeight="1">
      <c r="A653" s="2"/>
      <c r="B653" s="107">
        <v>335</v>
      </c>
      <c r="C653" s="31">
        <v>7</v>
      </c>
      <c r="D653" s="106" t="s">
        <v>20</v>
      </c>
      <c r="E653" s="2" t="s">
        <v>148</v>
      </c>
      <c r="F653" s="2" t="s">
        <v>149</v>
      </c>
      <c r="G653" s="2"/>
      <c r="H653" s="33"/>
      <c r="I653" s="173">
        <f>M653/AE653</f>
        <v>510.45924356328175</v>
      </c>
      <c r="J653" s="174">
        <f>AH653/AE653</f>
        <v>20.525336287912033</v>
      </c>
      <c r="K653" s="207">
        <f>RANK(I653,$I$76:$I$977)</f>
        <v>578</v>
      </c>
      <c r="L653" s="208" t="e">
        <f>RANK(I653,$I$76:$I$450)</f>
        <v>#N/A</v>
      </c>
      <c r="M653" s="173">
        <f>SUM(N653:R653)</f>
        <v>7635.0022029222073</v>
      </c>
      <c r="N653" s="174">
        <f>T653*(1+((AG653+IF(F653="백어택",8,0))/100)*((AI653/100-1)))</f>
        <v>4077.33091878609</v>
      </c>
      <c r="O653" s="174">
        <f>U653*(1+(($D$57+IF(F653="백어택",8,0))/100)*($D$58/100-1))</f>
        <v>3557.6712841361177</v>
      </c>
      <c r="P653" s="174"/>
      <c r="Q653" s="174"/>
      <c r="R653" s="175"/>
      <c r="S653" s="173">
        <f>SUM(T653:X653)</f>
        <v>5603.0545943326833</v>
      </c>
      <c r="T653" s="174">
        <f>AL653*AV653*IF(F653="백어택",1.2,1)</f>
        <v>2801.7672971663419</v>
      </c>
      <c r="U653" s="174">
        <f>AM653*AX653*AY653*IF(F653="백어택",1.2,1)</f>
        <v>2801.2872971663419</v>
      </c>
      <c r="V653" s="174"/>
      <c r="W653" s="174"/>
      <c r="X653" s="175"/>
      <c r="Y653" s="173">
        <f>SUM(Z653:AD653)</f>
        <v>11206.109188665367</v>
      </c>
      <c r="Z653" s="174">
        <f>T653*$D$58/100</f>
        <v>5603.5345943326838</v>
      </c>
      <c r="AA653" s="174">
        <f>U653*$D$58/100</f>
        <v>5602.5745943326838</v>
      </c>
      <c r="AB653" s="174"/>
      <c r="AC653" s="174"/>
      <c r="AD653" s="175"/>
      <c r="AE653" s="173">
        <f>AO653*(1-$D$17/100)-AR653</f>
        <v>14.957124</v>
      </c>
      <c r="AF653" s="174">
        <f>AP653</f>
        <v>36</v>
      </c>
      <c r="AG653" s="174">
        <f>IF($D$57+AU653&gt;100,100,$D$57+AU653)</f>
        <v>19.001300000000001</v>
      </c>
      <c r="AH653" s="174">
        <f>AQ653*AS653</f>
        <v>307</v>
      </c>
      <c r="AI653" s="174">
        <f>$D$58+$D$19</f>
        <v>268.61079999999998</v>
      </c>
      <c r="AJ653" s="174">
        <f>10*IF(AV653=1,1,5/4.5)/IF(AX653=1,5,3.5)</f>
        <v>2</v>
      </c>
      <c r="AK653" s="174">
        <f>SUM(AL653:AN653)</f>
        <v>4669.212161943904</v>
      </c>
      <c r="AL653" s="174">
        <f>(VLOOKUP(C653,$B$36:$AG$39,29,FALSE)+VLOOKUP(C653,$B$40:$AG$43,29,FALSE)*$D$54)*$D$59/100</f>
        <v>2334.8060809719518</v>
      </c>
      <c r="AM653" s="174">
        <f>(VLOOKUP(C653,$B$36:$AG$39,30,FALSE)+VLOOKUP(C653,$B$40:$AG$43,30,FALSE)*$D$54)*$D$59/100</f>
        <v>2334.4060809719517</v>
      </c>
      <c r="AN653" s="174"/>
      <c r="AO653" s="176">
        <v>18</v>
      </c>
      <c r="AP653" s="174">
        <v>36</v>
      </c>
      <c r="AQ653" s="175">
        <f>VLOOKUP(C653,$B$45:$AG$48,29,FALSE)</f>
        <v>307</v>
      </c>
      <c r="AR653" s="31">
        <f>IF(LEFT(E653,1)*1=1,$S$70,$R$70)</f>
        <v>3</v>
      </c>
      <c r="AS653" s="2">
        <f>IF(LEFT(E653,1)*1=2,$U$70,$T$70)</f>
        <v>1</v>
      </c>
      <c r="AT653" s="33">
        <f>IF(LEFT(E653,1)*1=3,$W$70,$V$70)</f>
        <v>0</v>
      </c>
      <c r="AU653" s="31">
        <f>IF(MID(E653,3,1)*1=1,$Y$70,$X$70)</f>
        <v>0</v>
      </c>
      <c r="AV653" s="2">
        <f>IF(MID(E653,3,1)*1=2,$AA$70,$Z$70)</f>
        <v>1</v>
      </c>
      <c r="AW653" s="33">
        <f>IF(MID(E653,3,1)*1=3,$AC$70,$AB$70)</f>
        <v>0</v>
      </c>
      <c r="AX653" s="31">
        <f>IF(MID(E653,5,1)*1=1,$AE$70,$AD$70)</f>
        <v>1</v>
      </c>
      <c r="AY653" s="33">
        <f>IF(MID(E653,5,1)*1=2,$AG$70,$AF$70)</f>
        <v>1</v>
      </c>
      <c r="AZ653" s="2"/>
      <c r="BA653" s="101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</row>
    <row r="654" spans="1:71" ht="12" customHeight="1">
      <c r="A654" s="2"/>
      <c r="B654" s="107">
        <v>464</v>
      </c>
      <c r="C654" s="31">
        <v>10</v>
      </c>
      <c r="D654" s="111" t="s">
        <v>11</v>
      </c>
      <c r="E654" s="2" t="s">
        <v>79</v>
      </c>
      <c r="F654" s="2"/>
      <c r="G654" s="2"/>
      <c r="H654" s="33">
        <f>IF(AX654=1,5,1)</f>
        <v>5</v>
      </c>
      <c r="I654" s="173">
        <f>M654/AE654</f>
        <v>510.40181603784919</v>
      </c>
      <c r="J654" s="174">
        <f>AH654/AE654</f>
        <v>25.621083892380163</v>
      </c>
      <c r="K654" s="207">
        <f>RANK(I654,$I$76:$I$977)</f>
        <v>579</v>
      </c>
      <c r="L654" s="208">
        <f>RANK(I654,$I$451:$I$866)</f>
        <v>204</v>
      </c>
      <c r="M654" s="173">
        <f>SUM(N654:R654)</f>
        <v>11793.329133287369</v>
      </c>
      <c r="N654" s="174">
        <f>T654*(1+(AG654/100)*(AI654/100-1))</f>
        <v>10921.366700286229</v>
      </c>
      <c r="O654" s="174">
        <f>U654*(1+(AG654/100)*(AI654/100-1))</f>
        <v>871.96243300113986</v>
      </c>
      <c r="P654" s="174"/>
      <c r="Q654" s="174"/>
      <c r="R654" s="175"/>
      <c r="S654" s="173">
        <f>T654</f>
        <v>8150.1945878780507</v>
      </c>
      <c r="T654" s="174">
        <f>H654*AL654*AX654</f>
        <v>8150.1945878780507</v>
      </c>
      <c r="U654" s="174">
        <f>AM654*AV654</f>
        <v>650.71192070609754</v>
      </c>
      <c r="V654" s="174"/>
      <c r="W654" s="174"/>
      <c r="X654" s="175"/>
      <c r="Y654" s="173">
        <f>SUM(Z654:AD654)</f>
        <v>17601.813017168297</v>
      </c>
      <c r="Z654" s="174">
        <f>T654*$D$58/100</f>
        <v>16300.389175756101</v>
      </c>
      <c r="AA654" s="174">
        <f>U654*$D$58/100</f>
        <v>1301.4238414121951</v>
      </c>
      <c r="AB654" s="174"/>
      <c r="AC654" s="174"/>
      <c r="AD654" s="175"/>
      <c r="AE654" s="173">
        <f>AO654*(1-$D$20/100)*(1-$D$17/100)-AR654</f>
        <v>23.105970164519999</v>
      </c>
      <c r="AF654" s="174">
        <f>AP654</f>
        <v>36</v>
      </c>
      <c r="AG654" s="174">
        <f>IF($D$57+AS654&gt;100,100,$D$57+AS654)</f>
        <v>34.001300000000001</v>
      </c>
      <c r="AH654" s="174">
        <f>AQ654</f>
        <v>592</v>
      </c>
      <c r="AI654" s="174">
        <f>$D$58</f>
        <v>200</v>
      </c>
      <c r="AJ654" s="174">
        <f>10/IF(AX654=1,7,6)</f>
        <v>1.4285714285714286</v>
      </c>
      <c r="AK654" s="174">
        <f>SUM(AL654:AN654)</f>
        <v>2280.7508382817077</v>
      </c>
      <c r="AL654" s="174">
        <f>(VLOOKUP(C654,$B$36:$AG$39,14,FALSE)+VLOOKUP(C654,$B$40:$AG$43,14,FALSE)*$D$54)*$D$59/100</f>
        <v>1630.0389175756102</v>
      </c>
      <c r="AM654" s="174">
        <f>(VLOOKUP(C654,$B$36:$AG$39,15,FALSE)+VLOOKUP(C654,$B$40:$AG$43,15,FALSE)*$D$54)*$D$59/100</f>
        <v>650.71192070609754</v>
      </c>
      <c r="AN654" s="174"/>
      <c r="AO654" s="176">
        <v>30</v>
      </c>
      <c r="AP654" s="174">
        <v>36</v>
      </c>
      <c r="AQ654" s="175">
        <f>VLOOKUP(C654,$B$45:$AA$48,14,FALSE)</f>
        <v>592</v>
      </c>
      <c r="AR654" s="31">
        <f>IF(LEFT(E654,1)*1=1,$S$61,$R$61)</f>
        <v>0</v>
      </c>
      <c r="AS654" s="2">
        <f>IF(LEFT(E654,1)*1=2,$U$61,$T$61)</f>
        <v>15</v>
      </c>
      <c r="AT654" s="33">
        <f>IF(LEFT(E654,1)*1=3,$W$61,$V$61)</f>
        <v>0</v>
      </c>
      <c r="AU654" s="31">
        <f>IF(MID(E654,3,1)*1=1,$Y$61,$X$61)</f>
        <v>0</v>
      </c>
      <c r="AV654" s="2">
        <f>IF(MID(E654,3,1)*1=2,$AA$61,$Z$61)</f>
        <v>1</v>
      </c>
      <c r="AW654" s="33">
        <f>IF(MID(E654,3,1)*1=3,$AC$61,$AB$61)</f>
        <v>0</v>
      </c>
      <c r="AX654" s="31">
        <f>IF(MID(E654,5,1)*1=1,$AE$61,$AD$61)</f>
        <v>1</v>
      </c>
      <c r="AY654" s="33">
        <f>IF(MID(E654,5,1)*1=2,$AG$61,$AF$61)</f>
        <v>0</v>
      </c>
      <c r="AZ654" s="2"/>
      <c r="BA654" s="101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</row>
    <row r="655" spans="1:71" ht="12" customHeight="1">
      <c r="A655" s="2"/>
      <c r="B655" s="107">
        <v>726</v>
      </c>
      <c r="C655" s="31">
        <v>4</v>
      </c>
      <c r="D655" s="111" t="s">
        <v>18</v>
      </c>
      <c r="E655" s="2" t="s">
        <v>148</v>
      </c>
      <c r="F655" s="2" t="s">
        <v>149</v>
      </c>
      <c r="G655" s="2"/>
      <c r="H655" s="33" t="s">
        <v>80</v>
      </c>
      <c r="I655" s="173">
        <f>M655/AE655</f>
        <v>509.63680993919081</v>
      </c>
      <c r="J655" s="174">
        <f>AH655/AE655</f>
        <v>13.738562349309744</v>
      </c>
      <c r="K655" s="207">
        <f>RANK(I655,$I$76:$I$977)</f>
        <v>580</v>
      </c>
      <c r="L655" s="208">
        <f>RANK(I655,$I$451:$I$866)</f>
        <v>205</v>
      </c>
      <c r="M655" s="173">
        <f>SUM(N655:R655)</f>
        <v>7381.97510040011</v>
      </c>
      <c r="N655" s="174">
        <f>T655*(1+((AG655+IF(F655="백어택",8,0))/100)*(AI655/100-1))</f>
        <v>4406.2470274717225</v>
      </c>
      <c r="O655" s="174">
        <f>U655*(1+(($D$57+IF(F655="백어택",8,0))/100)*(AI655/100-1))</f>
        <v>2975.7280729283875</v>
      </c>
      <c r="P655" s="174"/>
      <c r="Q655" s="174"/>
      <c r="R655" s="175"/>
      <c r="S655" s="173">
        <f>SUM(T655:X655)</f>
        <v>5812.5193209834151</v>
      </c>
      <c r="T655" s="174">
        <f>AL655*IF(H655="근접",AT655,IF(AV655=1,AT655,1))*AX655*IF(F655="백어택",1.2,1)</f>
        <v>3469.4503343443907</v>
      </c>
      <c r="U655" s="174">
        <f>IF(AX655=1,AM655*IF(H655="근접",AT655,IF(AV655=1,AT655,1)),0)*AY655*IF(AX655=1,1,0)*IF(F655="백어택",1.2,1)</f>
        <v>2343.0689866390244</v>
      </c>
      <c r="V655" s="174"/>
      <c r="W655" s="174"/>
      <c r="X655" s="175"/>
      <c r="Y655" s="173">
        <f>SUM(Z655:AD655)</f>
        <v>11625.038641966832</v>
      </c>
      <c r="Z655" s="174">
        <f>T655*$D$58/100</f>
        <v>6938.9006686887824</v>
      </c>
      <c r="AA655" s="174">
        <f>U655*$D$58/100</f>
        <v>4686.1379732780488</v>
      </c>
      <c r="AB655" s="174"/>
      <c r="AC655" s="174"/>
      <c r="AD655" s="175"/>
      <c r="AE655" s="173">
        <f>(AO655*(1-$D$20/100)*(1-$D$17/100)-AR655)*IF(AW655="보스대상",1,POWER(0.85,AW655))</f>
        <v>14.484776131615998</v>
      </c>
      <c r="AF655" s="174">
        <f>AP655</f>
        <v>36</v>
      </c>
      <c r="AG655" s="174">
        <f>IF($D$57+AU655&gt;100,100,$D$57+AU655)</f>
        <v>19.001300000000001</v>
      </c>
      <c r="AH655" s="174">
        <f>AQ655</f>
        <v>199</v>
      </c>
      <c r="AI655" s="174">
        <f>$D$58</f>
        <v>200</v>
      </c>
      <c r="AJ655" s="174">
        <f>10*AS655/IF(AX655=1,IF(AY655=1,4.5,4),4)</f>
        <v>2.2222222222222223</v>
      </c>
      <c r="AK655" s="174">
        <f>SUM(AL655:AN655)</f>
        <v>4843.7661008195128</v>
      </c>
      <c r="AL655" s="174">
        <f>IF(AV655=1,$D$61*(VLOOKUP(C655,$B$36:$AG$39,25,FALSE)+VLOOKUP(C655,$B$40:$AG$43,25,FALSE)*$D$54),(IF(H655="근접",$D$61*(VLOOKUP(C655,$B$36:$AG$39,25,FALSE)+VLOOKUP(C655,$B$40:$AG$43,25,FALSE)*$D$54),$D$60*(VLOOKUP(C655,$B$36:$AG$39,25,FALSE)+VLOOKUP(C655,$B$40:$AG$43,25,FALSE)*$D$54))))*$D$59/100</f>
        <v>2891.2086119536589</v>
      </c>
      <c r="AM655" s="174">
        <f>(IF(AV655=1,$D$61*(VLOOKUP(C655,$B$36:$AG$39,26,FALSE)+VLOOKUP(C655,$B$40:$AG$43,26,FALSE)*$D$54),IF(H655="근접",$D$61*(VLOOKUP(C655,$B$36:$AG$39,26,FALSE)+VLOOKUP(C655,$B$40:$AG$43,26,FALSE)*$D$54),$D$60*(VLOOKUP(C655,$B$36:$AG$39,26,FALSE)+VLOOKUP(C655,$B$40:$AG$43,26,FALSE)*$D$54))))*$D$59/100</f>
        <v>1952.5574888658539</v>
      </c>
      <c r="AN655" s="174"/>
      <c r="AO655" s="176">
        <v>24</v>
      </c>
      <c r="AP655" s="174">
        <v>36</v>
      </c>
      <c r="AQ655" s="175">
        <f>VLOOKUP(C655,$B$45:$AA$48,25,FALSE)</f>
        <v>199</v>
      </c>
      <c r="AR655" s="31">
        <f>IF(LEFT(E655,1)*1=1,$S$68,$R$68)</f>
        <v>4</v>
      </c>
      <c r="AS655" s="2">
        <f>IF(LEFT(E655,1)*1=2,$U$68,$T$68)</f>
        <v>1</v>
      </c>
      <c r="AT655" s="33">
        <f>IF(LEFT(E655,1)*1=3,$W$68,$V$68)</f>
        <v>1</v>
      </c>
      <c r="AU655" s="31">
        <f>IF(MID(E655,3,1)*1=1,$Y$68,$X$68)</f>
        <v>0</v>
      </c>
      <c r="AV655" s="2">
        <f>IF(MID(E655,3,1)*1=2,$AA$68,$Z$68)</f>
        <v>0</v>
      </c>
      <c r="AW655" s="33" t="str">
        <f>IF(MID(E655,3,1)*1=3,$AC$68,$AB$68)</f>
        <v>보스대상</v>
      </c>
      <c r="AX655" s="31">
        <f>IF(MID(E655,5,1)*1=1,$AE$68,$AD$68)</f>
        <v>1</v>
      </c>
      <c r="AY655" s="33">
        <f>IF(MID(E655,5,1)*1=2,$AG$68,$AF$68)</f>
        <v>1</v>
      </c>
      <c r="AZ655" s="2"/>
      <c r="BA655" s="101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</row>
    <row r="656" spans="1:71" ht="12" customHeight="1">
      <c r="A656" s="2"/>
      <c r="B656" s="107">
        <v>64</v>
      </c>
      <c r="C656" s="31">
        <v>10</v>
      </c>
      <c r="D656" s="106" t="s">
        <v>4</v>
      </c>
      <c r="E656" s="2" t="s">
        <v>111</v>
      </c>
      <c r="F656" s="2"/>
      <c r="G656" s="2"/>
      <c r="H656" s="33"/>
      <c r="I656" s="173">
        <f>M656/AE656</f>
        <v>509.22312579975414</v>
      </c>
      <c r="J656" s="174">
        <f>AH656/AE656</f>
        <v>29.152775243964456</v>
      </c>
      <c r="K656" s="207">
        <f>RANK(I656,$I$76:$I$977)</f>
        <v>581</v>
      </c>
      <c r="L656" s="208" t="e">
        <f>RANK(I656,$I$76:$I$450)</f>
        <v>#N/A</v>
      </c>
      <c r="M656" s="173">
        <f>SUM(N656:R656)</f>
        <v>6096.1218757691895</v>
      </c>
      <c r="N656" s="174">
        <f>T656*(1+((AG656+IF(F656="백어택",8,0))/100)*((AI656/100-1)))</f>
        <v>1089.6013904763372</v>
      </c>
      <c r="O656" s="174">
        <f>U656*(1+((AG656+IF(F656="백어택",8,0))/100)*(AI656/100-1))</f>
        <v>5006.5204852928528</v>
      </c>
      <c r="P656" s="174"/>
      <c r="Q656" s="174"/>
      <c r="R656" s="175"/>
      <c r="S656" s="173">
        <f>SUM(T656:X656)</f>
        <v>4616.9364979746952</v>
      </c>
      <c r="T656" s="174">
        <f>AT656*AL656*IF(F656="백어택",1.2,1)</f>
        <v>825.21651148902447</v>
      </c>
      <c r="U656" s="174">
        <f>AM656*AW656*AX656*AY656*IF(F656="백어택",1.2,1)</f>
        <v>3791.7199864856711</v>
      </c>
      <c r="V656" s="174"/>
      <c r="W656" s="174"/>
      <c r="X656" s="175"/>
      <c r="Y656" s="173">
        <f>SUM(Z656:AD656)</f>
        <v>9233.8729959493903</v>
      </c>
      <c r="Z656" s="174">
        <f>T656*$D$58/100</f>
        <v>1650.4330229780489</v>
      </c>
      <c r="AA656" s="174">
        <f>U656*$D$58/100</f>
        <v>7583.4399729713423</v>
      </c>
      <c r="AB656" s="174"/>
      <c r="AC656" s="174"/>
      <c r="AD656" s="175"/>
      <c r="AE656" s="173">
        <f>AO656*(1-$D$17/100)</f>
        <v>11.971416</v>
      </c>
      <c r="AF656" s="174">
        <f>AP656</f>
        <v>36</v>
      </c>
      <c r="AG656" s="174">
        <f>IF($D$57&gt;100,100,$D$57)</f>
        <v>19.001300000000001</v>
      </c>
      <c r="AH656" s="174">
        <f>AQ656</f>
        <v>349</v>
      </c>
      <c r="AI656" s="174">
        <f>$D$58+$D$19</f>
        <v>268.61079999999998</v>
      </c>
      <c r="AJ656" s="174">
        <f>10/IF(AY656=1,5,4)</f>
        <v>2.5</v>
      </c>
      <c r="AK656" s="174">
        <f>SUM(AL656:AN656)</f>
        <v>2748.2428838829269</v>
      </c>
      <c r="AL656" s="174">
        <f>(VLOOKUP(C656,$B$36:$AG$39,4,FALSE)+VLOOKUP(C656,$B$40:$AG$43,4,FALSE)*$D$54)*$D$59/100</f>
        <v>550.14434099268294</v>
      </c>
      <c r="AM656" s="174">
        <f>(VLOOKUP(C656,$B$36:$AG$39,5,FALSE)+VLOOKUP(C656,$B$40:$AG$43,5,FALSE)*$D$54)*$D$59/100</f>
        <v>2198.0985428902441</v>
      </c>
      <c r="AN656" s="174"/>
      <c r="AO656" s="176">
        <v>12</v>
      </c>
      <c r="AP656" s="174">
        <v>36</v>
      </c>
      <c r="AQ656" s="175">
        <f>VLOOKUP(C656,$B$45:$AA$48,4,FALSE)</f>
        <v>349</v>
      </c>
      <c r="AR656" s="31">
        <f>IF(LEFT(E656,1)*1=1,$S$54,$R$54)</f>
        <v>0</v>
      </c>
      <c r="AS656" s="2">
        <f>IF(LEFT(E656,1)*1=2,$U$54,$T$54)</f>
        <v>0</v>
      </c>
      <c r="AT656" s="33">
        <f>IF(LEFT(E656,1)*1=3,$W$54,$V$54)</f>
        <v>1.5</v>
      </c>
      <c r="AU656" s="31">
        <f>IF(MID(E656,3,1)*1=1,$Y$54,$X$54)</f>
        <v>0</v>
      </c>
      <c r="AV656" s="2">
        <f>IF(MID(E656,3,1)*1=2,$AA$54,$Z$54)</f>
        <v>0</v>
      </c>
      <c r="AW656" s="33">
        <f>IF(MID(E656,3,1)*1=3,$AC$54,$AB$54)</f>
        <v>1</v>
      </c>
      <c r="AX656" s="31">
        <f>IF(MID(E656,5,1)*1=1,$AE$54,$AD$54)</f>
        <v>1</v>
      </c>
      <c r="AY656" s="33">
        <f>IF(MID(E656,5,1)*1=2,$AG$54,$AF$54)</f>
        <v>1.7250000000000001</v>
      </c>
      <c r="AZ656" s="2"/>
      <c r="BA656" s="101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</row>
    <row r="657" spans="1:71" ht="12" customHeight="1">
      <c r="A657" s="2"/>
      <c r="B657" s="107">
        <v>594</v>
      </c>
      <c r="C657" s="31">
        <v>7</v>
      </c>
      <c r="D657" s="111" t="s">
        <v>14</v>
      </c>
      <c r="E657" s="2" t="s">
        <v>136</v>
      </c>
      <c r="F657" s="2" t="s">
        <v>149</v>
      </c>
      <c r="G657" s="2"/>
      <c r="H657" s="33" t="s">
        <v>80</v>
      </c>
      <c r="I657" s="173">
        <f>M657/AE657</f>
        <v>508.68609636889636</v>
      </c>
      <c r="J657" s="174">
        <f>AH657/AE657</f>
        <v>16.518097441877977</v>
      </c>
      <c r="K657" s="207">
        <f>RANK(I657,$I$76:$I$977)</f>
        <v>582</v>
      </c>
      <c r="L657" s="208">
        <f>RANK(I657,$I$451:$I$866)</f>
        <v>207</v>
      </c>
      <c r="M657" s="173">
        <f>SUM(N657:R657)</f>
        <v>14104.422918967039</v>
      </c>
      <c r="N657" s="174">
        <f>T657*(1+((AG657+IF(F657="백어택",8,0))/100)*(AI657/100-1))</f>
        <v>4209.5623066647722</v>
      </c>
      <c r="O657" s="174">
        <f>U657*(1+((AG657+IF(F657="백어택",8,0))/100)*(AI657/100-1))</f>
        <v>4209.5623066647722</v>
      </c>
      <c r="P657" s="174">
        <f>V657*(1+((AG657+IF(F657="백어택",8,0))/100)*(AI657*IF(AX657=1,AW657,1)/100-1))</f>
        <v>5685.2983056374942</v>
      </c>
      <c r="Q657" s="174">
        <f>W657*(1+((AG657+IF(F657="백어택",8,0))/100)*(AI657*AW657/100-1))</f>
        <v>0</v>
      </c>
      <c r="R657" s="175"/>
      <c r="S657" s="173">
        <f>SUM(T657:X657)</f>
        <v>9279.1462434643909</v>
      </c>
      <c r="T657" s="174">
        <f>AL657*AY657*IF(F657="백어택",1.2,1)</f>
        <v>2769.4252000902438</v>
      </c>
      <c r="U657" s="174">
        <f>AM657*AY657*IF(F657="백어택",1.2,1)</f>
        <v>2769.4252000902438</v>
      </c>
      <c r="V657" s="174">
        <f>AN657*AY657*IF(F657="백어택",1.2,1)</f>
        <v>3740.2958432839023</v>
      </c>
      <c r="W657" s="174">
        <f>(T657+U657+V657)*IF(AX657=1,0,0.6)*IF(F657="백어택",1.2,1)</f>
        <v>0</v>
      </c>
      <c r="X657" s="175"/>
      <c r="Y657" s="173">
        <f>SUM(Z657:AD657)</f>
        <v>18558.292486928778</v>
      </c>
      <c r="Z657" s="174">
        <f>T657*AI657/100</f>
        <v>5538.8504001804868</v>
      </c>
      <c r="AA657" s="174">
        <f>U657*AI657/100</f>
        <v>5538.8504001804868</v>
      </c>
      <c r="AB657" s="174">
        <f>V657*AI657*IF(AX657=1,AW657,1)/100</f>
        <v>7480.5916865678046</v>
      </c>
      <c r="AC657" s="174">
        <f>W657*AI657*AW657/100</f>
        <v>0</v>
      </c>
      <c r="AD657" s="175"/>
      <c r="AE657" s="173">
        <f>AO657*(1-$D$20/100)*(1-$D$17/100)</f>
        <v>27.727164197424003</v>
      </c>
      <c r="AF657" s="174">
        <f>AP657</f>
        <v>36</v>
      </c>
      <c r="AG657" s="174">
        <f>IF($D$57+AU657&gt;100,100,$D$57+AU657)</f>
        <v>44.001300000000001</v>
      </c>
      <c r="AH657" s="174">
        <f>AQ657*AS657</f>
        <v>458</v>
      </c>
      <c r="AI657" s="174">
        <f>$D$58+IF(H657="근접",AR657,0)+IF(AY657=1,0,50)</f>
        <v>200</v>
      </c>
      <c r="AJ657" s="174">
        <f>10/3</f>
        <v>3.3333333333333335</v>
      </c>
      <c r="AK657" s="174">
        <f>SUM(AL657:AN657)</f>
        <v>7732.6218695536591</v>
      </c>
      <c r="AL657" s="174">
        <f>(IF(H657="근접",$D$61*(VLOOKUP(C657,$B$36:$AG$39,19,FALSE)+VLOOKUP(C657,$B$40:$AG$43,19,FALSE)*$D$54),$D$60*(VLOOKUP(C657,$B$36:$AG$39,19,FALSE)+VLOOKUP(C657,$B$40:$AG$43,19,FALSE)*$D$54)))*$D$59/100</f>
        <v>2307.8543334085366</v>
      </c>
      <c r="AM657" s="174">
        <f>(IF(H657="근접",$D$61*(VLOOKUP(C657,$B$36:$AG$39,20,FALSE)+VLOOKUP(C657,$B$40:$AG$43,20,FALSE)*$D$54),$D$60*(VLOOKUP(C657,$B$36:$AG$39,20,FALSE)+VLOOKUP(C657,$B$40:$AG$43,20,FALSE)*$D$54)))*$D$59/100</f>
        <v>2307.8543334085366</v>
      </c>
      <c r="AN657" s="174">
        <f>(IF(H657="근접",$D$61*(VLOOKUP(C657,$B$36:$AG$39,21,FALSE)+VLOOKUP(C657,$B$40:$AG$43,21,FALSE)*$D$54),$D$60*(VLOOKUP(C657,$B$36:$AG$39,21,FALSE)+VLOOKUP(C657,$B$40:$AG$43,21,FALSE)*$D$54)))*$D$59/100</f>
        <v>3116.9132027365854</v>
      </c>
      <c r="AO657" s="176">
        <v>36</v>
      </c>
      <c r="AP657" s="174">
        <v>36</v>
      </c>
      <c r="AQ657" s="175">
        <f>VLOOKUP(C657,$B$45:$AA$48,19,FALSE)</f>
        <v>458</v>
      </c>
      <c r="AR657" s="31">
        <f>IF(LEFT(E657,1)*1=1,$S$64,$R$64)</f>
        <v>0</v>
      </c>
      <c r="AS657" s="2">
        <f>IF(LEFT(E657,1)*1=2,$U$64,$T$64)</f>
        <v>1</v>
      </c>
      <c r="AT657" s="33">
        <f>IF(LEFT(E657,1)*1=3,$W$64,$V$64)</f>
        <v>0</v>
      </c>
      <c r="AU657" s="31">
        <f>IF(MID(E657,3,1)*1=1,$Y$64,$X$64)</f>
        <v>25</v>
      </c>
      <c r="AV657" s="2">
        <f>IF(MID(E657,3,1)*1=2,$AA$64,$Z$64)</f>
        <v>0</v>
      </c>
      <c r="AW657" s="33">
        <f>IF(MID(E657,3,1)*1=3,$AC$64,$AB$64)</f>
        <v>1</v>
      </c>
      <c r="AX657" s="31">
        <f>IF(MID(E657,5,1)*1=1,$AE$64,$AD$64)</f>
        <v>1</v>
      </c>
      <c r="AY657" s="33">
        <f>IF(MID(E657,5,1)*1=2,$AG$64,$AF$64)</f>
        <v>1</v>
      </c>
      <c r="AZ657" s="2"/>
      <c r="BA657" s="101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</row>
    <row r="658" spans="1:71" ht="12" customHeight="1">
      <c r="A658" s="2"/>
      <c r="B658" s="107">
        <v>597</v>
      </c>
      <c r="C658" s="31">
        <v>7</v>
      </c>
      <c r="D658" s="111" t="s">
        <v>14</v>
      </c>
      <c r="E658" s="2" t="s">
        <v>163</v>
      </c>
      <c r="F658" s="2" t="s">
        <v>149</v>
      </c>
      <c r="G658" s="2"/>
      <c r="H658" s="33" t="s">
        <v>80</v>
      </c>
      <c r="I658" s="173">
        <f>M658/AE658</f>
        <v>508.68609636889636</v>
      </c>
      <c r="J658" s="174">
        <f>AH658/AE658</f>
        <v>16.518097441877977</v>
      </c>
      <c r="K658" s="207">
        <f>RANK(I658,$I$76:$I$977)</f>
        <v>582</v>
      </c>
      <c r="L658" s="208">
        <f>RANK(I658,$I$451:$I$866)</f>
        <v>207</v>
      </c>
      <c r="M658" s="173">
        <f>SUM(N658:R658)</f>
        <v>14104.422918967039</v>
      </c>
      <c r="N658" s="174">
        <f>T658*(1+((AG658+IF(F658="백어택",8,0))/100)*(AI658/100-1))</f>
        <v>4209.5623066647722</v>
      </c>
      <c r="O658" s="174">
        <f>U658*(1+((AG658+IF(F658="백어택",8,0))/100)*(AI658/100-1))</f>
        <v>4209.5623066647722</v>
      </c>
      <c r="P658" s="174">
        <f>V658*(1+((AG658+IF(F658="백어택",8,0))/100)*(AI658*IF(AX658=1,AW658,1)/100-1))</f>
        <v>5685.2983056374942</v>
      </c>
      <c r="Q658" s="174">
        <f>W658*(1+((AG658+IF(F658="백어택",8,0))/100)*(AI658*AW658/100-1))</f>
        <v>0</v>
      </c>
      <c r="R658" s="175"/>
      <c r="S658" s="173">
        <f>SUM(T658:X658)</f>
        <v>9279.1462434643909</v>
      </c>
      <c r="T658" s="174">
        <f>AL658*AY658*IF(F658="백어택",1.2,1)</f>
        <v>2769.4252000902438</v>
      </c>
      <c r="U658" s="174">
        <f>AM658*AY658*IF(F658="백어택",1.2,1)</f>
        <v>2769.4252000902438</v>
      </c>
      <c r="V658" s="174">
        <f>AN658*AY658*IF(F658="백어택",1.2,1)</f>
        <v>3740.2958432839023</v>
      </c>
      <c r="W658" s="174">
        <f>(T658+U658+V658)*IF(AX658=1,0,0.6)*IF(F658="백어택",1.2,1)</f>
        <v>0</v>
      </c>
      <c r="X658" s="175"/>
      <c r="Y658" s="173">
        <f>SUM(Z658:AD658)</f>
        <v>18558.292486928778</v>
      </c>
      <c r="Z658" s="174">
        <f>T658*AI658/100</f>
        <v>5538.8504001804868</v>
      </c>
      <c r="AA658" s="174">
        <f>U658*AI658/100</f>
        <v>5538.8504001804868</v>
      </c>
      <c r="AB658" s="174">
        <f>V658*AI658*IF(AX658=1,AW658,1)/100</f>
        <v>7480.5916865678046</v>
      </c>
      <c r="AC658" s="174">
        <f>W658*AI658*AW658/100</f>
        <v>0</v>
      </c>
      <c r="AD658" s="175"/>
      <c r="AE658" s="173">
        <f>AO658*(1-$D$20/100)*(1-$D$17/100)</f>
        <v>27.727164197424003</v>
      </c>
      <c r="AF658" s="174">
        <f>AP658</f>
        <v>36</v>
      </c>
      <c r="AG658" s="174">
        <f>IF($D$57+AU658&gt;100,100,$D$57+AU658)</f>
        <v>44.001300000000001</v>
      </c>
      <c r="AH658" s="174">
        <f>AQ658*AS658</f>
        <v>458</v>
      </c>
      <c r="AI658" s="174">
        <f>$D$58+IF(H658="근접",AR658,0)+IF(AY658=1,0,50)</f>
        <v>200</v>
      </c>
      <c r="AJ658" s="174">
        <f>10/3</f>
        <v>3.3333333333333335</v>
      </c>
      <c r="AK658" s="174">
        <f>SUM(AL658:AN658)</f>
        <v>7732.6218695536591</v>
      </c>
      <c r="AL658" s="174">
        <f>(IF(H658="근접",$D$61*(VLOOKUP(C658,$B$36:$AG$39,19,FALSE)+VLOOKUP(C658,$B$40:$AG$43,19,FALSE)*$D$54),$D$60*(VLOOKUP(C658,$B$36:$AG$39,19,FALSE)+VLOOKUP(C658,$B$40:$AG$43,19,FALSE)*$D$54)))*$D$59/100</f>
        <v>2307.8543334085366</v>
      </c>
      <c r="AM658" s="174">
        <f>(IF(H658="근접",$D$61*(VLOOKUP(C658,$B$36:$AG$39,20,FALSE)+VLOOKUP(C658,$B$40:$AG$43,20,FALSE)*$D$54),$D$60*(VLOOKUP(C658,$B$36:$AG$39,20,FALSE)+VLOOKUP(C658,$B$40:$AG$43,20,FALSE)*$D$54)))*$D$59/100</f>
        <v>2307.8543334085366</v>
      </c>
      <c r="AN658" s="174">
        <f>(IF(H658="근접",$D$61*(VLOOKUP(C658,$B$36:$AG$39,21,FALSE)+VLOOKUP(C658,$B$40:$AG$43,21,FALSE)*$D$54),$D$60*(VLOOKUP(C658,$B$36:$AG$39,21,FALSE)+VLOOKUP(C658,$B$40:$AG$43,21,FALSE)*$D$54)))*$D$59/100</f>
        <v>3116.9132027365854</v>
      </c>
      <c r="AO658" s="176">
        <v>36</v>
      </c>
      <c r="AP658" s="174">
        <v>36</v>
      </c>
      <c r="AQ658" s="175">
        <f>VLOOKUP(C658,$B$45:$AA$48,19,FALSE)</f>
        <v>458</v>
      </c>
      <c r="AR658" s="31">
        <f>IF(LEFT(E658,1)*1=1,$S$64,$R$64)</f>
        <v>50</v>
      </c>
      <c r="AS658" s="2">
        <f>IF(LEFT(E658,1)*1=2,$U$64,$T$64)</f>
        <v>1</v>
      </c>
      <c r="AT658" s="33">
        <f>IF(LEFT(E658,1)*1=3,$W$64,$V$64)</f>
        <v>0</v>
      </c>
      <c r="AU658" s="31">
        <f>IF(MID(E658,3,1)*1=1,$Y$64,$X$64)</f>
        <v>25</v>
      </c>
      <c r="AV658" s="2">
        <f>IF(MID(E658,3,1)*1=2,$AA$64,$Z$64)</f>
        <v>0</v>
      </c>
      <c r="AW658" s="33">
        <f>IF(MID(E658,3,1)*1=3,$AC$64,$AB$64)</f>
        <v>1</v>
      </c>
      <c r="AX658" s="31">
        <f>IF(MID(E658,5,1)*1=1,$AE$64,$AD$64)</f>
        <v>1</v>
      </c>
      <c r="AY658" s="33">
        <f>IF(MID(E658,5,1)*1=2,$AG$64,$AF$64)</f>
        <v>1</v>
      </c>
      <c r="AZ658" s="2"/>
      <c r="BA658" s="101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</row>
    <row r="659" spans="1:71" ht="12" customHeight="1">
      <c r="A659" s="2"/>
      <c r="B659" s="107">
        <v>600</v>
      </c>
      <c r="C659" s="31">
        <v>7</v>
      </c>
      <c r="D659" s="111" t="s">
        <v>14</v>
      </c>
      <c r="E659" s="2" t="s">
        <v>168</v>
      </c>
      <c r="F659" s="2" t="s">
        <v>149</v>
      </c>
      <c r="G659" s="2"/>
      <c r="H659" s="33" t="s">
        <v>80</v>
      </c>
      <c r="I659" s="173">
        <f>M659/AE659</f>
        <v>508.68609636889636</v>
      </c>
      <c r="J659" s="174">
        <f>AH659/AE659</f>
        <v>8.2590487209389885</v>
      </c>
      <c r="K659" s="207">
        <f>RANK(I659,$I$76:$I$977)</f>
        <v>582</v>
      </c>
      <c r="L659" s="208">
        <f>RANK(I659,$I$451:$I$866)</f>
        <v>207</v>
      </c>
      <c r="M659" s="173">
        <f>SUM(N659:R659)</f>
        <v>14104.422918967039</v>
      </c>
      <c r="N659" s="174">
        <f>T659*(1+((AG659+IF(F659="백어택",8,0))/100)*(AI659/100-1))</f>
        <v>4209.5623066647722</v>
      </c>
      <c r="O659" s="174">
        <f>U659*(1+((AG659+IF(F659="백어택",8,0))/100)*(AI659/100-1))</f>
        <v>4209.5623066647722</v>
      </c>
      <c r="P659" s="174">
        <f>V659*(1+((AG659+IF(F659="백어택",8,0))/100)*(AI659*IF(AX659=1,AW659,1)/100-1))</f>
        <v>5685.2983056374942</v>
      </c>
      <c r="Q659" s="174">
        <f>W659*(1+((AG659+IF(F659="백어택",8,0))/100)*(AI659*AW659/100-1))</f>
        <v>0</v>
      </c>
      <c r="R659" s="175"/>
      <c r="S659" s="173">
        <f>SUM(T659:X659)</f>
        <v>9279.1462434643909</v>
      </c>
      <c r="T659" s="174">
        <f>AL659*AY659*IF(F659="백어택",1.2,1)</f>
        <v>2769.4252000902438</v>
      </c>
      <c r="U659" s="174">
        <f>AM659*AY659*IF(F659="백어택",1.2,1)</f>
        <v>2769.4252000902438</v>
      </c>
      <c r="V659" s="174">
        <f>AN659*AY659*IF(F659="백어택",1.2,1)</f>
        <v>3740.2958432839023</v>
      </c>
      <c r="W659" s="174">
        <f>(T659+U659+V659)*IF(AX659=1,0,0.6)*IF(F659="백어택",1.2,1)</f>
        <v>0</v>
      </c>
      <c r="X659" s="175"/>
      <c r="Y659" s="173">
        <f>SUM(Z659:AD659)</f>
        <v>18558.292486928778</v>
      </c>
      <c r="Z659" s="174">
        <f>T659*AI659/100</f>
        <v>5538.8504001804868</v>
      </c>
      <c r="AA659" s="174">
        <f>U659*AI659/100</f>
        <v>5538.8504001804868</v>
      </c>
      <c r="AB659" s="174">
        <f>V659*AI659*IF(AX659=1,AW659,1)/100</f>
        <v>7480.5916865678046</v>
      </c>
      <c r="AC659" s="174">
        <f>W659*AI659*AW659/100</f>
        <v>0</v>
      </c>
      <c r="AD659" s="175"/>
      <c r="AE659" s="173">
        <f>AO659*(1-$D$20/100)*(1-$D$17/100)</f>
        <v>27.727164197424003</v>
      </c>
      <c r="AF659" s="174">
        <f>AP659</f>
        <v>36</v>
      </c>
      <c r="AG659" s="174">
        <f>IF($D$57+AU659&gt;100,100,$D$57+AU659)</f>
        <v>44.001300000000001</v>
      </c>
      <c r="AH659" s="174">
        <f>AQ659*AS659</f>
        <v>229</v>
      </c>
      <c r="AI659" s="174">
        <f>$D$58+IF(H659="근접",AR659,0)+IF(AY659=1,0,50)</f>
        <v>200</v>
      </c>
      <c r="AJ659" s="174">
        <f>10/3</f>
        <v>3.3333333333333335</v>
      </c>
      <c r="AK659" s="174">
        <f>SUM(AL659:AN659)</f>
        <v>7732.6218695536591</v>
      </c>
      <c r="AL659" s="174">
        <f>(IF(H659="근접",$D$61*(VLOOKUP(C659,$B$36:$AG$39,19,FALSE)+VLOOKUP(C659,$B$40:$AG$43,19,FALSE)*$D$54),$D$60*(VLOOKUP(C659,$B$36:$AG$39,19,FALSE)+VLOOKUP(C659,$B$40:$AG$43,19,FALSE)*$D$54)))*$D$59/100</f>
        <v>2307.8543334085366</v>
      </c>
      <c r="AM659" s="174">
        <f>(IF(H659="근접",$D$61*(VLOOKUP(C659,$B$36:$AG$39,20,FALSE)+VLOOKUP(C659,$B$40:$AG$43,20,FALSE)*$D$54),$D$60*(VLOOKUP(C659,$B$36:$AG$39,20,FALSE)+VLOOKUP(C659,$B$40:$AG$43,20,FALSE)*$D$54)))*$D$59/100</f>
        <v>2307.8543334085366</v>
      </c>
      <c r="AN659" s="174">
        <f>(IF(H659="근접",$D$61*(VLOOKUP(C659,$B$36:$AG$39,21,FALSE)+VLOOKUP(C659,$B$40:$AG$43,21,FALSE)*$D$54),$D$60*(VLOOKUP(C659,$B$36:$AG$39,21,FALSE)+VLOOKUP(C659,$B$40:$AG$43,21,FALSE)*$D$54)))*$D$59/100</f>
        <v>3116.9132027365854</v>
      </c>
      <c r="AO659" s="176">
        <v>36</v>
      </c>
      <c r="AP659" s="174">
        <v>36</v>
      </c>
      <c r="AQ659" s="175">
        <f>VLOOKUP(C659,$B$45:$AA$48,19,FALSE)</f>
        <v>458</v>
      </c>
      <c r="AR659" s="31">
        <f>IF(LEFT(E659,1)*1=1,$S$64,$R$64)</f>
        <v>0</v>
      </c>
      <c r="AS659" s="2">
        <f>IF(LEFT(E659,1)*1=2,$U$64,$T$64)</f>
        <v>0.5</v>
      </c>
      <c r="AT659" s="33">
        <f>IF(LEFT(E659,1)*1=3,$W$64,$V$64)</f>
        <v>0</v>
      </c>
      <c r="AU659" s="31">
        <f>IF(MID(E659,3,1)*1=1,$Y$64,$X$64)</f>
        <v>25</v>
      </c>
      <c r="AV659" s="2">
        <f>IF(MID(E659,3,1)*1=2,$AA$64,$Z$64)</f>
        <v>0</v>
      </c>
      <c r="AW659" s="33">
        <f>IF(MID(E659,3,1)*1=3,$AC$64,$AB$64)</f>
        <v>1</v>
      </c>
      <c r="AX659" s="31">
        <f>IF(MID(E659,5,1)*1=1,$AE$64,$AD$64)</f>
        <v>1</v>
      </c>
      <c r="AY659" s="33">
        <f>IF(MID(E659,5,1)*1=2,$AG$64,$AF$64)</f>
        <v>1</v>
      </c>
      <c r="AZ659" s="2"/>
      <c r="BA659" s="101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</row>
    <row r="660" spans="1:71" ht="12" customHeight="1">
      <c r="A660" s="2"/>
      <c r="B660" s="107">
        <v>477</v>
      </c>
      <c r="C660" s="31">
        <v>7</v>
      </c>
      <c r="D660" s="111" t="s">
        <v>11</v>
      </c>
      <c r="E660" s="2" t="s">
        <v>101</v>
      </c>
      <c r="F660" s="2"/>
      <c r="G660" s="2"/>
      <c r="H660" s="33">
        <f>IF(AX660=1,5,1)</f>
        <v>5</v>
      </c>
      <c r="I660" s="173">
        <f>M660/AE660</f>
        <v>507.13025763383126</v>
      </c>
      <c r="J660" s="174">
        <f>AH660/AE660</f>
        <v>17.830889465642951</v>
      </c>
      <c r="K660" s="207">
        <f>RANK(I660,$I$76:$I$977)</f>
        <v>585</v>
      </c>
      <c r="L660" s="208">
        <f>RANK(I660,$I$451:$I$866)</f>
        <v>210</v>
      </c>
      <c r="M660" s="173">
        <f>SUM(N660:R660)</f>
        <v>11717.736602412646</v>
      </c>
      <c r="N660" s="174">
        <f>T660*(1+(AG660/100)*(AI660/100-1))</f>
        <v>10463.72884320929</v>
      </c>
      <c r="O660" s="174">
        <f>U660*(1+(AG660/100)*(AI660/100-1))</f>
        <v>1254.0077592033565</v>
      </c>
      <c r="P660" s="174"/>
      <c r="Q660" s="174"/>
      <c r="R660" s="175"/>
      <c r="S660" s="173">
        <f>T660</f>
        <v>7808.677112243904</v>
      </c>
      <c r="T660" s="174">
        <f>H660*AL660*AX660</f>
        <v>7808.677112243904</v>
      </c>
      <c r="U660" s="174">
        <f>AM660*AV660</f>
        <v>935.81760714512211</v>
      </c>
      <c r="V660" s="174"/>
      <c r="W660" s="174"/>
      <c r="X660" s="175"/>
      <c r="Y660" s="173">
        <f>SUM(Z660:AD660)</f>
        <v>17488.989438778051</v>
      </c>
      <c r="Z660" s="174">
        <f>T660*$D$58/100</f>
        <v>15617.354224487808</v>
      </c>
      <c r="AA660" s="174">
        <f>U660*$D$58/100</f>
        <v>1871.6352142902442</v>
      </c>
      <c r="AB660" s="174"/>
      <c r="AC660" s="174"/>
      <c r="AD660" s="175"/>
      <c r="AE660" s="173">
        <f>AO660*(1-$D$20/100)*(1-$D$17/100)-AR660</f>
        <v>23.105970164519999</v>
      </c>
      <c r="AF660" s="174">
        <f>AP660</f>
        <v>36</v>
      </c>
      <c r="AG660" s="174">
        <f>IF($D$57+AS660&gt;100,100,$D$57+AS660)</f>
        <v>34.001300000000001</v>
      </c>
      <c r="AH660" s="174">
        <f>AQ660</f>
        <v>412</v>
      </c>
      <c r="AI660" s="174">
        <f>$D$58</f>
        <v>200</v>
      </c>
      <c r="AJ660" s="174">
        <f>10/IF(AX660=1,7,6)</f>
        <v>1.4285714285714286</v>
      </c>
      <c r="AK660" s="174">
        <f>SUM(AL660:AN660)</f>
        <v>2185.6138272121957</v>
      </c>
      <c r="AL660" s="174">
        <f>(VLOOKUP(C660,$B$36:$AG$39,14,FALSE)+VLOOKUP(C660,$B$40:$AG$43,14,FALSE)*$D$54)*$D$59/100</f>
        <v>1561.7354224487808</v>
      </c>
      <c r="AM660" s="174">
        <f>(VLOOKUP(C660,$B$36:$AG$39,15,FALSE)+VLOOKUP(C660,$B$40:$AG$43,15,FALSE)*$D$54)*$D$59/100</f>
        <v>623.87840476341478</v>
      </c>
      <c r="AN660" s="174"/>
      <c r="AO660" s="176">
        <v>30</v>
      </c>
      <c r="AP660" s="174">
        <v>36</v>
      </c>
      <c r="AQ660" s="175">
        <f>VLOOKUP(C660,$B$45:$AA$48,14,FALSE)</f>
        <v>412</v>
      </c>
      <c r="AR660" s="31">
        <f>IF(LEFT(E660,1)*1=1,$S$61,$R$61)</f>
        <v>0</v>
      </c>
      <c r="AS660" s="2">
        <f>IF(LEFT(E660,1)*1=2,$U$61,$T$61)</f>
        <v>15</v>
      </c>
      <c r="AT660" s="33">
        <f>IF(LEFT(E660,1)*1=3,$W$61,$V$61)</f>
        <v>0</v>
      </c>
      <c r="AU660" s="31">
        <f>IF(MID(E660,3,1)*1=1,$Y$61,$X$61)</f>
        <v>0</v>
      </c>
      <c r="AV660" s="2">
        <f>IF(MID(E660,3,1)*1=2,$AA$61,$Z$61)</f>
        <v>1.5</v>
      </c>
      <c r="AW660" s="33">
        <f>IF(MID(E660,3,1)*1=3,$AC$61,$AB$61)</f>
        <v>0</v>
      </c>
      <c r="AX660" s="31">
        <f>IF(MID(E660,5,1)*1=1,$AE$61,$AD$61)</f>
        <v>1</v>
      </c>
      <c r="AY660" s="33">
        <f>IF(MID(E660,5,1)*1=2,$AG$61,$AF$61)</f>
        <v>0</v>
      </c>
      <c r="AZ660" s="2"/>
      <c r="BA660" s="101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</row>
    <row r="661" spans="1:71" ht="12" customHeight="1">
      <c r="A661" s="2"/>
      <c r="B661" s="107">
        <v>52</v>
      </c>
      <c r="C661" s="31">
        <v>7</v>
      </c>
      <c r="D661" s="106" t="s">
        <v>4</v>
      </c>
      <c r="E661" s="2" t="s">
        <v>91</v>
      </c>
      <c r="F661" s="2" t="s">
        <v>149</v>
      </c>
      <c r="G661" s="2" t="s">
        <v>143</v>
      </c>
      <c r="H661" s="33"/>
      <c r="I661" s="173">
        <f>M661/AE661</f>
        <v>506.96536658095266</v>
      </c>
      <c r="J661" s="174">
        <f>AH661/AE661</f>
        <v>20.298350671299033</v>
      </c>
      <c r="K661" s="207">
        <f>RANK(I661,$I$76:$I$977)</f>
        <v>586</v>
      </c>
      <c r="L661" s="208" t="e">
        <f>RANK(I661,$I$76:$I$450)</f>
        <v>#N/A</v>
      </c>
      <c r="M661" s="173">
        <f>SUM(N661:R661)</f>
        <v>6069.093300933082</v>
      </c>
      <c r="N661" s="174">
        <f>T661*(1+((AG661+IF(F661="백어택",8,0))/100)*((AI661/100-1)))</f>
        <v>921.69240962708409</v>
      </c>
      <c r="O661" s="174">
        <f>U661*(1+((AG661+IF(F661="백어택",8,0))/100)*(AI661/100-1))</f>
        <v>5147.4008913059979</v>
      </c>
      <c r="P661" s="174"/>
      <c r="Q661" s="174"/>
      <c r="R661" s="175"/>
      <c r="S661" s="173">
        <f>SUM(T661:X661)</f>
        <v>4170.4211585230241</v>
      </c>
      <c r="T661" s="174">
        <f>AT661*AL661*IF(F661="백어택",1.2,1)</f>
        <v>633.34757535658525</v>
      </c>
      <c r="U661" s="174">
        <f>AM661*AW661*AX661*AY661*IF(F661="백어택",1.2,1)</f>
        <v>3537.0735831664392</v>
      </c>
      <c r="V661" s="174"/>
      <c r="W661" s="174"/>
      <c r="X661" s="175"/>
      <c r="Y661" s="173">
        <f>SUM(Z661:AD661)</f>
        <v>8340.8423170460483</v>
      </c>
      <c r="Z661" s="174">
        <f>T661*$D$58/100</f>
        <v>1266.6951507131705</v>
      </c>
      <c r="AA661" s="174">
        <f>U661*$D$58/100</f>
        <v>7074.1471663328784</v>
      </c>
      <c r="AB661" s="174"/>
      <c r="AC661" s="174"/>
      <c r="AD661" s="175"/>
      <c r="AE661" s="173">
        <f>AO661*(1-$D$17/100)</f>
        <v>11.971416</v>
      </c>
      <c r="AF661" s="174">
        <f>AP661</f>
        <v>36</v>
      </c>
      <c r="AG661" s="174">
        <f>IF($D$57&gt;100,100,$D$57)</f>
        <v>19.001300000000001</v>
      </c>
      <c r="AH661" s="174">
        <f>AQ661</f>
        <v>243</v>
      </c>
      <c r="AI661" s="174">
        <f>$D$58+$D$19</f>
        <v>268.61079999999998</v>
      </c>
      <c r="AJ661" s="174">
        <f>10/IF(AY661=1,5,4)</f>
        <v>2</v>
      </c>
      <c r="AK661" s="174">
        <f>SUM(AL661:AN661)</f>
        <v>2633.1905884914636</v>
      </c>
      <c r="AL661" s="174">
        <f>(VLOOKUP(C661,$B$36:$AG$39,4,FALSE)+VLOOKUP(C661,$B$40:$AG$43,4,FALSE)*$D$54)*$D$59/100</f>
        <v>527.78964613048777</v>
      </c>
      <c r="AM661" s="174">
        <f>(VLOOKUP(C661,$B$36:$AG$39,5,FALSE)+VLOOKUP(C661,$B$40:$AG$43,5,FALSE)*$D$54)*$D$59/100</f>
        <v>2105.4009423609759</v>
      </c>
      <c r="AN661" s="174"/>
      <c r="AO661" s="176">
        <v>12</v>
      </c>
      <c r="AP661" s="174">
        <v>36</v>
      </c>
      <c r="AQ661" s="175">
        <f>VLOOKUP(C661,$B$45:$AA$48,4,FALSE)</f>
        <v>243</v>
      </c>
      <c r="AR661" s="31">
        <f>IF(LEFT(E661,1)*1=1,$S$54,$R$54)</f>
        <v>0</v>
      </c>
      <c r="AS661" s="2">
        <f>IF(LEFT(E661,1)*1=2,$U$54,$T$54)</f>
        <v>0</v>
      </c>
      <c r="AT661" s="33">
        <f>IF(LEFT(E661,1)*1=3,$W$54,$V$54)</f>
        <v>1</v>
      </c>
      <c r="AU661" s="31">
        <f>IF(MID(E661,3,1)*1=1,$Y$54,$X$54)</f>
        <v>0</v>
      </c>
      <c r="AV661" s="2">
        <f>IF(MID(E661,3,1)*1=2,$AA$54,$Z$54)</f>
        <v>0</v>
      </c>
      <c r="AW661" s="33">
        <f>IF(MID(E661,3,1)*1=3,$AC$54,$AB$54)</f>
        <v>1.4</v>
      </c>
      <c r="AX661" s="31">
        <f>IF(MID(E661,5,1)*1=1,$AE$54,$AD$54)</f>
        <v>1</v>
      </c>
      <c r="AY661" s="33">
        <f>IF(MID(E661,5,1)*1=2,$AG$54,$AF$54)</f>
        <v>1</v>
      </c>
      <c r="AZ661" s="2"/>
      <c r="BA661" s="101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</row>
    <row r="662" spans="1:71" ht="12" customHeight="1">
      <c r="A662" s="2"/>
      <c r="B662" s="107">
        <v>795</v>
      </c>
      <c r="C662" s="31">
        <v>10</v>
      </c>
      <c r="D662" s="113" t="s">
        <v>9</v>
      </c>
      <c r="E662" s="2" t="s">
        <v>161</v>
      </c>
      <c r="F662" s="2"/>
      <c r="G662" s="2"/>
      <c r="H662" s="33"/>
      <c r="I662" s="173">
        <f>M662/AE662</f>
        <v>505.90568197700247</v>
      </c>
      <c r="J662" s="174">
        <f>AH662/AE662</f>
        <v>18.293575296355918</v>
      </c>
      <c r="K662" s="207">
        <f>RANK(I662,$I$76:$I$977)</f>
        <v>587</v>
      </c>
      <c r="L662" s="208" t="e">
        <f>RANK(I662,$I$867:$I$977)</f>
        <v>#N/A</v>
      </c>
      <c r="M662" s="173">
        <f>SUM(N662:R662)*(1+$D$22/100)</f>
        <v>18169.222127131197</v>
      </c>
      <c r="N662" s="174">
        <f>T662*(1+((AG662+IF(F662="백어택",8,0))/100)*(AI662/100-1))</f>
        <v>8192.8588629081605</v>
      </c>
      <c r="O662" s="174">
        <f>U662*(1+($D$57/100)*(AI662/100-1))</f>
        <v>6133.2200223811205</v>
      </c>
      <c r="P662" s="174"/>
      <c r="Q662" s="174"/>
      <c r="R662" s="175">
        <f>X662*(1+($D$57/100)*(AI662/100-1))</f>
        <v>2044.4066741270403</v>
      </c>
      <c r="S662" s="173">
        <f>SUM(T662:X662)</f>
        <v>13756.560272380488</v>
      </c>
      <c r="T662" s="174">
        <f>AL662*AU662*AY662</f>
        <v>6884.6801361902444</v>
      </c>
      <c r="U662" s="174">
        <f>AM662*AX662</f>
        <v>5153.9101021426832</v>
      </c>
      <c r="V662" s="174"/>
      <c r="W662" s="174"/>
      <c r="X662" s="175">
        <f>AM662*AS662</f>
        <v>1717.9700340475611</v>
      </c>
      <c r="Y662" s="173">
        <f>SUM(Z662:AD662)</f>
        <v>27513.120544760975</v>
      </c>
      <c r="Z662" s="174">
        <f>T662*$D$58/100</f>
        <v>13769.360272380489</v>
      </c>
      <c r="AA662" s="174">
        <f>U662*$D$58/100</f>
        <v>10307.820204285366</v>
      </c>
      <c r="AB662" s="174"/>
      <c r="AC662" s="174"/>
      <c r="AD662" s="175">
        <f>X662*$D$58/100</f>
        <v>3435.9400680951221</v>
      </c>
      <c r="AE662" s="173">
        <f>AO662*(1-$D$17/100)</f>
        <v>35.914248000000001</v>
      </c>
      <c r="AF662" s="174">
        <f>AP662</f>
        <v>36</v>
      </c>
      <c r="AG662" s="174">
        <f>IF($D$57+AW662&gt;100,100,$D$57+AW662)</f>
        <v>19.001300000000001</v>
      </c>
      <c r="AH662" s="174">
        <f>AQ662</f>
        <v>657</v>
      </c>
      <c r="AI662" s="174">
        <f>$D$58</f>
        <v>200</v>
      </c>
      <c r="AJ662" s="174">
        <f>10/(6+AT662)</f>
        <v>1.6666666666666667</v>
      </c>
      <c r="AK662" s="174">
        <f>SUM(AL662:AN662)</f>
        <v>8602.6501702378046</v>
      </c>
      <c r="AL662" s="174">
        <f>(VLOOKUP(C662,$B$36:$AG$39,11,FALSE)+VLOOKUP(C662,$B$40:$AG$43,11,FALSE)*$D$54)*$D$59/100</f>
        <v>6884.6801361902444</v>
      </c>
      <c r="AM662" s="174">
        <f>(3*(VLOOKUP(C662,$B$36:$AG$39,12,FALSE)+VLOOKUP(C662,$B$40:$AG$43,12,FALSE)*$D$54))*$D$59/100</f>
        <v>1717.9700340475611</v>
      </c>
      <c r="AN662" s="174"/>
      <c r="AO662" s="176">
        <v>36</v>
      </c>
      <c r="AP662" s="174">
        <v>36</v>
      </c>
      <c r="AQ662" s="175">
        <f>VLOOKUP(C662,$B$45:$AA$48,11,FALSE)</f>
        <v>657</v>
      </c>
      <c r="AR662" s="31">
        <f>IF(LEFT(E662,1)*1=1,$S$59,$R$59)</f>
        <v>0</v>
      </c>
      <c r="AS662" s="2">
        <f>IF(LEFT(E662,1)*1=2,$U$59,$T$59)</f>
        <v>1</v>
      </c>
      <c r="AT662" s="33">
        <f>IF(LEFT(E662,1)*1=3,$W$59,$V$59)</f>
        <v>0</v>
      </c>
      <c r="AU662" s="31">
        <f>IF(MID(E662,3,1)*1=1,$Y$59,$X$59)</f>
        <v>1</v>
      </c>
      <c r="AV662" s="2">
        <f>IF(MID(E662,3,1)*1=2,$AA$59,$Z$59)</f>
        <v>0</v>
      </c>
      <c r="AW662" s="33">
        <f>IF(MID(E662,3,1)*1=3,$AC$59,$AB$59)</f>
        <v>0</v>
      </c>
      <c r="AX662" s="31">
        <f>IF(MID(E662,5,1)*1=1,$AE$59,$AD$59)</f>
        <v>3</v>
      </c>
      <c r="AY662" s="33">
        <f>IF(MID(E662,5,1)*1=2,$AG$59,$AF$59)</f>
        <v>1</v>
      </c>
      <c r="AZ662" s="2"/>
      <c r="BA662" s="101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</row>
    <row r="663" spans="1:71" ht="12" customHeight="1">
      <c r="A663" s="2"/>
      <c r="B663" s="107">
        <v>628</v>
      </c>
      <c r="C663" s="31">
        <v>7</v>
      </c>
      <c r="D663" s="111" t="s">
        <v>18</v>
      </c>
      <c r="E663" s="2" t="s">
        <v>101</v>
      </c>
      <c r="F663" s="2"/>
      <c r="G663" s="2"/>
      <c r="H663" s="33" t="s">
        <v>81</v>
      </c>
      <c r="I663" s="173">
        <f>M663/AE663</f>
        <v>504.98273507659582</v>
      </c>
      <c r="J663" s="174">
        <f>AH663/AE663</f>
        <v>19.637781784066725</v>
      </c>
      <c r="K663" s="207">
        <f>RANK(I663,$I$76:$I$977)</f>
        <v>588</v>
      </c>
      <c r="L663" s="208">
        <f>RANK(I663,$I$451:$I$866)</f>
        <v>213</v>
      </c>
      <c r="M663" s="173">
        <f>SUM(N663:R663)</f>
        <v>9334.4928082220231</v>
      </c>
      <c r="N663" s="174">
        <f>T663*(1+((AG663+IF(F663="백어택",8,0))/100)*(AI663/100-1))</f>
        <v>5571.815978240782</v>
      </c>
      <c r="O663" s="174">
        <f>U663*(1+(($D$57+IF(F663="백어택",8,0))/100)*(AI663/100-1))</f>
        <v>3762.6768299812406</v>
      </c>
      <c r="P663" s="174"/>
      <c r="Q663" s="174"/>
      <c r="R663" s="175"/>
      <c r="S663" s="173">
        <f>SUM(T663:X663)</f>
        <v>7844.0259125085377</v>
      </c>
      <c r="T663" s="174">
        <f>AL663*IF(H663="근접",AT663,IF(AV663=1,AT663,1))*AX663*IF(F663="백어택",1.2,1)</f>
        <v>4682.1471515359763</v>
      </c>
      <c r="U663" s="174">
        <f>IF(AX663=1,AM663*IF(H663="근접",AT663,IF(AV663=1,AT663,1)),0)*AY663*IF(AX663=1,1,0)*IF(F663="백어택",1.2,1)</f>
        <v>3161.8787609725614</v>
      </c>
      <c r="V663" s="174"/>
      <c r="W663" s="174"/>
      <c r="X663" s="175"/>
      <c r="Y663" s="173">
        <f>SUM(Z663:AD663)</f>
        <v>15688.051825017075</v>
      </c>
      <c r="Z663" s="174">
        <f>T663*$D$58/100</f>
        <v>9364.2943030719525</v>
      </c>
      <c r="AA663" s="174">
        <f>U663*$D$58/100</f>
        <v>6323.7575219451228</v>
      </c>
      <c r="AB663" s="174"/>
      <c r="AC663" s="174"/>
      <c r="AD663" s="175"/>
      <c r="AE663" s="173">
        <f>(AO663*(1-$D$20/100)*(1-$D$17/100)-AR663)*IF(AW663="보스대상",1,POWER(0.85,AW663))</f>
        <v>18.484776131615998</v>
      </c>
      <c r="AF663" s="174">
        <f>AP663</f>
        <v>36</v>
      </c>
      <c r="AG663" s="174">
        <f>IF($D$57+AU663&gt;100,100,$D$57+AU663)</f>
        <v>19.001300000000001</v>
      </c>
      <c r="AH663" s="174">
        <f>AQ663</f>
        <v>363</v>
      </c>
      <c r="AI663" s="174">
        <f>$D$58</f>
        <v>200</v>
      </c>
      <c r="AJ663" s="174">
        <f>10*AS663/IF(AX663=1,IF(AY663=1,4.5,4),4)</f>
        <v>1.7777777777777777</v>
      </c>
      <c r="AK663" s="174">
        <f>SUM(AL663:AN663)</f>
        <v>7844.0259125085377</v>
      </c>
      <c r="AL663" s="174">
        <f>IF(AV663=1,$D$61*(VLOOKUP(C663,$B$36:$AG$39,25,FALSE)+VLOOKUP(C663,$B$40:$AG$43,25,FALSE)*$D$54),(IF(H663="근접",$D$61*(VLOOKUP(C663,$B$36:$AG$39,25,FALSE)+VLOOKUP(C663,$B$40:$AG$43,25,FALSE)*$D$54),$D$60*(VLOOKUP(C663,$B$36:$AG$39,25,FALSE)+VLOOKUP(C663,$B$40:$AG$43,25,FALSE)*$D$54))))*$D$59/100</f>
        <v>4682.1471515359763</v>
      </c>
      <c r="AM663" s="174">
        <f>(IF(AV663=1,$D$61*(VLOOKUP(C663,$B$36:$AG$39,26,FALSE)+VLOOKUP(C663,$B$40:$AG$43,26,FALSE)*$D$54),IF(H663="근접",$D$61*(VLOOKUP(C663,$B$36:$AG$39,26,FALSE)+VLOOKUP(C663,$B$40:$AG$43,26,FALSE)*$D$54),$D$60*(VLOOKUP(C663,$B$36:$AG$39,26,FALSE)+VLOOKUP(C663,$B$40:$AG$43,26,FALSE)*$D$54))))*$D$59/100</f>
        <v>3161.8787609725614</v>
      </c>
      <c r="AN663" s="174"/>
      <c r="AO663" s="176">
        <v>24</v>
      </c>
      <c r="AP663" s="174">
        <v>36</v>
      </c>
      <c r="AQ663" s="175">
        <f>VLOOKUP(C663,$B$45:$AA$48,25,FALSE)</f>
        <v>363</v>
      </c>
      <c r="AR663" s="31">
        <f>IF(LEFT(E663,1)*1=1,$S$68,$R$68)</f>
        <v>0</v>
      </c>
      <c r="AS663" s="2">
        <f>IF(LEFT(E663,1)*1=2,$U$68,$T$68)</f>
        <v>0.8</v>
      </c>
      <c r="AT663" s="33">
        <f>IF(LEFT(E663,1)*1=3,$W$68,$V$68)</f>
        <v>1</v>
      </c>
      <c r="AU663" s="31">
        <f>IF(MID(E663,3,1)*1=1,$Y$68,$X$68)</f>
        <v>0</v>
      </c>
      <c r="AV663" s="2">
        <f>IF(MID(E663,3,1)*1=2,$AA$68,$Z$68)</f>
        <v>1</v>
      </c>
      <c r="AW663" s="33" t="str">
        <f>IF(MID(E663,3,1)*1=3,$AC$68,$AB$68)</f>
        <v>보스대상</v>
      </c>
      <c r="AX663" s="31">
        <f>IF(MID(E663,5,1)*1=1,$AE$68,$AD$68)</f>
        <v>1</v>
      </c>
      <c r="AY663" s="33">
        <f>IF(MID(E663,5,1)*1=2,$AG$68,$AF$68)</f>
        <v>1</v>
      </c>
      <c r="AZ663" s="2"/>
      <c r="BA663" s="101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</row>
    <row r="664" spans="1:71" ht="12" customHeight="1">
      <c r="A664" s="2"/>
      <c r="B664" s="107">
        <v>659</v>
      </c>
      <c r="C664" s="31">
        <v>7</v>
      </c>
      <c r="D664" s="111" t="s">
        <v>18</v>
      </c>
      <c r="E664" s="2" t="s">
        <v>101</v>
      </c>
      <c r="F664" s="2"/>
      <c r="G664" s="2"/>
      <c r="H664" s="33" t="s">
        <v>80</v>
      </c>
      <c r="I664" s="173">
        <f>M664/AE664</f>
        <v>504.98273507659582</v>
      </c>
      <c r="J664" s="174">
        <f>AH664/AE664</f>
        <v>19.637781784066725</v>
      </c>
      <c r="K664" s="207">
        <f>RANK(I664,$I$76:$I$977)</f>
        <v>588</v>
      </c>
      <c r="L664" s="208">
        <f>RANK(I664,$I$451:$I$866)</f>
        <v>213</v>
      </c>
      <c r="M664" s="173">
        <f>SUM(N664:R664)</f>
        <v>9334.4928082220231</v>
      </c>
      <c r="N664" s="174">
        <f>T664*(1+((AG664+IF(F664="백어택",8,0))/100)*(AI664/100-1))</f>
        <v>5571.815978240782</v>
      </c>
      <c r="O664" s="174">
        <f>U664*(1+(($D$57+IF(F664="백어택",8,0))/100)*(AI664/100-1))</f>
        <v>3762.6768299812406</v>
      </c>
      <c r="P664" s="174"/>
      <c r="Q664" s="174"/>
      <c r="R664" s="175"/>
      <c r="S664" s="173">
        <f>SUM(T664:X664)</f>
        <v>7844.0259125085377</v>
      </c>
      <c r="T664" s="174">
        <f>AL664*IF(H664="근접",AT664,IF(AV664=1,AT664,1))*AX664*IF(F664="백어택",1.2,1)</f>
        <v>4682.1471515359763</v>
      </c>
      <c r="U664" s="174">
        <f>IF(AX664=1,AM664*IF(H664="근접",AT664,IF(AV664=1,AT664,1)),0)*AY664*IF(AX664=1,1,0)*IF(F664="백어택",1.2,1)</f>
        <v>3161.8787609725614</v>
      </c>
      <c r="V664" s="174"/>
      <c r="W664" s="174"/>
      <c r="X664" s="175"/>
      <c r="Y664" s="173">
        <f>SUM(Z664:AD664)</f>
        <v>15688.051825017075</v>
      </c>
      <c r="Z664" s="174">
        <f>T664*$D$58/100</f>
        <v>9364.2943030719525</v>
      </c>
      <c r="AA664" s="174">
        <f>U664*$D$58/100</f>
        <v>6323.7575219451228</v>
      </c>
      <c r="AB664" s="174"/>
      <c r="AC664" s="174"/>
      <c r="AD664" s="175"/>
      <c r="AE664" s="173">
        <f>(AO664*(1-$D$20/100)*(1-$D$17/100)-AR664)*IF(AW664="보스대상",1,POWER(0.85,AW664))</f>
        <v>18.484776131615998</v>
      </c>
      <c r="AF664" s="174">
        <f>AP664</f>
        <v>36</v>
      </c>
      <c r="AG664" s="174">
        <f>IF($D$57+AU664&gt;100,100,$D$57+AU664)</f>
        <v>19.001300000000001</v>
      </c>
      <c r="AH664" s="174">
        <f>AQ664</f>
        <v>363</v>
      </c>
      <c r="AI664" s="174">
        <f>$D$58</f>
        <v>200</v>
      </c>
      <c r="AJ664" s="174">
        <f>10*AS664/IF(AX664=1,IF(AY664=1,4.5,4),4)</f>
        <v>1.7777777777777777</v>
      </c>
      <c r="AK664" s="174">
        <f>SUM(AL664:AN664)</f>
        <v>7844.0259125085377</v>
      </c>
      <c r="AL664" s="174">
        <f>IF(AV664=1,$D$61*(VLOOKUP(C664,$B$36:$AG$39,25,FALSE)+VLOOKUP(C664,$B$40:$AG$43,25,FALSE)*$D$54),(IF(H664="근접",$D$61*(VLOOKUP(C664,$B$36:$AG$39,25,FALSE)+VLOOKUP(C664,$B$40:$AG$43,25,FALSE)*$D$54),$D$60*(VLOOKUP(C664,$B$36:$AG$39,25,FALSE)+VLOOKUP(C664,$B$40:$AG$43,25,FALSE)*$D$54))))*$D$59/100</f>
        <v>4682.1471515359763</v>
      </c>
      <c r="AM664" s="174">
        <f>(IF(AV664=1,$D$61*(VLOOKUP(C664,$B$36:$AG$39,26,FALSE)+VLOOKUP(C664,$B$40:$AG$43,26,FALSE)*$D$54),IF(H664="근접",$D$61*(VLOOKUP(C664,$B$36:$AG$39,26,FALSE)+VLOOKUP(C664,$B$40:$AG$43,26,FALSE)*$D$54),$D$60*(VLOOKUP(C664,$B$36:$AG$39,26,FALSE)+VLOOKUP(C664,$B$40:$AG$43,26,FALSE)*$D$54))))*$D$59/100</f>
        <v>3161.8787609725614</v>
      </c>
      <c r="AN664" s="174"/>
      <c r="AO664" s="176">
        <v>24</v>
      </c>
      <c r="AP664" s="174">
        <v>36</v>
      </c>
      <c r="AQ664" s="175">
        <f>VLOOKUP(C664,$B$45:$AA$48,25,FALSE)</f>
        <v>363</v>
      </c>
      <c r="AR664" s="31">
        <f>IF(LEFT(E664,1)*1=1,$S$68,$R$68)</f>
        <v>0</v>
      </c>
      <c r="AS664" s="2">
        <f>IF(LEFT(E664,1)*1=2,$U$68,$T$68)</f>
        <v>0.8</v>
      </c>
      <c r="AT664" s="33">
        <f>IF(LEFT(E664,1)*1=3,$W$68,$V$68)</f>
        <v>1</v>
      </c>
      <c r="AU664" s="31">
        <f>IF(MID(E664,3,1)*1=1,$Y$68,$X$68)</f>
        <v>0</v>
      </c>
      <c r="AV664" s="2">
        <f>IF(MID(E664,3,1)*1=2,$AA$68,$Z$68)</f>
        <v>1</v>
      </c>
      <c r="AW664" s="33" t="str">
        <f>IF(MID(E664,3,1)*1=3,$AC$68,$AB$68)</f>
        <v>보스대상</v>
      </c>
      <c r="AX664" s="31">
        <f>IF(MID(E664,5,1)*1=1,$AE$68,$AD$68)</f>
        <v>1</v>
      </c>
      <c r="AY664" s="33">
        <f>IF(MID(E664,5,1)*1=2,$AG$68,$AF$68)</f>
        <v>1</v>
      </c>
      <c r="AZ664" s="2"/>
      <c r="BA664" s="101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</row>
    <row r="665" spans="1:71" ht="12" customHeight="1">
      <c r="A665" s="2"/>
      <c r="B665" s="107">
        <v>30</v>
      </c>
      <c r="C665" s="31">
        <v>4</v>
      </c>
      <c r="D665" s="106" t="s">
        <v>2</v>
      </c>
      <c r="E665" s="2" t="s">
        <v>87</v>
      </c>
      <c r="F665" s="2"/>
      <c r="G665" s="2"/>
      <c r="H665" s="33"/>
      <c r="I665" s="173">
        <f>M665/AE665</f>
        <v>502.91676010651531</v>
      </c>
      <c r="J665" s="174">
        <f>AH665/AE665</f>
        <v>13.281636858998134</v>
      </c>
      <c r="K665" s="207">
        <f>RANK(I665,$I$76:$I$977)</f>
        <v>590</v>
      </c>
      <c r="L665" s="208" t="e">
        <f>RANK(I665,$I$76:$I$450)</f>
        <v>#N/A</v>
      </c>
      <c r="M665" s="173">
        <f>SUM(N665:R665)</f>
        <v>4013.7504990715329</v>
      </c>
      <c r="N665" s="174">
        <f>T665*(1+((AG665+IF(F665="백어택",8,0))/100)*((AI665/100-1)))</f>
        <v>4013.7504990715329</v>
      </c>
      <c r="O665" s="174"/>
      <c r="P665" s="174"/>
      <c r="Q665" s="174"/>
      <c r="R665" s="175"/>
      <c r="S665" s="173">
        <f>SUM(T665:X665)</f>
        <v>2551.1688617439027</v>
      </c>
      <c r="T665" s="174">
        <f>AL665*AV665*AW665*AY665</f>
        <v>2551.1688617439027</v>
      </c>
      <c r="U665" s="174"/>
      <c r="V665" s="174"/>
      <c r="W665" s="174"/>
      <c r="X665" s="175"/>
      <c r="Y665" s="173">
        <f>SUM(Z665:AD665)</f>
        <v>5102.3377234878053</v>
      </c>
      <c r="Z665" s="174">
        <f>T665*$D$58/100</f>
        <v>5102.3377234878053</v>
      </c>
      <c r="AA665" s="174"/>
      <c r="AB665" s="174"/>
      <c r="AC665" s="174"/>
      <c r="AD665" s="175"/>
      <c r="AE665" s="173">
        <f>AO665*(1-$D$17/100)-AS665</f>
        <v>7.980944</v>
      </c>
      <c r="AF665" s="174"/>
      <c r="AG665" s="174">
        <f>IF($D$57+AT665&gt;100,100,$D$57+AT665)</f>
        <v>34.001300000000001</v>
      </c>
      <c r="AH665" s="174">
        <f>AQ665</f>
        <v>106</v>
      </c>
      <c r="AI665" s="174">
        <f>$D$58+$D$19</f>
        <v>268.61079999999998</v>
      </c>
      <c r="AJ665" s="174">
        <f>10*AY665/12</f>
        <v>0.83333333333333337</v>
      </c>
      <c r="AK665" s="174">
        <f>SUM(AL665:AN665)</f>
        <v>2551.1688617439027</v>
      </c>
      <c r="AL665" s="174">
        <f>(VLOOKUP(C665,$B$36:$AA$39,2,FALSE)+VLOOKUP(C665,$B$40:$AA$43,2,FALSE)*$D$54)*$D$59/100</f>
        <v>2551.1688617439027</v>
      </c>
      <c r="AM665" s="174"/>
      <c r="AN665" s="174"/>
      <c r="AO665" s="176">
        <v>8</v>
      </c>
      <c r="AP665" s="174">
        <v>15</v>
      </c>
      <c r="AQ665" s="175">
        <f>VLOOKUP(C665,$B$45:$AA$48,2,FALSE)</f>
        <v>106</v>
      </c>
      <c r="AR665" s="31">
        <f>IF(LEFT(E665,1)*1=1,$S$52,$R$52)</f>
        <v>0</v>
      </c>
      <c r="AS665" s="2">
        <f>IF(LEFT(E665,1)*1=2,$U$52,$T$52)</f>
        <v>0</v>
      </c>
      <c r="AT665" s="33">
        <f>IF(LEFT(E665,1)*1=3,$W$52,$V$52)</f>
        <v>15</v>
      </c>
      <c r="AU665" s="31">
        <f>IF(MID(E665,3,1)*1=1,$Y$52,$X$52)</f>
        <v>0</v>
      </c>
      <c r="AV665" s="2">
        <f>IF(MID(E665,3,1)*1=2,$AA$52,$Z$52)</f>
        <v>1</v>
      </c>
      <c r="AW665" s="33">
        <f>IF(MID(E665,3,1)*1=3,$AC$52,$AB$52)</f>
        <v>1</v>
      </c>
      <c r="AX665" s="31">
        <f>IF(MID(E665,5,1)*1=1,$AE$52,$AD$52)</f>
        <v>0</v>
      </c>
      <c r="AY665" s="33">
        <f>IF(MID(E665,5,1)*1=2,$AG$52,$AF$52)</f>
        <v>1</v>
      </c>
      <c r="AZ665" s="2"/>
      <c r="BA665" s="101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</row>
    <row r="666" spans="1:71" ht="12" customHeight="1">
      <c r="A666" s="2"/>
      <c r="B666" s="107">
        <v>345</v>
      </c>
      <c r="C666" s="31">
        <v>10</v>
      </c>
      <c r="D666" s="106" t="s">
        <v>20</v>
      </c>
      <c r="E666" s="2" t="s">
        <v>144</v>
      </c>
      <c r="F666" s="2"/>
      <c r="G666" s="2"/>
      <c r="H666" s="33"/>
      <c r="I666" s="173">
        <f>M666/AE666</f>
        <v>502.35899270113293</v>
      </c>
      <c r="J666" s="174">
        <f>AH666/AE666</f>
        <v>24.558498343053152</v>
      </c>
      <c r="K666" s="207">
        <f>RANK(I666,$I$76:$I$977)</f>
        <v>591</v>
      </c>
      <c r="L666" s="208" t="e">
        <f>RANK(I666,$I$76:$I$450)</f>
        <v>#N/A</v>
      </c>
      <c r="M666" s="173">
        <f>SUM(N666:R666)</f>
        <v>9020.9227244493395</v>
      </c>
      <c r="N666" s="174">
        <f>T666*(1+((AG666+IF(F666="백어택",8,0))/100)*((AI666/100-1)))</f>
        <v>3219.2253949389001</v>
      </c>
      <c r="O666" s="174">
        <f>U666*(1+(($D$57+IF(F666="백어택",8,0))/100)*($D$58/100-1))</f>
        <v>5801.6973295104399</v>
      </c>
      <c r="P666" s="174"/>
      <c r="Q666" s="174"/>
      <c r="R666" s="175"/>
      <c r="S666" s="173">
        <f>SUM(T666:X666)</f>
        <v>7313.423381526829</v>
      </c>
      <c r="T666" s="174">
        <f>AL666*AV666*IF(F666="백어택",1.2,1)</f>
        <v>2438.1007342024391</v>
      </c>
      <c r="U666" s="174">
        <f>AM666*AX666*AY666*IF(F666="백어택",1.2,1)</f>
        <v>4875.3226473243903</v>
      </c>
      <c r="V666" s="174"/>
      <c r="W666" s="174"/>
      <c r="X666" s="175"/>
      <c r="Y666" s="173">
        <f>SUM(Z666:AD666)</f>
        <v>14626.846763053658</v>
      </c>
      <c r="Z666" s="174">
        <f>T666*$D$58/100</f>
        <v>4876.2014684048781</v>
      </c>
      <c r="AA666" s="174">
        <f>U666*$D$58/100</f>
        <v>9750.6452946487807</v>
      </c>
      <c r="AB666" s="174"/>
      <c r="AC666" s="174"/>
      <c r="AD666" s="175"/>
      <c r="AE666" s="173">
        <f>AO666*(1-$D$17/100)-AR666</f>
        <v>17.957124</v>
      </c>
      <c r="AF666" s="174">
        <f>AP666</f>
        <v>36</v>
      </c>
      <c r="AG666" s="174">
        <f>IF($D$57+AU666&gt;100,100,$D$57+AU666)</f>
        <v>19.001300000000001</v>
      </c>
      <c r="AH666" s="174">
        <f>AQ666*AS666</f>
        <v>441</v>
      </c>
      <c r="AI666" s="174">
        <f>$D$58+$D$19</f>
        <v>268.61079999999998</v>
      </c>
      <c r="AJ666" s="174">
        <f>10*IF(AV666=1,1,5/4.5)/IF(AX666=1,5,3.5)</f>
        <v>2.8571428571428572</v>
      </c>
      <c r="AK666" s="174">
        <f>SUM(AL666:AN666)</f>
        <v>4875.7620578646347</v>
      </c>
      <c r="AL666" s="174">
        <f>(VLOOKUP(C666,$B$36:$AG$39,29,FALSE)+VLOOKUP(C666,$B$40:$AG$43,29,FALSE)*$D$54)*$D$59/100</f>
        <v>2438.1007342024391</v>
      </c>
      <c r="AM666" s="174">
        <f>(VLOOKUP(C666,$B$36:$AG$39,30,FALSE)+VLOOKUP(C666,$B$40:$AG$43,30,FALSE)*$D$54)*$D$59/100</f>
        <v>2437.6613236621952</v>
      </c>
      <c r="AN666" s="174"/>
      <c r="AO666" s="176">
        <v>18</v>
      </c>
      <c r="AP666" s="174">
        <v>36</v>
      </c>
      <c r="AQ666" s="175">
        <f>VLOOKUP(C666,$B$45:$AG$48,29,FALSE)</f>
        <v>441</v>
      </c>
      <c r="AR666" s="31">
        <f>IF(LEFT(E666,1)*1=1,$S$70,$R$70)</f>
        <v>0</v>
      </c>
      <c r="AS666" s="2">
        <f>IF(LEFT(E666,1)*1=2,$U$70,$T$70)</f>
        <v>1</v>
      </c>
      <c r="AT666" s="33">
        <f>IF(LEFT(E666,1)*1=3,$W$70,$V$70)</f>
        <v>0</v>
      </c>
      <c r="AU666" s="31">
        <f>IF(MID(E666,3,1)*1=1,$Y$70,$X$70)</f>
        <v>0</v>
      </c>
      <c r="AV666" s="2">
        <f>IF(MID(E666,3,1)*1=2,$AA$70,$Z$70)</f>
        <v>1</v>
      </c>
      <c r="AW666" s="33">
        <f>IF(MID(E666,3,1)*1=3,$AC$70,$AB$70)</f>
        <v>0</v>
      </c>
      <c r="AX666" s="31">
        <f>IF(MID(E666,5,1)*1=1,$AE$70,$AD$70)</f>
        <v>2</v>
      </c>
      <c r="AY666" s="33">
        <f>IF(MID(E666,5,1)*1=2,$AG$70,$AF$70)</f>
        <v>1</v>
      </c>
      <c r="AZ666" s="2"/>
      <c r="BA666" s="101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</row>
    <row r="667" spans="1:71" ht="12" customHeight="1">
      <c r="A667" s="2"/>
      <c r="B667" s="107">
        <v>351</v>
      </c>
      <c r="C667" s="31">
        <v>10</v>
      </c>
      <c r="D667" s="106" t="s">
        <v>20</v>
      </c>
      <c r="E667" s="2" t="s">
        <v>161</v>
      </c>
      <c r="F667" s="2"/>
      <c r="G667" s="2"/>
      <c r="H667" s="33"/>
      <c r="I667" s="173">
        <f>M667/AE667</f>
        <v>502.35899270113293</v>
      </c>
      <c r="J667" s="174">
        <f>AH667/AE667</f>
        <v>12.279249171526576</v>
      </c>
      <c r="K667" s="207">
        <f>RANK(I667,$I$76:$I$977)</f>
        <v>591</v>
      </c>
      <c r="L667" s="208" t="e">
        <f>RANK(I667,$I$76:$I$450)</f>
        <v>#N/A</v>
      </c>
      <c r="M667" s="173">
        <f>SUM(N667:R667)</f>
        <v>9020.9227244493395</v>
      </c>
      <c r="N667" s="174">
        <f>T667*(1+((AG667+IF(F667="백어택",8,0))/100)*((AI667/100-1)))</f>
        <v>3219.2253949389001</v>
      </c>
      <c r="O667" s="174">
        <f>U667*(1+(($D$57+IF(F667="백어택",8,0))/100)*($D$58/100-1))</f>
        <v>5801.6973295104399</v>
      </c>
      <c r="P667" s="174"/>
      <c r="Q667" s="174"/>
      <c r="R667" s="175"/>
      <c r="S667" s="173">
        <f>SUM(T667:X667)</f>
        <v>7313.423381526829</v>
      </c>
      <c r="T667" s="174">
        <f>AL667*AV667*IF(F667="백어택",1.2,1)</f>
        <v>2438.1007342024391</v>
      </c>
      <c r="U667" s="174">
        <f>AM667*AX667*AY667*IF(F667="백어택",1.2,1)</f>
        <v>4875.3226473243903</v>
      </c>
      <c r="V667" s="174"/>
      <c r="W667" s="174"/>
      <c r="X667" s="175"/>
      <c r="Y667" s="173">
        <f>SUM(Z667:AD667)</f>
        <v>14626.846763053658</v>
      </c>
      <c r="Z667" s="174">
        <f>T667*$D$58/100</f>
        <v>4876.2014684048781</v>
      </c>
      <c r="AA667" s="174">
        <f>U667*$D$58/100</f>
        <v>9750.6452946487807</v>
      </c>
      <c r="AB667" s="174"/>
      <c r="AC667" s="174"/>
      <c r="AD667" s="175"/>
      <c r="AE667" s="173">
        <f>AO667*(1-$D$17/100)-AR667</f>
        <v>17.957124</v>
      </c>
      <c r="AF667" s="174">
        <f>AP667</f>
        <v>36</v>
      </c>
      <c r="AG667" s="174">
        <f>IF($D$57+AU667&gt;100,100,$D$57+AU667)</f>
        <v>19.001300000000001</v>
      </c>
      <c r="AH667" s="174">
        <f>AQ667*AS667</f>
        <v>220.5</v>
      </c>
      <c r="AI667" s="174">
        <f>$D$58+$D$19</f>
        <v>268.61079999999998</v>
      </c>
      <c r="AJ667" s="174">
        <f>10*IF(AV667=1,1,5/4.5)/IF(AX667=1,5,3.5)</f>
        <v>2.8571428571428572</v>
      </c>
      <c r="AK667" s="174">
        <f>SUM(AL667:AN667)</f>
        <v>4875.7620578646347</v>
      </c>
      <c r="AL667" s="174">
        <f>(VLOOKUP(C667,$B$36:$AG$39,29,FALSE)+VLOOKUP(C667,$B$40:$AG$43,29,FALSE)*$D$54)*$D$59/100</f>
        <v>2438.1007342024391</v>
      </c>
      <c r="AM667" s="174">
        <f>(VLOOKUP(C667,$B$36:$AG$39,30,FALSE)+VLOOKUP(C667,$B$40:$AG$43,30,FALSE)*$D$54)*$D$59/100</f>
        <v>2437.6613236621952</v>
      </c>
      <c r="AN667" s="174"/>
      <c r="AO667" s="176">
        <v>18</v>
      </c>
      <c r="AP667" s="174">
        <v>36</v>
      </c>
      <c r="AQ667" s="175">
        <f>VLOOKUP(C667,$B$45:$AG$48,29,FALSE)</f>
        <v>441</v>
      </c>
      <c r="AR667" s="31">
        <f>IF(LEFT(E667,1)*1=1,$S$70,$R$70)</f>
        <v>0</v>
      </c>
      <c r="AS667" s="2">
        <f>IF(LEFT(E667,1)*1=2,$U$70,$T$70)</f>
        <v>0.5</v>
      </c>
      <c r="AT667" s="33">
        <f>IF(LEFT(E667,1)*1=3,$W$70,$V$70)</f>
        <v>0</v>
      </c>
      <c r="AU667" s="31">
        <f>IF(MID(E667,3,1)*1=1,$Y$70,$X$70)</f>
        <v>0</v>
      </c>
      <c r="AV667" s="2">
        <f>IF(MID(E667,3,1)*1=2,$AA$70,$Z$70)</f>
        <v>1</v>
      </c>
      <c r="AW667" s="33">
        <f>IF(MID(E667,3,1)*1=3,$AC$70,$AB$70)</f>
        <v>0</v>
      </c>
      <c r="AX667" s="31">
        <f>IF(MID(E667,5,1)*1=1,$AE$70,$AD$70)</f>
        <v>2</v>
      </c>
      <c r="AY667" s="33">
        <f>IF(MID(E667,5,1)*1=2,$AG$70,$AF$70)</f>
        <v>1</v>
      </c>
      <c r="AZ667" s="2"/>
      <c r="BA667" s="101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</row>
    <row r="668" spans="1:71" ht="12" customHeight="1">
      <c r="A668" s="2"/>
      <c r="B668" s="107">
        <v>354</v>
      </c>
      <c r="C668" s="31">
        <v>10</v>
      </c>
      <c r="D668" s="106" t="s">
        <v>20</v>
      </c>
      <c r="E668" s="2" t="s">
        <v>92</v>
      </c>
      <c r="F668" s="2"/>
      <c r="G668" s="2"/>
      <c r="H668" s="33"/>
      <c r="I668" s="173">
        <f>M668/AE668</f>
        <v>502.35899270113293</v>
      </c>
      <c r="J668" s="174">
        <f>AH668/AE668</f>
        <v>24.558498343053152</v>
      </c>
      <c r="K668" s="207">
        <f>RANK(I668,$I$76:$I$977)</f>
        <v>591</v>
      </c>
      <c r="L668" s="208" t="e">
        <f>RANK(I668,$I$76:$I$450)</f>
        <v>#N/A</v>
      </c>
      <c r="M668" s="173">
        <f>SUM(N668:R668)</f>
        <v>9020.9227244493395</v>
      </c>
      <c r="N668" s="174">
        <f>T668*(1+((AG668+IF(F668="백어택",8,0))/100)*((AI668/100-1)))</f>
        <v>3219.2253949389001</v>
      </c>
      <c r="O668" s="174">
        <f>U668*(1+(($D$57+IF(F668="백어택",8,0))/100)*($D$58/100-1))</f>
        <v>5801.6973295104399</v>
      </c>
      <c r="P668" s="174"/>
      <c r="Q668" s="174"/>
      <c r="R668" s="175"/>
      <c r="S668" s="173">
        <f>SUM(T668:X668)</f>
        <v>7313.423381526829</v>
      </c>
      <c r="T668" s="174">
        <f>AL668*AV668*IF(F668="백어택",1.2,1)</f>
        <v>2438.1007342024391</v>
      </c>
      <c r="U668" s="174">
        <f>AM668*AX668*AY668*IF(F668="백어택",1.2,1)</f>
        <v>4875.3226473243903</v>
      </c>
      <c r="V668" s="174"/>
      <c r="W668" s="174"/>
      <c r="X668" s="175"/>
      <c r="Y668" s="173">
        <f>SUM(Z668:AD668)</f>
        <v>14626.846763053658</v>
      </c>
      <c r="Z668" s="174">
        <f>T668*$D$58/100</f>
        <v>4876.2014684048781</v>
      </c>
      <c r="AA668" s="174">
        <f>U668*$D$58/100</f>
        <v>9750.6452946487807</v>
      </c>
      <c r="AB668" s="174"/>
      <c r="AC668" s="174"/>
      <c r="AD668" s="175"/>
      <c r="AE668" s="173">
        <f>AO668*(1-$D$17/100)-AR668</f>
        <v>17.957124</v>
      </c>
      <c r="AF668" s="174">
        <f>AP668</f>
        <v>36</v>
      </c>
      <c r="AG668" s="174">
        <f>IF($D$57+AU668&gt;100,100,$D$57+AU668)</f>
        <v>19.001300000000001</v>
      </c>
      <c r="AH668" s="174">
        <f>AQ668*AS668</f>
        <v>441</v>
      </c>
      <c r="AI668" s="174">
        <f>$D$58+$D$19</f>
        <v>268.61079999999998</v>
      </c>
      <c r="AJ668" s="174">
        <f>10*IF(AV668=1,1,5/4.5)/IF(AX668=1,5,3.5)</f>
        <v>2</v>
      </c>
      <c r="AK668" s="174">
        <f>SUM(AL668:AN668)</f>
        <v>4875.7620578646347</v>
      </c>
      <c r="AL668" s="174">
        <f>(VLOOKUP(C668,$B$36:$AG$39,29,FALSE)+VLOOKUP(C668,$B$40:$AG$43,29,FALSE)*$D$54)*$D$59/100</f>
        <v>2438.1007342024391</v>
      </c>
      <c r="AM668" s="174">
        <f>(VLOOKUP(C668,$B$36:$AG$39,30,FALSE)+VLOOKUP(C668,$B$40:$AG$43,30,FALSE)*$D$54)*$D$59/100</f>
        <v>2437.6613236621952</v>
      </c>
      <c r="AN668" s="174"/>
      <c r="AO668" s="176">
        <v>18</v>
      </c>
      <c r="AP668" s="174">
        <v>36</v>
      </c>
      <c r="AQ668" s="175">
        <f>VLOOKUP(C668,$B$45:$AG$48,29,FALSE)</f>
        <v>441</v>
      </c>
      <c r="AR668" s="31">
        <f>IF(LEFT(E668,1)*1=1,$S$70,$R$70)</f>
        <v>0</v>
      </c>
      <c r="AS668" s="2">
        <f>IF(LEFT(E668,1)*1=2,$U$70,$T$70)</f>
        <v>1</v>
      </c>
      <c r="AT668" s="33">
        <f>IF(LEFT(E668,1)*1=3,$W$70,$V$70)</f>
        <v>0</v>
      </c>
      <c r="AU668" s="31">
        <f>IF(MID(E668,3,1)*1=1,$Y$70,$X$70)</f>
        <v>0</v>
      </c>
      <c r="AV668" s="2">
        <f>IF(MID(E668,3,1)*1=2,$AA$70,$Z$70)</f>
        <v>1</v>
      </c>
      <c r="AW668" s="33">
        <f>IF(MID(E668,3,1)*1=3,$AC$70,$AB$70)</f>
        <v>0</v>
      </c>
      <c r="AX668" s="31">
        <f>IF(MID(E668,5,1)*1=1,$AE$70,$AD$70)</f>
        <v>1</v>
      </c>
      <c r="AY668" s="33">
        <f>IF(MID(E668,5,1)*1=2,$AG$70,$AF$70)</f>
        <v>2</v>
      </c>
      <c r="AZ668" s="2"/>
      <c r="BA668" s="101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</row>
    <row r="669" spans="1:71" ht="12" customHeight="1">
      <c r="A669" s="2"/>
      <c r="B669" s="107">
        <v>360</v>
      </c>
      <c r="C669" s="31">
        <v>10</v>
      </c>
      <c r="D669" s="106" t="s">
        <v>20</v>
      </c>
      <c r="E669" s="2" t="s">
        <v>99</v>
      </c>
      <c r="F669" s="2"/>
      <c r="G669" s="2"/>
      <c r="H669" s="33"/>
      <c r="I669" s="173">
        <f>M669/AE669</f>
        <v>502.35899270113293</v>
      </c>
      <c r="J669" s="174">
        <f>AH669/AE669</f>
        <v>12.279249171526576</v>
      </c>
      <c r="K669" s="207">
        <f>RANK(I669,$I$76:$I$977)</f>
        <v>591</v>
      </c>
      <c r="L669" s="208" t="e">
        <f>RANK(I669,$I$76:$I$450)</f>
        <v>#N/A</v>
      </c>
      <c r="M669" s="173">
        <f>SUM(N669:R669)</f>
        <v>9020.9227244493395</v>
      </c>
      <c r="N669" s="174">
        <f>T669*(1+((AG669+IF(F669="백어택",8,0))/100)*((AI669/100-1)))</f>
        <v>3219.2253949389001</v>
      </c>
      <c r="O669" s="174">
        <f>U669*(1+(($D$57+IF(F669="백어택",8,0))/100)*($D$58/100-1))</f>
        <v>5801.6973295104399</v>
      </c>
      <c r="P669" s="174"/>
      <c r="Q669" s="174"/>
      <c r="R669" s="175"/>
      <c r="S669" s="173">
        <f>SUM(T669:X669)</f>
        <v>7313.423381526829</v>
      </c>
      <c r="T669" s="174">
        <f>AL669*AV669*IF(F669="백어택",1.2,1)</f>
        <v>2438.1007342024391</v>
      </c>
      <c r="U669" s="174">
        <f>AM669*AX669*AY669*IF(F669="백어택",1.2,1)</f>
        <v>4875.3226473243903</v>
      </c>
      <c r="V669" s="174"/>
      <c r="W669" s="174"/>
      <c r="X669" s="175"/>
      <c r="Y669" s="173">
        <f>SUM(Z669:AD669)</f>
        <v>14626.846763053658</v>
      </c>
      <c r="Z669" s="174">
        <f>T669*$D$58/100</f>
        <v>4876.2014684048781</v>
      </c>
      <c r="AA669" s="174">
        <f>U669*$D$58/100</f>
        <v>9750.6452946487807</v>
      </c>
      <c r="AB669" s="174"/>
      <c r="AC669" s="174"/>
      <c r="AD669" s="175"/>
      <c r="AE669" s="173">
        <f>AO669*(1-$D$17/100)-AR669</f>
        <v>17.957124</v>
      </c>
      <c r="AF669" s="174">
        <f>AP669</f>
        <v>36</v>
      </c>
      <c r="AG669" s="174">
        <f>IF($D$57+AU669&gt;100,100,$D$57+AU669)</f>
        <v>19.001300000000001</v>
      </c>
      <c r="AH669" s="174">
        <f>AQ669*AS669</f>
        <v>220.5</v>
      </c>
      <c r="AI669" s="174">
        <f>$D$58+$D$19</f>
        <v>268.61079999999998</v>
      </c>
      <c r="AJ669" s="174">
        <f>10*IF(AV669=1,1,5/4.5)/IF(AX669=1,5,3.5)</f>
        <v>2</v>
      </c>
      <c r="AK669" s="174">
        <f>SUM(AL669:AN669)</f>
        <v>4875.7620578646347</v>
      </c>
      <c r="AL669" s="174">
        <f>(VLOOKUP(C669,$B$36:$AG$39,29,FALSE)+VLOOKUP(C669,$B$40:$AG$43,29,FALSE)*$D$54)*$D$59/100</f>
        <v>2438.1007342024391</v>
      </c>
      <c r="AM669" s="174">
        <f>(VLOOKUP(C669,$B$36:$AG$39,30,FALSE)+VLOOKUP(C669,$B$40:$AG$43,30,FALSE)*$D$54)*$D$59/100</f>
        <v>2437.6613236621952</v>
      </c>
      <c r="AN669" s="174"/>
      <c r="AO669" s="176">
        <v>18</v>
      </c>
      <c r="AP669" s="174">
        <v>36</v>
      </c>
      <c r="AQ669" s="175">
        <f>VLOOKUP(C669,$B$45:$AG$48,29,FALSE)</f>
        <v>441</v>
      </c>
      <c r="AR669" s="31">
        <f>IF(LEFT(E669,1)*1=1,$S$70,$R$70)</f>
        <v>0</v>
      </c>
      <c r="AS669" s="2">
        <f>IF(LEFT(E669,1)*1=2,$U$70,$T$70)</f>
        <v>0.5</v>
      </c>
      <c r="AT669" s="33">
        <f>IF(LEFT(E669,1)*1=3,$W$70,$V$70)</f>
        <v>0</v>
      </c>
      <c r="AU669" s="31">
        <f>IF(MID(E669,3,1)*1=1,$Y$70,$X$70)</f>
        <v>0</v>
      </c>
      <c r="AV669" s="2">
        <f>IF(MID(E669,3,1)*1=2,$AA$70,$Z$70)</f>
        <v>1</v>
      </c>
      <c r="AW669" s="33">
        <f>IF(MID(E669,3,1)*1=3,$AC$70,$AB$70)</f>
        <v>0</v>
      </c>
      <c r="AX669" s="31">
        <f>IF(MID(E669,5,1)*1=1,$AE$70,$AD$70)</f>
        <v>1</v>
      </c>
      <c r="AY669" s="33">
        <f>IF(MID(E669,5,1)*1=2,$AG$70,$AF$70)</f>
        <v>2</v>
      </c>
      <c r="AZ669" s="2"/>
      <c r="BA669" s="101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</row>
    <row r="670" spans="1:71" ht="12" customHeight="1">
      <c r="A670" s="2"/>
      <c r="B670" s="107">
        <v>395</v>
      </c>
      <c r="C670" s="31">
        <v>4</v>
      </c>
      <c r="D670" s="111" t="s">
        <v>8</v>
      </c>
      <c r="E670" s="2" t="s">
        <v>148</v>
      </c>
      <c r="F670" s="2"/>
      <c r="G670" s="2"/>
      <c r="H670" s="33" t="s">
        <v>81</v>
      </c>
      <c r="I670" s="173">
        <f>M670/AE670</f>
        <v>499.77611208808406</v>
      </c>
      <c r="J670" s="174">
        <f>AH670/AE670</f>
        <v>10.765615909171565</v>
      </c>
      <c r="K670" s="207">
        <f>RANK(I670,$I$76:$I$977)</f>
        <v>595</v>
      </c>
      <c r="L670" s="208">
        <f>RANK(I670,$I$451:$I$866)</f>
        <v>220</v>
      </c>
      <c r="M670" s="173">
        <f>SUM(N670:R670)</f>
        <v>9238.2495478776582</v>
      </c>
      <c r="N670" s="174">
        <f>T670*(1+((AG670+IF(F670="백어택",8,0))/100)*(IF(AY670=1,$D$58,$D$58+50)/100-1))</f>
        <v>4060.6259443748072</v>
      </c>
      <c r="O670" s="174">
        <f>U670*(1+((AG670+IF(F670="백어택",8,0))/100)*(AI670/100-1))</f>
        <v>5177.6236035028514</v>
      </c>
      <c r="P670" s="174">
        <f>V670*(1+((AG670+IF(F670="백어택",8,0))/100)*(AI670/100-1))</f>
        <v>0</v>
      </c>
      <c r="Q670" s="174"/>
      <c r="R670" s="175"/>
      <c r="S670" s="173">
        <f>SUM(T670:X670)</f>
        <v>7763.1501066607325</v>
      </c>
      <c r="T670" s="174">
        <f>AL670*IF(H670="근접",AR670,1)*AY670*IF(F670="백어택",1.2,1)</f>
        <v>3412.2534328404877</v>
      </c>
      <c r="U670" s="174">
        <f>AM670*IF(H670="근접",AR670,1)*AY670*IF(F670="백어택",1.2,1)</f>
        <v>4350.8966738202453</v>
      </c>
      <c r="V670" s="174">
        <f>IF(AX670=1,0,AM670*IF(H670="근접",AR670,1)*AY670)*IF(F670="백어택",1.2,1)</f>
        <v>0</v>
      </c>
      <c r="W670" s="174"/>
      <c r="X670" s="175"/>
      <c r="Y670" s="173">
        <f>SUM(Z670:AD670)</f>
        <v>15526.300213321465</v>
      </c>
      <c r="Z670" s="174">
        <f>T670*IF(AY670=1,$D$58,$D$58+50)/100</f>
        <v>6824.5068656809754</v>
      </c>
      <c r="AA670" s="174">
        <f>U670*AI670/100</f>
        <v>8701.7933476404905</v>
      </c>
      <c r="AB670" s="174">
        <f>V670*AI670/100</f>
        <v>0</v>
      </c>
      <c r="AC670" s="174"/>
      <c r="AD670" s="175"/>
      <c r="AE670" s="173">
        <f>AO670*(1-$D$20/100)*(1-$D$17/100)</f>
        <v>18.484776131615998</v>
      </c>
      <c r="AF670" s="174">
        <f>AP670</f>
        <v>36</v>
      </c>
      <c r="AG670" s="174">
        <f>IF($D$57+AU670&gt;100,100,$D$57+AU670)</f>
        <v>19.001300000000001</v>
      </c>
      <c r="AH670" s="174">
        <f>IF(AX670=1,AQ670,AQ670*1.4)</f>
        <v>199</v>
      </c>
      <c r="AI670" s="174">
        <f>IF(AY670=1,$D$58,$D$58+50)*AW670</f>
        <v>200</v>
      </c>
      <c r="AJ670" s="174">
        <f>10/6/AX670</f>
        <v>1.6666666666666667</v>
      </c>
      <c r="AK670" s="174">
        <f>SUM(AL670:AN670)</f>
        <v>6469.291755550611</v>
      </c>
      <c r="AL670" s="174">
        <f>(IF(H670="근접",$D$61*(VLOOKUP(C670,$B$36:$AG$39,9,FALSE)+VLOOKUP(C670,$B$40:$AG$43,9,FALSE)*$D$54),$D$60*(VLOOKUP(C670,$B$36:$AG$39,9,FALSE)+VLOOKUP(C670,$B$40:$AG$43,9,FALSE)*$D$54)))*$D$59/100</f>
        <v>2843.544527367073</v>
      </c>
      <c r="AM670" s="174">
        <f>(IF(H670="근접",$D$61*(VLOOKUP(C670,$B$36:$AG$39,10,FALSE)+VLOOKUP(C670,$B$40:$AG$43,10,FALSE)*$D$54),$D$60*(VLOOKUP(C670,$B$36:$AG$39,10,FALSE)+VLOOKUP(C670,$B$40:$AG$43,10,FALSE)*$D$54)))*$D$59/100</f>
        <v>3625.747228183538</v>
      </c>
      <c r="AN670" s="174"/>
      <c r="AO670" s="176">
        <v>24</v>
      </c>
      <c r="AP670" s="174">
        <v>36</v>
      </c>
      <c r="AQ670" s="175">
        <f>VLOOKUP(C670,$B$45:$AA$48,9,FALSE)</f>
        <v>199</v>
      </c>
      <c r="AR670" s="31">
        <f>IF(LEFT(E670,1)*1=1,$S$58,$R$58)</f>
        <v>1.2</v>
      </c>
      <c r="AS670" s="2">
        <f>IF(LEFT(E670,1)*1=2,$U$58,$T$58)</f>
        <v>0</v>
      </c>
      <c r="AT670" s="33">
        <f>IF(LEFT(E670,1)*1=3,$W$58,$V$58)</f>
        <v>0</v>
      </c>
      <c r="AU670" s="31">
        <f>IF(MID(E670,3,1)*1=1,$Y$58,$X$58)</f>
        <v>0</v>
      </c>
      <c r="AV670" s="2">
        <f>IF(MID(E670,3,1)*1=2,$AA$58,$Z$58)</f>
        <v>0</v>
      </c>
      <c r="AW670" s="33">
        <f>IF(MID(E670,3,1)*1=3,$AC$58,$AB$58)</f>
        <v>1</v>
      </c>
      <c r="AX670" s="31">
        <f>IF(MID(E670,5,1)*1=1,$AE$58,$AD$58)</f>
        <v>1</v>
      </c>
      <c r="AY670" s="33">
        <f>IF(MID(E670,5,1)*1=2,$AG$58,$AF$58)</f>
        <v>1</v>
      </c>
      <c r="AZ670" s="2"/>
      <c r="BA670" s="101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</row>
    <row r="671" spans="1:71" ht="12" customHeight="1">
      <c r="A671" s="2"/>
      <c r="B671" s="107">
        <v>510</v>
      </c>
      <c r="C671" s="31">
        <v>4</v>
      </c>
      <c r="D671" s="111" t="s">
        <v>14</v>
      </c>
      <c r="E671" s="2" t="s">
        <v>148</v>
      </c>
      <c r="F671" s="2"/>
      <c r="G671" s="2"/>
      <c r="H671" s="33" t="s">
        <v>81</v>
      </c>
      <c r="I671" s="173">
        <f>M671/AE671</f>
        <v>498.1391087083079</v>
      </c>
      <c r="J671" s="174">
        <f>AH671/AE671</f>
        <v>9.0885601645267471</v>
      </c>
      <c r="K671" s="207">
        <f>RANK(I671,$I$76:$I$977)</f>
        <v>596</v>
      </c>
      <c r="L671" s="208">
        <f>RANK(I671,$I$451:$I$866)</f>
        <v>221</v>
      </c>
      <c r="M671" s="173">
        <f>SUM(N671:R671)</f>
        <v>13811.984860313698</v>
      </c>
      <c r="N671" s="174">
        <f>T671*(1+((AG671+IF(F671="백어택",8,0))/100)*(AI671/100-1))</f>
        <v>4122.3223523796387</v>
      </c>
      <c r="O671" s="174">
        <f>U671*(1+((AG671+IF(F671="백어택",8,0))/100)*(AI671/100-1))</f>
        <v>4122.3223523796387</v>
      </c>
      <c r="P671" s="174">
        <f>V671*(1+((AG671+IF(F671="백어택",8,0))/100)*(AI671*IF(AX671=1,AW671,1)/100-1))</f>
        <v>5567.3401555544206</v>
      </c>
      <c r="Q671" s="174">
        <f>W671*(1+((AG671+IF(F671="백어택",8,0))/100)*(AI671*AW671/100-1))</f>
        <v>0</v>
      </c>
      <c r="R671" s="175"/>
      <c r="S671" s="173">
        <f>SUM(T671:X671)</f>
        <v>10748.463241463416</v>
      </c>
      <c r="T671" s="174">
        <f>AL671*AY671*IF(F671="백어택",1.2,1)</f>
        <v>3207.9842775768298</v>
      </c>
      <c r="U671" s="174">
        <f>AM671*AY671*IF(F671="백어택",1.2,1)</f>
        <v>3207.9842775768298</v>
      </c>
      <c r="V671" s="174">
        <f>AN671*AY671*IF(F671="백어택",1.2,1)</f>
        <v>4332.4946863097566</v>
      </c>
      <c r="W671" s="174">
        <f>(T671+U671+V671)*IF(AX671=1,0,0.6)*IF(F671="백어택",1.2,1)</f>
        <v>0</v>
      </c>
      <c r="X671" s="175"/>
      <c r="Y671" s="173">
        <f>SUM(Z671:AD671)</f>
        <v>26871.158103658541</v>
      </c>
      <c r="Z671" s="174">
        <f>T671*AI671/100</f>
        <v>8019.9606939420746</v>
      </c>
      <c r="AA671" s="174">
        <f>U671*AI671/100</f>
        <v>8019.9606939420746</v>
      </c>
      <c r="AB671" s="174">
        <f>V671*AI671*IF(AX671=1,AW671,1)/100</f>
        <v>10831.236715774392</v>
      </c>
      <c r="AC671" s="174">
        <f>W671*AI671*AW671/100</f>
        <v>0</v>
      </c>
      <c r="AD671" s="175"/>
      <c r="AE671" s="173">
        <f>AO671*(1-$D$20/100)*(1-$D$17/100)</f>
        <v>27.727164197424003</v>
      </c>
      <c r="AF671" s="174">
        <f>AP671</f>
        <v>36</v>
      </c>
      <c r="AG671" s="174">
        <f>IF($D$57+AU671&gt;100,100,$D$57+AU671)</f>
        <v>19.001300000000001</v>
      </c>
      <c r="AH671" s="174">
        <f>AQ671*AS671</f>
        <v>252</v>
      </c>
      <c r="AI671" s="174">
        <f>$D$58+IF(H671="근접",AR671,0)+IF(AY671=1,0,50)</f>
        <v>250</v>
      </c>
      <c r="AJ671" s="174">
        <f>10/3</f>
        <v>3.3333333333333335</v>
      </c>
      <c r="AK671" s="174">
        <f>SUM(AL671:AN671)</f>
        <v>10748.463241463416</v>
      </c>
      <c r="AL671" s="174">
        <f>(IF(H671="근접",$D$61*(VLOOKUP(C671,$B$36:$AG$39,19,FALSE)+VLOOKUP(C671,$B$40:$AG$43,19,FALSE)*$D$54),$D$60*(VLOOKUP(C671,$B$36:$AG$39,19,FALSE)+VLOOKUP(C671,$B$40:$AG$43,19,FALSE)*$D$54)))*$D$59/100</f>
        <v>3207.9842775768298</v>
      </c>
      <c r="AM671" s="174">
        <f>(IF(H671="근접",$D$61*(VLOOKUP(C671,$B$36:$AG$39,20,FALSE)+VLOOKUP(C671,$B$40:$AG$43,20,FALSE)*$D$54),$D$60*(VLOOKUP(C671,$B$36:$AG$39,20,FALSE)+VLOOKUP(C671,$B$40:$AG$43,20,FALSE)*$D$54)))*$D$59/100</f>
        <v>3207.9842775768298</v>
      </c>
      <c r="AN671" s="174">
        <f>(IF(H671="근접",$D$61*(VLOOKUP(C671,$B$36:$AG$39,21,FALSE)+VLOOKUP(C671,$B$40:$AG$43,21,FALSE)*$D$54),$D$60*(VLOOKUP(C671,$B$36:$AG$39,21,FALSE)+VLOOKUP(C671,$B$40:$AG$43,21,FALSE)*$D$54)))*$D$59/100</f>
        <v>4332.4946863097566</v>
      </c>
      <c r="AO671" s="176">
        <v>36</v>
      </c>
      <c r="AP671" s="174">
        <v>36</v>
      </c>
      <c r="AQ671" s="175">
        <f>VLOOKUP(C671,$B$45:$AA$48,19,FALSE)</f>
        <v>252</v>
      </c>
      <c r="AR671" s="31">
        <f>IF(LEFT(E671,1)*1=1,$S$64,$R$64)</f>
        <v>50</v>
      </c>
      <c r="AS671" s="2">
        <f>IF(LEFT(E671,1)*1=2,$U$64,$T$64)</f>
        <v>1</v>
      </c>
      <c r="AT671" s="33">
        <f>IF(LEFT(E671,1)*1=3,$W$64,$V$64)</f>
        <v>0</v>
      </c>
      <c r="AU671" s="31">
        <f>IF(MID(E671,3,1)*1=1,$Y$64,$X$64)</f>
        <v>0</v>
      </c>
      <c r="AV671" s="2">
        <f>IF(MID(E671,3,1)*1=2,$AA$64,$Z$64)</f>
        <v>0</v>
      </c>
      <c r="AW671" s="33">
        <f>IF(MID(E671,3,1)*1=3,$AC$64,$AB$64)</f>
        <v>1</v>
      </c>
      <c r="AX671" s="31">
        <f>IF(MID(E671,5,1)*1=1,$AE$64,$AD$64)</f>
        <v>1</v>
      </c>
      <c r="AY671" s="33">
        <f>IF(MID(E671,5,1)*1=2,$AG$64,$AF$64)</f>
        <v>1</v>
      </c>
      <c r="AZ671" s="2"/>
      <c r="BA671" s="101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</row>
    <row r="672" spans="1:71" ht="12" customHeight="1">
      <c r="A672" s="2"/>
      <c r="B672" s="107">
        <v>500</v>
      </c>
      <c r="C672" s="31">
        <v>7</v>
      </c>
      <c r="D672" s="111" t="s">
        <v>14</v>
      </c>
      <c r="E672" s="2" t="s">
        <v>67</v>
      </c>
      <c r="F672" s="1"/>
      <c r="G672" s="1"/>
      <c r="H672" s="33" t="s">
        <v>81</v>
      </c>
      <c r="I672" s="173">
        <f>M672/AE672</f>
        <v>497.81076510385066</v>
      </c>
      <c r="J672" s="174">
        <f>AH672/AE672</f>
        <v>16.518097441877977</v>
      </c>
      <c r="K672" s="207">
        <f>RANK(I672,$I$76:$I$977)</f>
        <v>597</v>
      </c>
      <c r="L672" s="208">
        <f>RANK(I672,$I$451:$I$866)</f>
        <v>222</v>
      </c>
      <c r="M672" s="173">
        <f>SUM(N672:R672)</f>
        <v>13802.880823279738</v>
      </c>
      <c r="N672" s="174">
        <f>T672*(1+((AG672+IF(F672="백어택",8,0))/100)*(AI672/100-1))</f>
        <v>4119.5649882937405</v>
      </c>
      <c r="O672" s="174">
        <f>U672*(1+((AG672+IF(F672="백어택",8,0))/100)*(AI672/100-1))</f>
        <v>4119.5649882937405</v>
      </c>
      <c r="P672" s="174">
        <f>V672*(1+((AG672+IF(F672="백어택",8,0))/100)*(AI672*IF(AX672=1,AW672,1)/100-1))</f>
        <v>5563.7508466922582</v>
      </c>
      <c r="Q672" s="174">
        <f>W672*(1+((AG672+IF(F672="백어택",8,0))/100)*(AI672*AW672/100-1))</f>
        <v>0</v>
      </c>
      <c r="R672" s="175"/>
      <c r="S672" s="173">
        <f>SUM(T672:X672)</f>
        <v>11598.932804330489</v>
      </c>
      <c r="T672" s="174">
        <f>AL672*AY672*IF(F672="백어택",1.2,1)</f>
        <v>3461.7815001128056</v>
      </c>
      <c r="U672" s="174">
        <f>AM672*AY672*IF(F672="백어택",1.2,1)</f>
        <v>3461.7815001128056</v>
      </c>
      <c r="V672" s="174">
        <f>AN672*AY672*IF(F672="백어택",1.2,1)</f>
        <v>4675.3698041048783</v>
      </c>
      <c r="W672" s="174">
        <f>(T672+U672+V672)*IF(AX672=1,0,0.6)*IF(F672="백어택",1.2,1)</f>
        <v>0</v>
      </c>
      <c r="X672" s="175"/>
      <c r="Y672" s="173">
        <f>SUM(Z672:AD672)</f>
        <v>23197.865608660977</v>
      </c>
      <c r="Z672" s="174">
        <f>T672*AI672/100</f>
        <v>6923.5630002256112</v>
      </c>
      <c r="AA672" s="174">
        <f>U672*AI672/100</f>
        <v>6923.5630002256112</v>
      </c>
      <c r="AB672" s="174">
        <f>V672*AI672*IF(AX672=1,AW672,1)/100</f>
        <v>9350.7396082097566</v>
      </c>
      <c r="AC672" s="174">
        <f>W672*AI672*AW672/100</f>
        <v>0</v>
      </c>
      <c r="AD672" s="175"/>
      <c r="AE672" s="173">
        <f>AO672*(1-$D$20/100)*(1-$D$17/100)</f>
        <v>27.727164197424003</v>
      </c>
      <c r="AF672" s="174">
        <f>AP672</f>
        <v>36</v>
      </c>
      <c r="AG672" s="174">
        <f>IF($D$57+AU672&gt;100,100,$D$57+AU672)</f>
        <v>19.001300000000001</v>
      </c>
      <c r="AH672" s="174">
        <f>AQ672*AS672</f>
        <v>458</v>
      </c>
      <c r="AI672" s="174">
        <f>$D$58+IF(H672="근접",AR672,0)+IF(AY672=1,0,50)</f>
        <v>200</v>
      </c>
      <c r="AJ672" s="174">
        <f>10/3</f>
        <v>3.3333333333333335</v>
      </c>
      <c r="AK672" s="174">
        <f>SUM(AL672:AN672)</f>
        <v>11598.932804330489</v>
      </c>
      <c r="AL672" s="174">
        <f>(IF(H672="근접",$D$61*(VLOOKUP(C672,$B$36:$AG$39,19,FALSE)+VLOOKUP(C672,$B$40:$AG$43,19,FALSE)*$D$54),$D$60*(VLOOKUP(C672,$B$36:$AG$39,19,FALSE)+VLOOKUP(C672,$B$40:$AG$43,19,FALSE)*$D$54)))*$D$59/100</f>
        <v>3461.7815001128056</v>
      </c>
      <c r="AM672" s="174">
        <f>(IF(H672="근접",$D$61*(VLOOKUP(C672,$B$36:$AG$39,20,FALSE)+VLOOKUP(C672,$B$40:$AG$43,20,FALSE)*$D$54),$D$60*(VLOOKUP(C672,$B$36:$AG$39,20,FALSE)+VLOOKUP(C672,$B$40:$AG$43,20,FALSE)*$D$54)))*$D$59/100</f>
        <v>3461.7815001128056</v>
      </c>
      <c r="AN672" s="174">
        <f>(IF(H672="근접",$D$61*(VLOOKUP(C672,$B$36:$AG$39,21,FALSE)+VLOOKUP(C672,$B$40:$AG$43,21,FALSE)*$D$54),$D$60*(VLOOKUP(C672,$B$36:$AG$39,21,FALSE)+VLOOKUP(C672,$B$40:$AG$43,21,FALSE)*$D$54)))*$D$59/100</f>
        <v>4675.3698041048783</v>
      </c>
      <c r="AO672" s="176">
        <v>36</v>
      </c>
      <c r="AP672" s="174">
        <v>36</v>
      </c>
      <c r="AQ672" s="175">
        <f>VLOOKUP(C672,$B$45:$AA$48,19,FALSE)</f>
        <v>458</v>
      </c>
      <c r="AR672" s="31">
        <f>IF(LEFT(E672,1)*1=1,$S$64,$R$64)</f>
        <v>0</v>
      </c>
      <c r="AS672" s="2">
        <f>IF(LEFT(E672,1)*1=2,$U$64,$T$64)</f>
        <v>1</v>
      </c>
      <c r="AT672" s="33">
        <f>IF(LEFT(E672,1)*1=3,$W$64,$V$64)</f>
        <v>0</v>
      </c>
      <c r="AU672" s="31">
        <f>IF(MID(E672,3,1)*1=1,$Y$64,$X$64)</f>
        <v>0</v>
      </c>
      <c r="AV672" s="2">
        <f>IF(MID(E672,3,1)*1=2,$AA$64,$Z$64)</f>
        <v>0</v>
      </c>
      <c r="AW672" s="33">
        <f>IF(MID(E672,3,1)*1=3,$AC$64,$AB$64)</f>
        <v>1</v>
      </c>
      <c r="AX672" s="31">
        <f>IF(MID(E672,5,1)*1=1,$AE$64,$AD$64)</f>
        <v>1</v>
      </c>
      <c r="AY672" s="33">
        <f>IF(MID(E672,5,1)*1=2,$AG$64,$AF$64)</f>
        <v>1</v>
      </c>
      <c r="AZ672" s="2"/>
      <c r="BA672" s="101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</row>
    <row r="673" spans="1:71" ht="12" customHeight="1">
      <c r="A673" s="2"/>
      <c r="B673" s="107">
        <v>506</v>
      </c>
      <c r="C673" s="31">
        <v>7</v>
      </c>
      <c r="D673" s="111" t="s">
        <v>14</v>
      </c>
      <c r="E673" s="2" t="s">
        <v>79</v>
      </c>
      <c r="F673" s="2"/>
      <c r="G673" s="2"/>
      <c r="H673" s="33" t="s">
        <v>81</v>
      </c>
      <c r="I673" s="173">
        <f>M673/AE673</f>
        <v>497.81076510385066</v>
      </c>
      <c r="J673" s="174">
        <f>AH673/AE673</f>
        <v>8.2590487209389885</v>
      </c>
      <c r="K673" s="207">
        <f>RANK(I673,$I$76:$I$977)</f>
        <v>597</v>
      </c>
      <c r="L673" s="208">
        <f>RANK(I673,$I$451:$I$866)</f>
        <v>222</v>
      </c>
      <c r="M673" s="173">
        <f>SUM(N673:R673)</f>
        <v>13802.880823279738</v>
      </c>
      <c r="N673" s="174">
        <f>T673*(1+((AG673+IF(F673="백어택",8,0))/100)*(AI673/100-1))</f>
        <v>4119.5649882937405</v>
      </c>
      <c r="O673" s="174">
        <f>U673*(1+((AG673+IF(F673="백어택",8,0))/100)*(AI673/100-1))</f>
        <v>4119.5649882937405</v>
      </c>
      <c r="P673" s="174">
        <f>V673*(1+((AG673+IF(F673="백어택",8,0))/100)*(AI673*IF(AX673=1,AW673,1)/100-1))</f>
        <v>5563.7508466922582</v>
      </c>
      <c r="Q673" s="174">
        <f>W673*(1+((AG673+IF(F673="백어택",8,0))/100)*(AI673*AW673/100-1))</f>
        <v>0</v>
      </c>
      <c r="R673" s="175"/>
      <c r="S673" s="173">
        <f>SUM(T673:X673)</f>
        <v>11598.932804330489</v>
      </c>
      <c r="T673" s="174">
        <f>AL673*AY673*IF(F673="백어택",1.2,1)</f>
        <v>3461.7815001128056</v>
      </c>
      <c r="U673" s="174">
        <f>AM673*AY673*IF(F673="백어택",1.2,1)</f>
        <v>3461.7815001128056</v>
      </c>
      <c r="V673" s="174">
        <f>AN673*AY673*IF(F673="백어택",1.2,1)</f>
        <v>4675.3698041048783</v>
      </c>
      <c r="W673" s="174">
        <f>(T673+U673+V673)*IF(AX673=1,0,0.6)*IF(F673="백어택",1.2,1)</f>
        <v>0</v>
      </c>
      <c r="X673" s="175"/>
      <c r="Y673" s="173">
        <f>SUM(Z673:AD673)</f>
        <v>23197.865608660977</v>
      </c>
      <c r="Z673" s="174">
        <f>T673*AI673/100</f>
        <v>6923.5630002256112</v>
      </c>
      <c r="AA673" s="174">
        <f>U673*AI673/100</f>
        <v>6923.5630002256112</v>
      </c>
      <c r="AB673" s="174">
        <f>V673*AI673*IF(AX673=1,AW673,1)/100</f>
        <v>9350.7396082097566</v>
      </c>
      <c r="AC673" s="174">
        <f>W673*AI673*AW673/100</f>
        <v>0</v>
      </c>
      <c r="AD673" s="175"/>
      <c r="AE673" s="173">
        <f>AO673*(1-$D$20/100)*(1-$D$17/100)</f>
        <v>27.727164197424003</v>
      </c>
      <c r="AF673" s="174">
        <f>AP673</f>
        <v>36</v>
      </c>
      <c r="AG673" s="174">
        <f>IF($D$57+AU673&gt;100,100,$D$57+AU673)</f>
        <v>19.001300000000001</v>
      </c>
      <c r="AH673" s="174">
        <f>AQ673*AS673</f>
        <v>229</v>
      </c>
      <c r="AI673" s="174">
        <f>$D$58+IF(H673="근접",AR673,0)+IF(AY673=1,0,50)</f>
        <v>200</v>
      </c>
      <c r="AJ673" s="174">
        <f>10/3</f>
        <v>3.3333333333333335</v>
      </c>
      <c r="AK673" s="174">
        <f>SUM(AL673:AN673)</f>
        <v>11598.932804330489</v>
      </c>
      <c r="AL673" s="174">
        <f>(IF(H673="근접",$D$61*(VLOOKUP(C673,$B$36:$AG$39,19,FALSE)+VLOOKUP(C673,$B$40:$AG$43,19,FALSE)*$D$54),$D$60*(VLOOKUP(C673,$B$36:$AG$39,19,FALSE)+VLOOKUP(C673,$B$40:$AG$43,19,FALSE)*$D$54)))*$D$59/100</f>
        <v>3461.7815001128056</v>
      </c>
      <c r="AM673" s="174">
        <f>(IF(H673="근접",$D$61*(VLOOKUP(C673,$B$36:$AG$39,20,FALSE)+VLOOKUP(C673,$B$40:$AG$43,20,FALSE)*$D$54),$D$60*(VLOOKUP(C673,$B$36:$AG$39,20,FALSE)+VLOOKUP(C673,$B$40:$AG$43,20,FALSE)*$D$54)))*$D$59/100</f>
        <v>3461.7815001128056</v>
      </c>
      <c r="AN673" s="174">
        <f>(IF(H673="근접",$D$61*(VLOOKUP(C673,$B$36:$AG$39,21,FALSE)+VLOOKUP(C673,$B$40:$AG$43,21,FALSE)*$D$54),$D$60*(VLOOKUP(C673,$B$36:$AG$39,21,FALSE)+VLOOKUP(C673,$B$40:$AG$43,21,FALSE)*$D$54)))*$D$59/100</f>
        <v>4675.3698041048783</v>
      </c>
      <c r="AO673" s="176">
        <v>36</v>
      </c>
      <c r="AP673" s="174">
        <v>36</v>
      </c>
      <c r="AQ673" s="175">
        <f>VLOOKUP(C673,$B$45:$AA$48,19,FALSE)</f>
        <v>458</v>
      </c>
      <c r="AR673" s="31">
        <f>IF(LEFT(E673,1)*1=1,$S$64,$R$64)</f>
        <v>0</v>
      </c>
      <c r="AS673" s="2">
        <f>IF(LEFT(E673,1)*1=2,$U$64,$T$64)</f>
        <v>0.5</v>
      </c>
      <c r="AT673" s="33">
        <f>IF(LEFT(E673,1)*1=3,$W$64,$V$64)</f>
        <v>0</v>
      </c>
      <c r="AU673" s="31">
        <f>IF(MID(E673,3,1)*1=1,$Y$64,$X$64)</f>
        <v>0</v>
      </c>
      <c r="AV673" s="2">
        <f>IF(MID(E673,3,1)*1=2,$AA$64,$Z$64)</f>
        <v>0</v>
      </c>
      <c r="AW673" s="33">
        <f>IF(MID(E673,3,1)*1=3,$AC$64,$AB$64)</f>
        <v>1</v>
      </c>
      <c r="AX673" s="31">
        <f>IF(MID(E673,5,1)*1=1,$AE$64,$AD$64)</f>
        <v>1</v>
      </c>
      <c r="AY673" s="33">
        <f>IF(MID(E673,5,1)*1=2,$AG$64,$AF$64)</f>
        <v>1</v>
      </c>
      <c r="AZ673" s="2"/>
      <c r="BA673" s="101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</row>
    <row r="674" spans="1:71" ht="12" customHeight="1">
      <c r="A674" s="2"/>
      <c r="B674" s="107">
        <v>856</v>
      </c>
      <c r="C674" s="31">
        <v>7</v>
      </c>
      <c r="D674" s="113" t="s">
        <v>15</v>
      </c>
      <c r="E674" s="2" t="s">
        <v>91</v>
      </c>
      <c r="F674" s="2"/>
      <c r="G674" s="2"/>
      <c r="H674" s="33">
        <f>IF(AX674=AT674,3,4)</f>
        <v>3</v>
      </c>
      <c r="I674" s="173">
        <f>M674/AE674</f>
        <v>496.10348209723219</v>
      </c>
      <c r="J674" s="174">
        <f>AH674/AE674</f>
        <v>13.766124241276053</v>
      </c>
      <c r="K674" s="207">
        <f>RANK(I674,$I$76:$I$977)</f>
        <v>599</v>
      </c>
      <c r="L674" s="208" t="e">
        <f>RANK(I674,$I$867:$I$977)</f>
        <v>#N/A</v>
      </c>
      <c r="M674" s="173">
        <f>SUM(N674:R674)*(1+$D$22/100)</f>
        <v>14847.652908086298</v>
      </c>
      <c r="N674" s="174">
        <f>T674*(1+((AG674+IF(F674="백어택",8,0))/100)*(AI674/100-1))</f>
        <v>2572.6439789890846</v>
      </c>
      <c r="O674" s="174">
        <f>U674*(1+(AG674/100)*(AI674/100-1))</f>
        <v>2572.6439789890846</v>
      </c>
      <c r="P674" s="174">
        <f>V674*(1+(AG674/100)*(AI674/100-1))</f>
        <v>2572.6439789890846</v>
      </c>
      <c r="Q674" s="174">
        <f>W674*(1+(AG674/100)*(AI674/100-1))</f>
        <v>0</v>
      </c>
      <c r="R674" s="175">
        <f>X674*(1+(AG674/100)*(AI674/100-1))</f>
        <v>5659.8167537759864</v>
      </c>
      <c r="S674" s="173">
        <f>SUM(T674:X674)</f>
        <v>11241.682814173659</v>
      </c>
      <c r="T674" s="174">
        <f>AL674*AS674*AY674</f>
        <v>2161.8620796487808</v>
      </c>
      <c r="U674" s="174">
        <f>AL674*AS674*AY674</f>
        <v>2161.8620796487808</v>
      </c>
      <c r="V674" s="174">
        <f>AL674*AS674*AY674</f>
        <v>2161.8620796487808</v>
      </c>
      <c r="W674" s="174">
        <f>IF(H674=4,AL674*AS674*IF(AT674=0,AY674,1),0)</f>
        <v>0</v>
      </c>
      <c r="X674" s="175">
        <f>AL674*IF(H674=3,11,IF(AT674=1,15,13))*IF(AW674=1,0,AW674)</f>
        <v>4756.0965752273178</v>
      </c>
      <c r="Y674" s="173">
        <f>SUM(Z674:AD674)</f>
        <v>22483.365628347317</v>
      </c>
      <c r="Z674" s="174">
        <f>T674*AI674/100</f>
        <v>4323.7241592975615</v>
      </c>
      <c r="AA674" s="174">
        <f>U674*AI674/100</f>
        <v>4323.7241592975615</v>
      </c>
      <c r="AB674" s="174">
        <f>V674*AI674/100</f>
        <v>4323.7241592975615</v>
      </c>
      <c r="AC674" s="174">
        <f>W674*AI674/100</f>
        <v>0</v>
      </c>
      <c r="AD674" s="175">
        <f>X674*AI674/100</f>
        <v>9512.1931504546355</v>
      </c>
      <c r="AE674" s="173">
        <f>AO674*(1-$D$17/100)</f>
        <v>29.928540000000002</v>
      </c>
      <c r="AF674" s="174">
        <f>AP674</f>
        <v>36</v>
      </c>
      <c r="AG674" s="174">
        <f>IF($D$57+AX674&gt;100,100,$D$57+AX674)</f>
        <v>19.001300000000001</v>
      </c>
      <c r="AH674" s="174">
        <f>AQ674</f>
        <v>412</v>
      </c>
      <c r="AI674" s="174">
        <f>$D$58</f>
        <v>200</v>
      </c>
      <c r="AJ674" s="174">
        <f>10*AU674/IF(AT674=1,2.5,(IF(AY674=1,3,2.5)))</f>
        <v>3.3333333333333335</v>
      </c>
      <c r="AK674" s="174">
        <f>SUM(AL674:AN674)</f>
        <v>2161.8620796487808</v>
      </c>
      <c r="AL674" s="174">
        <f>((VLOOKUP(C674,$B$36:$AG$39,22,FALSE)+VLOOKUP(C674,$B$40:$AG$43,22,FALSE)*$D$54))*$D$59/100</f>
        <v>2161.8620796487808</v>
      </c>
      <c r="AM674" s="174"/>
      <c r="AN674" s="174"/>
      <c r="AO674" s="176">
        <v>30</v>
      </c>
      <c r="AP674" s="174">
        <v>36</v>
      </c>
      <c r="AQ674" s="175">
        <f>VLOOKUP(C674,$B$45:$AA$48,22,FALSE)</f>
        <v>412</v>
      </c>
      <c r="AR674" s="31">
        <f>IF(LEFT(E674,1)*1=1,$S$65,$R$65)</f>
        <v>0</v>
      </c>
      <c r="AS674" s="2">
        <f>IF(LEFT(E674,1)*1=2,$U$65,$T$65)</f>
        <v>1</v>
      </c>
      <c r="AT674" s="33">
        <f>IF(LEFT(E674,1)*1=3,$W$65,$V$65)</f>
        <v>0</v>
      </c>
      <c r="AU674" s="31">
        <f>IF(MID(E674,3,1)*1=1,$Y$65,$X$65)</f>
        <v>1</v>
      </c>
      <c r="AV674" s="2">
        <f>IF(MID(E674,3,1)*1=2,$AA$65,$Z$65)</f>
        <v>0</v>
      </c>
      <c r="AW674" s="33">
        <f>IF(MID(E674,3,1)*1=3,$AC$65,$AB$65)</f>
        <v>0.2</v>
      </c>
      <c r="AX674" s="31">
        <f>IF(MID(E674,5,1)*1=1,$AE$65,$AD$65)</f>
        <v>0</v>
      </c>
      <c r="AY674" s="33">
        <f>IF(MID(E674,5,1)*1=2,$AG$65,$AF$65)</f>
        <v>1</v>
      </c>
      <c r="AZ674" s="2"/>
      <c r="BA674" s="101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</row>
    <row r="675" spans="1:71" ht="12" customHeight="1">
      <c r="A675" s="2"/>
      <c r="B675" s="107">
        <v>368</v>
      </c>
      <c r="C675" s="31">
        <v>7</v>
      </c>
      <c r="D675" s="106" t="s">
        <v>20</v>
      </c>
      <c r="E675" s="2" t="s">
        <v>152</v>
      </c>
      <c r="F675" s="2"/>
      <c r="G675" s="2"/>
      <c r="H675" s="33"/>
      <c r="I675" s="173">
        <f>M675/AE675</f>
        <v>494.89654606923324</v>
      </c>
      <c r="J675" s="174">
        <f>AH675/AE675</f>
        <v>20.525336287912033</v>
      </c>
      <c r="K675" s="207">
        <f>RANK(I675,$I$76:$I$977)</f>
        <v>600</v>
      </c>
      <c r="L675" s="208" t="e">
        <f>RANK(I675,$I$76:$I$450)</f>
        <v>#N/A</v>
      </c>
      <c r="M675" s="173">
        <f>SUM(N675:R675)</f>
        <v>7402.2290067292342</v>
      </c>
      <c r="N675" s="174">
        <f>T675*(1+((AG675+IF(F675="백어택",8,0))/100)*((AI675/100-1)))</f>
        <v>4624.2554230935584</v>
      </c>
      <c r="O675" s="174">
        <f>U675*(1+(($D$57+IF(F675="백어택",8,0))/100)*($D$58/100-1))</f>
        <v>2777.9735836356754</v>
      </c>
      <c r="P675" s="174"/>
      <c r="Q675" s="174"/>
      <c r="R675" s="175"/>
      <c r="S675" s="173">
        <f>SUM(T675:X675)</f>
        <v>5836.615202429879</v>
      </c>
      <c r="T675" s="174">
        <f>AL675*AV675*IF(F675="백어택",1.2,1)</f>
        <v>3502.2091214579277</v>
      </c>
      <c r="U675" s="174">
        <f>AM675*AX675*AY675*IF(F675="백어택",1.2,1)</f>
        <v>2334.4060809719517</v>
      </c>
      <c r="V675" s="174"/>
      <c r="W675" s="174"/>
      <c r="X675" s="175"/>
      <c r="Y675" s="173">
        <f>SUM(Z675:AD675)</f>
        <v>11673.23040485976</v>
      </c>
      <c r="Z675" s="174">
        <f>T675*$D$58/100</f>
        <v>7004.4182429158564</v>
      </c>
      <c r="AA675" s="174">
        <f>U675*$D$58/100</f>
        <v>4668.8121619439034</v>
      </c>
      <c r="AB675" s="174"/>
      <c r="AC675" s="174"/>
      <c r="AD675" s="175"/>
      <c r="AE675" s="173">
        <f>AO675*(1-$D$17/100)-AR675</f>
        <v>14.957124</v>
      </c>
      <c r="AF675" s="174">
        <f>AP675</f>
        <v>36</v>
      </c>
      <c r="AG675" s="174">
        <f>IF($D$57+AU675&gt;100,100,$D$57+AU675)</f>
        <v>19.001300000000001</v>
      </c>
      <c r="AH675" s="174">
        <f>AQ675*AS675</f>
        <v>307</v>
      </c>
      <c r="AI675" s="174">
        <f>$D$58+$D$19</f>
        <v>268.61079999999998</v>
      </c>
      <c r="AJ675" s="174">
        <f>10*IF(AV675=1,1,5/4.5)/IF(AX675=1,5,3.5)</f>
        <v>2.2222222222222223</v>
      </c>
      <c r="AK675" s="174">
        <f>SUM(AL675:AN675)</f>
        <v>4669.212161943904</v>
      </c>
      <c r="AL675" s="174">
        <f>(VLOOKUP(C675,$B$36:$AG$39,29,FALSE)+VLOOKUP(C675,$B$40:$AG$43,29,FALSE)*$D$54)*$D$59/100</f>
        <v>2334.8060809719518</v>
      </c>
      <c r="AM675" s="174">
        <f>(VLOOKUP(C675,$B$36:$AG$39,30,FALSE)+VLOOKUP(C675,$B$40:$AG$43,30,FALSE)*$D$54)*$D$59/100</f>
        <v>2334.4060809719517</v>
      </c>
      <c r="AN675" s="174"/>
      <c r="AO675" s="176">
        <v>18</v>
      </c>
      <c r="AP675" s="174">
        <v>36</v>
      </c>
      <c r="AQ675" s="175">
        <f>VLOOKUP(C675,$B$45:$AG$48,29,FALSE)</f>
        <v>307</v>
      </c>
      <c r="AR675" s="31">
        <f>IF(LEFT(E675,1)*1=1,$S$70,$R$70)</f>
        <v>3</v>
      </c>
      <c r="AS675" s="2">
        <f>IF(LEFT(E675,1)*1=2,$U$70,$T$70)</f>
        <v>1</v>
      </c>
      <c r="AT675" s="33">
        <f>IF(LEFT(E675,1)*1=3,$W$70,$V$70)</f>
        <v>0</v>
      </c>
      <c r="AU675" s="31">
        <f>IF(MID(E675,3,1)*1=1,$Y$70,$X$70)</f>
        <v>0</v>
      </c>
      <c r="AV675" s="2">
        <f>IF(MID(E675,3,1)*1=2,$AA$70,$Z$70)</f>
        <v>1.5</v>
      </c>
      <c r="AW675" s="33">
        <f>IF(MID(E675,3,1)*1=3,$AC$70,$AB$70)</f>
        <v>0</v>
      </c>
      <c r="AX675" s="31">
        <f>IF(MID(E675,5,1)*1=1,$AE$70,$AD$70)</f>
        <v>1</v>
      </c>
      <c r="AY675" s="33">
        <f>IF(MID(E675,5,1)*1=2,$AG$70,$AF$70)</f>
        <v>1</v>
      </c>
      <c r="AZ675" s="2"/>
      <c r="BA675" s="101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</row>
    <row r="676" spans="1:71" ht="12" hidden="1" customHeight="1">
      <c r="A676" s="2"/>
      <c r="B676" s="107">
        <v>203</v>
      </c>
      <c r="C676" s="31">
        <v>10</v>
      </c>
      <c r="D676" s="106" t="s">
        <v>10</v>
      </c>
      <c r="E676" s="2" t="s">
        <v>170</v>
      </c>
      <c r="F676" s="2"/>
      <c r="G676" s="2" t="s">
        <v>184</v>
      </c>
      <c r="H676" s="33"/>
      <c r="I676" s="173">
        <f>M676/AE676</f>
        <v>494.04998294608225</v>
      </c>
      <c r="J676" s="174">
        <f>AH676/AE676</f>
        <v>25.811482952392598</v>
      </c>
      <c r="K676" s="207">
        <f>RANK(I676,$I$76:$I$977)</f>
        <v>601</v>
      </c>
      <c r="L676" s="208" t="e">
        <f>RANK(I676,$I$76:$I$450)</f>
        <v>#N/A</v>
      </c>
      <c r="M676" s="173">
        <f>SUM(N676:R676)</f>
        <v>7885.9704941872751</v>
      </c>
      <c r="N676" s="174">
        <f>T676*(1+((AG676+IF(F676="백어택",8,0))/100)*((AI676/100-1)))</f>
        <v>7885.9704941872751</v>
      </c>
      <c r="O676" s="174"/>
      <c r="P676" s="174"/>
      <c r="Q676" s="174"/>
      <c r="R676" s="175"/>
      <c r="S676" s="173">
        <f>SUM(T676:X676)</f>
        <v>5972.4896809040256</v>
      </c>
      <c r="T676" s="174">
        <f>AL676*AS676*AU676*AX676*IF(AY676=0,1,0.5)*IF(F676="백어택",1.2,1)</f>
        <v>5972.4896809040256</v>
      </c>
      <c r="U676" s="174"/>
      <c r="V676" s="174"/>
      <c r="W676" s="174"/>
      <c r="X676" s="175"/>
      <c r="Y676" s="173">
        <f>SUM(Z676:AD676)</f>
        <v>16042.752311793749</v>
      </c>
      <c r="Z676" s="174">
        <f>T676*AI676/100</f>
        <v>16042.752311793749</v>
      </c>
      <c r="AA676" s="174"/>
      <c r="AB676" s="174"/>
      <c r="AC676" s="174"/>
      <c r="AD676" s="175"/>
      <c r="AE676" s="173">
        <f>AO676*(1-$D$17/100)</f>
        <v>15.961888</v>
      </c>
      <c r="AF676" s="174">
        <f>AP676</f>
        <v>36</v>
      </c>
      <c r="AG676" s="174">
        <f>IF($D$57+AV676&gt;100,100,$D$57+AV676)</f>
        <v>19.001300000000001</v>
      </c>
      <c r="AH676" s="174">
        <f>AQ676</f>
        <v>412</v>
      </c>
      <c r="AI676" s="174">
        <f>$D$58+$D$19</f>
        <v>268.61079999999998</v>
      </c>
      <c r="AJ676" s="174">
        <f>10*AR676/(7-IF(AX676=1,0,3))</f>
        <v>1.4285714285714286</v>
      </c>
      <c r="AK676" s="174">
        <f>SUM(AL676:AN676)</f>
        <v>8098.2910927512203</v>
      </c>
      <c r="AL676" s="174">
        <f>(VLOOKUP(C676,$B$36:$AG$39,13,FALSE)+VLOOKUP(C676,$B$40:$AG$43,13,FALSE)*$D$54)*$D$59/100</f>
        <v>8098.2910927512203</v>
      </c>
      <c r="AM676" s="174"/>
      <c r="AN676" s="174"/>
      <c r="AO676" s="176">
        <v>16</v>
      </c>
      <c r="AP676" s="174">
        <v>36</v>
      </c>
      <c r="AQ676" s="175">
        <f>VLOOKUP(C676,$B$45:$AA$48,13,FALSE)</f>
        <v>412</v>
      </c>
      <c r="AR676" s="31">
        <f>IF(LEFT(E676,1)*1=1,$S$60,$R$60)</f>
        <v>1</v>
      </c>
      <c r="AS676" s="2">
        <f>IF(LEFT(E676,1)*1=2,$U$60,$T$60)</f>
        <v>1.18</v>
      </c>
      <c r="AT676" s="33">
        <f>IF(LEFT(E676,1)*1=3,$W$60,$V$60)</f>
        <v>0</v>
      </c>
      <c r="AU676" s="31">
        <f>IF(MID(E676,3,1)*1=1,$Y$60,$X$60)</f>
        <v>1.25</v>
      </c>
      <c r="AV676" s="2">
        <f>IF(MID(E676,3,1)*1=2,$AA$60,$Z$60)</f>
        <v>0</v>
      </c>
      <c r="AW676" s="33">
        <f>IF(MID(E676,3,1)*1=3,$AC$60,$AB$60)</f>
        <v>0</v>
      </c>
      <c r="AX676" s="31">
        <f>IF(MID(E676,5,1)*1=1,$AE$60,$AD$60)</f>
        <v>1</v>
      </c>
      <c r="AY676" s="33">
        <f>IF(MID(E676,5,1)*1=2,$AG$60,$AF$60)</f>
        <v>100</v>
      </c>
      <c r="AZ676" s="2"/>
      <c r="BA676" s="101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</row>
    <row r="677" spans="1:71" ht="12" customHeight="1">
      <c r="A677" s="2"/>
      <c r="B677" s="107">
        <v>754</v>
      </c>
      <c r="C677" s="31">
        <v>7</v>
      </c>
      <c r="D677" s="111" t="s">
        <v>21</v>
      </c>
      <c r="E677" s="2" t="s">
        <v>79</v>
      </c>
      <c r="F677" s="2"/>
      <c r="G677" s="2"/>
      <c r="H677" s="33"/>
      <c r="I677" s="173">
        <f>M677/AE677</f>
        <v>489.14368901754727</v>
      </c>
      <c r="J677" s="174">
        <f>AH677/AE677</f>
        <v>16.518097441877977</v>
      </c>
      <c r="K677" s="207">
        <f>RANK(I677,$I$76:$I$977)</f>
        <v>602</v>
      </c>
      <c r="L677" s="208">
        <f>RANK(I677,$I$451:$I$866)</f>
        <v>227</v>
      </c>
      <c r="M677" s="173">
        <f>SUM(N677:R677)</f>
        <v>13562.567381523237</v>
      </c>
      <c r="N677" s="174">
        <f>T677*(1+((AG677+IF(F677="백어택",8,0))/100)*(AI677/100-1))</f>
        <v>11302.139484602698</v>
      </c>
      <c r="O677" s="174"/>
      <c r="P677" s="174"/>
      <c r="Q677" s="174"/>
      <c r="R677" s="175">
        <f>X677*(1+(AG677/100)*(AI677/100-1))</f>
        <v>2260.4278969205398</v>
      </c>
      <c r="S677" s="173">
        <f>SUM(T677:X677)</f>
        <v>11396.990941715123</v>
      </c>
      <c r="T677" s="174">
        <f>AL677*AW677*AX677*AY677*IF(F677="백어택",1.2,1)</f>
        <v>9497.4924514292688</v>
      </c>
      <c r="U677" s="174"/>
      <c r="V677" s="174"/>
      <c r="W677" s="174"/>
      <c r="X677" s="175">
        <f>AL677*AS677+IF(AX677=1,AL677*AU677,AL677*AU677*2)</f>
        <v>1899.4984902858539</v>
      </c>
      <c r="Y677" s="173">
        <f>SUM(Z677:AD677)</f>
        <v>22793.981883430246</v>
      </c>
      <c r="Z677" s="174">
        <f>T677*$D$58/100</f>
        <v>18994.984902858538</v>
      </c>
      <c r="AA677" s="174"/>
      <c r="AB677" s="174"/>
      <c r="AC677" s="174"/>
      <c r="AD677" s="175">
        <f>X677*$D$58/100</f>
        <v>3798.9969805717078</v>
      </c>
      <c r="AE677" s="173">
        <f>AO677*(1-$D$20/100)*(1-$D$17/100)-AR677</f>
        <v>27.727164197424003</v>
      </c>
      <c r="AF677" s="174">
        <f>AP677</f>
        <v>36</v>
      </c>
      <c r="AG677" s="174">
        <f>IF($D$57&gt;100,100,$D$57)</f>
        <v>19.001300000000001</v>
      </c>
      <c r="AH677" s="174">
        <f>AQ677</f>
        <v>458</v>
      </c>
      <c r="AI677" s="174">
        <f>$D$58</f>
        <v>200</v>
      </c>
      <c r="AJ677" s="174">
        <f>10/6</f>
        <v>1.6666666666666667</v>
      </c>
      <c r="AK677" s="174">
        <f>SUM(AL677:AN677)</f>
        <v>9497.4924514292688</v>
      </c>
      <c r="AL677" s="174">
        <f>(VLOOKUP(C677,$B$36:$AG$39,31,FALSE)+VLOOKUP(C677,$B$40:$AG$43,31,FALSE)*$D$54)*$D$59/100</f>
        <v>9497.4924514292688</v>
      </c>
      <c r="AM677" s="174"/>
      <c r="AN677" s="174"/>
      <c r="AO677" s="176">
        <v>36</v>
      </c>
      <c r="AP677" s="174">
        <v>36</v>
      </c>
      <c r="AQ677" s="175">
        <f>VLOOKUP(C677,$B$45:$AG$48,31,FALSE)</f>
        <v>458</v>
      </c>
      <c r="AR677" s="31">
        <f>IF(LEFT(E677,1)*1=1,$S$71,$R$71)</f>
        <v>0</v>
      </c>
      <c r="AS677" s="2">
        <f>IF(LEFT(E677,1)*1=2,$U$71,$T$71)</f>
        <v>0.2</v>
      </c>
      <c r="AT677" s="33">
        <f>IF(LEFT(E677,1)*1=3,$W$71,$V$71)</f>
        <v>0</v>
      </c>
      <c r="AU677" s="31">
        <f>IF(MID(E677,3,1)*1=1,$Y$71,$X$71)</f>
        <v>0</v>
      </c>
      <c r="AV677" s="2">
        <f>IF(MID(E677,3,1)*1=2,$AA$71,$Z$71)</f>
        <v>0</v>
      </c>
      <c r="AW677" s="33">
        <f>IF(MID(E677,3,1)*1=3,$AC$71,$AB$71)</f>
        <v>1</v>
      </c>
      <c r="AX677" s="31">
        <f>IF(MID(E677,5,1)*1=1,$AE$71,$AD$71)</f>
        <v>1</v>
      </c>
      <c r="AY677" s="33">
        <f>IF(MID(E677,5,1)*1=2,$AG$71,$AF$71)</f>
        <v>1</v>
      </c>
      <c r="AZ677" s="2"/>
      <c r="BA677" s="101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</row>
    <row r="678" spans="1:71" ht="12" customHeight="1">
      <c r="A678" s="2"/>
      <c r="B678" s="107">
        <v>476</v>
      </c>
      <c r="C678" s="31">
        <v>7</v>
      </c>
      <c r="D678" s="111" t="s">
        <v>11</v>
      </c>
      <c r="E678" s="2" t="s">
        <v>79</v>
      </c>
      <c r="F678" s="2"/>
      <c r="G678" s="2"/>
      <c r="H678" s="33">
        <f>IF(AX678=1,5,1)</f>
        <v>5</v>
      </c>
      <c r="I678" s="173">
        <f>M678/AE678</f>
        <v>489.03958308414389</v>
      </c>
      <c r="J678" s="174">
        <f>AH678/AE678</f>
        <v>17.830889465642951</v>
      </c>
      <c r="K678" s="207">
        <f>RANK(I678,$I$76:$I$977)</f>
        <v>603</v>
      </c>
      <c r="L678" s="208">
        <f>RANK(I678,$I$451:$I$866)</f>
        <v>228</v>
      </c>
      <c r="M678" s="173">
        <f>SUM(N678:R678)</f>
        <v>11299.734016011527</v>
      </c>
      <c r="N678" s="174">
        <f>T678*(1+(AG678/100)*(AI678/100-1))</f>
        <v>10463.72884320929</v>
      </c>
      <c r="O678" s="174">
        <f>U678*(1+(AG678/100)*(AI678/100-1))</f>
        <v>836.00517280223767</v>
      </c>
      <c r="P678" s="174"/>
      <c r="Q678" s="174"/>
      <c r="R678" s="175"/>
      <c r="S678" s="173">
        <f>T678</f>
        <v>7808.677112243904</v>
      </c>
      <c r="T678" s="174">
        <f>H678*AL678*AX678</f>
        <v>7808.677112243904</v>
      </c>
      <c r="U678" s="174">
        <f>AM678*AV678</f>
        <v>623.87840476341478</v>
      </c>
      <c r="V678" s="174"/>
      <c r="W678" s="174"/>
      <c r="X678" s="175"/>
      <c r="Y678" s="173">
        <f>SUM(Z678:AD678)</f>
        <v>16865.111034014637</v>
      </c>
      <c r="Z678" s="174">
        <f>T678*$D$58/100</f>
        <v>15617.354224487808</v>
      </c>
      <c r="AA678" s="174">
        <f>U678*$D$58/100</f>
        <v>1247.7568095268296</v>
      </c>
      <c r="AB678" s="174"/>
      <c r="AC678" s="174"/>
      <c r="AD678" s="175"/>
      <c r="AE678" s="173">
        <f>AO678*(1-$D$20/100)*(1-$D$17/100)-AR678</f>
        <v>23.105970164519999</v>
      </c>
      <c r="AF678" s="174">
        <f>AP678</f>
        <v>36</v>
      </c>
      <c r="AG678" s="174">
        <f>IF($D$57+AS678&gt;100,100,$D$57+AS678)</f>
        <v>34.001300000000001</v>
      </c>
      <c r="AH678" s="174">
        <f>AQ678</f>
        <v>412</v>
      </c>
      <c r="AI678" s="174">
        <f>$D$58</f>
        <v>200</v>
      </c>
      <c r="AJ678" s="174">
        <f>10/IF(AX678=1,7,6)</f>
        <v>1.4285714285714286</v>
      </c>
      <c r="AK678" s="174">
        <f>SUM(AL678:AN678)</f>
        <v>2185.6138272121957</v>
      </c>
      <c r="AL678" s="174">
        <f>(VLOOKUP(C678,$B$36:$AG$39,14,FALSE)+VLOOKUP(C678,$B$40:$AG$43,14,FALSE)*$D$54)*$D$59/100</f>
        <v>1561.7354224487808</v>
      </c>
      <c r="AM678" s="174">
        <f>(VLOOKUP(C678,$B$36:$AG$39,15,FALSE)+VLOOKUP(C678,$B$40:$AG$43,15,FALSE)*$D$54)*$D$59/100</f>
        <v>623.87840476341478</v>
      </c>
      <c r="AN678" s="174"/>
      <c r="AO678" s="176">
        <v>30</v>
      </c>
      <c r="AP678" s="174">
        <v>36</v>
      </c>
      <c r="AQ678" s="175">
        <f>VLOOKUP(C678,$B$45:$AA$48,14,FALSE)</f>
        <v>412</v>
      </c>
      <c r="AR678" s="31">
        <f>IF(LEFT(E678,1)*1=1,$S$61,$R$61)</f>
        <v>0</v>
      </c>
      <c r="AS678" s="2">
        <f>IF(LEFT(E678,1)*1=2,$U$61,$T$61)</f>
        <v>15</v>
      </c>
      <c r="AT678" s="33">
        <f>IF(LEFT(E678,1)*1=3,$W$61,$V$61)</f>
        <v>0</v>
      </c>
      <c r="AU678" s="31">
        <f>IF(MID(E678,3,1)*1=1,$Y$61,$X$61)</f>
        <v>0</v>
      </c>
      <c r="AV678" s="2">
        <f>IF(MID(E678,3,1)*1=2,$AA$61,$Z$61)</f>
        <v>1</v>
      </c>
      <c r="AW678" s="33">
        <f>IF(MID(E678,3,1)*1=3,$AC$61,$AB$61)</f>
        <v>0</v>
      </c>
      <c r="AX678" s="31">
        <f>IF(MID(E678,5,1)*1=1,$AE$61,$AD$61)</f>
        <v>1</v>
      </c>
      <c r="AY678" s="33">
        <f>IF(MID(E678,5,1)*1=2,$AG$61,$AF$61)</f>
        <v>0</v>
      </c>
      <c r="AZ678" s="2"/>
      <c r="BA678" s="101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</row>
    <row r="679" spans="1:71" ht="12" customHeight="1">
      <c r="A679" s="2"/>
      <c r="B679" s="107">
        <v>397</v>
      </c>
      <c r="C679" s="31">
        <v>10</v>
      </c>
      <c r="D679" s="111" t="s">
        <v>8</v>
      </c>
      <c r="E679" s="2" t="s">
        <v>144</v>
      </c>
      <c r="F679" s="2"/>
      <c r="G679" s="2"/>
      <c r="H679" s="33" t="s">
        <v>80</v>
      </c>
      <c r="I679" s="173">
        <f>M679/AE679</f>
        <v>488.61199117023773</v>
      </c>
      <c r="J679" s="174">
        <f>AH679/AE679</f>
        <v>39.459498714320297</v>
      </c>
      <c r="K679" s="207">
        <f>RANK(I679,$I$76:$I$977)</f>
        <v>604</v>
      </c>
      <c r="L679" s="208">
        <f>RANK(I679,$I$451:$I$866)</f>
        <v>229</v>
      </c>
      <c r="M679" s="173">
        <f>SUM(N679:R679)</f>
        <v>9031.8832720049777</v>
      </c>
      <c r="N679" s="174">
        <f>T679*(1+((AG679+IF(F679="백어택",8,0))/100)*(IF(AY679=1,$D$58,$D$58+50)/100-1))</f>
        <v>2542.3882863531753</v>
      </c>
      <c r="O679" s="174">
        <f>U679*(1+((AG679+IF(F679="백어택",8,0))/100)*(AI679/100-1))</f>
        <v>3244.7474928259012</v>
      </c>
      <c r="P679" s="174">
        <f>V679*(1+((AG679+IF(F679="백어택",8,0))/100)*(AI679/100-1))</f>
        <v>3244.7474928259012</v>
      </c>
      <c r="Q679" s="174"/>
      <c r="R679" s="175"/>
      <c r="S679" s="173">
        <f>SUM(T679:X679)</f>
        <v>7589.734962563416</v>
      </c>
      <c r="T679" s="174">
        <f>AL679*IF(H679="근접",AR679,1)*AY679*IF(F679="백어택",1.2,1)</f>
        <v>2136.437405602439</v>
      </c>
      <c r="U679" s="174">
        <f>AM679*IF(H679="근접",AR679,1)*AY679*IF(F679="백어택",1.2,1)</f>
        <v>2726.6487784804881</v>
      </c>
      <c r="V679" s="174">
        <f>IF(AX679=1,0,AM679*IF(H679="근접",AR679,1)*AY679)*IF(F679="백어택",1.2,1)</f>
        <v>2726.6487784804881</v>
      </c>
      <c r="W679" s="174"/>
      <c r="X679" s="175"/>
      <c r="Y679" s="173">
        <f>SUM(Z679:AD679)</f>
        <v>15179.469925126832</v>
      </c>
      <c r="Z679" s="174">
        <f>T679*IF(AY679=1,$D$58,$D$58+50)/100</f>
        <v>4272.8748112048779</v>
      </c>
      <c r="AA679" s="174">
        <f>U679*AI679/100</f>
        <v>5453.2975569609762</v>
      </c>
      <c r="AB679" s="174">
        <f>V679*AI679/100</f>
        <v>5453.2975569609762</v>
      </c>
      <c r="AC679" s="174"/>
      <c r="AD679" s="175"/>
      <c r="AE679" s="173">
        <f>AO679*(1-$D$20/100)*(1-$D$17/100)</f>
        <v>18.484776131615998</v>
      </c>
      <c r="AF679" s="174">
        <f>AP679</f>
        <v>36</v>
      </c>
      <c r="AG679" s="174">
        <f>IF($D$57+AU679&gt;100,100,$D$57+AU679)</f>
        <v>19.001300000000001</v>
      </c>
      <c r="AH679" s="174">
        <f>IF(AX679=1,AQ679,AQ679*1.4)</f>
        <v>729.4</v>
      </c>
      <c r="AI679" s="174">
        <f>IF(AY679=1,$D$58,$D$58+50)*AW679</f>
        <v>200</v>
      </c>
      <c r="AJ679" s="174">
        <f>10/6/AX679</f>
        <v>1.1111111111111112</v>
      </c>
      <c r="AK679" s="174">
        <f>SUM(AL679:AN679)</f>
        <v>4863.0861840829275</v>
      </c>
      <c r="AL679" s="174">
        <f>(IF(H679="근접",$D$61*(VLOOKUP(C679,$B$36:$AG$39,9,FALSE)+VLOOKUP(C679,$B$40:$AG$43,9,FALSE)*$D$54),$D$60*(VLOOKUP(C679,$B$36:$AG$39,9,FALSE)+VLOOKUP(C679,$B$40:$AG$43,9,FALSE)*$D$54)))*$D$59/100</f>
        <v>2136.437405602439</v>
      </c>
      <c r="AM679" s="174">
        <f>(IF(H679="근접",$D$61*(VLOOKUP(C679,$B$36:$AG$39,10,FALSE)+VLOOKUP(C679,$B$40:$AG$43,10,FALSE)*$D$54),$D$60*(VLOOKUP(C679,$B$36:$AG$39,10,FALSE)+VLOOKUP(C679,$B$40:$AG$43,10,FALSE)*$D$54)))*$D$59/100</f>
        <v>2726.6487784804881</v>
      </c>
      <c r="AN679" s="174"/>
      <c r="AO679" s="176">
        <v>24</v>
      </c>
      <c r="AP679" s="174">
        <v>36</v>
      </c>
      <c r="AQ679" s="175">
        <f>VLOOKUP(C679,$B$45:$AA$48,9,FALSE)</f>
        <v>521</v>
      </c>
      <c r="AR679" s="31">
        <f>IF(LEFT(E679,1)*1=1,$S$58,$R$58)</f>
        <v>1</v>
      </c>
      <c r="AS679" s="2">
        <f>IF(LEFT(E679,1)*1=2,$U$58,$T$58)</f>
        <v>0</v>
      </c>
      <c r="AT679" s="33">
        <f>IF(LEFT(E679,1)*1=3,$W$58,$V$58)</f>
        <v>0</v>
      </c>
      <c r="AU679" s="31">
        <f>IF(MID(E679,3,1)*1=1,$Y$58,$X$58)</f>
        <v>0</v>
      </c>
      <c r="AV679" s="2">
        <f>IF(MID(E679,3,1)*1=2,$AA$58,$Z$58)</f>
        <v>0</v>
      </c>
      <c r="AW679" s="33">
        <f>IF(MID(E679,3,1)*1=3,$AC$58,$AB$58)</f>
        <v>1</v>
      </c>
      <c r="AX679" s="31">
        <f>IF(MID(E679,5,1)*1=1,$AE$58,$AD$58)</f>
        <v>1.5</v>
      </c>
      <c r="AY679" s="33">
        <f>IF(MID(E679,5,1)*1=2,$AG$58,$AF$58)</f>
        <v>1</v>
      </c>
      <c r="AZ679" s="2"/>
      <c r="BA679" s="101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</row>
    <row r="680" spans="1:71" ht="12" customHeight="1">
      <c r="A680" s="2"/>
      <c r="B680" s="107">
        <v>400</v>
      </c>
      <c r="C680" s="31">
        <v>10</v>
      </c>
      <c r="D680" s="111" t="s">
        <v>8</v>
      </c>
      <c r="E680" s="2" t="s">
        <v>150</v>
      </c>
      <c r="F680" s="2"/>
      <c r="G680" s="2"/>
      <c r="H680" s="33" t="s">
        <v>80</v>
      </c>
      <c r="I680" s="173">
        <f>M680/AE680</f>
        <v>488.61199117023773</v>
      </c>
      <c r="J680" s="174">
        <f>AH680/AE680</f>
        <v>39.459498714320297</v>
      </c>
      <c r="K680" s="207">
        <f>RANK(I680,$I$76:$I$977)</f>
        <v>604</v>
      </c>
      <c r="L680" s="208">
        <f>RANK(I680,$I$451:$I$866)</f>
        <v>229</v>
      </c>
      <c r="M680" s="173">
        <f>SUM(N680:R680)</f>
        <v>9031.8832720049777</v>
      </c>
      <c r="N680" s="174">
        <f>T680*(1+((AG680+IF(F680="백어택",8,0))/100)*(IF(AY680=1,$D$58,$D$58+50)/100-1))</f>
        <v>2542.3882863531753</v>
      </c>
      <c r="O680" s="174">
        <f>U680*(1+((AG680+IF(F680="백어택",8,0))/100)*(AI680/100-1))</f>
        <v>3244.7474928259012</v>
      </c>
      <c r="P680" s="174">
        <f>V680*(1+((AG680+IF(F680="백어택",8,0))/100)*(AI680/100-1))</f>
        <v>3244.7474928259012</v>
      </c>
      <c r="Q680" s="174"/>
      <c r="R680" s="175"/>
      <c r="S680" s="173">
        <f>SUM(T680:X680)</f>
        <v>7589.734962563416</v>
      </c>
      <c r="T680" s="174">
        <f>AL680*IF(H680="근접",AR680,1)*AY680*IF(F680="백어택",1.2,1)</f>
        <v>2136.437405602439</v>
      </c>
      <c r="U680" s="174">
        <f>AM680*IF(H680="근접",AR680,1)*AY680*IF(F680="백어택",1.2,1)</f>
        <v>2726.6487784804881</v>
      </c>
      <c r="V680" s="174">
        <f>IF(AX680=1,0,AM680*IF(H680="근접",AR680,1)*AY680)*IF(F680="백어택",1.2,1)</f>
        <v>2726.6487784804881</v>
      </c>
      <c r="W680" s="174"/>
      <c r="X680" s="175"/>
      <c r="Y680" s="173">
        <f>SUM(Z680:AD680)</f>
        <v>15179.469925126832</v>
      </c>
      <c r="Z680" s="174">
        <f>T680*IF(AY680=1,$D$58,$D$58+50)/100</f>
        <v>4272.8748112048779</v>
      </c>
      <c r="AA680" s="174">
        <f>U680*AI680/100</f>
        <v>5453.2975569609762</v>
      </c>
      <c r="AB680" s="174">
        <f>V680*AI680/100</f>
        <v>5453.2975569609762</v>
      </c>
      <c r="AC680" s="174"/>
      <c r="AD680" s="175"/>
      <c r="AE680" s="173">
        <f>AO680*(1-$D$20/100)*(1-$D$17/100)</f>
        <v>18.484776131615998</v>
      </c>
      <c r="AF680" s="174">
        <f>AP680</f>
        <v>36</v>
      </c>
      <c r="AG680" s="174">
        <f>IF($D$57+AU680&gt;100,100,$D$57+AU680)</f>
        <v>19.001300000000001</v>
      </c>
      <c r="AH680" s="174">
        <f>IF(AX680=1,AQ680,AQ680*1.4)</f>
        <v>729.4</v>
      </c>
      <c r="AI680" s="174">
        <f>IF(AY680=1,$D$58,$D$58+50)*AW680</f>
        <v>200</v>
      </c>
      <c r="AJ680" s="174">
        <f>10/6/AX680</f>
        <v>1.1111111111111112</v>
      </c>
      <c r="AK680" s="174">
        <f>SUM(AL680:AN680)</f>
        <v>4863.0861840829275</v>
      </c>
      <c r="AL680" s="174">
        <f>(IF(H680="근접",$D$61*(VLOOKUP(C680,$B$36:$AG$39,9,FALSE)+VLOOKUP(C680,$B$40:$AG$43,9,FALSE)*$D$54),$D$60*(VLOOKUP(C680,$B$36:$AG$39,9,FALSE)+VLOOKUP(C680,$B$40:$AG$43,9,FALSE)*$D$54)))*$D$59/100</f>
        <v>2136.437405602439</v>
      </c>
      <c r="AM680" s="174">
        <f>(IF(H680="근접",$D$61*(VLOOKUP(C680,$B$36:$AG$39,10,FALSE)+VLOOKUP(C680,$B$40:$AG$43,10,FALSE)*$D$54),$D$60*(VLOOKUP(C680,$B$36:$AG$39,10,FALSE)+VLOOKUP(C680,$B$40:$AG$43,10,FALSE)*$D$54)))*$D$59/100</f>
        <v>2726.6487784804881</v>
      </c>
      <c r="AN680" s="174"/>
      <c r="AO680" s="176">
        <v>24</v>
      </c>
      <c r="AP680" s="174">
        <v>36</v>
      </c>
      <c r="AQ680" s="175">
        <f>VLOOKUP(C680,$B$45:$AA$48,9,FALSE)</f>
        <v>521</v>
      </c>
      <c r="AR680" s="31">
        <f>IF(LEFT(E680,1)*1=1,$S$58,$R$58)</f>
        <v>1.2</v>
      </c>
      <c r="AS680" s="2">
        <f>IF(LEFT(E680,1)*1=2,$U$58,$T$58)</f>
        <v>0</v>
      </c>
      <c r="AT680" s="33">
        <f>IF(LEFT(E680,1)*1=3,$W$58,$V$58)</f>
        <v>0</v>
      </c>
      <c r="AU680" s="31">
        <f>IF(MID(E680,3,1)*1=1,$Y$58,$X$58)</f>
        <v>0</v>
      </c>
      <c r="AV680" s="2">
        <f>IF(MID(E680,3,1)*1=2,$AA$58,$Z$58)</f>
        <v>0</v>
      </c>
      <c r="AW680" s="33">
        <f>IF(MID(E680,3,1)*1=3,$AC$58,$AB$58)</f>
        <v>1</v>
      </c>
      <c r="AX680" s="31">
        <f>IF(MID(E680,5,1)*1=1,$AE$58,$AD$58)</f>
        <v>1.5</v>
      </c>
      <c r="AY680" s="33">
        <f>IF(MID(E680,5,1)*1=2,$AG$58,$AF$58)</f>
        <v>1</v>
      </c>
      <c r="AZ680" s="2"/>
      <c r="BA680" s="101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</row>
    <row r="681" spans="1:71" ht="12" customHeight="1">
      <c r="A681" s="2"/>
      <c r="B681" s="107">
        <v>851</v>
      </c>
      <c r="C681" s="31">
        <v>10</v>
      </c>
      <c r="D681" s="113" t="s">
        <v>15</v>
      </c>
      <c r="E681" s="2" t="s">
        <v>111</v>
      </c>
      <c r="F681" s="2"/>
      <c r="G681" s="2"/>
      <c r="H681" s="33">
        <f>IF(AX681=AT681,3,4)</f>
        <v>4</v>
      </c>
      <c r="I681" s="173">
        <f>M681/AE681</f>
        <v>488.32261252671316</v>
      </c>
      <c r="J681" s="174">
        <f>AH681/AE681</f>
        <v>19.780450366105395</v>
      </c>
      <c r="K681" s="207">
        <f>RANK(I681,$I$76:$I$977)</f>
        <v>606</v>
      </c>
      <c r="L681" s="208" t="e">
        <f>RANK(I681,$I$867:$I$977)</f>
        <v>#N/A</v>
      </c>
      <c r="M681" s="173">
        <f>SUM(N681:R681)*(1+$D$22/100)</f>
        <v>14614.782841910237</v>
      </c>
      <c r="N681" s="174">
        <f>T681*(1+((AG681+IF(F681="백어택",8,0))/100)*(AI681/100-1))</f>
        <v>3493.5331256776276</v>
      </c>
      <c r="O681" s="174">
        <f>U681*(1+(AG681/100)*(AI681/100-1))</f>
        <v>3493.5331256776276</v>
      </c>
      <c r="P681" s="174">
        <f>V681*(1+(AG681/100)*(AI681/100-1))</f>
        <v>3493.5331256776276</v>
      </c>
      <c r="Q681" s="174">
        <f>W681*(1+(AG681/100)*(AI681/100-1))</f>
        <v>2687.3331735981751</v>
      </c>
      <c r="R681" s="175">
        <f>X681*(1+(AG681/100)*(AI681/100-1))</f>
        <v>0</v>
      </c>
      <c r="S681" s="173">
        <f>SUM(T681:X681)</f>
        <v>11065.368656166829</v>
      </c>
      <c r="T681" s="174">
        <f>AL681*AS681*AY681</f>
        <v>2935.7100516360979</v>
      </c>
      <c r="U681" s="174">
        <f>AL681*AS681*AY681</f>
        <v>2935.7100516360979</v>
      </c>
      <c r="V681" s="174">
        <f>AL681*AS681*AY681</f>
        <v>2935.7100516360979</v>
      </c>
      <c r="W681" s="174">
        <f>IF(H681=4,AL681*AS681*IF(AT681=0,AY681,1),0)</f>
        <v>2258.2385012585369</v>
      </c>
      <c r="X681" s="175">
        <f>AL681*IF(H681=3,11,IF(AT681=1,15,13))*IF(AW681=1,0,AW681)</f>
        <v>0</v>
      </c>
      <c r="Y681" s="173">
        <f>SUM(Z681:AD681)</f>
        <v>22130.737312333658</v>
      </c>
      <c r="Z681" s="174">
        <f>T681*AI681/100</f>
        <v>5871.4201032721958</v>
      </c>
      <c r="AA681" s="174">
        <f>U681*AI681/100</f>
        <v>5871.4201032721958</v>
      </c>
      <c r="AB681" s="174">
        <f>V681*AI681/100</f>
        <v>5871.4201032721958</v>
      </c>
      <c r="AC681" s="174">
        <f>W681*AI681/100</f>
        <v>4516.4770025170737</v>
      </c>
      <c r="AD681" s="175">
        <f>X681*AI681/100</f>
        <v>0</v>
      </c>
      <c r="AE681" s="173">
        <f>AO681*(1-$D$17/100)</f>
        <v>29.928540000000002</v>
      </c>
      <c r="AF681" s="174">
        <f>AP681</f>
        <v>36</v>
      </c>
      <c r="AG681" s="174">
        <f>IF($D$57+AX681&gt;100,100,$D$57+AX681)</f>
        <v>19.001300000000001</v>
      </c>
      <c r="AH681" s="174">
        <f>AQ681</f>
        <v>592</v>
      </c>
      <c r="AI681" s="174">
        <f>$D$58</f>
        <v>200</v>
      </c>
      <c r="AJ681" s="174">
        <f>10*AU681/IF(AT681=1,2.5,(IF(AY681=1,3,2.5)))</f>
        <v>4</v>
      </c>
      <c r="AK681" s="174">
        <f>SUM(AL681:AN681)</f>
        <v>2258.2385012585369</v>
      </c>
      <c r="AL681" s="174">
        <f>((VLOOKUP(C681,$B$36:$AG$39,22,FALSE)+VLOOKUP(C681,$B$40:$AG$43,22,FALSE)*$D$54))*$D$59/100</f>
        <v>2258.2385012585369</v>
      </c>
      <c r="AM681" s="174"/>
      <c r="AN681" s="174"/>
      <c r="AO681" s="176">
        <v>30</v>
      </c>
      <c r="AP681" s="174">
        <v>36</v>
      </c>
      <c r="AQ681" s="175">
        <f>VLOOKUP(C681,$B$45:$AA$48,22,FALSE)</f>
        <v>592</v>
      </c>
      <c r="AR681" s="31">
        <f>IF(LEFT(E681,1)*1=1,$S$65,$R$65)</f>
        <v>0</v>
      </c>
      <c r="AS681" s="2">
        <f>IF(LEFT(E681,1)*1=2,$U$65,$T$65)</f>
        <v>1</v>
      </c>
      <c r="AT681" s="74">
        <f>IF(LEFT(E681,1)*1=3,$W$65,$V$65)</f>
        <v>1</v>
      </c>
      <c r="AU681" s="31">
        <f>IF(MID(E681,3,1)*1=1,$Y$65,$X$65)</f>
        <v>1</v>
      </c>
      <c r="AV681" s="2">
        <f>IF(MID(E681,3,1)*1=2,$AA$65,$Z$65)</f>
        <v>0</v>
      </c>
      <c r="AW681" s="33">
        <f>IF(MID(E681,3,1)*1=3,$AC$65,$AB$65)</f>
        <v>1</v>
      </c>
      <c r="AX681" s="31">
        <f>IF(MID(E681,5,1)*1=1,$AE$65,$AD$65)</f>
        <v>0</v>
      </c>
      <c r="AY681" s="33">
        <f>IF(MID(E681,5,1)*1=2,$AG$65,$AF$65)</f>
        <v>1.3</v>
      </c>
      <c r="AZ681" s="2"/>
      <c r="BA681" s="101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</row>
    <row r="682" spans="1:71" ht="12" customHeight="1">
      <c r="A682" s="2"/>
      <c r="B682" s="107">
        <v>852</v>
      </c>
      <c r="C682" s="31">
        <v>10</v>
      </c>
      <c r="D682" s="113" t="s">
        <v>15</v>
      </c>
      <c r="E682" s="2" t="s">
        <v>145</v>
      </c>
      <c r="F682" s="2"/>
      <c r="G682" s="2"/>
      <c r="H682" s="33">
        <f>IF(AX682=AT682,3,4)</f>
        <v>4</v>
      </c>
      <c r="I682" s="173">
        <f>M682/AE682</f>
        <v>488.32261252671316</v>
      </c>
      <c r="J682" s="174">
        <f>AH682/AE682</f>
        <v>19.780450366105395</v>
      </c>
      <c r="K682" s="207">
        <f>RANK(I682,$I$76:$I$977)</f>
        <v>606</v>
      </c>
      <c r="L682" s="208" t="e">
        <f>RANK(I682,$I$867:$I$977)</f>
        <v>#N/A</v>
      </c>
      <c r="M682" s="173">
        <f>SUM(N682:R682)*(1+$D$22/100)</f>
        <v>14614.782841910237</v>
      </c>
      <c r="N682" s="174">
        <f>T682*(1+((AG682+IF(F682="백어택",8,0))/100)*(AI682/100-1))</f>
        <v>3493.5331256776276</v>
      </c>
      <c r="O682" s="174">
        <f>U682*(1+(AG682/100)*(AI682/100-1))</f>
        <v>3493.5331256776276</v>
      </c>
      <c r="P682" s="174">
        <f>V682*(1+(AG682/100)*(AI682/100-1))</f>
        <v>3493.5331256776276</v>
      </c>
      <c r="Q682" s="174">
        <f>W682*(1+(AG682/100)*(AI682/100-1))</f>
        <v>2687.3331735981751</v>
      </c>
      <c r="R682" s="175">
        <f>X682*(1+(AG682/100)*(AI682/100-1))</f>
        <v>0</v>
      </c>
      <c r="S682" s="173">
        <f>SUM(T682:X682)</f>
        <v>11065.368656166829</v>
      </c>
      <c r="T682" s="174">
        <f>AL682*AS682*AY682</f>
        <v>2935.7100516360979</v>
      </c>
      <c r="U682" s="174">
        <f>AL682*AS682*AY682</f>
        <v>2935.7100516360979</v>
      </c>
      <c r="V682" s="174">
        <f>AL682*AS682*AY682</f>
        <v>2935.7100516360979</v>
      </c>
      <c r="W682" s="174">
        <f>IF(H682=4,AL682*AS682*IF(AT682=0,AY682,1),0)</f>
        <v>2258.2385012585369</v>
      </c>
      <c r="X682" s="175">
        <f>AL682*IF(H682=3,11,IF(AT682=1,15,13))*IF(AW682=1,0,AW682)</f>
        <v>0</v>
      </c>
      <c r="Y682" s="173">
        <f>SUM(Z682:AD682)</f>
        <v>22130.737312333658</v>
      </c>
      <c r="Z682" s="174">
        <f>T682*AI682/100</f>
        <v>5871.4201032721958</v>
      </c>
      <c r="AA682" s="174">
        <f>U682*AI682/100</f>
        <v>5871.4201032721958</v>
      </c>
      <c r="AB682" s="174">
        <f>V682*AI682/100</f>
        <v>5871.4201032721958</v>
      </c>
      <c r="AC682" s="174">
        <f>W682*AI682/100</f>
        <v>4516.4770025170737</v>
      </c>
      <c r="AD682" s="175">
        <f>X682*AI682/100</f>
        <v>0</v>
      </c>
      <c r="AE682" s="173">
        <f>AO682*(1-$D$17/100)</f>
        <v>29.928540000000002</v>
      </c>
      <c r="AF682" s="174">
        <f>AP682</f>
        <v>36</v>
      </c>
      <c r="AG682" s="174">
        <f>IF($D$57+AX682&gt;100,100,$D$57+AX682)</f>
        <v>19.001300000000001</v>
      </c>
      <c r="AH682" s="174">
        <f>AQ682</f>
        <v>592</v>
      </c>
      <c r="AI682" s="174">
        <f>$D$58</f>
        <v>200</v>
      </c>
      <c r="AJ682" s="174">
        <f>10*AU682/IF(AT682=1,2.5,(IF(AY682=1,3,2.5)))</f>
        <v>3.2</v>
      </c>
      <c r="AK682" s="174">
        <f>SUM(AL682:AN682)</f>
        <v>2258.2385012585369</v>
      </c>
      <c r="AL682" s="174">
        <f>((VLOOKUP(C682,$B$36:$AG$39,22,FALSE)+VLOOKUP(C682,$B$40:$AG$43,22,FALSE)*$D$54))*$D$59/100</f>
        <v>2258.2385012585369</v>
      </c>
      <c r="AM682" s="174"/>
      <c r="AN682" s="174"/>
      <c r="AO682" s="176">
        <v>30</v>
      </c>
      <c r="AP682" s="174">
        <v>36</v>
      </c>
      <c r="AQ682" s="175">
        <f>VLOOKUP(C682,$B$45:$AA$48,22,FALSE)</f>
        <v>592</v>
      </c>
      <c r="AR682" s="31">
        <f>IF(LEFT(E682,1)*1=1,$S$65,$R$65)</f>
        <v>0</v>
      </c>
      <c r="AS682" s="2">
        <f>IF(LEFT(E682,1)*1=2,$U$65,$T$65)</f>
        <v>1</v>
      </c>
      <c r="AT682" s="74">
        <f>IF(LEFT(E682,1)*1=3,$W$65,$V$65)</f>
        <v>1</v>
      </c>
      <c r="AU682" s="31">
        <f>IF(MID(E682,3,1)*1=1,$Y$65,$X$65)</f>
        <v>0.8</v>
      </c>
      <c r="AV682" s="2">
        <f>IF(MID(E682,3,1)*1=2,$AA$65,$Z$65)</f>
        <v>0</v>
      </c>
      <c r="AW682" s="33">
        <f>IF(MID(E682,3,1)*1=3,$AC$65,$AB$65)</f>
        <v>1</v>
      </c>
      <c r="AX682" s="31">
        <f>IF(MID(E682,5,1)*1=1,$AE$65,$AD$65)</f>
        <v>0</v>
      </c>
      <c r="AY682" s="33">
        <f>IF(MID(E682,5,1)*1=2,$AG$65,$AF$65)</f>
        <v>1.3</v>
      </c>
      <c r="AZ682" s="2"/>
      <c r="BA682" s="101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</row>
    <row r="683" spans="1:71" ht="12" customHeight="1">
      <c r="A683" s="2"/>
      <c r="B683" s="107">
        <v>832</v>
      </c>
      <c r="C683" s="31">
        <v>7</v>
      </c>
      <c r="D683" s="113" t="s">
        <v>12</v>
      </c>
      <c r="E683" s="2" t="s">
        <v>89</v>
      </c>
      <c r="F683" s="2"/>
      <c r="G683" s="2" t="s">
        <v>167</v>
      </c>
      <c r="H683" s="33"/>
      <c r="I683" s="173">
        <f>M683/AE683</f>
        <v>488.00278525156534</v>
      </c>
      <c r="J683" s="174">
        <f>AH683/AE683</f>
        <v>15.161113773007305</v>
      </c>
      <c r="K683" s="207">
        <f>RANK(I683,$I$76:$I$977)</f>
        <v>608</v>
      </c>
      <c r="L683" s="208" t="e">
        <f>RANK(I683,$I$867:$I$977)</f>
        <v>#N/A</v>
      </c>
      <c r="M683" s="173">
        <f>SUM(N683:R683)*(1+$D$22/100)</f>
        <v>11684.168702810306</v>
      </c>
      <c r="N683" s="174">
        <f>T683*(1+((AG683+IF(F683="백어택",8,0))/100)*(AI683/100-1))</f>
        <v>10527.446562366476</v>
      </c>
      <c r="O683" s="174">
        <f>U683*(1+($D$57/100)*(AI683/100-1))</f>
        <v>0</v>
      </c>
      <c r="P683" s="174"/>
      <c r="Q683" s="174"/>
      <c r="R683" s="175">
        <f>X683*(1+($D$57/100)*(AI683/100-1))</f>
        <v>0</v>
      </c>
      <c r="S683" s="173">
        <f>SUM(T683:X683)</f>
        <v>6620.981440004879</v>
      </c>
      <c r="T683" s="174">
        <f>AL683*AU683*AW683</f>
        <v>6620.981440004879</v>
      </c>
      <c r="U683" s="174">
        <f>AL683*AU683*AW683*AX683</f>
        <v>0</v>
      </c>
      <c r="V683" s="174"/>
      <c r="W683" s="174"/>
      <c r="X683" s="175">
        <f>AL683*AY683</f>
        <v>0</v>
      </c>
      <c r="Y683" s="173">
        <f>SUM(Z683:AD683)</f>
        <v>13241.962880009758</v>
      </c>
      <c r="Z683" s="174">
        <f>T683*$D$58/100</f>
        <v>13241.962880009758</v>
      </c>
      <c r="AA683" s="174">
        <f>U683*$D$58/100</f>
        <v>0</v>
      </c>
      <c r="AB683" s="174"/>
      <c r="AC683" s="174"/>
      <c r="AD683" s="175">
        <f>X683*$D$58/100</f>
        <v>0</v>
      </c>
      <c r="AE683" s="173">
        <f>AO683*(1-$D$17/100)</f>
        <v>23.942831999999999</v>
      </c>
      <c r="AF683" s="174">
        <f>AP683</f>
        <v>36</v>
      </c>
      <c r="AG683" s="174">
        <f>IF($D$57+AV683&gt;100,100,$D$57+AV683)</f>
        <v>59.001300000000001</v>
      </c>
      <c r="AH683" s="174">
        <f>AQ683</f>
        <v>363</v>
      </c>
      <c r="AI683" s="174">
        <f>$D$58</f>
        <v>200</v>
      </c>
      <c r="AJ683" s="174">
        <f>10/7</f>
        <v>1.4285714285714286</v>
      </c>
      <c r="AK683" s="174">
        <f>SUM(AL683:AN683)</f>
        <v>6620.981440004879</v>
      </c>
      <c r="AL683" s="174">
        <f>(VLOOKUP(C683,$B$36:$AG$39,16,FALSE)+VLOOKUP(C683,$B$40:$AG$43,16,FALSE)*$D$54)*$D$59/100</f>
        <v>6620.981440004879</v>
      </c>
      <c r="AM683" s="174"/>
      <c r="AN683" s="174"/>
      <c r="AO683" s="176">
        <v>24</v>
      </c>
      <c r="AP683" s="174">
        <v>36</v>
      </c>
      <c r="AQ683" s="175">
        <f>VLOOKUP(C683,$B$45:$AA$48,16,FALSE)</f>
        <v>363</v>
      </c>
      <c r="AR683" s="31">
        <f>IF(LEFT(E683,1)*1=1,$S$62,$R$62)</f>
        <v>0</v>
      </c>
      <c r="AS683" s="2">
        <f>IF(LEFT(E683,1)*1=2,$U$62,$T$62)</f>
        <v>0</v>
      </c>
      <c r="AT683" s="33">
        <f>IF(LEFT(E683,1)*1=3,$W$62,$V$62)</f>
        <v>0</v>
      </c>
      <c r="AU683" s="31">
        <f>IF(MID(E683,3,1)*1=1,$Y$62,$X$62)</f>
        <v>1</v>
      </c>
      <c r="AV683" s="2">
        <f>IF(MID(E683,3,1)*1=2,$AA$62,$Z$62)</f>
        <v>40</v>
      </c>
      <c r="AW683" s="33">
        <f>IF(MID(E683,3,1)*1=3,$AC$62,$AB$62)</f>
        <v>1</v>
      </c>
      <c r="AX683" s="31">
        <f>IF(MID(E683,5,1)*1=1,$AE$62,$AD$62)</f>
        <v>0</v>
      </c>
      <c r="AY683" s="33">
        <f>IF(MID(E683,5,1)*1=2,$AG$62,$AF$62)</f>
        <v>0</v>
      </c>
      <c r="AZ683" s="2"/>
      <c r="BA683" s="101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</row>
    <row r="684" spans="1:71" ht="12" customHeight="1">
      <c r="A684" s="2"/>
      <c r="B684" s="107">
        <v>848</v>
      </c>
      <c r="C684" s="31">
        <v>10</v>
      </c>
      <c r="D684" s="113" t="s">
        <v>15</v>
      </c>
      <c r="E684" s="2" t="s">
        <v>99</v>
      </c>
      <c r="F684" s="1"/>
      <c r="G684" s="1" t="s">
        <v>174</v>
      </c>
      <c r="H684" s="33">
        <f>IF(AX684=AT684,3,4)</f>
        <v>3</v>
      </c>
      <c r="I684" s="173">
        <f>M684/AE684</f>
        <v>485.83117062606669</v>
      </c>
      <c r="J684" s="174">
        <f>AH684/AE684</f>
        <v>19.780450366105395</v>
      </c>
      <c r="K684" s="207">
        <f>RANK(I684,$I$76:$I$977)</f>
        <v>609</v>
      </c>
      <c r="L684" s="208" t="e">
        <f>RANK(I684,$I$867:$I$977)</f>
        <v>#N/A</v>
      </c>
      <c r="M684" s="173">
        <f>SUM(N684:R684)*(1+$D$22/100)</f>
        <v>14540.217623329063</v>
      </c>
      <c r="N684" s="174">
        <f>T684*(1+((AG684+IF(F684="백어택",8,0))/100)*(AI684/100-1))</f>
        <v>4366.9164070970346</v>
      </c>
      <c r="O684" s="174">
        <f>U684*(1+(AG684/100)*(AI684/100-1))</f>
        <v>4366.9164070970346</v>
      </c>
      <c r="P684" s="174">
        <f>V684*(1+(AG684/100)*(AI684/100-1))</f>
        <v>4366.9164070970346</v>
      </c>
      <c r="Q684" s="174">
        <f>W684*(1+(AG684/100)*(AI684/100-1))</f>
        <v>0</v>
      </c>
      <c r="R684" s="175">
        <f>X684*(1+(AG684/100)*(AI684/100-1))</f>
        <v>0</v>
      </c>
      <c r="S684" s="173">
        <f>SUM(T684:X684)</f>
        <v>11008.912693635368</v>
      </c>
      <c r="T684" s="174">
        <f>AL684*AS684*AY684</f>
        <v>3669.6375645451226</v>
      </c>
      <c r="U684" s="174">
        <f>AL684*AS684*AY684</f>
        <v>3669.6375645451226</v>
      </c>
      <c r="V684" s="174">
        <f>AL684*AS684*AY684</f>
        <v>3669.6375645451226</v>
      </c>
      <c r="W684" s="174">
        <f>IF(H684=4,AL684*AS684*IF(AT684=0,AY684,1),0)</f>
        <v>0</v>
      </c>
      <c r="X684" s="175">
        <f>AL684*IF(H684=3,11,IF(AT684=1,15,13))*IF(AW684=1,0,AW684)</f>
        <v>0</v>
      </c>
      <c r="Y684" s="173">
        <f>SUM(Z684:AD684)</f>
        <v>22017.825387270736</v>
      </c>
      <c r="Z684" s="174">
        <f>T684*AI684/100</f>
        <v>7339.2751290902452</v>
      </c>
      <c r="AA684" s="174">
        <f>U684*AI684/100</f>
        <v>7339.2751290902452</v>
      </c>
      <c r="AB684" s="174">
        <f>V684*AI684/100</f>
        <v>7339.2751290902452</v>
      </c>
      <c r="AC684" s="174">
        <f>W684*AI684/100</f>
        <v>0</v>
      </c>
      <c r="AD684" s="175">
        <f>X684*AI684/100</f>
        <v>0</v>
      </c>
      <c r="AE684" s="173">
        <f>AO684*(1-$D$17/100)</f>
        <v>29.928540000000002</v>
      </c>
      <c r="AF684" s="174">
        <f>AP684</f>
        <v>36</v>
      </c>
      <c r="AG684" s="174">
        <f>IF($D$57+AX684&gt;100,100,$D$57+AX684)</f>
        <v>19.001300000000001</v>
      </c>
      <c r="AH684" s="174">
        <f>AQ684</f>
        <v>592</v>
      </c>
      <c r="AI684" s="174">
        <f>$D$58</f>
        <v>200</v>
      </c>
      <c r="AJ684" s="174">
        <f>10*AU684/IF(AT684=1,2.5,(IF(AY684=1,3,2.5)))</f>
        <v>4</v>
      </c>
      <c r="AK684" s="174">
        <f>SUM(AL684:AN684)</f>
        <v>2258.2385012585369</v>
      </c>
      <c r="AL684" s="174">
        <f>((VLOOKUP(C684,$B$36:$AG$39,22,FALSE)+VLOOKUP(C684,$B$40:$AG$43,22,FALSE)*$D$54))*$D$59/100</f>
        <v>2258.2385012585369</v>
      </c>
      <c r="AM684" s="174"/>
      <c r="AN684" s="174"/>
      <c r="AO684" s="176">
        <v>30</v>
      </c>
      <c r="AP684" s="174">
        <v>36</v>
      </c>
      <c r="AQ684" s="175">
        <f>VLOOKUP(C684,$B$45:$AA$48,22,FALSE)</f>
        <v>592</v>
      </c>
      <c r="AR684" s="31">
        <f>IF(LEFT(E684,1)*1=1,$S$65,$R$65)</f>
        <v>0</v>
      </c>
      <c r="AS684" s="2">
        <f>IF(LEFT(E684,1)*1=2,$U$65,$T$65)</f>
        <v>1.25</v>
      </c>
      <c r="AT684" s="33">
        <f>IF(LEFT(E684,1)*1=3,$W$65,$V$65)</f>
        <v>0</v>
      </c>
      <c r="AU684" s="31">
        <f>IF(MID(E684,3,1)*1=1,$Y$65,$X$65)</f>
        <v>1</v>
      </c>
      <c r="AV684" s="2">
        <f>IF(MID(E684,3,1)*1=2,$AA$65,$Z$65)</f>
        <v>0</v>
      </c>
      <c r="AW684" s="33">
        <f>IF(MID(E684,3,1)*1=3,$AC$65,$AB$65)</f>
        <v>1</v>
      </c>
      <c r="AX684" s="31">
        <f>IF(MID(E684,5,1)*1=1,$AE$65,$AD$65)</f>
        <v>0</v>
      </c>
      <c r="AY684" s="33">
        <f>IF(MID(E684,5,1)*1=2,$AG$65,$AF$65)</f>
        <v>1.3</v>
      </c>
      <c r="AZ684" s="2"/>
      <c r="BA684" s="101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</row>
    <row r="685" spans="1:71" ht="12" customHeight="1">
      <c r="A685" s="2"/>
      <c r="B685" s="107">
        <v>849</v>
      </c>
      <c r="C685" s="31">
        <v>10</v>
      </c>
      <c r="D685" s="113" t="s">
        <v>15</v>
      </c>
      <c r="E685" s="2" t="s">
        <v>170</v>
      </c>
      <c r="F685" s="1"/>
      <c r="G685" s="1" t="s">
        <v>174</v>
      </c>
      <c r="H685" s="33">
        <f>IF(AX685=AT685,3,4)</f>
        <v>3</v>
      </c>
      <c r="I685" s="173">
        <f>M685/AE685</f>
        <v>485.83117062606669</v>
      </c>
      <c r="J685" s="174">
        <f>AH685/AE685</f>
        <v>19.780450366105395</v>
      </c>
      <c r="K685" s="207">
        <f>RANK(I685,$I$76:$I$977)</f>
        <v>609</v>
      </c>
      <c r="L685" s="208" t="e">
        <f>RANK(I685,$I$867:$I$977)</f>
        <v>#N/A</v>
      </c>
      <c r="M685" s="173">
        <f>SUM(N685:R685)*(1+$D$22/100)</f>
        <v>14540.217623329063</v>
      </c>
      <c r="N685" s="174">
        <f>T685*(1+((AG685+IF(F685="백어택",8,0))/100)*(AI685/100-1))</f>
        <v>4366.9164070970346</v>
      </c>
      <c r="O685" s="174">
        <f>U685*(1+(AG685/100)*(AI685/100-1))</f>
        <v>4366.9164070970346</v>
      </c>
      <c r="P685" s="174">
        <f>V685*(1+(AG685/100)*(AI685/100-1))</f>
        <v>4366.9164070970346</v>
      </c>
      <c r="Q685" s="174">
        <f>W685*(1+(AG685/100)*(AI685/100-1))</f>
        <v>0</v>
      </c>
      <c r="R685" s="175">
        <f>X685*(1+(AG685/100)*(AI685/100-1))</f>
        <v>0</v>
      </c>
      <c r="S685" s="173">
        <f>SUM(T685:X685)</f>
        <v>11008.912693635368</v>
      </c>
      <c r="T685" s="174">
        <f>AL685*AS685*AY685</f>
        <v>3669.6375645451226</v>
      </c>
      <c r="U685" s="174">
        <f>AL685*AS685*AY685</f>
        <v>3669.6375645451226</v>
      </c>
      <c r="V685" s="174">
        <f>AL685*AS685*AY685</f>
        <v>3669.6375645451226</v>
      </c>
      <c r="W685" s="174">
        <f>IF(H685=4,AL685*AS685*IF(AT685=0,AY685,1),0)</f>
        <v>0</v>
      </c>
      <c r="X685" s="175">
        <f>AL685*IF(H685=3,11,IF(AT685=1,15,13))*IF(AW685=1,0,AW685)</f>
        <v>0</v>
      </c>
      <c r="Y685" s="173">
        <f>SUM(Z685:AD685)</f>
        <v>22017.825387270736</v>
      </c>
      <c r="Z685" s="174">
        <f>T685*AI685/100</f>
        <v>7339.2751290902452</v>
      </c>
      <c r="AA685" s="174">
        <f>U685*AI685/100</f>
        <v>7339.2751290902452</v>
      </c>
      <c r="AB685" s="174">
        <f>V685*AI685/100</f>
        <v>7339.2751290902452</v>
      </c>
      <c r="AC685" s="174">
        <f>W685*AI685/100</f>
        <v>0</v>
      </c>
      <c r="AD685" s="175">
        <f>X685*AI685/100</f>
        <v>0</v>
      </c>
      <c r="AE685" s="173">
        <f>AO685*(1-$D$17/100)</f>
        <v>29.928540000000002</v>
      </c>
      <c r="AF685" s="174">
        <f>AP685</f>
        <v>36</v>
      </c>
      <c r="AG685" s="174">
        <f>IF($D$57+AX685&gt;100,100,$D$57+AX685)</f>
        <v>19.001300000000001</v>
      </c>
      <c r="AH685" s="174">
        <f>AQ685</f>
        <v>592</v>
      </c>
      <c r="AI685" s="174">
        <f>$D$58</f>
        <v>200</v>
      </c>
      <c r="AJ685" s="174">
        <f>10*AU685/IF(AT685=1,2.5,(IF(AY685=1,3,2.5)))</f>
        <v>3.2</v>
      </c>
      <c r="AK685" s="174">
        <f>SUM(AL685:AN685)</f>
        <v>2258.2385012585369</v>
      </c>
      <c r="AL685" s="174">
        <f>((VLOOKUP(C685,$B$36:$AG$39,22,FALSE)+VLOOKUP(C685,$B$40:$AG$43,22,FALSE)*$D$54))*$D$59/100</f>
        <v>2258.2385012585369</v>
      </c>
      <c r="AM685" s="174"/>
      <c r="AN685" s="174"/>
      <c r="AO685" s="176">
        <v>30</v>
      </c>
      <c r="AP685" s="174">
        <v>36</v>
      </c>
      <c r="AQ685" s="175">
        <f>VLOOKUP(C685,$B$45:$AA$48,22,FALSE)</f>
        <v>592</v>
      </c>
      <c r="AR685" s="31">
        <f>IF(LEFT(E685,1)*1=1,$S$65,$R$65)</f>
        <v>0</v>
      </c>
      <c r="AS685" s="2">
        <f>IF(LEFT(E685,1)*1=2,$U$65,$T$65)</f>
        <v>1.25</v>
      </c>
      <c r="AT685" s="33">
        <f>IF(LEFT(E685,1)*1=3,$W$65,$V$65)</f>
        <v>0</v>
      </c>
      <c r="AU685" s="31">
        <f>IF(MID(E685,3,1)*1=1,$Y$65,$X$65)</f>
        <v>0.8</v>
      </c>
      <c r="AV685" s="2">
        <f>IF(MID(E685,3,1)*1=2,$AA$65,$Z$65)</f>
        <v>0</v>
      </c>
      <c r="AW685" s="33">
        <f>IF(MID(E685,3,1)*1=3,$AC$65,$AB$65)</f>
        <v>1</v>
      </c>
      <c r="AX685" s="31">
        <f>IF(MID(E685,5,1)*1=1,$AE$65,$AD$65)</f>
        <v>0</v>
      </c>
      <c r="AY685" s="33">
        <f>IF(MID(E685,5,1)*1=2,$AG$65,$AF$65)</f>
        <v>1.3</v>
      </c>
      <c r="AZ685" s="2"/>
      <c r="BA685" s="101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</row>
    <row r="686" spans="1:71" ht="12" customHeight="1">
      <c r="A686" s="2"/>
      <c r="B686" s="107">
        <v>815</v>
      </c>
      <c r="C686" s="31">
        <v>7</v>
      </c>
      <c r="D686" s="113" t="s">
        <v>9</v>
      </c>
      <c r="E686" s="2" t="s">
        <v>103</v>
      </c>
      <c r="F686" s="2"/>
      <c r="G686" s="2" t="s">
        <v>166</v>
      </c>
      <c r="H686" s="33"/>
      <c r="I686" s="173">
        <f>M686/AE686</f>
        <v>485.71354312349712</v>
      </c>
      <c r="J686" s="174">
        <f>AH686/AE686</f>
        <v>12.752598912832589</v>
      </c>
      <c r="K686" s="207">
        <f>RANK(I686,$I$76:$I$977)</f>
        <v>611</v>
      </c>
      <c r="L686" s="208" t="e">
        <f>RANK(I686,$I$867:$I$977)</f>
        <v>#N/A</v>
      </c>
      <c r="M686" s="173">
        <f>SUM(N686:R686)*(1+$D$22/100)</f>
        <v>17444.036644695971</v>
      </c>
      <c r="N686" s="174">
        <f>T686*(1+((AG686+IF(F686="백어택",8,0))/100)*(AI686/100-1))</f>
        <v>11796.743188918103</v>
      </c>
      <c r="O686" s="174">
        <f>U686*(1+($D$57/100)*(AI686/100-1))</f>
        <v>1960.1747976702225</v>
      </c>
      <c r="P686" s="174"/>
      <c r="Q686" s="174"/>
      <c r="R686" s="175">
        <f>X686*(1+($D$57/100)*(AI686/100-1))</f>
        <v>1960.1747976702225</v>
      </c>
      <c r="S686" s="173">
        <f>SUM(T686:X686)</f>
        <v>9884.6868965012218</v>
      </c>
      <c r="T686" s="174">
        <f>AL686*AU686*AY686</f>
        <v>6590.3114608207325</v>
      </c>
      <c r="U686" s="174">
        <f>AM686*AX686</f>
        <v>1647.1877178402442</v>
      </c>
      <c r="V686" s="174"/>
      <c r="W686" s="174"/>
      <c r="X686" s="175">
        <f>AM686*AS686</f>
        <v>1647.1877178402442</v>
      </c>
      <c r="Y686" s="173">
        <f>SUM(Z686:AD686)</f>
        <v>19769.373793002444</v>
      </c>
      <c r="Z686" s="174">
        <f>T686*$D$58/100</f>
        <v>13180.622921641465</v>
      </c>
      <c r="AA686" s="174">
        <f>U686*$D$58/100</f>
        <v>3294.3754356804884</v>
      </c>
      <c r="AB686" s="174"/>
      <c r="AC686" s="174"/>
      <c r="AD686" s="175">
        <f>X686*$D$58/100</f>
        <v>3294.3754356804884</v>
      </c>
      <c r="AE686" s="173">
        <f>AO686*(1-$D$17/100)</f>
        <v>35.914248000000001</v>
      </c>
      <c r="AF686" s="174">
        <f>AP686</f>
        <v>36</v>
      </c>
      <c r="AG686" s="174">
        <f>IF($D$57+AW686&gt;100,100,$D$57+AW686)</f>
        <v>79.001300000000001</v>
      </c>
      <c r="AH686" s="174">
        <f>AQ686</f>
        <v>458</v>
      </c>
      <c r="AI686" s="174">
        <f>$D$58</f>
        <v>200</v>
      </c>
      <c r="AJ686" s="174">
        <f>10/(6+AT686)</f>
        <v>1.6666666666666667</v>
      </c>
      <c r="AK686" s="174">
        <f>SUM(AL686:AN686)</f>
        <v>8237.4991786609771</v>
      </c>
      <c r="AL686" s="174">
        <f>(VLOOKUP(C686,$B$36:$AG$39,11,FALSE)+VLOOKUP(C686,$B$40:$AG$43,11,FALSE)*$D$54)*$D$59/100</f>
        <v>6590.3114608207325</v>
      </c>
      <c r="AM686" s="174">
        <f>(3*(VLOOKUP(C686,$B$36:$AG$39,12,FALSE)+VLOOKUP(C686,$B$40:$AG$43,12,FALSE)*$D$54))*$D$59/100</f>
        <v>1647.1877178402442</v>
      </c>
      <c r="AN686" s="174"/>
      <c r="AO686" s="176">
        <v>36</v>
      </c>
      <c r="AP686" s="174">
        <v>36</v>
      </c>
      <c r="AQ686" s="175">
        <f>VLOOKUP(C686,$B$45:$AA$48,11,FALSE)</f>
        <v>458</v>
      </c>
      <c r="AR686" s="31">
        <f>IF(LEFT(E686,1)*1=1,$S$59,$R$59)</f>
        <v>0</v>
      </c>
      <c r="AS686" s="2">
        <f>IF(LEFT(E686,1)*1=2,$U$59,$T$59)</f>
        <v>1</v>
      </c>
      <c r="AT686" s="33">
        <f>IF(LEFT(E686,1)*1=3,$W$59,$V$59)</f>
        <v>0</v>
      </c>
      <c r="AU686" s="31">
        <f>IF(MID(E686,3,1)*1=1,$Y$59,$X$59)</f>
        <v>1</v>
      </c>
      <c r="AV686" s="2">
        <f>IF(MID(E686,3,1)*1=2,$AA$59,$Z$59)</f>
        <v>0</v>
      </c>
      <c r="AW686" s="33">
        <f>IF(MID(E686,3,1)*1=3,$AC$59,$AB$59)</f>
        <v>60</v>
      </c>
      <c r="AX686" s="31">
        <f>IF(MID(E686,5,1)*1=1,$AE$59,$AD$59)</f>
        <v>1</v>
      </c>
      <c r="AY686" s="33">
        <f>IF(MID(E686,5,1)*1=2,$AG$59,$AF$59)</f>
        <v>1</v>
      </c>
      <c r="AZ686" s="2"/>
      <c r="BA686" s="101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</row>
    <row r="687" spans="1:71" ht="12" customHeight="1">
      <c r="A687" s="2"/>
      <c r="B687" s="107">
        <v>814</v>
      </c>
      <c r="C687" s="31">
        <v>7</v>
      </c>
      <c r="D687" s="113" t="s">
        <v>9</v>
      </c>
      <c r="E687" s="2" t="s">
        <v>168</v>
      </c>
      <c r="F687" s="2"/>
      <c r="G687" s="2"/>
      <c r="H687" s="33"/>
      <c r="I687" s="173">
        <f>M687/AE687</f>
        <v>484.69654771944391</v>
      </c>
      <c r="J687" s="174">
        <f>AH687/AE687</f>
        <v>12.752598912832589</v>
      </c>
      <c r="K687" s="207">
        <f>RANK(I687,$I$76:$I$977)</f>
        <v>612</v>
      </c>
      <c r="L687" s="208" t="e">
        <f>RANK(I687,$I$867:$I$977)</f>
        <v>#N/A</v>
      </c>
      <c r="M687" s="173">
        <f>SUM(N687:R687)*(1+$D$22/100)</f>
        <v>17407.512019539943</v>
      </c>
      <c r="N687" s="174">
        <f>T687*(1+((AG687+IF(F687="백어택",8,0))/100)*(AI687/100-1))</f>
        <v>11763.834468638493</v>
      </c>
      <c r="O687" s="174">
        <f>U687*(1+($D$57/100)*(AI687/100-1))</f>
        <v>1960.1747976702225</v>
      </c>
      <c r="P687" s="174"/>
      <c r="Q687" s="174"/>
      <c r="R687" s="175">
        <f>X687*(1+($D$57/100)*(AI687/100-1))</f>
        <v>1960.1747976702225</v>
      </c>
      <c r="S687" s="173">
        <f>SUM(T687:X687)</f>
        <v>13179.842626911588</v>
      </c>
      <c r="T687" s="174">
        <f>AL687*AU687*AY687</f>
        <v>9885.4671912310987</v>
      </c>
      <c r="U687" s="174">
        <f>AM687*AX687</f>
        <v>1647.1877178402442</v>
      </c>
      <c r="V687" s="174"/>
      <c r="W687" s="174"/>
      <c r="X687" s="175">
        <f>AM687*AS687</f>
        <v>1647.1877178402442</v>
      </c>
      <c r="Y687" s="173">
        <f>SUM(Z687:AD687)</f>
        <v>26359.685253823176</v>
      </c>
      <c r="Z687" s="174">
        <f>T687*$D$58/100</f>
        <v>19770.934382462197</v>
      </c>
      <c r="AA687" s="174">
        <f>U687*$D$58/100</f>
        <v>3294.3754356804884</v>
      </c>
      <c r="AB687" s="174"/>
      <c r="AC687" s="174"/>
      <c r="AD687" s="175">
        <f>X687*$D$58/100</f>
        <v>3294.3754356804884</v>
      </c>
      <c r="AE687" s="173">
        <f>AO687*(1-$D$17/100)</f>
        <v>35.914248000000001</v>
      </c>
      <c r="AF687" s="174">
        <f>AP687</f>
        <v>36</v>
      </c>
      <c r="AG687" s="174">
        <f>IF($D$57+AW687&gt;100,100,$D$57+AW687)</f>
        <v>19.001300000000001</v>
      </c>
      <c r="AH687" s="174">
        <f>AQ687</f>
        <v>458</v>
      </c>
      <c r="AI687" s="174">
        <f>$D$58</f>
        <v>200</v>
      </c>
      <c r="AJ687" s="174">
        <f>10/(6+AT687)</f>
        <v>1.6666666666666667</v>
      </c>
      <c r="AK687" s="174">
        <f>SUM(AL687:AN687)</f>
        <v>8237.4991786609771</v>
      </c>
      <c r="AL687" s="174">
        <f>(VLOOKUP(C687,$B$36:$AG$39,11,FALSE)+VLOOKUP(C687,$B$40:$AG$43,11,FALSE)*$D$54)*$D$59/100</f>
        <v>6590.3114608207325</v>
      </c>
      <c r="AM687" s="174">
        <f>(3*(VLOOKUP(C687,$B$36:$AG$39,12,FALSE)+VLOOKUP(C687,$B$40:$AG$43,12,FALSE)*$D$54))*$D$59/100</f>
        <v>1647.1877178402442</v>
      </c>
      <c r="AN687" s="174"/>
      <c r="AO687" s="176">
        <v>36</v>
      </c>
      <c r="AP687" s="174">
        <v>36</v>
      </c>
      <c r="AQ687" s="175">
        <f>VLOOKUP(C687,$B$45:$AA$48,11,FALSE)</f>
        <v>458</v>
      </c>
      <c r="AR687" s="31">
        <f>IF(LEFT(E687,1)*1=1,$S$59,$R$59)</f>
        <v>0</v>
      </c>
      <c r="AS687" s="2">
        <f>IF(LEFT(E687,1)*1=2,$U$59,$T$59)</f>
        <v>1</v>
      </c>
      <c r="AT687" s="33">
        <f>IF(LEFT(E687,1)*1=3,$W$59,$V$59)</f>
        <v>0</v>
      </c>
      <c r="AU687" s="31">
        <f>IF(MID(E687,3,1)*1=1,$Y$59,$X$59)</f>
        <v>1.5</v>
      </c>
      <c r="AV687" s="2">
        <f>IF(MID(E687,3,1)*1=2,$AA$59,$Z$59)</f>
        <v>0</v>
      </c>
      <c r="AW687" s="33">
        <f>IF(MID(E687,3,1)*1=3,$AC$59,$AB$59)</f>
        <v>0</v>
      </c>
      <c r="AX687" s="31">
        <f>IF(MID(E687,5,1)*1=1,$AE$59,$AD$59)</f>
        <v>1</v>
      </c>
      <c r="AY687" s="33">
        <f>IF(MID(E687,5,1)*1=2,$AG$59,$AF$59)</f>
        <v>1</v>
      </c>
      <c r="AZ687" s="2"/>
      <c r="BA687" s="101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</row>
    <row r="688" spans="1:71" ht="12" customHeight="1">
      <c r="A688" s="2"/>
      <c r="B688" s="107">
        <v>1</v>
      </c>
      <c r="C688" s="31">
        <v>10</v>
      </c>
      <c r="D688" s="167" t="s">
        <v>2</v>
      </c>
      <c r="E688" s="168" t="s">
        <v>67</v>
      </c>
      <c r="F688" s="168"/>
      <c r="G688" s="168"/>
      <c r="H688" s="33"/>
      <c r="I688" s="173">
        <f>M688/AE688</f>
        <v>484.62324744155114</v>
      </c>
      <c r="J688" s="177">
        <f>AH688/AE688</f>
        <v>34.707673678702669</v>
      </c>
      <c r="K688" s="209">
        <f>RANK(I688,$I$76:$I$977)</f>
        <v>613</v>
      </c>
      <c r="L688" s="208" t="e">
        <f>RANK(I688,$I$76:$I$450)</f>
        <v>#N/A</v>
      </c>
      <c r="M688" s="173">
        <f>SUM(N688:R688)</f>
        <v>3867.750998929163</v>
      </c>
      <c r="N688" s="174">
        <f>T688*(1+((AG688+IF(F688="백어택",8,0))/100)*((AI688/100-1)))</f>
        <v>3867.750998929163</v>
      </c>
      <c r="O688" s="177"/>
      <c r="P688" s="177"/>
      <c r="Q688" s="177"/>
      <c r="R688" s="175"/>
      <c r="S688" s="173">
        <f>SUM(T688:X688)</f>
        <v>2929.2657062865856</v>
      </c>
      <c r="T688" s="177">
        <f>AL688*AV688*AW688*AY688</f>
        <v>2929.2657062865856</v>
      </c>
      <c r="U688" s="177"/>
      <c r="V688" s="177"/>
      <c r="W688" s="177"/>
      <c r="X688" s="175"/>
      <c r="Y688" s="173">
        <f>SUM(Z688:AD688)</f>
        <v>5858.5314125731711</v>
      </c>
      <c r="Z688" s="177">
        <f>T688*$D$58/100</f>
        <v>5858.5314125731711</v>
      </c>
      <c r="AA688" s="177"/>
      <c r="AB688" s="177"/>
      <c r="AC688" s="177"/>
      <c r="AD688" s="175"/>
      <c r="AE688" s="173">
        <f>AO688*(1-$D$17/100)-AS688</f>
        <v>7.980944</v>
      </c>
      <c r="AF688" s="177"/>
      <c r="AG688" s="177">
        <f>IF($D$57+AT688&gt;100,100,$D$57+AT688)</f>
        <v>19.001300000000001</v>
      </c>
      <c r="AH688" s="177">
        <f>AQ688</f>
        <v>277</v>
      </c>
      <c r="AI688" s="177">
        <f>$D$58+$D$19</f>
        <v>268.61079999999998</v>
      </c>
      <c r="AJ688" s="177">
        <f>10*AY688/12</f>
        <v>0.83333333333333337</v>
      </c>
      <c r="AK688" s="177">
        <f>SUM(AL688:AN688)</f>
        <v>2929.2657062865856</v>
      </c>
      <c r="AL688" s="177">
        <f>(VLOOKUP(C688,$B$36:$AA$39,2,FALSE)+VLOOKUP(C688,$B$40:$AA$43,2,FALSE)*$D$54)*$D$59/100</f>
        <v>2929.2657062865856</v>
      </c>
      <c r="AM688" s="177"/>
      <c r="AN688" s="177"/>
      <c r="AO688" s="178">
        <v>8</v>
      </c>
      <c r="AP688" s="177">
        <v>15</v>
      </c>
      <c r="AQ688" s="175">
        <f>VLOOKUP(C688,$B$45:$AA$48,2,FALSE)</f>
        <v>277</v>
      </c>
      <c r="AR688" s="31">
        <f>IF(LEFT(E688,1)*1=1,$S$52,$R$52)</f>
        <v>0</v>
      </c>
      <c r="AS688" s="2">
        <f>IF(LEFT(E688,1)*1=2,$U$52,$T$52)</f>
        <v>0</v>
      </c>
      <c r="AT688" s="33">
        <f>IF(LEFT(E688,1)*1=3,$W$52,$V$52)</f>
        <v>0</v>
      </c>
      <c r="AU688" s="31">
        <f>IF(MID(E688,3,1)*1=1,$Y$52,$X$52)</f>
        <v>0</v>
      </c>
      <c r="AV688" s="2">
        <f>IF(MID(E688,3,1)*1=2,$AA$52,$Z$52)</f>
        <v>1</v>
      </c>
      <c r="AW688" s="33">
        <f>IF(MID(E688,3,1)*1=3,$AC$52,$AB$52)</f>
        <v>1</v>
      </c>
      <c r="AX688" s="31">
        <f>IF(MID(E688,5,1)*1=1,$AE$52,$AD$52)</f>
        <v>0</v>
      </c>
      <c r="AY688" s="33">
        <f>IF(MID(E688,5,1)*1=2,$AG$52,$AF$52)</f>
        <v>1</v>
      </c>
      <c r="AZ688" s="2"/>
      <c r="BA688" s="101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</row>
    <row r="689" spans="1:71" ht="12" customHeight="1">
      <c r="A689" s="2"/>
      <c r="B689" s="107">
        <v>10</v>
      </c>
      <c r="C689" s="31">
        <v>10</v>
      </c>
      <c r="D689" s="106" t="s">
        <v>2</v>
      </c>
      <c r="E689" s="2" t="s">
        <v>92</v>
      </c>
      <c r="F689" s="2"/>
      <c r="G689" s="2"/>
      <c r="H689" s="33"/>
      <c r="I689" s="173">
        <f>M689/AE689</f>
        <v>484.62324744155114</v>
      </c>
      <c r="J689" s="174">
        <f>AH689/AE689</f>
        <v>34.707673678702669</v>
      </c>
      <c r="K689" s="207">
        <f>RANK(I689,$I$76:$I$977)</f>
        <v>613</v>
      </c>
      <c r="L689" s="208" t="e">
        <f>RANK(I689,$I$76:$I$450)</f>
        <v>#N/A</v>
      </c>
      <c r="M689" s="173">
        <f>SUM(N689:R689)</f>
        <v>3867.750998929163</v>
      </c>
      <c r="N689" s="174">
        <f>T689*(1+((AG689+IF(F689="백어택",8,0))/100)*((AI689/100-1)))</f>
        <v>3867.750998929163</v>
      </c>
      <c r="O689" s="174"/>
      <c r="P689" s="174"/>
      <c r="Q689" s="174"/>
      <c r="R689" s="175"/>
      <c r="S689" s="173">
        <f>SUM(T689:X689)</f>
        <v>2929.2657062865856</v>
      </c>
      <c r="T689" s="174">
        <f>AL689*AV689*AW689*AY689</f>
        <v>2929.2657062865856</v>
      </c>
      <c r="U689" s="174"/>
      <c r="V689" s="174"/>
      <c r="W689" s="174"/>
      <c r="X689" s="175"/>
      <c r="Y689" s="173">
        <f>SUM(Z689:AD689)</f>
        <v>5858.5314125731711</v>
      </c>
      <c r="Z689" s="174">
        <f>T689*$D$58/100</f>
        <v>5858.5314125731711</v>
      </c>
      <c r="AA689" s="174"/>
      <c r="AB689" s="174"/>
      <c r="AC689" s="174"/>
      <c r="AD689" s="175"/>
      <c r="AE689" s="173">
        <f>AO689*(1-$D$17/100)-AS689</f>
        <v>7.980944</v>
      </c>
      <c r="AF689" s="174"/>
      <c r="AG689" s="174">
        <f>IF($D$57+AT689&gt;100,100,$D$57+AT689)</f>
        <v>19.001300000000001</v>
      </c>
      <c r="AH689" s="174">
        <f>AQ689</f>
        <v>277</v>
      </c>
      <c r="AI689" s="174">
        <f>$D$58+$D$19</f>
        <v>268.61079999999998</v>
      </c>
      <c r="AJ689" s="174">
        <f>10*AY689/12</f>
        <v>0.83333333333333337</v>
      </c>
      <c r="AK689" s="174">
        <f>SUM(AL689:AN689)</f>
        <v>2929.2657062865856</v>
      </c>
      <c r="AL689" s="174">
        <f>(VLOOKUP(C689,$B$36:$AA$39,2,FALSE)+VLOOKUP(C689,$B$40:$AA$43,2,FALSE)*$D$54)*$D$59/100</f>
        <v>2929.2657062865856</v>
      </c>
      <c r="AM689" s="174"/>
      <c r="AN689" s="174"/>
      <c r="AO689" s="176">
        <v>8</v>
      </c>
      <c r="AP689" s="174">
        <v>15</v>
      </c>
      <c r="AQ689" s="175">
        <f>VLOOKUP(C689,$B$45:$AA$48,2,FALSE)</f>
        <v>277</v>
      </c>
      <c r="AR689" s="31">
        <f>IF(LEFT(E689,1)*1=1,$S$52,$R$52)</f>
        <v>0</v>
      </c>
      <c r="AS689" s="2">
        <f>IF(LEFT(E689,1)*1=2,$U$52,$T$52)</f>
        <v>0</v>
      </c>
      <c r="AT689" s="33">
        <f>IF(LEFT(E689,1)*1=3,$W$52,$V$52)</f>
        <v>0</v>
      </c>
      <c r="AU689" s="31">
        <f>IF(MID(E689,3,1)*1=1,$Y$52,$X$52)</f>
        <v>0</v>
      </c>
      <c r="AV689" s="2">
        <f>IF(MID(E689,3,1)*1=2,$AA$52,$Z$52)</f>
        <v>1</v>
      </c>
      <c r="AW689" s="33">
        <f>IF(MID(E689,3,1)*1=3,$AC$52,$AB$52)</f>
        <v>1</v>
      </c>
      <c r="AX689" s="31">
        <f>IF(MID(E689,5,1)*1=1,$AE$52,$AD$52)</f>
        <v>0</v>
      </c>
      <c r="AY689" s="33">
        <f>IF(MID(E689,5,1)*1=2,$AG$52,$AF$52)</f>
        <v>1</v>
      </c>
      <c r="AZ689" s="2"/>
      <c r="BA689" s="101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</row>
    <row r="690" spans="1:71" ht="12" customHeight="1">
      <c r="A690" s="2"/>
      <c r="B690" s="107">
        <v>127</v>
      </c>
      <c r="C690" s="31">
        <v>10</v>
      </c>
      <c r="D690" s="106" t="s">
        <v>7</v>
      </c>
      <c r="E690" s="2" t="s">
        <v>140</v>
      </c>
      <c r="F690" s="2"/>
      <c r="G690" s="2"/>
      <c r="H690" s="33"/>
      <c r="I690" s="173">
        <f>M690/AE690</f>
        <v>484.17087708015583</v>
      </c>
      <c r="J690" s="174">
        <f>AH690/AE690</f>
        <v>32.967417276842326</v>
      </c>
      <c r="K690" s="207">
        <f>RANK(I690,$I$76:$I$977)</f>
        <v>615</v>
      </c>
      <c r="L690" s="208" t="e">
        <f>RANK(I690,$I$76:$I$450)</f>
        <v>#N/A</v>
      </c>
      <c r="M690" s="173">
        <f>N690+R690/2</f>
        <v>4347.1582384585581</v>
      </c>
      <c r="N690" s="174">
        <f>T690*(1+((AG690+IF(F690="백어택",8,0))/100)*((AI690/100-1)))</f>
        <v>4347.1582384585581</v>
      </c>
      <c r="O690" s="174"/>
      <c r="P690" s="174"/>
      <c r="Q690" s="174"/>
      <c r="R690" s="175">
        <f>X690*(1+(AG690/100)*(AI690/100-1))</f>
        <v>0</v>
      </c>
      <c r="S690" s="173">
        <f>SUM(T690:X690)</f>
        <v>3292.3478143353659</v>
      </c>
      <c r="T690" s="174">
        <f>AL690*AV690*AX690</f>
        <v>3292.3478143353659</v>
      </c>
      <c r="U690" s="174"/>
      <c r="V690" s="174"/>
      <c r="W690" s="174"/>
      <c r="X690" s="175">
        <f>AS690*AL690</f>
        <v>0</v>
      </c>
      <c r="Y690" s="173">
        <f>SUM(Z690:AD690)</f>
        <v>6584.6956286707318</v>
      </c>
      <c r="Z690" s="174">
        <f>T690*$D$58/100</f>
        <v>6584.6956286707318</v>
      </c>
      <c r="AA690" s="174"/>
      <c r="AB690" s="174"/>
      <c r="AC690" s="174"/>
      <c r="AD690" s="175">
        <f>X690*$D$58/100</f>
        <v>0</v>
      </c>
      <c r="AE690" s="173">
        <f>AO690*(1-$D$17/100)-AY690</f>
        <v>8.9785620000000002</v>
      </c>
      <c r="AF690" s="174">
        <f>AP690</f>
        <v>36</v>
      </c>
      <c r="AG690" s="174">
        <f>IF($D$57&gt;100,100,$D$57)</f>
        <v>19.001300000000001</v>
      </c>
      <c r="AH690" s="174">
        <f>AQ690*AR690</f>
        <v>296</v>
      </c>
      <c r="AI690" s="174">
        <f>$D$58+$D$19</f>
        <v>268.61079999999998</v>
      </c>
      <c r="AJ690" s="174">
        <f>10*AX690*AU690/9</f>
        <v>2.2222222222222223</v>
      </c>
      <c r="AK690" s="174">
        <f>SUM(AL690:AN690)</f>
        <v>1097.4492714451219</v>
      </c>
      <c r="AL690" s="174">
        <f>(VLOOKUP(C690,$B$36:$AG$39,8,FALSE)+VLOOKUP(C690,$B$40:$AG$43,8,FALSE)*$D$54)*$D$59/100</f>
        <v>1097.4492714451219</v>
      </c>
      <c r="AM690" s="174"/>
      <c r="AN690" s="174"/>
      <c r="AO690" s="176">
        <v>9</v>
      </c>
      <c r="AP690" s="174">
        <v>36</v>
      </c>
      <c r="AQ690" s="175">
        <f>VLOOKUP(C690,$B$45:$AA$48,8,FALSE)</f>
        <v>296</v>
      </c>
      <c r="AR690" s="31">
        <f>IF(LEFT(E690,1)*1=1,$S$57,$R$57)</f>
        <v>1</v>
      </c>
      <c r="AS690" s="2">
        <f>IF(LEFT(E690,1)*1=2,$U$57,$T$57)</f>
        <v>0</v>
      </c>
      <c r="AT690" s="33">
        <f>IF(LEFT(E690,1)*1=3,$W$57,$V$57)</f>
        <v>0</v>
      </c>
      <c r="AU690" s="31">
        <f>IF(MID(E690,3,1)*1=1,$Y$57,$X$57)</f>
        <v>1</v>
      </c>
      <c r="AV690" s="2">
        <f>IF(MID(E690,3,1)*1=2,$AA$57,$Z$57)</f>
        <v>1.5</v>
      </c>
      <c r="AW690" s="33">
        <f>IF(MID(E690,3,1)*1=3,$AC$57,$AB$57)</f>
        <v>0</v>
      </c>
      <c r="AX690" s="31">
        <f>IF(MID(E690,5,1)*1=1,$AE$57,$AD$57)</f>
        <v>2</v>
      </c>
      <c r="AY690" s="33">
        <f>IF(MID(E690,5,1)*1=2,$AG$57,$AF$57)</f>
        <v>0</v>
      </c>
      <c r="AZ690" s="2"/>
      <c r="BA690" s="101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</row>
    <row r="691" spans="1:71" ht="12" customHeight="1">
      <c r="A691" s="2"/>
      <c r="B691" s="107">
        <v>130</v>
      </c>
      <c r="C691" s="31">
        <v>10</v>
      </c>
      <c r="D691" s="106" t="s">
        <v>7</v>
      </c>
      <c r="E691" s="2" t="s">
        <v>153</v>
      </c>
      <c r="F691" s="2"/>
      <c r="G691" s="2"/>
      <c r="H691" s="33"/>
      <c r="I691" s="173">
        <f>M691/AE691</f>
        <v>484.17087708015583</v>
      </c>
      <c r="J691" s="174">
        <f>AH691/AE691</f>
        <v>16.483708638421163</v>
      </c>
      <c r="K691" s="207">
        <f>RANK(I691,$I$76:$I$977)</f>
        <v>615</v>
      </c>
      <c r="L691" s="208" t="e">
        <f>RANK(I691,$I$76:$I$450)</f>
        <v>#N/A</v>
      </c>
      <c r="M691" s="173">
        <f>N691+R691/2</f>
        <v>4347.1582384585581</v>
      </c>
      <c r="N691" s="174">
        <f>T691*(1+((AG691+IF(F691="백어택",8,0))/100)*((AI691/100-1)))</f>
        <v>4347.1582384585581</v>
      </c>
      <c r="O691" s="174"/>
      <c r="P691" s="174"/>
      <c r="Q691" s="174"/>
      <c r="R691" s="175">
        <f>X691*(1+(AG691/100)*(AI691/100-1))</f>
        <v>0</v>
      </c>
      <c r="S691" s="173">
        <f>SUM(T691:X691)</f>
        <v>3292.3478143353659</v>
      </c>
      <c r="T691" s="174">
        <f>AL691*AV691*AX691</f>
        <v>3292.3478143353659</v>
      </c>
      <c r="U691" s="174"/>
      <c r="V691" s="174"/>
      <c r="W691" s="174"/>
      <c r="X691" s="175">
        <f>AS691*AL691</f>
        <v>0</v>
      </c>
      <c r="Y691" s="173">
        <f>SUM(Z691:AD691)</f>
        <v>6584.6956286707318</v>
      </c>
      <c r="Z691" s="174">
        <f>T691*$D$58/100</f>
        <v>6584.6956286707318</v>
      </c>
      <c r="AA691" s="174"/>
      <c r="AB691" s="174"/>
      <c r="AC691" s="174"/>
      <c r="AD691" s="175">
        <f>X691*$D$58/100</f>
        <v>0</v>
      </c>
      <c r="AE691" s="173">
        <f>AO691*(1-$D$17/100)-AY691</f>
        <v>8.9785620000000002</v>
      </c>
      <c r="AF691" s="174">
        <f>AP691</f>
        <v>36</v>
      </c>
      <c r="AG691" s="174">
        <f>IF($D$57&gt;100,100,$D$57)</f>
        <v>19.001300000000001</v>
      </c>
      <c r="AH691" s="174">
        <f>AQ691*AR691</f>
        <v>148</v>
      </c>
      <c r="AI691" s="174">
        <f>$D$58+$D$19</f>
        <v>268.61079999999998</v>
      </c>
      <c r="AJ691" s="174">
        <f>10*AX691*AU691/9</f>
        <v>2.2222222222222223</v>
      </c>
      <c r="AK691" s="174">
        <f>SUM(AL691:AN691)</f>
        <v>1097.4492714451219</v>
      </c>
      <c r="AL691" s="174">
        <f>(VLOOKUP(C691,$B$36:$AG$39,8,FALSE)+VLOOKUP(C691,$B$40:$AG$43,8,FALSE)*$D$54)*$D$59/100</f>
        <v>1097.4492714451219</v>
      </c>
      <c r="AM691" s="174"/>
      <c r="AN691" s="174"/>
      <c r="AO691" s="176">
        <v>9</v>
      </c>
      <c r="AP691" s="174">
        <v>36</v>
      </c>
      <c r="AQ691" s="175">
        <f>VLOOKUP(C691,$B$45:$AA$48,8,FALSE)</f>
        <v>296</v>
      </c>
      <c r="AR691" s="31">
        <f>IF(LEFT(E691,1)*1=1,$S$57,$R$57)</f>
        <v>0.5</v>
      </c>
      <c r="AS691" s="2">
        <f>IF(LEFT(E691,1)*1=2,$U$57,$T$57)</f>
        <v>0</v>
      </c>
      <c r="AT691" s="33">
        <f>IF(LEFT(E691,1)*1=3,$W$57,$V$57)</f>
        <v>0</v>
      </c>
      <c r="AU691" s="31">
        <f>IF(MID(E691,3,1)*1=1,$Y$57,$X$57)</f>
        <v>1</v>
      </c>
      <c r="AV691" s="2">
        <f>IF(MID(E691,3,1)*1=2,$AA$57,$Z$57)</f>
        <v>1.5</v>
      </c>
      <c r="AW691" s="33">
        <f>IF(MID(E691,3,1)*1=3,$AC$57,$AB$57)</f>
        <v>0</v>
      </c>
      <c r="AX691" s="31">
        <f>IF(MID(E691,5,1)*1=1,$AE$57,$AD$57)</f>
        <v>2</v>
      </c>
      <c r="AY691" s="33">
        <f>IF(MID(E691,5,1)*1=2,$AG$57,$AF$57)</f>
        <v>0</v>
      </c>
      <c r="AZ691" s="2"/>
      <c r="BA691" s="101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</row>
    <row r="692" spans="1:71" ht="12" customHeight="1">
      <c r="A692" s="2"/>
      <c r="B692" s="107">
        <v>788</v>
      </c>
      <c r="C692" s="31">
        <v>4</v>
      </c>
      <c r="D692" s="111" t="s">
        <v>21</v>
      </c>
      <c r="E692" s="2" t="s">
        <v>67</v>
      </c>
      <c r="F692" s="2" t="s">
        <v>149</v>
      </c>
      <c r="G692" s="2"/>
      <c r="H692" s="33"/>
      <c r="I692" s="173">
        <f>M692/AE692</f>
        <v>483.68645319352686</v>
      </c>
      <c r="J692" s="174">
        <f>AH692/AE692</f>
        <v>9.0885601645267471</v>
      </c>
      <c r="K692" s="207">
        <f>RANK(I692,$I$76:$I$977)</f>
        <v>617</v>
      </c>
      <c r="L692" s="208">
        <f>RANK(I692,$I$451:$I$866)</f>
        <v>242</v>
      </c>
      <c r="M692" s="173">
        <f>SUM(N692:R692)</f>
        <v>13411.253707766558</v>
      </c>
      <c r="N692" s="174">
        <f>T692*(1+((AG692+IF(F692="백어택",8,0))/100)*(AI692/100-1))</f>
        <v>13411.253707766558</v>
      </c>
      <c r="O692" s="174"/>
      <c r="P692" s="174"/>
      <c r="Q692" s="174"/>
      <c r="R692" s="175">
        <f>X692*(1+(AG692/100)*(AI692/100-1))</f>
        <v>0</v>
      </c>
      <c r="S692" s="173">
        <f>SUM(T692:X692)</f>
        <v>10559.934195765365</v>
      </c>
      <c r="T692" s="174">
        <f>AL692*AW692*AX692*AY692*IF(F692="백어택",1.2,1)</f>
        <v>10559.934195765365</v>
      </c>
      <c r="U692" s="174"/>
      <c r="V692" s="174"/>
      <c r="W692" s="174"/>
      <c r="X692" s="175">
        <f>AL692*AS692+IF(AX692=1,AL692*AU692,AL692*AU692*2)</f>
        <v>0</v>
      </c>
      <c r="Y692" s="173">
        <f>SUM(Z692:AD692)</f>
        <v>21119.868391530727</v>
      </c>
      <c r="Z692" s="174">
        <f>T692*$D$58/100</f>
        <v>21119.868391530727</v>
      </c>
      <c r="AA692" s="174"/>
      <c r="AB692" s="174"/>
      <c r="AC692" s="174"/>
      <c r="AD692" s="175">
        <f>X692*$D$58/100</f>
        <v>0</v>
      </c>
      <c r="AE692" s="173">
        <f>AO692*(1-$D$20/100)*(1-$D$17/100)-AR692</f>
        <v>27.727164197424003</v>
      </c>
      <c r="AF692" s="174">
        <f>AP692</f>
        <v>36</v>
      </c>
      <c r="AG692" s="174">
        <f>IF($D$57&gt;100,100,$D$57)</f>
        <v>19.001300000000001</v>
      </c>
      <c r="AH692" s="174">
        <f>AQ692</f>
        <v>252</v>
      </c>
      <c r="AI692" s="174">
        <f>$D$58</f>
        <v>200</v>
      </c>
      <c r="AJ692" s="174">
        <f>10/6</f>
        <v>1.6666666666666667</v>
      </c>
      <c r="AK692" s="174">
        <f>SUM(AL692:AN692)</f>
        <v>8799.9451631378051</v>
      </c>
      <c r="AL692" s="174">
        <f>(VLOOKUP(C692,$B$36:$AG$39,31,FALSE)+VLOOKUP(C692,$B$40:$AG$43,31,FALSE)*$D$54)*$D$59/100</f>
        <v>8799.9451631378051</v>
      </c>
      <c r="AM692" s="174"/>
      <c r="AN692" s="174"/>
      <c r="AO692" s="176">
        <v>36</v>
      </c>
      <c r="AP692" s="174">
        <v>36</v>
      </c>
      <c r="AQ692" s="175">
        <f>VLOOKUP(C692,$B$45:$AG$48,31,FALSE)</f>
        <v>252</v>
      </c>
      <c r="AR692" s="31">
        <f>IF(LEFT(E692,1)*1=1,$S$71,$R$71)</f>
        <v>0</v>
      </c>
      <c r="AS692" s="2">
        <f>IF(LEFT(E692,1)*1=2,$U$71,$T$71)</f>
        <v>0</v>
      </c>
      <c r="AT692" s="33">
        <f>IF(LEFT(E692,1)*1=3,$W$71,$V$71)</f>
        <v>0</v>
      </c>
      <c r="AU692" s="31">
        <f>IF(MID(E692,3,1)*1=1,$Y$71,$X$71)</f>
        <v>0</v>
      </c>
      <c r="AV692" s="2">
        <f>IF(MID(E692,3,1)*1=2,$AA$71,$Z$71)</f>
        <v>0</v>
      </c>
      <c r="AW692" s="33">
        <f>IF(MID(E692,3,1)*1=3,$AC$71,$AB$71)</f>
        <v>1</v>
      </c>
      <c r="AX692" s="31">
        <f>IF(MID(E692,5,1)*1=1,$AE$71,$AD$71)</f>
        <v>1</v>
      </c>
      <c r="AY692" s="33">
        <f>IF(MID(E692,5,1)*1=2,$AG$71,$AF$71)</f>
        <v>1</v>
      </c>
      <c r="AZ692" s="2"/>
      <c r="BA692" s="101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</row>
    <row r="693" spans="1:71" ht="12" customHeight="1">
      <c r="A693" s="2"/>
      <c r="B693" s="107">
        <v>29</v>
      </c>
      <c r="C693" s="31">
        <v>4</v>
      </c>
      <c r="D693" s="106" t="s">
        <v>2</v>
      </c>
      <c r="E693" s="2" t="s">
        <v>79</v>
      </c>
      <c r="F693" s="2"/>
      <c r="G693" s="2"/>
      <c r="H693" s="33"/>
      <c r="I693" s="173">
        <f>M693/AE693</f>
        <v>482.53052380894906</v>
      </c>
      <c r="J693" s="174">
        <f>AH693/AE693</f>
        <v>15.184192854146946</v>
      </c>
      <c r="K693" s="207">
        <f>RANK(I693,$I$76:$I$977)</f>
        <v>618</v>
      </c>
      <c r="L693" s="208" t="e">
        <f>RANK(I693,$I$76:$I$450)</f>
        <v>#N/A</v>
      </c>
      <c r="M693" s="173">
        <f>SUM(N693:R693)</f>
        <v>3368.5185650009403</v>
      </c>
      <c r="N693" s="174">
        <f>T693*(1+((AG693+IF(F693="백어택",8,0))/100)*((AI693/100-1)))</f>
        <v>3368.5185650009403</v>
      </c>
      <c r="O693" s="174"/>
      <c r="P693" s="174"/>
      <c r="Q693" s="174"/>
      <c r="R693" s="175"/>
      <c r="S693" s="173">
        <f>SUM(T693:X693)</f>
        <v>2551.1688617439027</v>
      </c>
      <c r="T693" s="174">
        <f>AL693*AV693*AW693*AY693</f>
        <v>2551.1688617439027</v>
      </c>
      <c r="U693" s="174"/>
      <c r="V693" s="174"/>
      <c r="W693" s="174"/>
      <c r="X693" s="175"/>
      <c r="Y693" s="173">
        <f>SUM(Z693:AD693)</f>
        <v>5102.3377234878053</v>
      </c>
      <c r="Z693" s="174">
        <f>T693*$D$58/100</f>
        <v>5102.3377234878053</v>
      </c>
      <c r="AA693" s="174"/>
      <c r="AB693" s="174"/>
      <c r="AC693" s="174"/>
      <c r="AD693" s="175"/>
      <c r="AE693" s="173">
        <f>AO693*(1-$D$17/100)-AS693</f>
        <v>6.980944</v>
      </c>
      <c r="AF693" s="174"/>
      <c r="AG693" s="174">
        <f>IF($D$57+AT693&gt;100,100,$D$57+AT693)</f>
        <v>19.001300000000001</v>
      </c>
      <c r="AH693" s="174">
        <f>AQ693</f>
        <v>106</v>
      </c>
      <c r="AI693" s="174">
        <f>$D$58+$D$19</f>
        <v>268.61079999999998</v>
      </c>
      <c r="AJ693" s="174">
        <f>10*AY693/12</f>
        <v>0.83333333333333337</v>
      </c>
      <c r="AK693" s="174">
        <f>SUM(AL693:AN693)</f>
        <v>2551.1688617439027</v>
      </c>
      <c r="AL693" s="174">
        <f>(VLOOKUP(C693,$B$36:$AA$39,2,FALSE)+VLOOKUP(C693,$B$40:$AA$43,2,FALSE)*$D$54)*$D$59/100</f>
        <v>2551.1688617439027</v>
      </c>
      <c r="AM693" s="174"/>
      <c r="AN693" s="174"/>
      <c r="AO693" s="176">
        <v>8</v>
      </c>
      <c r="AP693" s="174">
        <v>15</v>
      </c>
      <c r="AQ693" s="175">
        <f>VLOOKUP(C693,$B$45:$AA$48,2,FALSE)</f>
        <v>106</v>
      </c>
      <c r="AR693" s="31">
        <f>IF(LEFT(E693,1)*1=1,$S$52,$R$52)</f>
        <v>0</v>
      </c>
      <c r="AS693" s="2">
        <f>IF(LEFT(E693,1)*1=2,$U$52,$T$52)</f>
        <v>1</v>
      </c>
      <c r="AT693" s="33">
        <f>IF(LEFT(E693,1)*1=3,$W$52,$V$52)</f>
        <v>0</v>
      </c>
      <c r="AU693" s="31">
        <f>IF(MID(E693,3,1)*1=1,$Y$52,$X$52)</f>
        <v>0</v>
      </c>
      <c r="AV693" s="2">
        <f>IF(MID(E693,3,1)*1=2,$AA$52,$Z$52)</f>
        <v>1</v>
      </c>
      <c r="AW693" s="33">
        <f>IF(MID(E693,3,1)*1=3,$AC$52,$AB$52)</f>
        <v>1</v>
      </c>
      <c r="AX693" s="31">
        <f>IF(MID(E693,5,1)*1=1,$AE$52,$AD$52)</f>
        <v>0</v>
      </c>
      <c r="AY693" s="33">
        <f>IF(MID(E693,5,1)*1=2,$AG$52,$AF$52)</f>
        <v>1</v>
      </c>
      <c r="AZ693" s="2"/>
      <c r="BA693" s="101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</row>
    <row r="694" spans="1:71" ht="12" customHeight="1">
      <c r="A694" s="2"/>
      <c r="B694" s="107">
        <v>758</v>
      </c>
      <c r="C694" s="31">
        <v>4</v>
      </c>
      <c r="D694" s="111" t="s">
        <v>21</v>
      </c>
      <c r="E694" s="2" t="s">
        <v>148</v>
      </c>
      <c r="F694" s="2"/>
      <c r="G694" s="2"/>
      <c r="H694" s="33"/>
      <c r="I694" s="173">
        <f>M694/AE694</f>
        <v>481.97956476357308</v>
      </c>
      <c r="J694" s="174">
        <f>AH694/AE694</f>
        <v>11.598384294894656</v>
      </c>
      <c r="K694" s="207">
        <f>RANK(I694,$I$76:$I$977)</f>
        <v>619</v>
      </c>
      <c r="L694" s="208">
        <f>RANK(I694,$I$451:$I$866)</f>
        <v>244</v>
      </c>
      <c r="M694" s="173">
        <f>SUM(N694:R694)</f>
        <v>10472.049143421109</v>
      </c>
      <c r="N694" s="174">
        <f>T694*(1+((AG694+IF(F694="백어택",8,0))/100)*(AI694/100-1))</f>
        <v>10472.049143421109</v>
      </c>
      <c r="O694" s="174"/>
      <c r="P694" s="174"/>
      <c r="Q694" s="174"/>
      <c r="R694" s="175">
        <f>X694*(1+(AG694/100)*(AI694/100-1))</f>
        <v>0</v>
      </c>
      <c r="S694" s="173">
        <f>SUM(T694:X694)</f>
        <v>8799.9451631378051</v>
      </c>
      <c r="T694" s="174">
        <f>AL694*AW694*AX694*AY694*IF(F694="백어택",1.2,1)</f>
        <v>8799.9451631378051</v>
      </c>
      <c r="U694" s="174"/>
      <c r="V694" s="174"/>
      <c r="W694" s="174"/>
      <c r="X694" s="175">
        <f>AL694*AS694+IF(AX694=1,AL694*AU694,AL694*AU694*2)</f>
        <v>0</v>
      </c>
      <c r="Y694" s="173">
        <f>SUM(Z694:AD694)</f>
        <v>17599.89032627561</v>
      </c>
      <c r="Z694" s="174">
        <f>T694*$D$58/100</f>
        <v>17599.89032627561</v>
      </c>
      <c r="AA694" s="174"/>
      <c r="AB694" s="174"/>
      <c r="AC694" s="174"/>
      <c r="AD694" s="175">
        <f>X694*$D$58/100</f>
        <v>0</v>
      </c>
      <c r="AE694" s="173">
        <f>AO694*(1-$D$20/100)*(1-$D$17/100)-AR694</f>
        <v>21.727164197424003</v>
      </c>
      <c r="AF694" s="174">
        <f>AP694</f>
        <v>36</v>
      </c>
      <c r="AG694" s="174">
        <f>IF($D$57&gt;100,100,$D$57)</f>
        <v>19.001300000000001</v>
      </c>
      <c r="AH694" s="174">
        <f>AQ694</f>
        <v>252</v>
      </c>
      <c r="AI694" s="174">
        <f>$D$58</f>
        <v>200</v>
      </c>
      <c r="AJ694" s="174">
        <f>10/6</f>
        <v>1.6666666666666667</v>
      </c>
      <c r="AK694" s="174">
        <f>SUM(AL694:AN694)</f>
        <v>8799.9451631378051</v>
      </c>
      <c r="AL694" s="174">
        <f>(VLOOKUP(C694,$B$36:$AG$39,31,FALSE)+VLOOKUP(C694,$B$40:$AG$43,31,FALSE)*$D$54)*$D$59/100</f>
        <v>8799.9451631378051</v>
      </c>
      <c r="AM694" s="174"/>
      <c r="AN694" s="174"/>
      <c r="AO694" s="176">
        <v>36</v>
      </c>
      <c r="AP694" s="174">
        <v>36</v>
      </c>
      <c r="AQ694" s="175">
        <f>VLOOKUP(C694,$B$45:$AG$48,31,FALSE)</f>
        <v>252</v>
      </c>
      <c r="AR694" s="31">
        <f>IF(LEFT(E694,1)*1=1,$S$71,$R$71)</f>
        <v>6</v>
      </c>
      <c r="AS694" s="2">
        <f>IF(LEFT(E694,1)*1=2,$U$71,$T$71)</f>
        <v>0</v>
      </c>
      <c r="AT694" s="33">
        <f>IF(LEFT(E694,1)*1=3,$W$71,$V$71)</f>
        <v>0</v>
      </c>
      <c r="AU694" s="31">
        <f>IF(MID(E694,3,1)*1=1,$Y$71,$X$71)</f>
        <v>0</v>
      </c>
      <c r="AV694" s="2">
        <f>IF(MID(E694,3,1)*1=2,$AA$71,$Z$71)</f>
        <v>0</v>
      </c>
      <c r="AW694" s="33">
        <f>IF(MID(E694,3,1)*1=3,$AC$71,$AB$71)</f>
        <v>1</v>
      </c>
      <c r="AX694" s="31">
        <f>IF(MID(E694,5,1)*1=1,$AE$71,$AD$71)</f>
        <v>1</v>
      </c>
      <c r="AY694" s="33">
        <f>IF(MID(E694,5,1)*1=2,$AG$71,$AF$71)</f>
        <v>1</v>
      </c>
      <c r="AZ694" s="2"/>
      <c r="BA694" s="101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</row>
    <row r="695" spans="1:71" ht="12" customHeight="1">
      <c r="A695" s="2"/>
      <c r="B695" s="107">
        <v>880</v>
      </c>
      <c r="C695" s="31">
        <v>4</v>
      </c>
      <c r="D695" s="113" t="s">
        <v>19</v>
      </c>
      <c r="E695" s="2" t="s">
        <v>87</v>
      </c>
      <c r="F695" s="2"/>
      <c r="G695" s="2"/>
      <c r="H695" s="33">
        <f>IF(AY695=1,4,6)</f>
        <v>4</v>
      </c>
      <c r="I695" s="173">
        <f>M695/AE695</f>
        <v>481.0478763988495</v>
      </c>
      <c r="J695" s="174">
        <f>AH695/AE695</f>
        <v>8.3114645752849956</v>
      </c>
      <c r="K695" s="207">
        <f>RANK(I695,$I$76:$I$977)</f>
        <v>620</v>
      </c>
      <c r="L695" s="208" t="e">
        <f>RANK(I695,$I$867:$I$977)</f>
        <v>#N/A</v>
      </c>
      <c r="M695" s="173">
        <f>SUM(N695:R695)*(1+$D$22/100)</f>
        <v>11517.648488574418</v>
      </c>
      <c r="N695" s="174">
        <f>T695*(1+($D$57/100)*($D$58/100-1))</f>
        <v>5335.3104385786228</v>
      </c>
      <c r="O695" s="174">
        <f>U695*(1+(AG695/100)*(AI695/100-1))</f>
        <v>5042.1012602463425</v>
      </c>
      <c r="P695" s="174"/>
      <c r="Q695" s="174"/>
      <c r="R695" s="175"/>
      <c r="S695" s="173">
        <f>SUM(T695:X695)</f>
        <v>7004.4558018134157</v>
      </c>
      <c r="T695" s="174">
        <f>AL695*AU695</f>
        <v>4483.4051716902441</v>
      </c>
      <c r="U695" s="174">
        <f>AM695*AU695</f>
        <v>2521.0506301231712</v>
      </c>
      <c r="V695" s="174"/>
      <c r="W695" s="174"/>
      <c r="X695" s="175"/>
      <c r="Y695" s="173">
        <f>SUM(Z695:AD695)</f>
        <v>14008.911603626831</v>
      </c>
      <c r="Z695" s="174">
        <f>T695*$D$58/100</f>
        <v>8966.8103433804881</v>
      </c>
      <c r="AA695" s="174">
        <f>U695*$D$58/100</f>
        <v>5042.1012602463425</v>
      </c>
      <c r="AB695" s="174"/>
      <c r="AC695" s="174"/>
      <c r="AD695" s="175"/>
      <c r="AE695" s="173">
        <f>AO695*(1-$D$17/100)</f>
        <v>23.942831999999999</v>
      </c>
      <c r="AF695" s="174">
        <f>AP695</f>
        <v>36</v>
      </c>
      <c r="AG695" s="174">
        <f>IF($D$57+AT695&gt;100,100,$D$57+AT695)</f>
        <v>100</v>
      </c>
      <c r="AH695" s="174">
        <f>AQ695</f>
        <v>199</v>
      </c>
      <c r="AI695" s="174">
        <f>$D$58</f>
        <v>200</v>
      </c>
      <c r="AJ695" s="174">
        <f>10/IF(AY695=1,(2.5+AX695),2)</f>
        <v>4</v>
      </c>
      <c r="AK695" s="174">
        <f>SUM(AL695:AN695)</f>
        <v>7004.4558018134157</v>
      </c>
      <c r="AL695" s="174">
        <f>(H695-1)*(VLOOKUP(C695,$B$36:$AG$39,27,FALSE)+VLOOKUP(C695,$B$40:$AG$43,27,FALSE)*$D$54)*$D$59/100</f>
        <v>4483.4051716902441</v>
      </c>
      <c r="AM695" s="174">
        <f>(VLOOKUP(C695,$B$36:$AG$39,28,FALSE)+VLOOKUP(C695,$B$40:$AG$43,28,FALSE)*$D$54)*$D$59/100</f>
        <v>2521.0506301231712</v>
      </c>
      <c r="AN695" s="174"/>
      <c r="AO695" s="176">
        <v>24</v>
      </c>
      <c r="AP695" s="174">
        <v>36</v>
      </c>
      <c r="AQ695" s="175">
        <f>VLOOKUP(C695,$B$45:$AG$48,27,FALSE)</f>
        <v>199</v>
      </c>
      <c r="AR695" s="31">
        <f>IF(LEFT(E695,1)*1=1,$S$69,$R$69)</f>
        <v>0</v>
      </c>
      <c r="AS695" s="2">
        <f>IF(LEFT(E695,1)*1=2,$U$69,$T$69)</f>
        <v>0</v>
      </c>
      <c r="AT695" s="33">
        <f>IF(LEFT(E695,1)*1=3,$W$69,$V$69)</f>
        <v>100</v>
      </c>
      <c r="AU695" s="31">
        <f>IF(MID(E695,3,1)*1=1,$Y$69,$X$69)</f>
        <v>1</v>
      </c>
      <c r="AV695" s="2">
        <f>IF(MID(E695,3,1)*1=2,$AA$69,$Z$69)</f>
        <v>0</v>
      </c>
      <c r="AW695" s="33">
        <f>IF(MID(E695,3,1)*1=3,$AC$69,$AB$69)</f>
        <v>0</v>
      </c>
      <c r="AX695" s="31">
        <f>IF(MID(E695,5,1)*1=1,$AE$69,$AD$69)</f>
        <v>0</v>
      </c>
      <c r="AY695" s="33">
        <f>IF(MID(E695,5,1)*1=2,$AG$69,$AF$69)</f>
        <v>1</v>
      </c>
      <c r="AZ695" s="2"/>
      <c r="BA695" s="101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</row>
    <row r="696" spans="1:71" ht="12" customHeight="1">
      <c r="A696" s="2"/>
      <c r="B696" s="107">
        <v>698</v>
      </c>
      <c r="C696" s="31">
        <v>1</v>
      </c>
      <c r="D696" s="111" t="s">
        <v>18</v>
      </c>
      <c r="E696" s="2" t="s">
        <v>67</v>
      </c>
      <c r="F696" s="2" t="s">
        <v>149</v>
      </c>
      <c r="G696" s="1"/>
      <c r="H696" s="33" t="s">
        <v>81</v>
      </c>
      <c r="I696" s="173">
        <f>M696/AE696</f>
        <v>480.95215448486789</v>
      </c>
      <c r="J696" s="174">
        <f>AH696/AE696</f>
        <v>5.4639558131976278</v>
      </c>
      <c r="K696" s="207">
        <f>RANK(I696,$I$76:$I$977)</f>
        <v>621</v>
      </c>
      <c r="L696" s="208">
        <f>RANK(I696,$I$451:$I$866)</f>
        <v>246</v>
      </c>
      <c r="M696" s="173">
        <f>SUM(N696:R696)</f>
        <v>8890.2929056711764</v>
      </c>
      <c r="N696" s="174">
        <f>T696*(1+((AG696+IF(F696="백어택",8,0))/100)*(AI696/100-1))</f>
        <v>5307.2281185977172</v>
      </c>
      <c r="O696" s="174">
        <f>U696*(1+(($D$57+IF(F696="백어택",8,0))/100)*(AI696/100-1))</f>
        <v>3583.0647870734588</v>
      </c>
      <c r="P696" s="174"/>
      <c r="Q696" s="174"/>
      <c r="R696" s="175"/>
      <c r="S696" s="173">
        <f>SUM(T696:X696)</f>
        <v>7000.1589792160994</v>
      </c>
      <c r="T696" s="174">
        <f>AL696*IF(H696="근접",AT696,IF(AV696=1,AT696,1))*AX696*IF(F696="백어택",1.2,1)</f>
        <v>4178.8770025170743</v>
      </c>
      <c r="U696" s="174">
        <f>IF(AX696=1,AM696*IF(H696="근접",AT696,IF(AV696=1,AT696,1)),0)*AY696*IF(AX696=1,1,0)*IF(F696="백어택",1.2,1)</f>
        <v>2821.2819766990247</v>
      </c>
      <c r="V696" s="174"/>
      <c r="W696" s="174"/>
      <c r="X696" s="175"/>
      <c r="Y696" s="173">
        <f>SUM(Z696:AD696)</f>
        <v>14000.317958432199</v>
      </c>
      <c r="Z696" s="174">
        <f>T696*$D$58/100</f>
        <v>8357.7540050341486</v>
      </c>
      <c r="AA696" s="174">
        <f>U696*$D$58/100</f>
        <v>5642.5639533980493</v>
      </c>
      <c r="AB696" s="174"/>
      <c r="AC696" s="174"/>
      <c r="AD696" s="175"/>
      <c r="AE696" s="173">
        <f>(AO696*(1-$D$20/100)*(1-$D$17/100)-AR696)*IF(AW696="보스대상",1,POWER(0.85,AW696))</f>
        <v>18.484776131615998</v>
      </c>
      <c r="AF696" s="174">
        <f>AP696</f>
        <v>36</v>
      </c>
      <c r="AG696" s="174">
        <f>IF($D$57+AU696&gt;100,100,$D$57+AU696)</f>
        <v>19.001300000000001</v>
      </c>
      <c r="AH696" s="174">
        <f>AQ696</f>
        <v>101</v>
      </c>
      <c r="AI696" s="174">
        <f>$D$58</f>
        <v>200</v>
      </c>
      <c r="AJ696" s="174">
        <f>10*AS696/IF(AX696=1,IF(AY696=1,4.5,4),4)</f>
        <v>2.2222222222222223</v>
      </c>
      <c r="AK696" s="174">
        <f>SUM(AL696:AN696)</f>
        <v>5833.4658160134159</v>
      </c>
      <c r="AL696" s="174">
        <f>IF(AV696=1,$D$61*(VLOOKUP(C696,$B$36:$AG$39,25,FALSE)+VLOOKUP(C696,$B$40:$AG$43,25,FALSE)*$D$54),(IF(H696="근접",$D$61*(VLOOKUP(C696,$B$36:$AG$39,25,FALSE)+VLOOKUP(C696,$B$40:$AG$43,25,FALSE)*$D$54),$D$60*(VLOOKUP(C696,$B$36:$AG$39,25,FALSE)+VLOOKUP(C696,$B$40:$AG$43,25,FALSE)*$D$54))))*$D$59/100</f>
        <v>3482.3975020975618</v>
      </c>
      <c r="AM696" s="174">
        <f>(IF(AV696=1,$D$61*(VLOOKUP(C696,$B$36:$AG$39,26,FALSE)+VLOOKUP(C696,$B$40:$AG$43,26,FALSE)*$D$54),IF(H696="근접",$D$61*(VLOOKUP(C696,$B$36:$AG$39,26,FALSE)+VLOOKUP(C696,$B$40:$AG$43,26,FALSE)*$D$54),$D$60*(VLOOKUP(C696,$B$36:$AG$39,26,FALSE)+VLOOKUP(C696,$B$40:$AG$43,26,FALSE)*$D$54))))*$D$59/100</f>
        <v>2351.0683139158541</v>
      </c>
      <c r="AN696" s="174"/>
      <c r="AO696" s="176">
        <v>24</v>
      </c>
      <c r="AP696" s="174">
        <v>36</v>
      </c>
      <c r="AQ696" s="175">
        <f>VLOOKUP(C696,$B$45:$AA$48,25,FALSE)</f>
        <v>101</v>
      </c>
      <c r="AR696" s="31">
        <f>IF(LEFT(E696,1)*1=1,$S$68,$R$68)</f>
        <v>0</v>
      </c>
      <c r="AS696" s="2">
        <f>IF(LEFT(E696,1)*1=2,$U$68,$T$68)</f>
        <v>1</v>
      </c>
      <c r="AT696" s="33">
        <f>IF(LEFT(E696,1)*1=3,$W$68,$V$68)</f>
        <v>1</v>
      </c>
      <c r="AU696" s="31">
        <f>IF(MID(E696,3,1)*1=1,$Y$68,$X$68)</f>
        <v>0</v>
      </c>
      <c r="AV696" s="2">
        <f>IF(MID(E696,3,1)*1=2,$AA$68,$Z$68)</f>
        <v>0</v>
      </c>
      <c r="AW696" s="33" t="str">
        <f>IF(MID(E696,3,1)*1=3,$AC$68,$AB$68)</f>
        <v>보스대상</v>
      </c>
      <c r="AX696" s="31">
        <f>IF(MID(E696,5,1)*1=1,$AE$68,$AD$68)</f>
        <v>1</v>
      </c>
      <c r="AY696" s="33">
        <f>IF(MID(E696,5,1)*1=2,$AG$68,$AF$68)</f>
        <v>1</v>
      </c>
      <c r="AZ696" s="2"/>
      <c r="BA696" s="101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</row>
    <row r="697" spans="1:71" ht="12" customHeight="1">
      <c r="A697" s="2"/>
      <c r="B697" s="107">
        <v>62</v>
      </c>
      <c r="C697" s="31">
        <v>10</v>
      </c>
      <c r="D697" s="106" t="s">
        <v>4</v>
      </c>
      <c r="E697" s="2" t="s">
        <v>92</v>
      </c>
      <c r="F697" s="2"/>
      <c r="G697" s="2"/>
      <c r="H697" s="33"/>
      <c r="I697" s="173">
        <f>M697/AE697</f>
        <v>478.88415307571614</v>
      </c>
      <c r="J697" s="174">
        <f>AH697/AE697</f>
        <v>29.152775243964456</v>
      </c>
      <c r="K697" s="207">
        <f>RANK(I697,$I$76:$I$977)</f>
        <v>622</v>
      </c>
      <c r="L697" s="208" t="e">
        <f>RANK(I697,$I$76:$I$450)</f>
        <v>#N/A</v>
      </c>
      <c r="M697" s="173">
        <f>SUM(N697:R697)</f>
        <v>5732.9214122770773</v>
      </c>
      <c r="N697" s="174">
        <f>T697*(1+((AG697+IF(F697="백어택",8,0))/100)*((AI697/100-1)))</f>
        <v>726.40092698422472</v>
      </c>
      <c r="O697" s="174">
        <f>U697*(1+((AG697+IF(F697="백어택",8,0))/100)*(AI697/100-1))</f>
        <v>5006.5204852928528</v>
      </c>
      <c r="P697" s="174"/>
      <c r="Q697" s="174"/>
      <c r="R697" s="175"/>
      <c r="S697" s="173">
        <f>SUM(T697:X697)</f>
        <v>4341.8643274783544</v>
      </c>
      <c r="T697" s="174">
        <f>AT697*AL697*IF(F697="백어택",1.2,1)</f>
        <v>550.14434099268294</v>
      </c>
      <c r="U697" s="174">
        <f>AM697*AW697*AX697*AY697*IF(F697="백어택",1.2,1)</f>
        <v>3791.7199864856711</v>
      </c>
      <c r="V697" s="174"/>
      <c r="W697" s="174"/>
      <c r="X697" s="175"/>
      <c r="Y697" s="173">
        <f>SUM(Z697:AD697)</f>
        <v>8683.7286549567089</v>
      </c>
      <c r="Z697" s="174">
        <f>T697*$D$58/100</f>
        <v>1100.2886819853659</v>
      </c>
      <c r="AA697" s="174">
        <f>U697*$D$58/100</f>
        <v>7583.4399729713423</v>
      </c>
      <c r="AB697" s="174"/>
      <c r="AC697" s="174"/>
      <c r="AD697" s="175"/>
      <c r="AE697" s="173">
        <f>AO697*(1-$D$17/100)</f>
        <v>11.971416</v>
      </c>
      <c r="AF697" s="174">
        <f>AP697</f>
        <v>36</v>
      </c>
      <c r="AG697" s="174">
        <f>IF($D$57&gt;100,100,$D$57)</f>
        <v>19.001300000000001</v>
      </c>
      <c r="AH697" s="174">
        <f>AQ697</f>
        <v>349</v>
      </c>
      <c r="AI697" s="174">
        <f>$D$58+$D$19</f>
        <v>268.61079999999998</v>
      </c>
      <c r="AJ697" s="174">
        <f>10/IF(AY697=1,5,4)</f>
        <v>2.5</v>
      </c>
      <c r="AK697" s="174">
        <f>SUM(AL697:AN697)</f>
        <v>2748.2428838829269</v>
      </c>
      <c r="AL697" s="174">
        <f>(VLOOKUP(C697,$B$36:$AG$39,4,FALSE)+VLOOKUP(C697,$B$40:$AG$43,4,FALSE)*$D$54)*$D$59/100</f>
        <v>550.14434099268294</v>
      </c>
      <c r="AM697" s="174">
        <f>(VLOOKUP(C697,$B$36:$AG$39,5,FALSE)+VLOOKUP(C697,$B$40:$AG$43,5,FALSE)*$D$54)*$D$59/100</f>
        <v>2198.0985428902441</v>
      </c>
      <c r="AN697" s="174"/>
      <c r="AO697" s="176">
        <v>12</v>
      </c>
      <c r="AP697" s="174">
        <v>36</v>
      </c>
      <c r="AQ697" s="175">
        <f>VLOOKUP(C697,$B$45:$AA$48,4,FALSE)</f>
        <v>349</v>
      </c>
      <c r="AR697" s="31">
        <f>IF(LEFT(E697,1)*1=1,$S$54,$R$54)</f>
        <v>0</v>
      </c>
      <c r="AS697" s="2">
        <f>IF(LEFT(E697,1)*1=2,$U$54,$T$54)</f>
        <v>0</v>
      </c>
      <c r="AT697" s="33">
        <f>IF(LEFT(E697,1)*1=3,$W$54,$V$54)</f>
        <v>1</v>
      </c>
      <c r="AU697" s="31">
        <f>IF(MID(E697,3,1)*1=1,$Y$54,$X$54)</f>
        <v>0</v>
      </c>
      <c r="AV697" s="2">
        <f>IF(MID(E697,3,1)*1=2,$AA$54,$Z$54)</f>
        <v>0</v>
      </c>
      <c r="AW697" s="33">
        <f>IF(MID(E697,3,1)*1=3,$AC$54,$AB$54)</f>
        <v>1</v>
      </c>
      <c r="AX697" s="31">
        <f>IF(MID(E697,5,1)*1=1,$AE$54,$AD$54)</f>
        <v>1</v>
      </c>
      <c r="AY697" s="33">
        <f>IF(MID(E697,5,1)*1=2,$AG$54,$AF$54)</f>
        <v>1.7250000000000001</v>
      </c>
      <c r="AZ697" s="2"/>
      <c r="BA697" s="101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</row>
    <row r="698" spans="1:71" ht="12" customHeight="1">
      <c r="A698" s="2"/>
      <c r="B698" s="107">
        <v>217</v>
      </c>
      <c r="C698" s="31">
        <v>1</v>
      </c>
      <c r="D698" s="106" t="s">
        <v>10</v>
      </c>
      <c r="E698" s="2" t="s">
        <v>67</v>
      </c>
      <c r="F698" s="2"/>
      <c r="G698" s="2"/>
      <c r="H698" s="33"/>
      <c r="I698" s="173">
        <f>M698/AE698</f>
        <v>477.23103944176154</v>
      </c>
      <c r="J698" s="174">
        <f>AH698/AE698</f>
        <v>5.0119384373577862</v>
      </c>
      <c r="K698" s="207">
        <f>RANK(I698,$I$76:$I$977)</f>
        <v>623</v>
      </c>
      <c r="L698" s="208" t="e">
        <f>RANK(I698,$I$76:$I$450)</f>
        <v>#N/A</v>
      </c>
      <c r="M698" s="173">
        <f>SUM(N698:R698)</f>
        <v>7617.5084016929804</v>
      </c>
      <c r="N698" s="174">
        <f>T698*(1+((AG698+IF(F698="백어택",8,0))/100)*((AI698/100-1)))</f>
        <v>7617.5084016929804</v>
      </c>
      <c r="O698" s="174"/>
      <c r="P698" s="174"/>
      <c r="Q698" s="174"/>
      <c r="R698" s="175"/>
      <c r="S698" s="173">
        <f>SUM(T698:X698)</f>
        <v>5769.1682154841474</v>
      </c>
      <c r="T698" s="174">
        <f>AL698*AS698*AU698*AX698*IF(AY698=0,1,0.5)*IF(F698="백어택",1.2,1)</f>
        <v>5769.1682154841474</v>
      </c>
      <c r="U698" s="174"/>
      <c r="V698" s="174"/>
      <c r="W698" s="174"/>
      <c r="X698" s="175"/>
      <c r="Y698" s="173">
        <f>SUM(Z698:AD698)</f>
        <v>15496.608896957692</v>
      </c>
      <c r="Z698" s="174">
        <f>T698*AI698/100</f>
        <v>15496.608896957692</v>
      </c>
      <c r="AA698" s="174"/>
      <c r="AB698" s="174"/>
      <c r="AC698" s="174"/>
      <c r="AD698" s="175"/>
      <c r="AE698" s="173">
        <f>AO698*(1-$D$17/100)</f>
        <v>15.961888</v>
      </c>
      <c r="AF698" s="174">
        <f>AP698</f>
        <v>36</v>
      </c>
      <c r="AG698" s="174">
        <f>IF($D$57+AV698&gt;100,100,$D$57+AV698)</f>
        <v>19.001300000000001</v>
      </c>
      <c r="AH698" s="174">
        <f>AQ698</f>
        <v>80</v>
      </c>
      <c r="AI698" s="174">
        <f>$D$58+$D$19</f>
        <v>268.61079999999998</v>
      </c>
      <c r="AJ698" s="174">
        <f>10*AR698/(7-IF(AX698=1,0,3))</f>
        <v>1.4285714285714286</v>
      </c>
      <c r="AK698" s="174">
        <f>SUM(AL698:AN698)</f>
        <v>5769.1682154841474</v>
      </c>
      <c r="AL698" s="174">
        <f>(VLOOKUP(C698,$B$36:$AG$39,13,FALSE)+VLOOKUP(C698,$B$40:$AG$43,13,FALSE)*$D$54)*$D$59/100</f>
        <v>5769.1682154841474</v>
      </c>
      <c r="AM698" s="174"/>
      <c r="AN698" s="174"/>
      <c r="AO698" s="176">
        <v>16</v>
      </c>
      <c r="AP698" s="174">
        <v>36</v>
      </c>
      <c r="AQ698" s="175">
        <f>VLOOKUP(C698,$B$45:$AA$48,13,FALSE)</f>
        <v>80</v>
      </c>
      <c r="AR698" s="31">
        <f>IF(LEFT(E698,1)*1=1,$S$60,$R$60)</f>
        <v>1</v>
      </c>
      <c r="AS698" s="2">
        <f>IF(LEFT(E698,1)*1=2,$U$60,$T$60)</f>
        <v>1</v>
      </c>
      <c r="AT698" s="33">
        <f>IF(LEFT(E698,1)*1=3,$W$60,$V$60)</f>
        <v>0</v>
      </c>
      <c r="AU698" s="31">
        <f>IF(MID(E698,3,1)*1=1,$Y$60,$X$60)</f>
        <v>1</v>
      </c>
      <c r="AV698" s="2">
        <f>IF(MID(E698,3,1)*1=2,$AA$60,$Z$60)</f>
        <v>0</v>
      </c>
      <c r="AW698" s="33">
        <f>IF(MID(E698,3,1)*1=3,$AC$60,$AB$60)</f>
        <v>0</v>
      </c>
      <c r="AX698" s="31">
        <f>IF(MID(E698,5,1)*1=1,$AE$60,$AD$60)</f>
        <v>1</v>
      </c>
      <c r="AY698" s="33">
        <f>IF(MID(E698,5,1)*1=2,$AG$60,$AF$60)</f>
        <v>0</v>
      </c>
      <c r="AZ698" s="2"/>
      <c r="BA698" s="101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</row>
    <row r="699" spans="1:71" ht="12" customHeight="1">
      <c r="A699" s="2"/>
      <c r="B699" s="107">
        <v>831</v>
      </c>
      <c r="C699" s="31">
        <v>7</v>
      </c>
      <c r="D699" s="113" t="s">
        <v>12</v>
      </c>
      <c r="E699" s="2" t="s">
        <v>136</v>
      </c>
      <c r="F699" s="2"/>
      <c r="G699" s="2" t="s">
        <v>174</v>
      </c>
      <c r="H699" s="33"/>
      <c r="I699" s="173">
        <f>M699/AE699</f>
        <v>474.80653053229275</v>
      </c>
      <c r="J699" s="174">
        <f>AH699/AE699</f>
        <v>15.161113773007305</v>
      </c>
      <c r="K699" s="207">
        <f>RANK(I699,$I$76:$I$977)</f>
        <v>624</v>
      </c>
      <c r="L699" s="208" t="e">
        <f>RANK(I699,$I$867:$I$977)</f>
        <v>#N/A</v>
      </c>
      <c r="M699" s="173">
        <f>SUM(N699:R699)*(1+$D$22/100)</f>
        <v>11368.212993037556</v>
      </c>
      <c r="N699" s="174">
        <f>T699*(1+((AG699+IF(F699="백어택",8,0))/100)*(AI699/100-1))</f>
        <v>10242.770182273884</v>
      </c>
      <c r="O699" s="174">
        <f>U699*(1+($D$57/100)*(AI699/100-1))</f>
        <v>0</v>
      </c>
      <c r="P699" s="174"/>
      <c r="Q699" s="174"/>
      <c r="R699" s="175">
        <f>X699*(1+($D$57/100)*(AI699/100-1))</f>
        <v>0</v>
      </c>
      <c r="S699" s="173">
        <f>SUM(T699:X699)</f>
        <v>8607.275872006343</v>
      </c>
      <c r="T699" s="174">
        <f>AL699*AU699*AW699</f>
        <v>8607.275872006343</v>
      </c>
      <c r="U699" s="174">
        <f>AL699*AU699*AW699*AX699</f>
        <v>0</v>
      </c>
      <c r="V699" s="174"/>
      <c r="W699" s="174"/>
      <c r="X699" s="175">
        <f>AL699*AY699</f>
        <v>0</v>
      </c>
      <c r="Y699" s="173">
        <f>SUM(Z699:AD699)</f>
        <v>17214.551744012686</v>
      </c>
      <c r="Z699" s="174">
        <f>T699*$D$58/100</f>
        <v>17214.551744012686</v>
      </c>
      <c r="AA699" s="174">
        <f>U699*$D$58/100</f>
        <v>0</v>
      </c>
      <c r="AB699" s="174"/>
      <c r="AC699" s="174"/>
      <c r="AD699" s="175">
        <f>X699*$D$58/100</f>
        <v>0</v>
      </c>
      <c r="AE699" s="173">
        <f>AO699*(1-$D$17/100)</f>
        <v>23.942831999999999</v>
      </c>
      <c r="AF699" s="174">
        <f>AP699</f>
        <v>36</v>
      </c>
      <c r="AG699" s="174">
        <f>IF($D$57+AV699&gt;100,100,$D$57+AV699)</f>
        <v>19.001300000000001</v>
      </c>
      <c r="AH699" s="174">
        <f>AQ699</f>
        <v>363</v>
      </c>
      <c r="AI699" s="174">
        <f>$D$58</f>
        <v>200</v>
      </c>
      <c r="AJ699" s="174">
        <f>10/7</f>
        <v>1.4285714285714286</v>
      </c>
      <c r="AK699" s="174">
        <f>SUM(AL699:AN699)</f>
        <v>6620.981440004879</v>
      </c>
      <c r="AL699" s="174">
        <f>(VLOOKUP(C699,$B$36:$AG$39,16,FALSE)+VLOOKUP(C699,$B$40:$AG$43,16,FALSE)*$D$54)*$D$59/100</f>
        <v>6620.981440004879</v>
      </c>
      <c r="AM699" s="174"/>
      <c r="AN699" s="174"/>
      <c r="AO699" s="176">
        <v>24</v>
      </c>
      <c r="AP699" s="174">
        <v>36</v>
      </c>
      <c r="AQ699" s="175">
        <f>VLOOKUP(C699,$B$45:$AA$48,16,FALSE)</f>
        <v>363</v>
      </c>
      <c r="AR699" s="31">
        <f>IF(LEFT(E699,1)*1=1,$S$62,$R$62)</f>
        <v>0</v>
      </c>
      <c r="AS699" s="2">
        <f>IF(LEFT(E699,1)*1=2,$U$62,$T$62)</f>
        <v>0</v>
      </c>
      <c r="AT699" s="33">
        <f>IF(LEFT(E699,1)*1=3,$W$62,$V$62)</f>
        <v>0</v>
      </c>
      <c r="AU699" s="31">
        <f>IF(MID(E699,3,1)*1=1,$Y$62,$X$62)</f>
        <v>1.3</v>
      </c>
      <c r="AV699" s="2">
        <f>IF(MID(E699,3,1)*1=2,$AA$62,$Z$62)</f>
        <v>0</v>
      </c>
      <c r="AW699" s="33">
        <f>IF(MID(E699,3,1)*1=3,$AC$62,$AB$62)</f>
        <v>1</v>
      </c>
      <c r="AX699" s="31">
        <f>IF(MID(E699,5,1)*1=1,$AE$62,$AD$62)</f>
        <v>0</v>
      </c>
      <c r="AY699" s="33">
        <f>IF(MID(E699,5,1)*1=2,$AG$62,$AF$62)</f>
        <v>0</v>
      </c>
      <c r="AZ699" s="2"/>
      <c r="BA699" s="101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</row>
    <row r="700" spans="1:71" ht="12" customHeight="1">
      <c r="A700" s="2"/>
      <c r="B700" s="107">
        <v>524</v>
      </c>
      <c r="C700" s="31">
        <v>10</v>
      </c>
      <c r="D700" s="111" t="s">
        <v>14</v>
      </c>
      <c r="E700" s="2" t="s">
        <v>98</v>
      </c>
      <c r="F700" s="2"/>
      <c r="G700" s="2"/>
      <c r="H700" s="33" t="s">
        <v>80</v>
      </c>
      <c r="I700" s="173">
        <f>M700/AE700</f>
        <v>473.41805394609355</v>
      </c>
      <c r="J700" s="174">
        <f>AH700/AE700</f>
        <v>23.695174714659018</v>
      </c>
      <c r="K700" s="207">
        <f>RANK(I700,$I$76:$I$977)</f>
        <v>625</v>
      </c>
      <c r="L700" s="208">
        <f>RANK(I700,$I$451:$I$866)</f>
        <v>250</v>
      </c>
      <c r="M700" s="173">
        <f>SUM(N700:R700)</f>
        <v>13126.54011578827</v>
      </c>
      <c r="N700" s="174">
        <f>T700*(1+((AG700+IF(F700="백어택",8,0))/100)*(AI700/100-1))</f>
        <v>3717.3705769484004</v>
      </c>
      <c r="O700" s="174">
        <f>U700*(1+((AG700+IF(F700="백어택",8,0))/100)*(AI700/100-1))</f>
        <v>3717.3705769484004</v>
      </c>
      <c r="P700" s="174">
        <f>V700*(1+((AG700+IF(F700="백어택",8,0))/100)*(AI700*IF(AX700=1,AW700,1)/100-1))</f>
        <v>5691.7989618914689</v>
      </c>
      <c r="Q700" s="174">
        <f>W700*(1+((AG700+IF(F700="백어택",8,0))/100)*(AI700*AW700/100-1))</f>
        <v>0</v>
      </c>
      <c r="R700" s="175"/>
      <c r="S700" s="173">
        <f>SUM(T700:X700)</f>
        <v>9694.8217995219511</v>
      </c>
      <c r="T700" s="174">
        <f>AL700*AY700*IF(F700="백어택",1.2,1)</f>
        <v>2892.8514913185368</v>
      </c>
      <c r="U700" s="174">
        <f>AM700*AY700*IF(F700="백어택",1.2,1)</f>
        <v>2892.8514913185368</v>
      </c>
      <c r="V700" s="174">
        <f>AN700*AY700*IF(F700="백어택",1.2,1)</f>
        <v>3909.118816884878</v>
      </c>
      <c r="W700" s="174">
        <f>(T700+U700+V700)*IF(AX700=1,0,0.6)*IF(F700="백어택",1.2,1)</f>
        <v>0</v>
      </c>
      <c r="X700" s="175"/>
      <c r="Y700" s="173">
        <f>SUM(Z700:AD700)</f>
        <v>27755.26143400127</v>
      </c>
      <c r="Z700" s="174">
        <f>T700*AI700/100</f>
        <v>7232.1287282963422</v>
      </c>
      <c r="AA700" s="174">
        <f>U700*AI700/100</f>
        <v>7232.1287282963422</v>
      </c>
      <c r="AB700" s="174">
        <f>V700*AI700*IF(AX700=1,AW700,1)/100</f>
        <v>13291.003977408585</v>
      </c>
      <c r="AC700" s="174">
        <f>W700*AI700*AW700/100</f>
        <v>0</v>
      </c>
      <c r="AD700" s="175"/>
      <c r="AE700" s="173">
        <f>AO700*(1-$D$20/100)*(1-$D$17/100)</f>
        <v>27.727164197424003</v>
      </c>
      <c r="AF700" s="174">
        <f>AP700</f>
        <v>36</v>
      </c>
      <c r="AG700" s="174">
        <f>IF($D$57+AU700&gt;100,100,$D$57+AU700)</f>
        <v>19.001300000000001</v>
      </c>
      <c r="AH700" s="174">
        <f>AQ700*AS700</f>
        <v>657</v>
      </c>
      <c r="AI700" s="174">
        <f>$D$58+IF(H700="근접",AR700,0)+IF(AY700=1,0,50)</f>
        <v>250</v>
      </c>
      <c r="AJ700" s="174">
        <f>10/3</f>
        <v>3.3333333333333335</v>
      </c>
      <c r="AK700" s="174">
        <f>SUM(AL700:AN700)</f>
        <v>8079.0181662682935</v>
      </c>
      <c r="AL700" s="174">
        <f>(IF(H700="근접",$D$61*(VLOOKUP(C700,$B$36:$AG$39,19,FALSE)+VLOOKUP(C700,$B$40:$AG$43,19,FALSE)*$D$54),$D$60*(VLOOKUP(C700,$B$36:$AG$39,19,FALSE)+VLOOKUP(C700,$B$40:$AG$43,19,FALSE)*$D$54)))*$D$59/100</f>
        <v>2410.7095760987809</v>
      </c>
      <c r="AM700" s="174">
        <f>(IF(H700="근접",$D$61*(VLOOKUP(C700,$B$36:$AG$39,20,FALSE)+VLOOKUP(C700,$B$40:$AG$43,20,FALSE)*$D$54),$D$60*(VLOOKUP(C700,$B$36:$AG$39,20,FALSE)+VLOOKUP(C700,$B$40:$AG$43,20,FALSE)*$D$54)))*$D$59/100</f>
        <v>2410.7095760987809</v>
      </c>
      <c r="AN700" s="174">
        <f>(IF(H700="근접",$D$61*(VLOOKUP(C700,$B$36:$AG$39,21,FALSE)+VLOOKUP(C700,$B$40:$AG$43,21,FALSE)*$D$54),$D$60*(VLOOKUP(C700,$B$36:$AG$39,21,FALSE)+VLOOKUP(C700,$B$40:$AG$43,21,FALSE)*$D$54)))*$D$59/100</f>
        <v>3257.5990140707318</v>
      </c>
      <c r="AO700" s="176">
        <v>36</v>
      </c>
      <c r="AP700" s="174">
        <v>36</v>
      </c>
      <c r="AQ700" s="175">
        <f>VLOOKUP(C700,$B$45:$AA$48,19,FALSE)</f>
        <v>657</v>
      </c>
      <c r="AR700" s="31">
        <f>IF(LEFT(E700,1)*1=1,$S$64,$R$64)</f>
        <v>0</v>
      </c>
      <c r="AS700" s="2">
        <f>IF(LEFT(E700,1)*1=2,$U$64,$T$64)</f>
        <v>1</v>
      </c>
      <c r="AT700" s="33">
        <f>IF(LEFT(E700,1)*1=3,$W$64,$V$64)</f>
        <v>0</v>
      </c>
      <c r="AU700" s="31">
        <f>IF(MID(E700,3,1)*1=1,$Y$64,$X$64)</f>
        <v>0</v>
      </c>
      <c r="AV700" s="2">
        <f>IF(MID(E700,3,1)*1=2,$AA$64,$Z$64)</f>
        <v>0</v>
      </c>
      <c r="AW700" s="33">
        <f>IF(MID(E700,3,1)*1=3,$AC$64,$AB$64)</f>
        <v>1.36</v>
      </c>
      <c r="AX700" s="31">
        <f>IF(MID(E700,5,1)*1=1,$AE$64,$AD$64)</f>
        <v>1</v>
      </c>
      <c r="AY700" s="33">
        <f>IF(MID(E700,5,1)*1=2,$AG$64,$AF$64)</f>
        <v>1.2</v>
      </c>
      <c r="AZ700" s="2"/>
      <c r="BA700" s="101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</row>
    <row r="701" spans="1:71" ht="12" customHeight="1">
      <c r="A701" s="2"/>
      <c r="B701" s="107">
        <v>527</v>
      </c>
      <c r="C701" s="31">
        <v>10</v>
      </c>
      <c r="D701" s="111" t="s">
        <v>14</v>
      </c>
      <c r="E701" s="2" t="s">
        <v>157</v>
      </c>
      <c r="F701" s="2"/>
      <c r="G701" s="2"/>
      <c r="H701" s="33" t="s">
        <v>80</v>
      </c>
      <c r="I701" s="173">
        <f>M701/AE701</f>
        <v>473.41805394609355</v>
      </c>
      <c r="J701" s="174">
        <f>AH701/AE701</f>
        <v>23.695174714659018</v>
      </c>
      <c r="K701" s="207">
        <f>RANK(I701,$I$76:$I$977)</f>
        <v>625</v>
      </c>
      <c r="L701" s="208">
        <f>RANK(I701,$I$451:$I$866)</f>
        <v>250</v>
      </c>
      <c r="M701" s="173">
        <f>SUM(N701:R701)</f>
        <v>13126.54011578827</v>
      </c>
      <c r="N701" s="174">
        <f>T701*(1+((AG701+IF(F701="백어택",8,0))/100)*(AI701/100-1))</f>
        <v>3717.3705769484004</v>
      </c>
      <c r="O701" s="174">
        <f>U701*(1+((AG701+IF(F701="백어택",8,0))/100)*(AI701/100-1))</f>
        <v>3717.3705769484004</v>
      </c>
      <c r="P701" s="174">
        <f>V701*(1+((AG701+IF(F701="백어택",8,0))/100)*(AI701*IF(AX701=1,AW701,1)/100-1))</f>
        <v>5691.7989618914689</v>
      </c>
      <c r="Q701" s="174">
        <f>W701*(1+((AG701+IF(F701="백어택",8,0))/100)*(AI701*AW701/100-1))</f>
        <v>0</v>
      </c>
      <c r="R701" s="175"/>
      <c r="S701" s="173">
        <f>SUM(T701:X701)</f>
        <v>9694.8217995219511</v>
      </c>
      <c r="T701" s="174">
        <f>AL701*AY701*IF(F701="백어택",1.2,1)</f>
        <v>2892.8514913185368</v>
      </c>
      <c r="U701" s="174">
        <f>AM701*AY701*IF(F701="백어택",1.2,1)</f>
        <v>2892.8514913185368</v>
      </c>
      <c r="V701" s="174">
        <f>AN701*AY701*IF(F701="백어택",1.2,1)</f>
        <v>3909.118816884878</v>
      </c>
      <c r="W701" s="174">
        <f>(T701+U701+V701)*IF(AX701=1,0,0.6)*IF(F701="백어택",1.2,1)</f>
        <v>0</v>
      </c>
      <c r="X701" s="175"/>
      <c r="Y701" s="173">
        <f>SUM(Z701:AD701)</f>
        <v>27755.26143400127</v>
      </c>
      <c r="Z701" s="174">
        <f>T701*AI701/100</f>
        <v>7232.1287282963422</v>
      </c>
      <c r="AA701" s="174">
        <f>U701*AI701/100</f>
        <v>7232.1287282963422</v>
      </c>
      <c r="AB701" s="174">
        <f>V701*AI701*IF(AX701=1,AW701,1)/100</f>
        <v>13291.003977408585</v>
      </c>
      <c r="AC701" s="174">
        <f>W701*AI701*AW701/100</f>
        <v>0</v>
      </c>
      <c r="AD701" s="175"/>
      <c r="AE701" s="173">
        <f>AO701*(1-$D$20/100)*(1-$D$17/100)</f>
        <v>27.727164197424003</v>
      </c>
      <c r="AF701" s="174">
        <f>AP701</f>
        <v>36</v>
      </c>
      <c r="AG701" s="174">
        <f>IF($D$57+AU701&gt;100,100,$D$57+AU701)</f>
        <v>19.001300000000001</v>
      </c>
      <c r="AH701" s="174">
        <f>AQ701*AS701</f>
        <v>657</v>
      </c>
      <c r="AI701" s="174">
        <f>$D$58+IF(H701="근접",AR701,0)+IF(AY701=1,0,50)</f>
        <v>250</v>
      </c>
      <c r="AJ701" s="174">
        <f>10/3</f>
        <v>3.3333333333333335</v>
      </c>
      <c r="AK701" s="174">
        <f>SUM(AL701:AN701)</f>
        <v>8079.0181662682935</v>
      </c>
      <c r="AL701" s="174">
        <f>(IF(H701="근접",$D$61*(VLOOKUP(C701,$B$36:$AG$39,19,FALSE)+VLOOKUP(C701,$B$40:$AG$43,19,FALSE)*$D$54),$D$60*(VLOOKUP(C701,$B$36:$AG$39,19,FALSE)+VLOOKUP(C701,$B$40:$AG$43,19,FALSE)*$D$54)))*$D$59/100</f>
        <v>2410.7095760987809</v>
      </c>
      <c r="AM701" s="174">
        <f>(IF(H701="근접",$D$61*(VLOOKUP(C701,$B$36:$AG$39,20,FALSE)+VLOOKUP(C701,$B$40:$AG$43,20,FALSE)*$D$54),$D$60*(VLOOKUP(C701,$B$36:$AG$39,20,FALSE)+VLOOKUP(C701,$B$40:$AG$43,20,FALSE)*$D$54)))*$D$59/100</f>
        <v>2410.7095760987809</v>
      </c>
      <c r="AN701" s="174">
        <f>(IF(H701="근접",$D$61*(VLOOKUP(C701,$B$36:$AG$39,21,FALSE)+VLOOKUP(C701,$B$40:$AG$43,21,FALSE)*$D$54),$D$60*(VLOOKUP(C701,$B$36:$AG$39,21,FALSE)+VLOOKUP(C701,$B$40:$AG$43,21,FALSE)*$D$54)))*$D$59/100</f>
        <v>3257.5990140707318</v>
      </c>
      <c r="AO701" s="176">
        <v>36</v>
      </c>
      <c r="AP701" s="174">
        <v>36</v>
      </c>
      <c r="AQ701" s="175">
        <f>VLOOKUP(C701,$B$45:$AA$48,19,FALSE)</f>
        <v>657</v>
      </c>
      <c r="AR701" s="31">
        <f>IF(LEFT(E701,1)*1=1,$S$64,$R$64)</f>
        <v>50</v>
      </c>
      <c r="AS701" s="2">
        <f>IF(LEFT(E701,1)*1=2,$U$64,$T$64)</f>
        <v>1</v>
      </c>
      <c r="AT701" s="33">
        <f>IF(LEFT(E701,1)*1=3,$W$64,$V$64)</f>
        <v>0</v>
      </c>
      <c r="AU701" s="31">
        <f>IF(MID(E701,3,1)*1=1,$Y$64,$X$64)</f>
        <v>0</v>
      </c>
      <c r="AV701" s="2">
        <f>IF(MID(E701,3,1)*1=2,$AA$64,$Z$64)</f>
        <v>0</v>
      </c>
      <c r="AW701" s="33">
        <f>IF(MID(E701,3,1)*1=3,$AC$64,$AB$64)</f>
        <v>1.36</v>
      </c>
      <c r="AX701" s="31">
        <f>IF(MID(E701,5,1)*1=1,$AE$64,$AD$64)</f>
        <v>1</v>
      </c>
      <c r="AY701" s="33">
        <f>IF(MID(E701,5,1)*1=2,$AG$64,$AF$64)</f>
        <v>1.2</v>
      </c>
      <c r="AZ701" s="2"/>
      <c r="BA701" s="101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</row>
    <row r="702" spans="1:71" ht="12" customHeight="1">
      <c r="A702" s="2"/>
      <c r="B702" s="107">
        <v>530</v>
      </c>
      <c r="C702" s="31">
        <v>10</v>
      </c>
      <c r="D702" s="111" t="s">
        <v>14</v>
      </c>
      <c r="E702" s="2" t="s">
        <v>108</v>
      </c>
      <c r="F702" s="2"/>
      <c r="G702" s="2"/>
      <c r="H702" s="33" t="s">
        <v>80</v>
      </c>
      <c r="I702" s="173">
        <f>M702/AE702</f>
        <v>473.41805394609355</v>
      </c>
      <c r="J702" s="174">
        <f>AH702/AE702</f>
        <v>11.847587357329509</v>
      </c>
      <c r="K702" s="207">
        <f>RANK(I702,$I$76:$I$977)</f>
        <v>625</v>
      </c>
      <c r="L702" s="208">
        <f>RANK(I702,$I$451:$I$866)</f>
        <v>250</v>
      </c>
      <c r="M702" s="173">
        <f>SUM(N702:R702)</f>
        <v>13126.54011578827</v>
      </c>
      <c r="N702" s="174">
        <f>T702*(1+((AG702+IF(F702="백어택",8,0))/100)*(AI702/100-1))</f>
        <v>3717.3705769484004</v>
      </c>
      <c r="O702" s="174">
        <f>U702*(1+((AG702+IF(F702="백어택",8,0))/100)*(AI702/100-1))</f>
        <v>3717.3705769484004</v>
      </c>
      <c r="P702" s="174">
        <f>V702*(1+((AG702+IF(F702="백어택",8,0))/100)*(AI702*IF(AX702=1,AW702,1)/100-1))</f>
        <v>5691.7989618914689</v>
      </c>
      <c r="Q702" s="174">
        <f>W702*(1+((AG702+IF(F702="백어택",8,0))/100)*(AI702*AW702/100-1))</f>
        <v>0</v>
      </c>
      <c r="R702" s="175"/>
      <c r="S702" s="173">
        <f>SUM(T702:X702)</f>
        <v>9694.8217995219511</v>
      </c>
      <c r="T702" s="174">
        <f>AL702*AY702*IF(F702="백어택",1.2,1)</f>
        <v>2892.8514913185368</v>
      </c>
      <c r="U702" s="174">
        <f>AM702*AY702*IF(F702="백어택",1.2,1)</f>
        <v>2892.8514913185368</v>
      </c>
      <c r="V702" s="174">
        <f>AN702*AY702*IF(F702="백어택",1.2,1)</f>
        <v>3909.118816884878</v>
      </c>
      <c r="W702" s="174">
        <f>(T702+U702+V702)*IF(AX702=1,0,0.6)*IF(F702="백어택",1.2,1)</f>
        <v>0</v>
      </c>
      <c r="X702" s="175"/>
      <c r="Y702" s="173">
        <f>SUM(Z702:AD702)</f>
        <v>27755.26143400127</v>
      </c>
      <c r="Z702" s="174">
        <f>T702*AI702/100</f>
        <v>7232.1287282963422</v>
      </c>
      <c r="AA702" s="174">
        <f>U702*AI702/100</f>
        <v>7232.1287282963422</v>
      </c>
      <c r="AB702" s="174">
        <f>V702*AI702*IF(AX702=1,AW702,1)/100</f>
        <v>13291.003977408585</v>
      </c>
      <c r="AC702" s="174">
        <f>W702*AI702*AW702/100</f>
        <v>0</v>
      </c>
      <c r="AD702" s="175"/>
      <c r="AE702" s="173">
        <f>AO702*(1-$D$20/100)*(1-$D$17/100)</f>
        <v>27.727164197424003</v>
      </c>
      <c r="AF702" s="174">
        <f>AP702</f>
        <v>36</v>
      </c>
      <c r="AG702" s="174">
        <f>IF($D$57+AU702&gt;100,100,$D$57+AU702)</f>
        <v>19.001300000000001</v>
      </c>
      <c r="AH702" s="174">
        <f>AQ702*AS702</f>
        <v>328.5</v>
      </c>
      <c r="AI702" s="174">
        <f>$D$58+IF(H702="근접",AR702,0)+IF(AY702=1,0,50)</f>
        <v>250</v>
      </c>
      <c r="AJ702" s="174">
        <f>10/3</f>
        <v>3.3333333333333335</v>
      </c>
      <c r="AK702" s="174">
        <f>SUM(AL702:AN702)</f>
        <v>8079.0181662682935</v>
      </c>
      <c r="AL702" s="174">
        <f>(IF(H702="근접",$D$61*(VLOOKUP(C702,$B$36:$AG$39,19,FALSE)+VLOOKUP(C702,$B$40:$AG$43,19,FALSE)*$D$54),$D$60*(VLOOKUP(C702,$B$36:$AG$39,19,FALSE)+VLOOKUP(C702,$B$40:$AG$43,19,FALSE)*$D$54)))*$D$59/100</f>
        <v>2410.7095760987809</v>
      </c>
      <c r="AM702" s="174">
        <f>(IF(H702="근접",$D$61*(VLOOKUP(C702,$B$36:$AG$39,20,FALSE)+VLOOKUP(C702,$B$40:$AG$43,20,FALSE)*$D$54),$D$60*(VLOOKUP(C702,$B$36:$AG$39,20,FALSE)+VLOOKUP(C702,$B$40:$AG$43,20,FALSE)*$D$54)))*$D$59/100</f>
        <v>2410.7095760987809</v>
      </c>
      <c r="AN702" s="174">
        <f>(IF(H702="근접",$D$61*(VLOOKUP(C702,$B$36:$AG$39,21,FALSE)+VLOOKUP(C702,$B$40:$AG$43,21,FALSE)*$D$54),$D$60*(VLOOKUP(C702,$B$36:$AG$39,21,FALSE)+VLOOKUP(C702,$B$40:$AG$43,21,FALSE)*$D$54)))*$D$59/100</f>
        <v>3257.5990140707318</v>
      </c>
      <c r="AO702" s="176">
        <v>36</v>
      </c>
      <c r="AP702" s="174">
        <v>36</v>
      </c>
      <c r="AQ702" s="175">
        <f>VLOOKUP(C702,$B$45:$AA$48,19,FALSE)</f>
        <v>657</v>
      </c>
      <c r="AR702" s="31">
        <f>IF(LEFT(E702,1)*1=1,$S$64,$R$64)</f>
        <v>0</v>
      </c>
      <c r="AS702" s="2">
        <f>IF(LEFT(E702,1)*1=2,$U$64,$T$64)</f>
        <v>0.5</v>
      </c>
      <c r="AT702" s="33">
        <f>IF(LEFT(E702,1)*1=3,$W$64,$V$64)</f>
        <v>0</v>
      </c>
      <c r="AU702" s="31">
        <f>IF(MID(E702,3,1)*1=1,$Y$64,$X$64)</f>
        <v>0</v>
      </c>
      <c r="AV702" s="2">
        <f>IF(MID(E702,3,1)*1=2,$AA$64,$Z$64)</f>
        <v>0</v>
      </c>
      <c r="AW702" s="33">
        <f>IF(MID(E702,3,1)*1=3,$AC$64,$AB$64)</f>
        <v>1.36</v>
      </c>
      <c r="AX702" s="31">
        <f>IF(MID(E702,5,1)*1=1,$AE$64,$AD$64)</f>
        <v>1</v>
      </c>
      <c r="AY702" s="33">
        <f>IF(MID(E702,5,1)*1=2,$AG$64,$AF$64)</f>
        <v>1.2</v>
      </c>
      <c r="AZ702" s="2"/>
      <c r="BA702" s="101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</row>
    <row r="703" spans="1:71" ht="12" customHeight="1">
      <c r="A703" s="2"/>
      <c r="B703" s="107">
        <v>342</v>
      </c>
      <c r="C703" s="31">
        <v>4</v>
      </c>
      <c r="D703" s="106" t="s">
        <v>20</v>
      </c>
      <c r="E703" s="2" t="s">
        <v>148</v>
      </c>
      <c r="F703" s="2" t="s">
        <v>149</v>
      </c>
      <c r="G703" s="2"/>
      <c r="H703" s="33"/>
      <c r="I703" s="173">
        <f>M703/AE703</f>
        <v>472.97778670623939</v>
      </c>
      <c r="J703" s="174">
        <f>AH703/AE703</f>
        <v>11.298963624290337</v>
      </c>
      <c r="K703" s="207">
        <f>RANK(I703,$I$76:$I$977)</f>
        <v>628</v>
      </c>
      <c r="L703" s="208" t="e">
        <f>RANK(I703,$I$76:$I$450)</f>
        <v>#N/A</v>
      </c>
      <c r="M703" s="173">
        <f>SUM(N703:R703)</f>
        <v>7074.3874050107743</v>
      </c>
      <c r="N703" s="174">
        <f>T703*(1+((AG703+IF(F703="백어택",8,0))/100)*((AI703/100-1)))</f>
        <v>3778.2944381804582</v>
      </c>
      <c r="O703" s="174">
        <f>U703*(1+(($D$57+IF(F703="백어택",8,0))/100)*($D$58/100-1))</f>
        <v>3296.0929668303161</v>
      </c>
      <c r="P703" s="174"/>
      <c r="Q703" s="174"/>
      <c r="R703" s="175"/>
      <c r="S703" s="173">
        <f>SUM(T703:X703)</f>
        <v>5191.6044529785377</v>
      </c>
      <c r="T703" s="174">
        <f>AL703*AV703*IF(F703="백어택",1.2,1)</f>
        <v>2596.2822264892684</v>
      </c>
      <c r="U703" s="174">
        <f>AM703*AX703*AY703*IF(F703="백어택",1.2,1)</f>
        <v>2595.3222264892688</v>
      </c>
      <c r="V703" s="174"/>
      <c r="W703" s="174"/>
      <c r="X703" s="175"/>
      <c r="Y703" s="173">
        <f>SUM(Z703:AD703)</f>
        <v>10383.208905957075</v>
      </c>
      <c r="Z703" s="174">
        <f>T703*$D$58/100</f>
        <v>5192.5644529785368</v>
      </c>
      <c r="AA703" s="174">
        <f>U703*$D$58/100</f>
        <v>5190.6444529785376</v>
      </c>
      <c r="AB703" s="174"/>
      <c r="AC703" s="174"/>
      <c r="AD703" s="175"/>
      <c r="AE703" s="173">
        <f>AO703*(1-$D$17/100)-AR703</f>
        <v>14.957124</v>
      </c>
      <c r="AF703" s="174">
        <f>AP703</f>
        <v>36</v>
      </c>
      <c r="AG703" s="174">
        <f>IF($D$57+AU703&gt;100,100,$D$57+AU703)</f>
        <v>19.001300000000001</v>
      </c>
      <c r="AH703" s="174">
        <f>AQ703*AS703</f>
        <v>169</v>
      </c>
      <c r="AI703" s="174">
        <f>$D$58+$D$19</f>
        <v>268.61079999999998</v>
      </c>
      <c r="AJ703" s="174">
        <f>10*IF(AV703=1,1,5/4.5)/IF(AX703=1,5,3.5)</f>
        <v>2</v>
      </c>
      <c r="AK703" s="174">
        <f>SUM(AL703:AN703)</f>
        <v>4326.3370441487805</v>
      </c>
      <c r="AL703" s="174">
        <f>(VLOOKUP(C703,$B$36:$AG$39,29,FALSE)+VLOOKUP(C703,$B$40:$AG$43,29,FALSE)*$D$54)*$D$59/100</f>
        <v>2163.5685220743903</v>
      </c>
      <c r="AM703" s="174">
        <f>(VLOOKUP(C703,$B$36:$AG$39,30,FALSE)+VLOOKUP(C703,$B$40:$AG$43,30,FALSE)*$D$54)*$D$59/100</f>
        <v>2162.7685220743906</v>
      </c>
      <c r="AN703" s="174"/>
      <c r="AO703" s="176">
        <v>18</v>
      </c>
      <c r="AP703" s="174">
        <v>36</v>
      </c>
      <c r="AQ703" s="175">
        <f>VLOOKUP(C703,$B$45:$AG$48,29,FALSE)</f>
        <v>169</v>
      </c>
      <c r="AR703" s="31">
        <f>IF(LEFT(E703,1)*1=1,$S$70,$R$70)</f>
        <v>3</v>
      </c>
      <c r="AS703" s="2">
        <f>IF(LEFT(E703,1)*1=2,$U$70,$T$70)</f>
        <v>1</v>
      </c>
      <c r="AT703" s="33">
        <f>IF(LEFT(E703,1)*1=3,$W$70,$V$70)</f>
        <v>0</v>
      </c>
      <c r="AU703" s="31">
        <f>IF(MID(E703,3,1)*1=1,$Y$70,$X$70)</f>
        <v>0</v>
      </c>
      <c r="AV703" s="2">
        <f>IF(MID(E703,3,1)*1=2,$AA$70,$Z$70)</f>
        <v>1</v>
      </c>
      <c r="AW703" s="33">
        <f>IF(MID(E703,3,1)*1=3,$AC$70,$AB$70)</f>
        <v>0</v>
      </c>
      <c r="AX703" s="31">
        <f>IF(MID(E703,5,1)*1=1,$AE$70,$AD$70)</f>
        <v>1</v>
      </c>
      <c r="AY703" s="33">
        <f>IF(MID(E703,5,1)*1=2,$AG$70,$AF$70)</f>
        <v>1</v>
      </c>
      <c r="AZ703" s="2"/>
      <c r="BA703" s="101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</row>
    <row r="704" spans="1:71" ht="12" customHeight="1">
      <c r="A704" s="2"/>
      <c r="B704" s="107">
        <v>461</v>
      </c>
      <c r="C704" s="31">
        <v>10</v>
      </c>
      <c r="D704" s="111" t="s">
        <v>11</v>
      </c>
      <c r="E704" s="2" t="s">
        <v>89</v>
      </c>
      <c r="F704" s="2"/>
      <c r="G704" s="2"/>
      <c r="H704" s="33">
        <f>IF(AX704=1,5,1)</f>
        <v>5</v>
      </c>
      <c r="I704" s="173">
        <f>M704/AE704</f>
        <v>470.02445264660776</v>
      </c>
      <c r="J704" s="174">
        <f>AH704/AE704</f>
        <v>25.621083892380163</v>
      </c>
      <c r="K704" s="207">
        <f>RANK(I704,$I$76:$I$977)</f>
        <v>629</v>
      </c>
      <c r="L704" s="208">
        <f>RANK(I704,$I$451:$I$866)</f>
        <v>254</v>
      </c>
      <c r="M704" s="173">
        <f>SUM(N704:R704)</f>
        <v>10860.370979447362</v>
      </c>
      <c r="N704" s="174">
        <f>T704*(1+(AG704/100)*(AI704/100-1))</f>
        <v>9698.8375121045228</v>
      </c>
      <c r="O704" s="174">
        <f>U704*(1+(AG704/100)*(AI704/100-1))</f>
        <v>1161.5334673428379</v>
      </c>
      <c r="P704" s="174"/>
      <c r="Q704" s="174"/>
      <c r="R704" s="175"/>
      <c r="S704" s="173">
        <f>T704</f>
        <v>8150.1945878780507</v>
      </c>
      <c r="T704" s="174">
        <f>H704*AL704*AX704</f>
        <v>8150.1945878780507</v>
      </c>
      <c r="U704" s="174">
        <f>AM704*AV704</f>
        <v>976.06788105914632</v>
      </c>
      <c r="V704" s="174"/>
      <c r="W704" s="174"/>
      <c r="X704" s="175"/>
      <c r="Y704" s="173">
        <f>SUM(Z704:AD704)</f>
        <v>18252.524937874394</v>
      </c>
      <c r="Z704" s="174">
        <f>T704*$D$58/100</f>
        <v>16300.389175756101</v>
      </c>
      <c r="AA704" s="174">
        <f>U704*$D$58/100</f>
        <v>1952.1357621182926</v>
      </c>
      <c r="AB704" s="174"/>
      <c r="AC704" s="174"/>
      <c r="AD704" s="175"/>
      <c r="AE704" s="173">
        <f>AO704*(1-$D$20/100)*(1-$D$17/100)-AR704</f>
        <v>23.105970164519999</v>
      </c>
      <c r="AF704" s="174">
        <f>AP704</f>
        <v>36</v>
      </c>
      <c r="AG704" s="174">
        <f>IF($D$57+AS704&gt;100,100,$D$57+AS704)</f>
        <v>19.001300000000001</v>
      </c>
      <c r="AH704" s="174">
        <f>AQ704</f>
        <v>592</v>
      </c>
      <c r="AI704" s="174">
        <f>$D$58</f>
        <v>200</v>
      </c>
      <c r="AJ704" s="174">
        <f>10/IF(AX704=1,7,6)</f>
        <v>1.4285714285714286</v>
      </c>
      <c r="AK704" s="174">
        <f>SUM(AL704:AN704)</f>
        <v>2280.7508382817077</v>
      </c>
      <c r="AL704" s="174">
        <f>(VLOOKUP(C704,$B$36:$AG$39,14,FALSE)+VLOOKUP(C704,$B$40:$AG$43,14,FALSE)*$D$54)*$D$59/100</f>
        <v>1630.0389175756102</v>
      </c>
      <c r="AM704" s="174">
        <f>(VLOOKUP(C704,$B$36:$AG$39,15,FALSE)+VLOOKUP(C704,$B$40:$AG$43,15,FALSE)*$D$54)*$D$59/100</f>
        <v>650.71192070609754</v>
      </c>
      <c r="AN704" s="174"/>
      <c r="AO704" s="176">
        <v>30</v>
      </c>
      <c r="AP704" s="174">
        <v>36</v>
      </c>
      <c r="AQ704" s="175">
        <f>VLOOKUP(C704,$B$45:$AA$48,14,FALSE)</f>
        <v>592</v>
      </c>
      <c r="AR704" s="31">
        <f>IF(LEFT(E704,1)*1=1,$S$61,$R$61)</f>
        <v>0</v>
      </c>
      <c r="AS704" s="2">
        <f>IF(LEFT(E704,1)*1=2,$U$61,$T$61)</f>
        <v>0</v>
      </c>
      <c r="AT704" s="33">
        <f>IF(LEFT(E704,1)*1=3,$W$61,$V$61)</f>
        <v>0</v>
      </c>
      <c r="AU704" s="31">
        <f>IF(MID(E704,3,1)*1=1,$Y$61,$X$61)</f>
        <v>0</v>
      </c>
      <c r="AV704" s="2">
        <f>IF(MID(E704,3,1)*1=2,$AA$61,$Z$61)</f>
        <v>1.5</v>
      </c>
      <c r="AW704" s="33">
        <f>IF(MID(E704,3,1)*1=3,$AC$61,$AB$61)</f>
        <v>0</v>
      </c>
      <c r="AX704" s="31">
        <f>IF(MID(E704,5,1)*1=1,$AE$61,$AD$61)</f>
        <v>1</v>
      </c>
      <c r="AY704" s="33">
        <f>IF(MID(E704,5,1)*1=2,$AG$61,$AF$61)</f>
        <v>0</v>
      </c>
      <c r="AZ704" s="2"/>
      <c r="BA704" s="101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</row>
    <row r="705" spans="1:71" ht="12" customHeight="1">
      <c r="A705" s="2"/>
      <c r="B705" s="107">
        <v>262</v>
      </c>
      <c r="C705" s="31">
        <v>10</v>
      </c>
      <c r="D705" s="106" t="s">
        <v>16</v>
      </c>
      <c r="E705" s="2" t="s">
        <v>164</v>
      </c>
      <c r="F705" s="2"/>
      <c r="G705" s="2"/>
      <c r="H705" s="33">
        <f>AX705*2</f>
        <v>3</v>
      </c>
      <c r="I705" s="173">
        <f>M705/AE705</f>
        <v>469.55416770730847</v>
      </c>
      <c r="J705" s="174">
        <f>AH705/AE705</f>
        <v>19.630092212984664</v>
      </c>
      <c r="K705" s="207">
        <f>RANK(I705,$I$76:$I$977)</f>
        <v>630</v>
      </c>
      <c r="L705" s="208" t="e">
        <f>RANK(I705,$I$76:$I$450)</f>
        <v>#N/A</v>
      </c>
      <c r="M705" s="173">
        <f>SUM(N705:R705)</f>
        <v>2810.6141380789777</v>
      </c>
      <c r="N705" s="174">
        <f>T705*(1+((AG705+IF(F705="백어택",8,0))/100)*((AI705/100-1)))</f>
        <v>2810.6141380789777</v>
      </c>
      <c r="O705" s="174"/>
      <c r="P705" s="174"/>
      <c r="Q705" s="174"/>
      <c r="R705" s="175"/>
      <c r="S705" s="173">
        <f>SUM(T705:X705)*H705</f>
        <v>6385.9092355415869</v>
      </c>
      <c r="T705" s="174">
        <f>AL705*AU705*AX705*IF(F705="백어택",1.2,1)</f>
        <v>2128.6364118471956</v>
      </c>
      <c r="U705" s="174"/>
      <c r="V705" s="174"/>
      <c r="W705" s="174"/>
      <c r="X705" s="175"/>
      <c r="Y705" s="173">
        <f>SUM(Z705:AD705)</f>
        <v>4257.2728236943913</v>
      </c>
      <c r="Z705" s="174">
        <f>T705*$D$58/100</f>
        <v>4257.2728236943913</v>
      </c>
      <c r="AA705" s="174"/>
      <c r="AB705" s="174"/>
      <c r="AC705" s="174"/>
      <c r="AD705" s="175"/>
      <c r="AE705" s="173">
        <f>AO705*(1-$D$17/100)</f>
        <v>5.9857079999999998</v>
      </c>
      <c r="AF705" s="174">
        <f>AP705</f>
        <v>36</v>
      </c>
      <c r="AG705" s="174">
        <f>IF($D$57+AT705&gt;100,100,$D$57+AT705)</f>
        <v>19.001300000000001</v>
      </c>
      <c r="AH705" s="174">
        <f>AQ705*AR705</f>
        <v>117.5</v>
      </c>
      <c r="AI705" s="174">
        <f>$D$58+$D$19</f>
        <v>268.61079999999998</v>
      </c>
      <c r="AJ705" s="174">
        <f>10*AS705/IF(AX705=1,5,3.5)</f>
        <v>2.8571428571428572</v>
      </c>
      <c r="AK705" s="174">
        <f>SUM(AL705:AN705)</f>
        <v>1013.6363865939026</v>
      </c>
      <c r="AL705" s="174">
        <f>((VLOOKUP(C705,$B$36:$AG$39,23,FALSE)+VLOOKUP(C705,$B$40:$AG$43,23,FALSE)*$D$54))*$D$59/100</f>
        <v>1013.6363865939026</v>
      </c>
      <c r="AM705" s="174"/>
      <c r="AN705" s="174"/>
      <c r="AO705" s="176">
        <v>6</v>
      </c>
      <c r="AP705" s="174">
        <v>36</v>
      </c>
      <c r="AQ705" s="175">
        <f>VLOOKUP(C705,$B$45:$AA$48,23,FALSE)</f>
        <v>235</v>
      </c>
      <c r="AR705" s="31">
        <f>IF(LEFT(E705,1)*1=1,$S$66,$R$66)</f>
        <v>0.5</v>
      </c>
      <c r="AS705" s="2">
        <f>IF(LEFT(E705,1)*1=2,$U$66,$T$66)</f>
        <v>1</v>
      </c>
      <c r="AT705" s="33">
        <f>IF(LEFT(E705,1)*1=3,$W$66,$V$66)</f>
        <v>0</v>
      </c>
      <c r="AU705" s="31">
        <f>IF(MID(E705,3,1)*1=1,$Y$66,$X$66)</f>
        <v>1.4</v>
      </c>
      <c r="AV705" s="2">
        <f>IF(MID(E705,3,1)*1=2,$AA$66,$Z$66)</f>
        <v>0</v>
      </c>
      <c r="AW705" s="33">
        <f>IF(MID(E705,3,1)*1=3,$AC$66,$AB$66)</f>
        <v>0</v>
      </c>
      <c r="AX705" s="31">
        <f>IF(MID(E705,5,1)*1=1,$AE$66,$AD$66)</f>
        <v>1.5</v>
      </c>
      <c r="AY705" s="33">
        <f>IF(MID(E705,5,1)*1=2,$AG$66,$AF$66)</f>
        <v>1</v>
      </c>
      <c r="AZ705" s="2"/>
      <c r="BA705" s="101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</row>
    <row r="706" spans="1:71" ht="12" customHeight="1">
      <c r="A706" s="2"/>
      <c r="B706" s="107">
        <v>264</v>
      </c>
      <c r="C706" s="31">
        <v>10</v>
      </c>
      <c r="D706" s="106" t="s">
        <v>16</v>
      </c>
      <c r="E706" s="2" t="s">
        <v>169</v>
      </c>
      <c r="F706" s="2"/>
      <c r="G706" s="2"/>
      <c r="H706" s="33">
        <f>AX706*2</f>
        <v>3</v>
      </c>
      <c r="I706" s="173">
        <f>M706/AE706</f>
        <v>469.55416770730847</v>
      </c>
      <c r="J706" s="174">
        <f>AH706/AE706</f>
        <v>39.260184425969328</v>
      </c>
      <c r="K706" s="207">
        <f>RANK(I706,$I$76:$I$977)</f>
        <v>630</v>
      </c>
      <c r="L706" s="208" t="e">
        <f>RANK(I706,$I$76:$I$450)</f>
        <v>#N/A</v>
      </c>
      <c r="M706" s="173">
        <f>SUM(N706:R706)</f>
        <v>2810.6141380789777</v>
      </c>
      <c r="N706" s="174">
        <f>T706*(1+((AG706+IF(F706="백어택",8,0))/100)*((AI706/100-1)))</f>
        <v>2810.6141380789777</v>
      </c>
      <c r="O706" s="174"/>
      <c r="P706" s="174"/>
      <c r="Q706" s="174"/>
      <c r="R706" s="175"/>
      <c r="S706" s="173">
        <f>SUM(T706:X706)*H706</f>
        <v>6385.9092355415869</v>
      </c>
      <c r="T706" s="174">
        <f>AL706*AU706*AX706*IF(F706="백어택",1.2,1)</f>
        <v>2128.6364118471956</v>
      </c>
      <c r="U706" s="174"/>
      <c r="V706" s="174"/>
      <c r="W706" s="174"/>
      <c r="X706" s="175"/>
      <c r="Y706" s="173">
        <f>SUM(Z706:AD706)</f>
        <v>4257.2728236943913</v>
      </c>
      <c r="Z706" s="174">
        <f>T706*$D$58/100</f>
        <v>4257.2728236943913</v>
      </c>
      <c r="AA706" s="174"/>
      <c r="AB706" s="174"/>
      <c r="AC706" s="174"/>
      <c r="AD706" s="175"/>
      <c r="AE706" s="173">
        <f>AO706*(1-$D$17/100)</f>
        <v>5.9857079999999998</v>
      </c>
      <c r="AF706" s="174">
        <f>AP706</f>
        <v>36</v>
      </c>
      <c r="AG706" s="174">
        <f>IF($D$57+AT706&gt;100,100,$D$57+AT706)</f>
        <v>19.001300000000001</v>
      </c>
      <c r="AH706" s="174">
        <f>AQ706*AR706</f>
        <v>235</v>
      </c>
      <c r="AI706" s="174">
        <f>$D$58+$D$19</f>
        <v>268.61079999999998</v>
      </c>
      <c r="AJ706" s="174">
        <f>10*AS706/IF(AX706=1,5,3.5)</f>
        <v>2.5714285714285716</v>
      </c>
      <c r="AK706" s="174">
        <f>SUM(AL706:AN706)</f>
        <v>1013.6363865939026</v>
      </c>
      <c r="AL706" s="174">
        <f>((VLOOKUP(C706,$B$36:$AG$39,23,FALSE)+VLOOKUP(C706,$B$40:$AG$43,23,FALSE)*$D$54))*$D$59/100</f>
        <v>1013.6363865939026</v>
      </c>
      <c r="AM706" s="174"/>
      <c r="AN706" s="174"/>
      <c r="AO706" s="176">
        <v>6</v>
      </c>
      <c r="AP706" s="174">
        <v>36</v>
      </c>
      <c r="AQ706" s="175">
        <f>VLOOKUP(C706,$B$45:$AA$48,23,FALSE)</f>
        <v>235</v>
      </c>
      <c r="AR706" s="31">
        <f>IF(LEFT(E706,1)*1=1,$S$66,$R$66)</f>
        <v>1</v>
      </c>
      <c r="AS706" s="2">
        <f>IF(LEFT(E706,1)*1=2,$U$66,$T$66)</f>
        <v>0.9</v>
      </c>
      <c r="AT706" s="33">
        <f>IF(LEFT(E706,1)*1=3,$W$66,$V$66)</f>
        <v>0</v>
      </c>
      <c r="AU706" s="31">
        <f>IF(MID(E706,3,1)*1=1,$Y$66,$X$66)</f>
        <v>1.4</v>
      </c>
      <c r="AV706" s="2">
        <f>IF(MID(E706,3,1)*1=2,$AA$66,$Z$66)</f>
        <v>0</v>
      </c>
      <c r="AW706" s="33">
        <f>IF(MID(E706,3,1)*1=3,$AC$66,$AB$66)</f>
        <v>0</v>
      </c>
      <c r="AX706" s="31">
        <f>IF(MID(E706,5,1)*1=1,$AE$66,$AD$66)</f>
        <v>1.5</v>
      </c>
      <c r="AY706" s="33">
        <f>IF(MID(E706,5,1)*1=2,$AG$66,$AF$66)</f>
        <v>1</v>
      </c>
      <c r="AZ706" s="2"/>
      <c r="BA706" s="101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</row>
    <row r="707" spans="1:71" ht="12" customHeight="1">
      <c r="A707" s="2"/>
      <c r="B707" s="107">
        <v>268</v>
      </c>
      <c r="C707" s="31">
        <v>10</v>
      </c>
      <c r="D707" s="106" t="s">
        <v>16</v>
      </c>
      <c r="E707" s="2" t="s">
        <v>165</v>
      </c>
      <c r="F707" s="2"/>
      <c r="G707" s="2"/>
      <c r="H707" s="33">
        <f>AX707*2</f>
        <v>2</v>
      </c>
      <c r="I707" s="173">
        <f>M707/AE707</f>
        <v>469.55416770730847</v>
      </c>
      <c r="J707" s="174">
        <f>AH707/AE707</f>
        <v>19.630092212984664</v>
      </c>
      <c r="K707" s="207">
        <f>RANK(I707,$I$76:$I$977)</f>
        <v>630</v>
      </c>
      <c r="L707" s="208" t="e">
        <f>RANK(I707,$I$76:$I$450)</f>
        <v>#N/A</v>
      </c>
      <c r="M707" s="173">
        <f>SUM(N707:R707)</f>
        <v>2810.6141380789777</v>
      </c>
      <c r="N707" s="174">
        <f>T707*(1+((AG707+IF(F707="백어택",8,0))/100)*((AI707/100-1)))</f>
        <v>2810.6141380789777</v>
      </c>
      <c r="O707" s="174"/>
      <c r="P707" s="174"/>
      <c r="Q707" s="174"/>
      <c r="R707" s="175"/>
      <c r="S707" s="173">
        <f>SUM(T707:X707)*H707</f>
        <v>4257.2728236943913</v>
      </c>
      <c r="T707" s="174">
        <f>AL707*AU707*AY707*IF(F707="백어택",1.2,1)</f>
        <v>2128.6364118471956</v>
      </c>
      <c r="U707" s="174"/>
      <c r="V707" s="174"/>
      <c r="W707" s="174"/>
      <c r="X707" s="175"/>
      <c r="Y707" s="173">
        <f>SUM(Z707:AD707)</f>
        <v>4257.2728236943913</v>
      </c>
      <c r="Z707" s="174">
        <f>T707*$D$58/100</f>
        <v>4257.2728236943913</v>
      </c>
      <c r="AA707" s="174"/>
      <c r="AB707" s="174"/>
      <c r="AC707" s="174"/>
      <c r="AD707" s="175"/>
      <c r="AE707" s="173">
        <f>AO707*(1-$D$17/100)</f>
        <v>5.9857079999999998</v>
      </c>
      <c r="AF707" s="174">
        <f>AP707</f>
        <v>36</v>
      </c>
      <c r="AG707" s="174">
        <f>IF($D$57+AT707&gt;100,100,$D$57+AT707)</f>
        <v>19.001300000000001</v>
      </c>
      <c r="AH707" s="174">
        <f>AQ707*AR707</f>
        <v>117.5</v>
      </c>
      <c r="AI707" s="174">
        <f>$D$58+$D$19</f>
        <v>268.61079999999998</v>
      </c>
      <c r="AJ707" s="174">
        <f>10*AS707/IF(AX707=1,5,3.5)</f>
        <v>2</v>
      </c>
      <c r="AK707" s="174">
        <f>SUM(AL707:AN707)</f>
        <v>1013.6363865939026</v>
      </c>
      <c r="AL707" s="174">
        <f>((VLOOKUP(C707,$B$36:$AG$39,23,FALSE)+VLOOKUP(C707,$B$40:$AG$43,23,FALSE)*$D$54))*$D$59/100</f>
        <v>1013.6363865939026</v>
      </c>
      <c r="AM707" s="174"/>
      <c r="AN707" s="174"/>
      <c r="AO707" s="176">
        <v>6</v>
      </c>
      <c r="AP707" s="174">
        <v>36</v>
      </c>
      <c r="AQ707" s="175">
        <f>VLOOKUP(C707,$B$45:$AA$48,23,FALSE)</f>
        <v>235</v>
      </c>
      <c r="AR707" s="31">
        <f>IF(LEFT(E707,1)*1=1,$S$66,$R$66)</f>
        <v>0.5</v>
      </c>
      <c r="AS707" s="2">
        <f>IF(LEFT(E707,1)*1=2,$U$66,$T$66)</f>
        <v>1</v>
      </c>
      <c r="AT707" s="33">
        <f>IF(LEFT(E707,1)*1=3,$W$66,$V$66)</f>
        <v>0</v>
      </c>
      <c r="AU707" s="31">
        <f>IF(MID(E707,3,1)*1=1,$Y$66,$X$66)</f>
        <v>1.4</v>
      </c>
      <c r="AV707" s="2">
        <f>IF(MID(E707,3,1)*1=2,$AA$66,$Z$66)</f>
        <v>0</v>
      </c>
      <c r="AW707" s="33">
        <f>IF(MID(E707,3,1)*1=3,$AC$66,$AB$66)</f>
        <v>0</v>
      </c>
      <c r="AX707" s="31">
        <f>IF(MID(E707,5,1)*1=1,$AE$66,$AD$66)</f>
        <v>1</v>
      </c>
      <c r="AY707" s="33">
        <f>IF(MID(E707,5,1)*1=2,$AG$66,$AF$66)</f>
        <v>1.5</v>
      </c>
      <c r="AZ707" s="2"/>
      <c r="BA707" s="101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</row>
    <row r="708" spans="1:71" ht="12" customHeight="1">
      <c r="A708" s="2"/>
      <c r="B708" s="107">
        <v>270</v>
      </c>
      <c r="C708" s="31">
        <v>10</v>
      </c>
      <c r="D708" s="106" t="s">
        <v>16</v>
      </c>
      <c r="E708" s="2" t="s">
        <v>170</v>
      </c>
      <c r="F708" s="2"/>
      <c r="G708" s="2"/>
      <c r="H708" s="33">
        <f>AX708*2</f>
        <v>2</v>
      </c>
      <c r="I708" s="173">
        <f>M708/AE708</f>
        <v>469.55416770730847</v>
      </c>
      <c r="J708" s="174">
        <f>AH708/AE708</f>
        <v>39.260184425969328</v>
      </c>
      <c r="K708" s="207">
        <f>RANK(I708,$I$76:$I$977)</f>
        <v>630</v>
      </c>
      <c r="L708" s="208" t="e">
        <f>RANK(I708,$I$76:$I$450)</f>
        <v>#N/A</v>
      </c>
      <c r="M708" s="173">
        <f>SUM(N708:R708)</f>
        <v>2810.6141380789777</v>
      </c>
      <c r="N708" s="174">
        <f>T708*(1+((AG708+IF(F708="백어택",8,0))/100)*((AI708/100-1)))</f>
        <v>2810.6141380789777</v>
      </c>
      <c r="O708" s="174"/>
      <c r="P708" s="174"/>
      <c r="Q708" s="174"/>
      <c r="R708" s="175"/>
      <c r="S708" s="173">
        <f>SUM(T708:X708)*H708</f>
        <v>4257.2728236943913</v>
      </c>
      <c r="T708" s="174">
        <f>AL708*AU708*AY708*IF(F708="백어택",1.2,1)</f>
        <v>2128.6364118471956</v>
      </c>
      <c r="U708" s="174"/>
      <c r="V708" s="174"/>
      <c r="W708" s="174"/>
      <c r="X708" s="175"/>
      <c r="Y708" s="173">
        <f>SUM(Z708:AD708)</f>
        <v>4257.2728236943913</v>
      </c>
      <c r="Z708" s="174">
        <f>T708*$D$58/100</f>
        <v>4257.2728236943913</v>
      </c>
      <c r="AA708" s="174"/>
      <c r="AB708" s="174"/>
      <c r="AC708" s="174"/>
      <c r="AD708" s="175"/>
      <c r="AE708" s="173">
        <f>AO708*(1-$D$17/100)</f>
        <v>5.9857079999999998</v>
      </c>
      <c r="AF708" s="174">
        <f>AP708</f>
        <v>36</v>
      </c>
      <c r="AG708" s="174">
        <f>IF($D$57+AT708&gt;100,100,$D$57+AT708)</f>
        <v>19.001300000000001</v>
      </c>
      <c r="AH708" s="174">
        <f>AQ708*AR708</f>
        <v>235</v>
      </c>
      <c r="AI708" s="174">
        <f>$D$58+$D$19</f>
        <v>268.61079999999998</v>
      </c>
      <c r="AJ708" s="174">
        <f>10*AS708/IF(AX708=1,5,3.5)</f>
        <v>1.8</v>
      </c>
      <c r="AK708" s="174">
        <f>SUM(AL708:AN708)</f>
        <v>1013.6363865939026</v>
      </c>
      <c r="AL708" s="174">
        <f>((VLOOKUP(C708,$B$36:$AG$39,23,FALSE)+VLOOKUP(C708,$B$40:$AG$43,23,FALSE)*$D$54))*$D$59/100</f>
        <v>1013.6363865939026</v>
      </c>
      <c r="AM708" s="174"/>
      <c r="AN708" s="174"/>
      <c r="AO708" s="176">
        <v>6</v>
      </c>
      <c r="AP708" s="174">
        <v>36</v>
      </c>
      <c r="AQ708" s="175">
        <f>VLOOKUP(C708,$B$45:$AA$48,23,FALSE)</f>
        <v>235</v>
      </c>
      <c r="AR708" s="31">
        <f>IF(LEFT(E708,1)*1=1,$S$66,$R$66)</f>
        <v>1</v>
      </c>
      <c r="AS708" s="2">
        <f>IF(LEFT(E708,1)*1=2,$U$66,$T$66)</f>
        <v>0.9</v>
      </c>
      <c r="AT708" s="33">
        <f>IF(LEFT(E708,1)*1=3,$W$66,$V$66)</f>
        <v>0</v>
      </c>
      <c r="AU708" s="31">
        <f>IF(MID(E708,3,1)*1=1,$Y$66,$X$66)</f>
        <v>1.4</v>
      </c>
      <c r="AV708" s="2">
        <f>IF(MID(E708,3,1)*1=2,$AA$66,$Z$66)</f>
        <v>0</v>
      </c>
      <c r="AW708" s="33">
        <f>IF(MID(E708,3,1)*1=3,$AC$66,$AB$66)</f>
        <v>0</v>
      </c>
      <c r="AX708" s="31">
        <f>IF(MID(E708,5,1)*1=1,$AE$66,$AD$66)</f>
        <v>1</v>
      </c>
      <c r="AY708" s="33">
        <f>IF(MID(E708,5,1)*1=2,$AG$66,$AF$66)</f>
        <v>1.5</v>
      </c>
      <c r="AZ708" s="2"/>
      <c r="BA708" s="101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</row>
    <row r="709" spans="1:71" ht="12" customHeight="1">
      <c r="A709" s="2"/>
      <c r="B709" s="107">
        <v>390</v>
      </c>
      <c r="C709" s="31">
        <v>7</v>
      </c>
      <c r="D709" s="111" t="s">
        <v>8</v>
      </c>
      <c r="E709" s="2" t="s">
        <v>91</v>
      </c>
      <c r="F709" s="2"/>
      <c r="G709" s="2"/>
      <c r="H709" s="33" t="s">
        <v>81</v>
      </c>
      <c r="I709" s="173">
        <f>M709/AE709</f>
        <v>468.87785447878696</v>
      </c>
      <c r="J709" s="174">
        <f>AH709/AE709</f>
        <v>19.637781784066725</v>
      </c>
      <c r="K709" s="207">
        <f>RANK(I709,$I$76:$I$977)</f>
        <v>634</v>
      </c>
      <c r="L709" s="208">
        <f>RANK(I709,$I$451:$I$866)</f>
        <v>259</v>
      </c>
      <c r="M709" s="173">
        <f>SUM(N709:R709)</f>
        <v>8667.1021731128003</v>
      </c>
      <c r="N709" s="174">
        <f>T709*(1+((AG709+IF(F709="백어택",8,0))/100)*(IF(AY709=1,$D$58,$D$58+50)/100-1))</f>
        <v>3648.8294127818094</v>
      </c>
      <c r="O709" s="174">
        <f>U709*(1+((AG709+IF(F709="백어택",8,0))/100)*(AI709/100-1))</f>
        <v>5018.2727603309904</v>
      </c>
      <c r="P709" s="174">
        <f>V709*(1+((AG709+IF(F709="백어택",8,0))/100)*(AI709/100-1))</f>
        <v>0</v>
      </c>
      <c r="Q709" s="174"/>
      <c r="R709" s="175"/>
      <c r="S709" s="173">
        <f>SUM(T709:X709)</f>
        <v>6983.0044322432941</v>
      </c>
      <c r="T709" s="174">
        <f>AL709*IF(H709="근접",AR709,1)*AY709*IF(F709="백어택",1.2,1)</f>
        <v>3066.2097076097566</v>
      </c>
      <c r="U709" s="174">
        <f>AM709*IF(H709="근접",AR709,1)*AY709*IF(F709="백어택",1.2,1)</f>
        <v>3916.7947246335375</v>
      </c>
      <c r="V709" s="174">
        <f>IF(AX709=1,0,AM709*IF(H709="근접",AR709,1)*AY709)*IF(F709="백어택",1.2,1)</f>
        <v>0</v>
      </c>
      <c r="W709" s="174"/>
      <c r="X709" s="175"/>
      <c r="Y709" s="173">
        <f>SUM(Z709:AD709)</f>
        <v>15846.070332310686</v>
      </c>
      <c r="Z709" s="174">
        <f>T709*IF(AY709=1,$D$58,$D$58+50)/100</f>
        <v>6132.4194152195132</v>
      </c>
      <c r="AA709" s="174">
        <f>U709*AI709/100</f>
        <v>9713.6509170911722</v>
      </c>
      <c r="AB709" s="174">
        <f>V709*AI709/100</f>
        <v>0</v>
      </c>
      <c r="AC709" s="174"/>
      <c r="AD709" s="175"/>
      <c r="AE709" s="173">
        <f>AO709*(1-$D$20/100)*(1-$D$17/100)</f>
        <v>18.484776131615998</v>
      </c>
      <c r="AF709" s="174">
        <f>AP709</f>
        <v>36</v>
      </c>
      <c r="AG709" s="174">
        <f>IF($D$57+AU709&gt;100,100,$D$57+AU709)</f>
        <v>19.001300000000001</v>
      </c>
      <c r="AH709" s="174">
        <f>IF(AX709=1,AQ709,AQ709*1.4)</f>
        <v>363</v>
      </c>
      <c r="AI709" s="174">
        <f>IF(AY709=1,$D$58,$D$58+50)*AW709</f>
        <v>248</v>
      </c>
      <c r="AJ709" s="174">
        <f>10/6/AX709</f>
        <v>1.6666666666666667</v>
      </c>
      <c r="AK709" s="174">
        <f>SUM(AL709:AN709)</f>
        <v>6983.0044322432941</v>
      </c>
      <c r="AL709" s="174">
        <f>(IF(H709="근접",$D$61*(VLOOKUP(C709,$B$36:$AG$39,9,FALSE)+VLOOKUP(C709,$B$40:$AG$43,9,FALSE)*$D$54),$D$60*(VLOOKUP(C709,$B$36:$AG$39,9,FALSE)+VLOOKUP(C709,$B$40:$AG$43,9,FALSE)*$D$54)))*$D$59/100</f>
        <v>3066.2097076097566</v>
      </c>
      <c r="AM709" s="174">
        <f>(IF(H709="근접",$D$61*(VLOOKUP(C709,$B$36:$AG$39,10,FALSE)+VLOOKUP(C709,$B$40:$AG$43,10,FALSE)*$D$54),$D$60*(VLOOKUP(C709,$B$36:$AG$39,10,FALSE)+VLOOKUP(C709,$B$40:$AG$43,10,FALSE)*$D$54)))*$D$59/100</f>
        <v>3916.7947246335375</v>
      </c>
      <c r="AN709" s="174"/>
      <c r="AO709" s="176">
        <v>24</v>
      </c>
      <c r="AP709" s="174">
        <v>36</v>
      </c>
      <c r="AQ709" s="175">
        <f>VLOOKUP(C709,$B$45:$AA$48,9,FALSE)</f>
        <v>363</v>
      </c>
      <c r="AR709" s="31">
        <f>IF(LEFT(E709,1)*1=1,$S$58,$R$58)</f>
        <v>1</v>
      </c>
      <c r="AS709" s="2">
        <f>IF(LEFT(E709,1)*1=2,$U$58,$T$58)</f>
        <v>0</v>
      </c>
      <c r="AT709" s="33">
        <f>IF(LEFT(E709,1)*1=3,$W$58,$V$58)</f>
        <v>0</v>
      </c>
      <c r="AU709" s="31">
        <f>IF(MID(E709,3,1)*1=1,$Y$58,$X$58)</f>
        <v>0</v>
      </c>
      <c r="AV709" s="2">
        <f>IF(MID(E709,3,1)*1=2,$AA$58,$Z$58)</f>
        <v>0</v>
      </c>
      <c r="AW709" s="33">
        <f>IF(MID(E709,3,1)*1=3,$AC$58,$AB$58)</f>
        <v>1.24</v>
      </c>
      <c r="AX709" s="31">
        <f>IF(MID(E709,5,1)*1=1,$AE$58,$AD$58)</f>
        <v>1</v>
      </c>
      <c r="AY709" s="33">
        <f>IF(MID(E709,5,1)*1=2,$AG$58,$AF$58)</f>
        <v>1</v>
      </c>
      <c r="AZ709" s="2"/>
      <c r="BA709" s="101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</row>
    <row r="710" spans="1:71" ht="12" customHeight="1">
      <c r="A710" s="2"/>
      <c r="B710" s="107">
        <v>634</v>
      </c>
      <c r="C710" s="31">
        <v>4</v>
      </c>
      <c r="D710" s="111" t="s">
        <v>18</v>
      </c>
      <c r="E710" s="2" t="s">
        <v>79</v>
      </c>
      <c r="F710" s="2"/>
      <c r="G710" s="2"/>
      <c r="H710" s="33" t="s">
        <v>81</v>
      </c>
      <c r="I710" s="173">
        <f>M710/AE710</f>
        <v>467.74799336701062</v>
      </c>
      <c r="J710" s="174">
        <f>AH710/AE710</f>
        <v>10.765615909171565</v>
      </c>
      <c r="K710" s="207">
        <f>RANK(I710,$I$76:$I$977)</f>
        <v>635</v>
      </c>
      <c r="L710" s="208">
        <f>RANK(I710,$I$451:$I$866)</f>
        <v>260</v>
      </c>
      <c r="M710" s="173">
        <f>SUM(N710:R710)</f>
        <v>8646.216943401796</v>
      </c>
      <c r="N710" s="174">
        <f>T710*(1+((AG710+IF(F710="백어택",8,0))/100)*(AI710/100-1))</f>
        <v>5160.8637509052132</v>
      </c>
      <c r="O710" s="174">
        <f>U710*(1+(($D$57+IF(F710="백어택",8,0))/100)*(AI710/100-1))</f>
        <v>3485.3531924965819</v>
      </c>
      <c r="P710" s="174"/>
      <c r="Q710" s="174"/>
      <c r="R710" s="175"/>
      <c r="S710" s="173">
        <f>SUM(T710:X710)</f>
        <v>7265.6491512292687</v>
      </c>
      <c r="T710" s="174">
        <f>AL710*IF(H710="근접",AT710,IF(AV710=1,AT710,1))*AX710*IF(F710="백어택",1.2,1)</f>
        <v>4336.8129179304879</v>
      </c>
      <c r="U710" s="174">
        <f>IF(AX710=1,AM710*IF(H710="근접",AT710,IF(AV710=1,AT710,1)),0)*AY710*IF(AX710=1,1,0)*IF(F710="백어택",1.2,1)</f>
        <v>2928.8362332987808</v>
      </c>
      <c r="V710" s="174"/>
      <c r="W710" s="174"/>
      <c r="X710" s="175"/>
      <c r="Y710" s="173">
        <f>SUM(Z710:AD710)</f>
        <v>14531.298302458537</v>
      </c>
      <c r="Z710" s="174">
        <f>T710*$D$58/100</f>
        <v>8673.6258358609757</v>
      </c>
      <c r="AA710" s="174">
        <f>U710*$D$58/100</f>
        <v>5857.6724665975617</v>
      </c>
      <c r="AB710" s="174"/>
      <c r="AC710" s="174"/>
      <c r="AD710" s="175"/>
      <c r="AE710" s="173">
        <f>(AO710*(1-$D$20/100)*(1-$D$17/100)-AR710)*IF(AW710="보스대상",1,POWER(0.85,AW710))</f>
        <v>18.484776131615998</v>
      </c>
      <c r="AF710" s="174">
        <f>AP710</f>
        <v>36</v>
      </c>
      <c r="AG710" s="174">
        <f>IF($D$57+AU710&gt;100,100,$D$57+AU710)</f>
        <v>19.001300000000001</v>
      </c>
      <c r="AH710" s="174">
        <f>AQ710</f>
        <v>199</v>
      </c>
      <c r="AI710" s="174">
        <f>$D$58</f>
        <v>200</v>
      </c>
      <c r="AJ710" s="174">
        <f>10*AS710/IF(AX710=1,IF(AY710=1,4.5,4),4)</f>
        <v>1.7777777777777777</v>
      </c>
      <c r="AK710" s="174">
        <f>SUM(AL710:AN710)</f>
        <v>7265.6491512292687</v>
      </c>
      <c r="AL710" s="174">
        <f>IF(AV710=1,$D$61*(VLOOKUP(C710,$B$36:$AG$39,25,FALSE)+VLOOKUP(C710,$B$40:$AG$43,25,FALSE)*$D$54),(IF(H710="근접",$D$61*(VLOOKUP(C710,$B$36:$AG$39,25,FALSE)+VLOOKUP(C710,$B$40:$AG$43,25,FALSE)*$D$54),$D$60*(VLOOKUP(C710,$B$36:$AG$39,25,FALSE)+VLOOKUP(C710,$B$40:$AG$43,25,FALSE)*$D$54))))*$D$59/100</f>
        <v>4336.8129179304879</v>
      </c>
      <c r="AM710" s="174">
        <f>(IF(AV710=1,$D$61*(VLOOKUP(C710,$B$36:$AG$39,26,FALSE)+VLOOKUP(C710,$B$40:$AG$43,26,FALSE)*$D$54),IF(H710="근접",$D$61*(VLOOKUP(C710,$B$36:$AG$39,26,FALSE)+VLOOKUP(C710,$B$40:$AG$43,26,FALSE)*$D$54),$D$60*(VLOOKUP(C710,$B$36:$AG$39,26,FALSE)+VLOOKUP(C710,$B$40:$AG$43,26,FALSE)*$D$54))))*$D$59/100</f>
        <v>2928.8362332987808</v>
      </c>
      <c r="AN710" s="174"/>
      <c r="AO710" s="176">
        <v>24</v>
      </c>
      <c r="AP710" s="174">
        <v>36</v>
      </c>
      <c r="AQ710" s="175">
        <f>VLOOKUP(C710,$B$45:$AA$48,25,FALSE)</f>
        <v>199</v>
      </c>
      <c r="AR710" s="31">
        <f>IF(LEFT(E710,1)*1=1,$S$68,$R$68)</f>
        <v>0</v>
      </c>
      <c r="AS710" s="2">
        <f>IF(LEFT(E710,1)*1=2,$U$68,$T$68)</f>
        <v>0.8</v>
      </c>
      <c r="AT710" s="33">
        <f>IF(LEFT(E710,1)*1=3,$W$68,$V$68)</f>
        <v>1</v>
      </c>
      <c r="AU710" s="31">
        <f>IF(MID(E710,3,1)*1=1,$Y$68,$X$68)</f>
        <v>0</v>
      </c>
      <c r="AV710" s="2">
        <f>IF(MID(E710,3,1)*1=2,$AA$68,$Z$68)</f>
        <v>0</v>
      </c>
      <c r="AW710" s="33" t="str">
        <f>IF(MID(E710,3,1)*1=3,$AC$68,$AB$68)</f>
        <v>보스대상</v>
      </c>
      <c r="AX710" s="31">
        <f>IF(MID(E710,5,1)*1=1,$AE$68,$AD$68)</f>
        <v>1</v>
      </c>
      <c r="AY710" s="33">
        <f>IF(MID(E710,5,1)*1=2,$AG$68,$AF$68)</f>
        <v>1</v>
      </c>
      <c r="AZ710" s="2"/>
      <c r="BA710" s="101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</row>
    <row r="711" spans="1:71" ht="12" customHeight="1">
      <c r="A711" s="2"/>
      <c r="B711" s="107">
        <v>256</v>
      </c>
      <c r="C711" s="31">
        <v>7</v>
      </c>
      <c r="D711" s="106" t="s">
        <v>16</v>
      </c>
      <c r="E711" s="2" t="s">
        <v>179</v>
      </c>
      <c r="F711" s="2" t="s">
        <v>149</v>
      </c>
      <c r="G711" s="2"/>
      <c r="H711" s="33">
        <f>AX711*2</f>
        <v>2</v>
      </c>
      <c r="I711" s="173">
        <f>M711/AE711</f>
        <v>465.89829412966861</v>
      </c>
      <c r="J711" s="174">
        <f>AH711/AE711</f>
        <v>27.23153217631064</v>
      </c>
      <c r="K711" s="207">
        <f>RANK(I711,$I$76:$I$977)</f>
        <v>636</v>
      </c>
      <c r="L711" s="208" t="e">
        <f>RANK(I711,$I$76:$I$450)</f>
        <v>#N/A</v>
      </c>
      <c r="M711" s="173">
        <f>SUM(N711:R711)</f>
        <v>2788.7311463583105</v>
      </c>
      <c r="N711" s="174">
        <f>T711*(1+((AG711+IF(F711="백어택",8,0))/100)*((AI711/100-1)))</f>
        <v>2788.7311463583105</v>
      </c>
      <c r="O711" s="174"/>
      <c r="P711" s="174"/>
      <c r="Q711" s="174"/>
      <c r="R711" s="175"/>
      <c r="S711" s="173">
        <f>SUM(T711:X711)*H711</f>
        <v>3265.1351288967808</v>
      </c>
      <c r="T711" s="174">
        <f>AL711*AU711*AY711*IF(F711="백어택",1.2,1)</f>
        <v>1632.5675644483904</v>
      </c>
      <c r="U711" s="174"/>
      <c r="V711" s="174"/>
      <c r="W711" s="174"/>
      <c r="X711" s="175"/>
      <c r="Y711" s="173">
        <f>SUM(Z711:AD711)</f>
        <v>3265.1351288967808</v>
      </c>
      <c r="Z711" s="174">
        <f>T711*$D$58/100</f>
        <v>3265.1351288967808</v>
      </c>
      <c r="AA711" s="174"/>
      <c r="AB711" s="174"/>
      <c r="AC711" s="174"/>
      <c r="AD711" s="175"/>
      <c r="AE711" s="173">
        <f>AO711*(1-$D$17/100)</f>
        <v>5.9857079999999998</v>
      </c>
      <c r="AF711" s="174">
        <f>AP711</f>
        <v>36</v>
      </c>
      <c r="AG711" s="174">
        <f>IF($D$57+AT711&gt;100,100,$D$57+AT711)</f>
        <v>34.001300000000001</v>
      </c>
      <c r="AH711" s="174">
        <f>AQ711*AR711</f>
        <v>163</v>
      </c>
      <c r="AI711" s="174">
        <f>$D$58+$D$19</f>
        <v>268.61079999999998</v>
      </c>
      <c r="AJ711" s="174">
        <f>10*AS711/IF(AX711=1,5,3.5)</f>
        <v>2</v>
      </c>
      <c r="AK711" s="174">
        <f>SUM(AL711:AN711)</f>
        <v>971.7664074097562</v>
      </c>
      <c r="AL711" s="174">
        <f>((VLOOKUP(C711,$B$36:$AG$39,23,FALSE)+VLOOKUP(C711,$B$40:$AG$43,23,FALSE)*$D$54))*$D$59/100</f>
        <v>971.7664074097562</v>
      </c>
      <c r="AM711" s="174"/>
      <c r="AN711" s="174"/>
      <c r="AO711" s="176">
        <v>6</v>
      </c>
      <c r="AP711" s="174">
        <v>36</v>
      </c>
      <c r="AQ711" s="175">
        <f>VLOOKUP(C711,$B$45:$AA$48,23,FALSE)</f>
        <v>163</v>
      </c>
      <c r="AR711" s="31">
        <f>IF(LEFT(E711,1)*1=1,$S$66,$R$66)</f>
        <v>1</v>
      </c>
      <c r="AS711" s="2">
        <f>IF(LEFT(E711,1)*1=2,$U$66,$T$66)</f>
        <v>1</v>
      </c>
      <c r="AT711" s="33">
        <f>IF(LEFT(E711,1)*1=3,$W$66,$V$66)</f>
        <v>15</v>
      </c>
      <c r="AU711" s="31">
        <f>IF(MID(E711,3,1)*1=1,$Y$66,$X$66)</f>
        <v>1.4</v>
      </c>
      <c r="AV711" s="2">
        <f>IF(MID(E711,3,1)*1=2,$AA$66,$Z$66)</f>
        <v>0</v>
      </c>
      <c r="AW711" s="33">
        <f>IF(MID(E711,3,1)*1=3,$AC$66,$AB$66)</f>
        <v>0</v>
      </c>
      <c r="AX711" s="31">
        <f>IF(MID(E711,5,1)*1=1,$AE$66,$AD$66)</f>
        <v>1</v>
      </c>
      <c r="AY711" s="33">
        <f>IF(MID(E711,5,1)*1=2,$AG$66,$AF$66)</f>
        <v>1</v>
      </c>
      <c r="AZ711" s="2"/>
      <c r="BA711" s="101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</row>
    <row r="712" spans="1:71" ht="12" customHeight="1">
      <c r="A712" s="2"/>
      <c r="B712" s="107">
        <v>19</v>
      </c>
      <c r="C712" s="31">
        <v>7</v>
      </c>
      <c r="D712" s="106" t="s">
        <v>2</v>
      </c>
      <c r="E712" s="2" t="s">
        <v>67</v>
      </c>
      <c r="F712" s="2"/>
      <c r="G712" s="2"/>
      <c r="H712" s="33"/>
      <c r="I712" s="173">
        <f>M712/AE712</f>
        <v>463.84210228392647</v>
      </c>
      <c r="J712" s="174">
        <f>AH712/AE712</f>
        <v>24.18260296025132</v>
      </c>
      <c r="K712" s="207">
        <f>RANK(I712,$I$76:$I$977)</f>
        <v>637</v>
      </c>
      <c r="L712" s="208" t="e">
        <f>RANK(I712,$I$76:$I$450)</f>
        <v>#N/A</v>
      </c>
      <c r="M712" s="173">
        <f>SUM(N712:R712)</f>
        <v>3701.8978431702894</v>
      </c>
      <c r="N712" s="174">
        <f>T712*(1+((AG712+IF(F712="백어택",8,0))/100)*((AI712/100-1)))</f>
        <v>3701.8978431702894</v>
      </c>
      <c r="O712" s="174"/>
      <c r="P712" s="174"/>
      <c r="Q712" s="174"/>
      <c r="R712" s="175"/>
      <c r="S712" s="173">
        <f>SUM(T712:X712)</f>
        <v>2803.6557687341465</v>
      </c>
      <c r="T712" s="174">
        <f>AL712*AV712*AW712*AY712</f>
        <v>2803.6557687341465</v>
      </c>
      <c r="U712" s="174"/>
      <c r="V712" s="174"/>
      <c r="W712" s="174"/>
      <c r="X712" s="175"/>
      <c r="Y712" s="173">
        <f>SUM(Z712:AD712)</f>
        <v>5607.311537468293</v>
      </c>
      <c r="Z712" s="174">
        <f>T712*$D$58/100</f>
        <v>5607.311537468293</v>
      </c>
      <c r="AA712" s="174"/>
      <c r="AB712" s="174"/>
      <c r="AC712" s="174"/>
      <c r="AD712" s="175"/>
      <c r="AE712" s="173">
        <f>AO712*(1-$D$17/100)-AS712</f>
        <v>7.980944</v>
      </c>
      <c r="AF712" s="174"/>
      <c r="AG712" s="174">
        <f>IF($D$57+AT712&gt;100,100,$D$57+AT712)</f>
        <v>19.001300000000001</v>
      </c>
      <c r="AH712" s="174">
        <f>AQ712</f>
        <v>193</v>
      </c>
      <c r="AI712" s="174">
        <f>$D$58+$D$19</f>
        <v>268.61079999999998</v>
      </c>
      <c r="AJ712" s="174">
        <f>10*AY712/12</f>
        <v>0.83333333333333337</v>
      </c>
      <c r="AK712" s="174">
        <f>SUM(AL712:AN712)</f>
        <v>2803.6557687341465</v>
      </c>
      <c r="AL712" s="174">
        <f>(VLOOKUP(C712,$B$36:$AA$39,2,FALSE)+VLOOKUP(C712,$B$40:$AA$43,2,FALSE)*$D$54)*$D$59/100</f>
        <v>2803.6557687341465</v>
      </c>
      <c r="AM712" s="174"/>
      <c r="AN712" s="174"/>
      <c r="AO712" s="176">
        <v>8</v>
      </c>
      <c r="AP712" s="174">
        <v>15</v>
      </c>
      <c r="AQ712" s="175">
        <f>VLOOKUP(C712,$B$45:$AA$48,2,FALSE)</f>
        <v>193</v>
      </c>
      <c r="AR712" s="31">
        <f>IF(LEFT(E712,1)*1=1,$S$52,$R$52)</f>
        <v>0</v>
      </c>
      <c r="AS712" s="2">
        <f>IF(LEFT(E712,1)*1=2,$U$52,$T$52)</f>
        <v>0</v>
      </c>
      <c r="AT712" s="33">
        <f>IF(LEFT(E712,1)*1=3,$W$52,$V$52)</f>
        <v>0</v>
      </c>
      <c r="AU712" s="31">
        <f>IF(MID(E712,3,1)*1=1,$Y$52,$X$52)</f>
        <v>0</v>
      </c>
      <c r="AV712" s="2">
        <f>IF(MID(E712,3,1)*1=2,$AA$52,$Z$52)</f>
        <v>1</v>
      </c>
      <c r="AW712" s="33">
        <f>IF(MID(E712,3,1)*1=3,$AC$52,$AB$52)</f>
        <v>1</v>
      </c>
      <c r="AX712" s="31">
        <f>IF(MID(E712,5,1)*1=1,$AE$52,$AD$52)</f>
        <v>0</v>
      </c>
      <c r="AY712" s="33">
        <f>IF(MID(E712,5,1)*1=2,$AG$52,$AF$52)</f>
        <v>1</v>
      </c>
      <c r="AZ712" s="2"/>
      <c r="BA712" s="101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</row>
    <row r="713" spans="1:71" ht="12" customHeight="1">
      <c r="A713" s="2"/>
      <c r="B713" s="107">
        <v>289</v>
      </c>
      <c r="C713" s="31">
        <v>10</v>
      </c>
      <c r="D713" s="106" t="s">
        <v>17</v>
      </c>
      <c r="E713" s="2" t="s">
        <v>146</v>
      </c>
      <c r="F713" s="2"/>
      <c r="G713" s="2"/>
      <c r="H713" s="33">
        <f>IF(AT713=1,3,IF(AY713=1,3,2))</f>
        <v>3</v>
      </c>
      <c r="I713" s="173">
        <f>M713/AE713</f>
        <v>463.73777981727994</v>
      </c>
      <c r="J713" s="174">
        <f>AH713/AE713</f>
        <v>34.707673678702669</v>
      </c>
      <c r="K713" s="207">
        <f>RANK(I713,$I$76:$I$977)</f>
        <v>638</v>
      </c>
      <c r="L713" s="208" t="e">
        <f>RANK(I713,$I$76:$I$450)</f>
        <v>#N/A</v>
      </c>
      <c r="M713" s="173">
        <f>SUM(N713:R713)</f>
        <v>3701.0652514060416</v>
      </c>
      <c r="N713" s="174">
        <f>T713*(1+((AG713+IF(F713="백어택",8,0))/100)*((AI713/100-1)))</f>
        <v>1233.6884171353472</v>
      </c>
      <c r="O713" s="174">
        <f>U713*(1+(AG713/100)*(AI713/100-1))</f>
        <v>1233.6884171353472</v>
      </c>
      <c r="P713" s="174">
        <f>V713*(1+(AG713/100)*(AI713/100-1))</f>
        <v>1233.6884171353472</v>
      </c>
      <c r="Q713" s="174"/>
      <c r="R713" s="175"/>
      <c r="S713" s="173">
        <f>SUM(T713:X713)</f>
        <v>2803.0252000902442</v>
      </c>
      <c r="T713" s="174">
        <f>AL713*AV713</f>
        <v>934.34173336341473</v>
      </c>
      <c r="U713" s="174">
        <f>AL713*AW713</f>
        <v>934.34173336341473</v>
      </c>
      <c r="V713" s="174">
        <f>IF(H713=3,AL713,0)*(1+AW713-1+AW713-1)</f>
        <v>934.34173336341473</v>
      </c>
      <c r="W713" s="174"/>
      <c r="X713" s="175"/>
      <c r="Y713" s="173">
        <f>SUM(Z713:AD713)</f>
        <v>7529.2284141640057</v>
      </c>
      <c r="Z713" s="174">
        <f>T713*AI713/100</f>
        <v>2509.7428047213352</v>
      </c>
      <c r="AA713" s="174">
        <f>U713*AI713/100</f>
        <v>2509.7428047213352</v>
      </c>
      <c r="AB713" s="174">
        <f>V713*AI713/100</f>
        <v>2509.7428047213352</v>
      </c>
      <c r="AC713" s="174"/>
      <c r="AD713" s="175"/>
      <c r="AE713" s="173">
        <f>AO713*(1-$D$17/100)</f>
        <v>7.980944</v>
      </c>
      <c r="AF713" s="174">
        <f>AP713</f>
        <v>36</v>
      </c>
      <c r="AG713" s="174">
        <f>IF($D$57&gt;100,100,$D$57)</f>
        <v>19.001300000000001</v>
      </c>
      <c r="AH713" s="174">
        <f>AQ713</f>
        <v>277</v>
      </c>
      <c r="AI713" s="174">
        <f>$D$58+$D$19</f>
        <v>268.61079999999998</v>
      </c>
      <c r="AJ713" s="174">
        <f>10*AR713/IF(AT713=0,IF(AY713=0,8,5),5)</f>
        <v>2</v>
      </c>
      <c r="AK713" s="174">
        <f>H713*SUM(AL713:AN713)</f>
        <v>2803.0252000902442</v>
      </c>
      <c r="AL713" s="174">
        <f>((VLOOKUP(C713,$B$36:$AG$39,24,FALSE)+VLOOKUP(C713,$B$40:$AG$43,24,FALSE)*$D$54))*$D$59/100</f>
        <v>934.34173336341473</v>
      </c>
      <c r="AM713" s="174"/>
      <c r="AN713" s="174"/>
      <c r="AO713" s="176">
        <v>8</v>
      </c>
      <c r="AP713" s="174">
        <v>36</v>
      </c>
      <c r="AQ713" s="175">
        <f>VLOOKUP(C713,$B$45:$AA$48,24,FALSE)</f>
        <v>277</v>
      </c>
      <c r="AR713" s="31">
        <f>IF(LEFT(E713,1)*1=1,$S$67,$R$67)</f>
        <v>1</v>
      </c>
      <c r="AS713" s="2">
        <f>IF(LEFT(E713,1)*1=2,$U$67,$T$67)</f>
        <v>0</v>
      </c>
      <c r="AT713" s="33">
        <f>IF(LEFT(E713,1)*1=3,$W$67,$V$67)</f>
        <v>1</v>
      </c>
      <c r="AU713" s="31">
        <f>IF(MID(E713,3,1)*1=1,$Y$67,$X$67)</f>
        <v>0</v>
      </c>
      <c r="AV713" s="2">
        <f>IF(MID(E713,3,1)*1=2,$AA$67,$Z$67)</f>
        <v>1</v>
      </c>
      <c r="AW713" s="33">
        <f>IF(MID(E713,3,1)*1=3,$AC$67,$AB$67)</f>
        <v>1</v>
      </c>
      <c r="AX713" s="31">
        <f>IF(MID(E713,5,1)*1=1,$AE$67,$AD$67)</f>
        <v>150</v>
      </c>
      <c r="AY713" s="33">
        <f>IF(MID(E713,5,1)*1=2,$AG$67,$AF$67)</f>
        <v>0</v>
      </c>
      <c r="AZ713" s="2"/>
      <c r="BA713" s="101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</row>
    <row r="714" spans="1:71" ht="12" customHeight="1">
      <c r="A714" s="2"/>
      <c r="B714" s="107">
        <v>292</v>
      </c>
      <c r="C714" s="31">
        <v>10</v>
      </c>
      <c r="D714" s="106" t="s">
        <v>17</v>
      </c>
      <c r="E714" s="2" t="s">
        <v>92</v>
      </c>
      <c r="F714" s="2"/>
      <c r="G714" s="2"/>
      <c r="H714" s="33">
        <f>IF(AT714=1,3,IF(AY714=1,3,2))</f>
        <v>3</v>
      </c>
      <c r="I714" s="173">
        <f>M714/AE714</f>
        <v>463.73777981727994</v>
      </c>
      <c r="J714" s="174">
        <f>AH714/AE714</f>
        <v>34.707673678702669</v>
      </c>
      <c r="K714" s="207">
        <f>RANK(I714,$I$76:$I$977)</f>
        <v>638</v>
      </c>
      <c r="L714" s="208" t="e">
        <f>RANK(I714,$I$76:$I$450)</f>
        <v>#N/A</v>
      </c>
      <c r="M714" s="173">
        <f>SUM(N714:R714)</f>
        <v>3701.0652514060416</v>
      </c>
      <c r="N714" s="174">
        <f>T714*(1+((AG714+IF(F714="백어택",8,0))/100)*((AI714/100-1)))</f>
        <v>1233.6884171353472</v>
      </c>
      <c r="O714" s="174">
        <f>U714*(1+(AG714/100)*(AI714/100-1))</f>
        <v>1233.6884171353472</v>
      </c>
      <c r="P714" s="174">
        <f>V714*(1+(AG714/100)*(AI714/100-1))</f>
        <v>1233.6884171353472</v>
      </c>
      <c r="Q714" s="174"/>
      <c r="R714" s="175"/>
      <c r="S714" s="173">
        <f>SUM(T714:X714)</f>
        <v>2803.0252000902442</v>
      </c>
      <c r="T714" s="174">
        <f>AL714*AV714</f>
        <v>934.34173336341473</v>
      </c>
      <c r="U714" s="174">
        <f>AL714*AW714</f>
        <v>934.34173336341473</v>
      </c>
      <c r="V714" s="174">
        <f>IF(H714=3,AL714,0)*(1+AW714-1+AW714-1)</f>
        <v>934.34173336341473</v>
      </c>
      <c r="W714" s="174"/>
      <c r="X714" s="175"/>
      <c r="Y714" s="173">
        <f>SUM(Z714:AD714)</f>
        <v>7529.2284141640057</v>
      </c>
      <c r="Z714" s="174">
        <f>T714*AI714/100</f>
        <v>2509.7428047213352</v>
      </c>
      <c r="AA714" s="174">
        <f>U714*AI714/100</f>
        <v>2509.7428047213352</v>
      </c>
      <c r="AB714" s="174">
        <f>V714*AI714/100</f>
        <v>2509.7428047213352</v>
      </c>
      <c r="AC714" s="174"/>
      <c r="AD714" s="175"/>
      <c r="AE714" s="173">
        <f>AO714*(1-$D$17/100)</f>
        <v>7.980944</v>
      </c>
      <c r="AF714" s="174">
        <f>AP714</f>
        <v>36</v>
      </c>
      <c r="AG714" s="174">
        <f>IF($D$57&gt;100,100,$D$57)</f>
        <v>19.001300000000001</v>
      </c>
      <c r="AH714" s="174">
        <f>AQ714</f>
        <v>277</v>
      </c>
      <c r="AI714" s="174">
        <f>$D$58+$D$19</f>
        <v>268.61079999999998</v>
      </c>
      <c r="AJ714" s="174">
        <f>10*AR714/IF(AT714=0,IF(AY714=0,8,5),5)</f>
        <v>2</v>
      </c>
      <c r="AK714" s="174">
        <f>H714*SUM(AL714:AN714)</f>
        <v>2803.0252000902442</v>
      </c>
      <c r="AL714" s="174">
        <f>((VLOOKUP(C714,$B$36:$AG$39,24,FALSE)+VLOOKUP(C714,$B$40:$AG$43,24,FALSE)*$D$54))*$D$59/100</f>
        <v>934.34173336341473</v>
      </c>
      <c r="AM714" s="174"/>
      <c r="AN714" s="174"/>
      <c r="AO714" s="176">
        <v>8</v>
      </c>
      <c r="AP714" s="174">
        <v>36</v>
      </c>
      <c r="AQ714" s="175">
        <f>VLOOKUP(C714,$B$45:$AA$48,24,FALSE)</f>
        <v>277</v>
      </c>
      <c r="AR714" s="31">
        <f>IF(LEFT(E714,1)*1=1,$S$67,$R$67)</f>
        <v>1</v>
      </c>
      <c r="AS714" s="2">
        <f>IF(LEFT(E714,1)*1=2,$U$67,$T$67)</f>
        <v>0</v>
      </c>
      <c r="AT714" s="33">
        <f>IF(LEFT(E714,1)*1=3,$W$67,$V$67)</f>
        <v>0</v>
      </c>
      <c r="AU714" s="31">
        <f>IF(MID(E714,3,1)*1=1,$Y$67,$X$67)</f>
        <v>0</v>
      </c>
      <c r="AV714" s="2">
        <f>IF(MID(E714,3,1)*1=2,$AA$67,$Z$67)</f>
        <v>1</v>
      </c>
      <c r="AW714" s="33">
        <f>IF(MID(E714,3,1)*1=3,$AC$67,$AB$67)</f>
        <v>1</v>
      </c>
      <c r="AX714" s="31">
        <f>IF(MID(E714,5,1)*1=1,$AE$67,$AD$67)</f>
        <v>0</v>
      </c>
      <c r="AY714" s="33">
        <f>IF(MID(E714,5,1)*1=2,$AG$67,$AF$67)</f>
        <v>1</v>
      </c>
      <c r="AZ714" s="2"/>
      <c r="BA714" s="101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</row>
    <row r="715" spans="1:71" ht="12" customHeight="1">
      <c r="A715" s="2"/>
      <c r="B715" s="107">
        <v>295</v>
      </c>
      <c r="C715" s="31">
        <v>10</v>
      </c>
      <c r="D715" s="106" t="s">
        <v>17</v>
      </c>
      <c r="E715" s="2" t="s">
        <v>151</v>
      </c>
      <c r="F715" s="2"/>
      <c r="G715" s="2"/>
      <c r="H715" s="33">
        <f>IF(AT715=1,3,IF(AY715=1,3,2))</f>
        <v>3</v>
      </c>
      <c r="I715" s="173">
        <f>M715/AE715</f>
        <v>463.73777981727994</v>
      </c>
      <c r="J715" s="174">
        <f>AH715/AE715</f>
        <v>34.707673678702669</v>
      </c>
      <c r="K715" s="207">
        <f>RANK(I715,$I$76:$I$977)</f>
        <v>638</v>
      </c>
      <c r="L715" s="208" t="e">
        <f>RANK(I715,$I$76:$I$450)</f>
        <v>#N/A</v>
      </c>
      <c r="M715" s="173">
        <f>SUM(N715:R715)</f>
        <v>3701.0652514060416</v>
      </c>
      <c r="N715" s="174">
        <f>T715*(1+((AG715+IF(F715="백어택",8,0))/100)*((AI715/100-1)))</f>
        <v>1233.6884171353472</v>
      </c>
      <c r="O715" s="174">
        <f>U715*(1+(AG715/100)*(AI715/100-1))</f>
        <v>1233.6884171353472</v>
      </c>
      <c r="P715" s="174">
        <f>V715*(1+(AG715/100)*(AI715/100-1))</f>
        <v>1233.6884171353472</v>
      </c>
      <c r="Q715" s="174"/>
      <c r="R715" s="175"/>
      <c r="S715" s="173">
        <f>SUM(T715:X715)</f>
        <v>2803.0252000902442</v>
      </c>
      <c r="T715" s="174">
        <f>AL715*AV715</f>
        <v>934.34173336341473</v>
      </c>
      <c r="U715" s="174">
        <f>AL715*AW715</f>
        <v>934.34173336341473</v>
      </c>
      <c r="V715" s="174">
        <f>IF(H715=3,AL715,0)*(1+AW715-1+AW715-1)</f>
        <v>934.34173336341473</v>
      </c>
      <c r="W715" s="174"/>
      <c r="X715" s="175"/>
      <c r="Y715" s="173">
        <f>SUM(Z715:AD715)</f>
        <v>7529.2284141640057</v>
      </c>
      <c r="Z715" s="174">
        <f>T715*AI715/100</f>
        <v>2509.7428047213352</v>
      </c>
      <c r="AA715" s="174">
        <f>U715*AI715/100</f>
        <v>2509.7428047213352</v>
      </c>
      <c r="AB715" s="174">
        <f>V715*AI715/100</f>
        <v>2509.7428047213352</v>
      </c>
      <c r="AC715" s="174"/>
      <c r="AD715" s="175"/>
      <c r="AE715" s="173">
        <f>AO715*(1-$D$17/100)</f>
        <v>7.980944</v>
      </c>
      <c r="AF715" s="174">
        <f>AP715</f>
        <v>36</v>
      </c>
      <c r="AG715" s="174">
        <f>IF($D$57&gt;100,100,$D$57)</f>
        <v>19.001300000000001</v>
      </c>
      <c r="AH715" s="174">
        <f>AQ715</f>
        <v>277</v>
      </c>
      <c r="AI715" s="174">
        <f>$D$58+$D$19</f>
        <v>268.61079999999998</v>
      </c>
      <c r="AJ715" s="174">
        <f>10*AR715/IF(AT715=0,IF(AY715=0,8,5),5)</f>
        <v>1.6</v>
      </c>
      <c r="AK715" s="174">
        <f>H715*SUM(AL715:AN715)</f>
        <v>2803.0252000902442</v>
      </c>
      <c r="AL715" s="174">
        <f>((VLOOKUP(C715,$B$36:$AG$39,24,FALSE)+VLOOKUP(C715,$B$40:$AG$43,24,FALSE)*$D$54))*$D$59/100</f>
        <v>934.34173336341473</v>
      </c>
      <c r="AM715" s="174"/>
      <c r="AN715" s="174"/>
      <c r="AO715" s="176">
        <v>8</v>
      </c>
      <c r="AP715" s="174">
        <v>36</v>
      </c>
      <c r="AQ715" s="175">
        <f>VLOOKUP(C715,$B$45:$AA$48,24,FALSE)</f>
        <v>277</v>
      </c>
      <c r="AR715" s="31">
        <f>IF(LEFT(E715,1)*1=1,$S$67,$R$67)</f>
        <v>0.8</v>
      </c>
      <c r="AS715" s="2">
        <f>IF(LEFT(E715,1)*1=2,$U$67,$T$67)</f>
        <v>0</v>
      </c>
      <c r="AT715" s="33">
        <f>IF(LEFT(E715,1)*1=3,$W$67,$V$67)</f>
        <v>0</v>
      </c>
      <c r="AU715" s="31">
        <f>IF(MID(E715,3,1)*1=1,$Y$67,$X$67)</f>
        <v>0</v>
      </c>
      <c r="AV715" s="2">
        <f>IF(MID(E715,3,1)*1=2,$AA$67,$Z$67)</f>
        <v>1</v>
      </c>
      <c r="AW715" s="33">
        <f>IF(MID(E715,3,1)*1=3,$AC$67,$AB$67)</f>
        <v>1</v>
      </c>
      <c r="AX715" s="31">
        <f>IF(MID(E715,5,1)*1=1,$AE$67,$AD$67)</f>
        <v>0</v>
      </c>
      <c r="AY715" s="33">
        <f>IF(MID(E715,5,1)*1=2,$AG$67,$AF$67)</f>
        <v>1</v>
      </c>
      <c r="AZ715" s="2"/>
      <c r="BA715" s="101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</row>
    <row r="716" spans="1:71" ht="12" customHeight="1">
      <c r="A716" s="2"/>
      <c r="B716" s="107">
        <v>298</v>
      </c>
      <c r="C716" s="31">
        <v>10</v>
      </c>
      <c r="D716" s="106" t="s">
        <v>17</v>
      </c>
      <c r="E716" s="2" t="s">
        <v>111</v>
      </c>
      <c r="F716" s="2"/>
      <c r="G716" s="2"/>
      <c r="H716" s="33">
        <f>IF(AT716=1,3,IF(AY716=1,3,2))</f>
        <v>3</v>
      </c>
      <c r="I716" s="173">
        <f>M716/AE716</f>
        <v>463.73777981727994</v>
      </c>
      <c r="J716" s="174">
        <f>AH716/AE716</f>
        <v>34.707673678702669</v>
      </c>
      <c r="K716" s="207">
        <f>RANK(I716,$I$76:$I$977)</f>
        <v>638</v>
      </c>
      <c r="L716" s="208" t="e">
        <f>RANK(I716,$I$76:$I$450)</f>
        <v>#N/A</v>
      </c>
      <c r="M716" s="173">
        <f>SUM(N716:R716)</f>
        <v>3701.0652514060416</v>
      </c>
      <c r="N716" s="174">
        <f>T716*(1+((AG716+IF(F716="백어택",8,0))/100)*((AI716/100-1)))</f>
        <v>1233.6884171353472</v>
      </c>
      <c r="O716" s="174">
        <f>U716*(1+(AG716/100)*(AI716/100-1))</f>
        <v>1233.6884171353472</v>
      </c>
      <c r="P716" s="174">
        <f>V716*(1+(AG716/100)*(AI716/100-1))</f>
        <v>1233.6884171353472</v>
      </c>
      <c r="Q716" s="174"/>
      <c r="R716" s="175"/>
      <c r="S716" s="173">
        <f>SUM(T716:X716)</f>
        <v>2803.0252000902442</v>
      </c>
      <c r="T716" s="174">
        <f>AL716*AV716</f>
        <v>934.34173336341473</v>
      </c>
      <c r="U716" s="174">
        <f>AL716*AW716</f>
        <v>934.34173336341473</v>
      </c>
      <c r="V716" s="174">
        <f>IF(H716=3,AL716,0)*(1+AW716-1+AW716-1)</f>
        <v>934.34173336341473</v>
      </c>
      <c r="W716" s="174"/>
      <c r="X716" s="175"/>
      <c r="Y716" s="173">
        <f>SUM(Z716:AD716)</f>
        <v>7529.2284141640057</v>
      </c>
      <c r="Z716" s="174">
        <f>T716*AI716/100</f>
        <v>2509.7428047213352</v>
      </c>
      <c r="AA716" s="174">
        <f>U716*AI716/100</f>
        <v>2509.7428047213352</v>
      </c>
      <c r="AB716" s="174">
        <f>V716*AI716/100</f>
        <v>2509.7428047213352</v>
      </c>
      <c r="AC716" s="174"/>
      <c r="AD716" s="175"/>
      <c r="AE716" s="173">
        <f>AO716*(1-$D$17/100)</f>
        <v>7.980944</v>
      </c>
      <c r="AF716" s="174">
        <f>AP716</f>
        <v>36</v>
      </c>
      <c r="AG716" s="174">
        <f>IF($D$57&gt;100,100,$D$57)</f>
        <v>19.001300000000001</v>
      </c>
      <c r="AH716" s="174">
        <f>AQ716</f>
        <v>277</v>
      </c>
      <c r="AI716" s="174">
        <f>$D$58+$D$19</f>
        <v>268.61079999999998</v>
      </c>
      <c r="AJ716" s="174">
        <f>10*AR716/IF(AT716=0,IF(AY716=0,8,5),5)</f>
        <v>2</v>
      </c>
      <c r="AK716" s="174">
        <f>H716*SUM(AL716:AN716)</f>
        <v>2803.0252000902442</v>
      </c>
      <c r="AL716" s="174">
        <f>((VLOOKUP(C716,$B$36:$AG$39,24,FALSE)+VLOOKUP(C716,$B$40:$AG$43,24,FALSE)*$D$54))*$D$59/100</f>
        <v>934.34173336341473</v>
      </c>
      <c r="AM716" s="174"/>
      <c r="AN716" s="174"/>
      <c r="AO716" s="176">
        <v>8</v>
      </c>
      <c r="AP716" s="174">
        <v>36</v>
      </c>
      <c r="AQ716" s="175">
        <f>VLOOKUP(C716,$B$45:$AA$48,24,FALSE)</f>
        <v>277</v>
      </c>
      <c r="AR716" s="31">
        <f>IF(LEFT(E716,1)*1=1,$S$67,$R$67)</f>
        <v>1</v>
      </c>
      <c r="AS716" s="2">
        <f>IF(LEFT(E716,1)*1=2,$U$67,$T$67)</f>
        <v>0</v>
      </c>
      <c r="AT716" s="33">
        <f>IF(LEFT(E716,1)*1=3,$W$67,$V$67)</f>
        <v>1</v>
      </c>
      <c r="AU716" s="31">
        <f>IF(MID(E716,3,1)*1=1,$Y$67,$X$67)</f>
        <v>0</v>
      </c>
      <c r="AV716" s="2">
        <f>IF(MID(E716,3,1)*1=2,$AA$67,$Z$67)</f>
        <v>1</v>
      </c>
      <c r="AW716" s="33">
        <f>IF(MID(E716,3,1)*1=3,$AC$67,$AB$67)</f>
        <v>1</v>
      </c>
      <c r="AX716" s="31">
        <f>IF(MID(E716,5,1)*1=1,$AE$67,$AD$67)</f>
        <v>0</v>
      </c>
      <c r="AY716" s="33">
        <f>IF(MID(E716,5,1)*1=2,$AG$67,$AF$67)</f>
        <v>1</v>
      </c>
      <c r="AZ716" s="2"/>
      <c r="BA716" s="101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</row>
    <row r="717" spans="1:71" ht="12" customHeight="1">
      <c r="A717" s="2"/>
      <c r="B717" s="107">
        <v>198</v>
      </c>
      <c r="C717" s="31">
        <v>10</v>
      </c>
      <c r="D717" s="106" t="s">
        <v>10</v>
      </c>
      <c r="E717" s="2" t="s">
        <v>95</v>
      </c>
      <c r="F717" s="2"/>
      <c r="G717" s="2"/>
      <c r="H717" s="33"/>
      <c r="I717" s="173">
        <f>M717/AE717</f>
        <v>463.26660628728604</v>
      </c>
      <c r="J717" s="174">
        <f>AH717/AE717</f>
        <v>25.811482952392598</v>
      </c>
      <c r="K717" s="207">
        <f>RANK(I717,$I$76:$I$977)</f>
        <v>642</v>
      </c>
      <c r="L717" s="208" t="e">
        <f>RANK(I717,$I$76:$I$450)</f>
        <v>#N/A</v>
      </c>
      <c r="M717" s="173">
        <f>SUM(N717:R717)</f>
        <v>7394.6096836977558</v>
      </c>
      <c r="N717" s="174">
        <f>T717*(1+((AG717+IF(F717="백어택",8,0))/100)*((AI717/100-1)))</f>
        <v>7394.6096836977558</v>
      </c>
      <c r="O717" s="174"/>
      <c r="P717" s="174"/>
      <c r="Q717" s="174"/>
      <c r="R717" s="175"/>
      <c r="S717" s="173">
        <f>SUM(T717:X717)</f>
        <v>4049.1455463756101</v>
      </c>
      <c r="T717" s="174">
        <f>AL717*AS717*AU717*AX717*IF(AY717=0,1,0.5)*IF(F717="백어택",1.2,1)</f>
        <v>4049.1455463756101</v>
      </c>
      <c r="U717" s="174"/>
      <c r="V717" s="174"/>
      <c r="W717" s="174"/>
      <c r="X717" s="175"/>
      <c r="Y717" s="173">
        <f>SUM(Z717:AD717)</f>
        <v>10876.442245283897</v>
      </c>
      <c r="Z717" s="174">
        <f>T717*AI717/100</f>
        <v>10876.442245283897</v>
      </c>
      <c r="AA717" s="174"/>
      <c r="AB717" s="174"/>
      <c r="AC717" s="174"/>
      <c r="AD717" s="175"/>
      <c r="AE717" s="173">
        <f>AO717*(1-$D$17/100)</f>
        <v>15.961888</v>
      </c>
      <c r="AF717" s="174">
        <f>AP717</f>
        <v>36</v>
      </c>
      <c r="AG717" s="174">
        <f>IF($D$57+AV717&gt;100,100,$D$57+AV717)</f>
        <v>49.001300000000001</v>
      </c>
      <c r="AH717" s="174">
        <f>AQ717</f>
        <v>412</v>
      </c>
      <c r="AI717" s="174">
        <f>$D$58+$D$19</f>
        <v>268.61079999999998</v>
      </c>
      <c r="AJ717" s="174">
        <f>10*AR717/(7-IF(AX717=1,0,3))</f>
        <v>1.4285714285714286</v>
      </c>
      <c r="AK717" s="174">
        <f>SUM(AL717:AN717)</f>
        <v>8098.2910927512203</v>
      </c>
      <c r="AL717" s="174">
        <f>(VLOOKUP(C717,$B$36:$AG$39,13,FALSE)+VLOOKUP(C717,$B$40:$AG$43,13,FALSE)*$D$54)*$D$59/100</f>
        <v>8098.2910927512203</v>
      </c>
      <c r="AM717" s="174"/>
      <c r="AN717" s="174"/>
      <c r="AO717" s="176">
        <v>16</v>
      </c>
      <c r="AP717" s="174">
        <v>36</v>
      </c>
      <c r="AQ717" s="175">
        <f>VLOOKUP(C717,$B$45:$AA$48,13,FALSE)</f>
        <v>412</v>
      </c>
      <c r="AR717" s="31">
        <f>IF(LEFT(E717,1)*1=1,$S$60,$R$60)</f>
        <v>1</v>
      </c>
      <c r="AS717" s="2">
        <f>IF(LEFT(E717,1)*1=2,$U$60,$T$60)</f>
        <v>1</v>
      </c>
      <c r="AT717" s="33">
        <f>IF(LEFT(E717,1)*1=3,$W$60,$V$60)</f>
        <v>0</v>
      </c>
      <c r="AU717" s="31">
        <f>IF(MID(E717,3,1)*1=1,$Y$60,$X$60)</f>
        <v>1</v>
      </c>
      <c r="AV717" s="2">
        <f>IF(MID(E717,3,1)*1=2,$AA$60,$Z$60)</f>
        <v>30</v>
      </c>
      <c r="AW717" s="33">
        <f>IF(MID(E717,3,1)*1=3,$AC$60,$AB$60)</f>
        <v>0</v>
      </c>
      <c r="AX717" s="31">
        <f>IF(MID(E717,5,1)*1=1,$AE$60,$AD$60)</f>
        <v>1</v>
      </c>
      <c r="AY717" s="33">
        <f>IF(MID(E717,5,1)*1=2,$AG$60,$AF$60)</f>
        <v>100</v>
      </c>
      <c r="AZ717" s="2"/>
      <c r="BA717" s="101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</row>
    <row r="718" spans="1:71" ht="12" customHeight="1">
      <c r="A718" s="2"/>
      <c r="B718" s="107">
        <v>201</v>
      </c>
      <c r="C718" s="31">
        <v>10</v>
      </c>
      <c r="D718" s="106" t="s">
        <v>10</v>
      </c>
      <c r="E718" s="2" t="s">
        <v>154</v>
      </c>
      <c r="F718" s="2"/>
      <c r="G718" s="2"/>
      <c r="H718" s="33"/>
      <c r="I718" s="173">
        <f>M718/AE718</f>
        <v>463.26660628728604</v>
      </c>
      <c r="J718" s="174">
        <f>AH718/AE718</f>
        <v>25.811482952392598</v>
      </c>
      <c r="K718" s="207">
        <f>RANK(I718,$I$76:$I$977)</f>
        <v>642</v>
      </c>
      <c r="L718" s="208" t="e">
        <f>RANK(I718,$I$76:$I$450)</f>
        <v>#N/A</v>
      </c>
      <c r="M718" s="173">
        <f>SUM(N718:R718)</f>
        <v>7394.6096836977558</v>
      </c>
      <c r="N718" s="174">
        <f>T718*(1+((AG718+IF(F718="백어택",8,0))/100)*((AI718/100-1)))</f>
        <v>7394.6096836977558</v>
      </c>
      <c r="O718" s="174"/>
      <c r="P718" s="174"/>
      <c r="Q718" s="174"/>
      <c r="R718" s="175"/>
      <c r="S718" s="173">
        <f>SUM(T718:X718)</f>
        <v>4049.1455463756101</v>
      </c>
      <c r="T718" s="174">
        <f>AL718*AS718*AU718*AX718*IF(AY718=0,1,0.5)*IF(F718="백어택",1.2,1)</f>
        <v>4049.1455463756101</v>
      </c>
      <c r="U718" s="174"/>
      <c r="V718" s="174"/>
      <c r="W718" s="174"/>
      <c r="X718" s="175"/>
      <c r="Y718" s="173">
        <f>SUM(Z718:AD718)</f>
        <v>10876.442245283897</v>
      </c>
      <c r="Z718" s="174">
        <f>T718*AI718/100</f>
        <v>10876.442245283897</v>
      </c>
      <c r="AA718" s="174"/>
      <c r="AB718" s="174"/>
      <c r="AC718" s="174"/>
      <c r="AD718" s="175"/>
      <c r="AE718" s="173">
        <f>AO718*(1-$D$17/100)</f>
        <v>15.961888</v>
      </c>
      <c r="AF718" s="174">
        <f>AP718</f>
        <v>36</v>
      </c>
      <c r="AG718" s="174">
        <f>IF($D$57+AV718&gt;100,100,$D$57+AV718)</f>
        <v>49.001300000000001</v>
      </c>
      <c r="AH718" s="174">
        <f>AQ718</f>
        <v>412</v>
      </c>
      <c r="AI718" s="174">
        <f>$D$58+$D$19</f>
        <v>268.61079999999998</v>
      </c>
      <c r="AJ718" s="174">
        <f>10*AR718/(7-IF(AX718=1,0,3))</f>
        <v>1.2142857142857142</v>
      </c>
      <c r="AK718" s="174">
        <f>SUM(AL718:AN718)</f>
        <v>8098.2910927512203</v>
      </c>
      <c r="AL718" s="174">
        <f>(VLOOKUP(C718,$B$36:$AG$39,13,FALSE)+VLOOKUP(C718,$B$40:$AG$43,13,FALSE)*$D$54)*$D$59/100</f>
        <v>8098.2910927512203</v>
      </c>
      <c r="AM718" s="174"/>
      <c r="AN718" s="174"/>
      <c r="AO718" s="176">
        <v>16</v>
      </c>
      <c r="AP718" s="174">
        <v>36</v>
      </c>
      <c r="AQ718" s="175">
        <f>VLOOKUP(C718,$B$45:$AA$48,13,FALSE)</f>
        <v>412</v>
      </c>
      <c r="AR718" s="31">
        <f>IF(LEFT(E718,1)*1=1,$S$60,$R$60)</f>
        <v>0.85</v>
      </c>
      <c r="AS718" s="2">
        <f>IF(LEFT(E718,1)*1=2,$U$60,$T$60)</f>
        <v>1</v>
      </c>
      <c r="AT718" s="33">
        <f>IF(LEFT(E718,1)*1=3,$W$60,$V$60)</f>
        <v>0</v>
      </c>
      <c r="AU718" s="31">
        <f>IF(MID(E718,3,1)*1=1,$Y$60,$X$60)</f>
        <v>1</v>
      </c>
      <c r="AV718" s="2">
        <f>IF(MID(E718,3,1)*1=2,$AA$60,$Z$60)</f>
        <v>30</v>
      </c>
      <c r="AW718" s="33">
        <f>IF(MID(E718,3,1)*1=3,$AC$60,$AB$60)</f>
        <v>0</v>
      </c>
      <c r="AX718" s="31">
        <f>IF(MID(E718,5,1)*1=1,$AE$60,$AD$60)</f>
        <v>1</v>
      </c>
      <c r="AY718" s="33">
        <f>IF(MID(E718,5,1)*1=2,$AG$60,$AF$60)</f>
        <v>100</v>
      </c>
      <c r="AZ718" s="2"/>
      <c r="BA718" s="101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</row>
    <row r="719" spans="1:71" ht="12" customHeight="1">
      <c r="A719" s="2"/>
      <c r="B719" s="107">
        <v>509</v>
      </c>
      <c r="C719" s="31">
        <v>4</v>
      </c>
      <c r="D719" s="111" t="s">
        <v>14</v>
      </c>
      <c r="E719" s="2" t="s">
        <v>67</v>
      </c>
      <c r="F719" s="1"/>
      <c r="G719" s="1"/>
      <c r="H719" s="33" t="s">
        <v>81</v>
      </c>
      <c r="I719" s="173">
        <f>M719/AE719</f>
        <v>461.30974290374553</v>
      </c>
      <c r="J719" s="174">
        <f>AH719/AE719</f>
        <v>9.0885601645267471</v>
      </c>
      <c r="K719" s="207">
        <f>RANK(I719,$I$76:$I$977)</f>
        <v>644</v>
      </c>
      <c r="L719" s="208">
        <f>RANK(I719,$I$451:$I$866)</f>
        <v>269</v>
      </c>
      <c r="M719" s="173">
        <f>SUM(N719:R719)</f>
        <v>12790.810987363604</v>
      </c>
      <c r="N719" s="174">
        <f>T719*(1+((AG719+IF(F719="백어택",8,0))/100)*(AI719/100-1))</f>
        <v>3817.542994112036</v>
      </c>
      <c r="O719" s="174">
        <f>U719*(1+((AG719+IF(F719="백어택",8,0))/100)*(AI719/100-1))</f>
        <v>3817.542994112036</v>
      </c>
      <c r="P719" s="174">
        <f>V719*(1+((AG719+IF(F719="백어택",8,0))/100)*(AI719*IF(AX719=1,AW719,1)/100-1))</f>
        <v>5155.724999139532</v>
      </c>
      <c r="Q719" s="174">
        <f>W719*(1+((AG719+IF(F719="백어택",8,0))/100)*(AI719*AW719/100-1))</f>
        <v>0</v>
      </c>
      <c r="R719" s="175"/>
      <c r="S719" s="173">
        <f>SUM(T719:X719)</f>
        <v>10748.463241463416</v>
      </c>
      <c r="T719" s="174">
        <f>AL719*AY719*IF(F719="백어택",1.2,1)</f>
        <v>3207.9842775768298</v>
      </c>
      <c r="U719" s="174">
        <f>AM719*AY719*IF(F719="백어택",1.2,1)</f>
        <v>3207.9842775768298</v>
      </c>
      <c r="V719" s="174">
        <f>AN719*AY719*IF(F719="백어택",1.2,1)</f>
        <v>4332.4946863097566</v>
      </c>
      <c r="W719" s="174">
        <f>(T719+U719+V719)*IF(AX719=1,0,0.6)*IF(F719="백어택",1.2,1)</f>
        <v>0</v>
      </c>
      <c r="X719" s="175"/>
      <c r="Y719" s="173">
        <f>SUM(Z719:AD719)</f>
        <v>21496.926482926832</v>
      </c>
      <c r="Z719" s="174">
        <f>T719*AI719/100</f>
        <v>6415.9685551536595</v>
      </c>
      <c r="AA719" s="174">
        <f>U719*AI719/100</f>
        <v>6415.9685551536595</v>
      </c>
      <c r="AB719" s="174">
        <f>V719*AI719*IF(AX719=1,AW719,1)/100</f>
        <v>8664.9893726195132</v>
      </c>
      <c r="AC719" s="174">
        <f>W719*AI719*AW719/100</f>
        <v>0</v>
      </c>
      <c r="AD719" s="175"/>
      <c r="AE719" s="173">
        <f>AO719*(1-$D$20/100)*(1-$D$17/100)</f>
        <v>27.727164197424003</v>
      </c>
      <c r="AF719" s="174">
        <f>AP719</f>
        <v>36</v>
      </c>
      <c r="AG719" s="174">
        <f>IF($D$57+AU719&gt;100,100,$D$57+AU719)</f>
        <v>19.001300000000001</v>
      </c>
      <c r="AH719" s="174">
        <f>AQ719*AS719</f>
        <v>252</v>
      </c>
      <c r="AI719" s="174">
        <f>$D$58+IF(H719="근접",AR719,0)+IF(AY719=1,0,50)</f>
        <v>200</v>
      </c>
      <c r="AJ719" s="174">
        <f>10/3</f>
        <v>3.3333333333333335</v>
      </c>
      <c r="AK719" s="174">
        <f>SUM(AL719:AN719)</f>
        <v>10748.463241463416</v>
      </c>
      <c r="AL719" s="174">
        <f>(IF(H719="근접",$D$61*(VLOOKUP(C719,$B$36:$AG$39,19,FALSE)+VLOOKUP(C719,$B$40:$AG$43,19,FALSE)*$D$54),$D$60*(VLOOKUP(C719,$B$36:$AG$39,19,FALSE)+VLOOKUP(C719,$B$40:$AG$43,19,FALSE)*$D$54)))*$D$59/100</f>
        <v>3207.9842775768298</v>
      </c>
      <c r="AM719" s="174">
        <f>(IF(H719="근접",$D$61*(VLOOKUP(C719,$B$36:$AG$39,20,FALSE)+VLOOKUP(C719,$B$40:$AG$43,20,FALSE)*$D$54),$D$60*(VLOOKUP(C719,$B$36:$AG$39,20,FALSE)+VLOOKUP(C719,$B$40:$AG$43,20,FALSE)*$D$54)))*$D$59/100</f>
        <v>3207.9842775768298</v>
      </c>
      <c r="AN719" s="174">
        <f>(IF(H719="근접",$D$61*(VLOOKUP(C719,$B$36:$AG$39,21,FALSE)+VLOOKUP(C719,$B$40:$AG$43,21,FALSE)*$D$54),$D$60*(VLOOKUP(C719,$B$36:$AG$39,21,FALSE)+VLOOKUP(C719,$B$40:$AG$43,21,FALSE)*$D$54)))*$D$59/100</f>
        <v>4332.4946863097566</v>
      </c>
      <c r="AO719" s="176">
        <v>36</v>
      </c>
      <c r="AP719" s="174">
        <v>36</v>
      </c>
      <c r="AQ719" s="175">
        <f>VLOOKUP(C719,$B$45:$AA$48,19,FALSE)</f>
        <v>252</v>
      </c>
      <c r="AR719" s="31">
        <f>IF(LEFT(E719,1)*1=1,$S$64,$R$64)</f>
        <v>0</v>
      </c>
      <c r="AS719" s="2">
        <f>IF(LEFT(E719,1)*1=2,$U$64,$T$64)</f>
        <v>1</v>
      </c>
      <c r="AT719" s="33">
        <f>IF(LEFT(E719,1)*1=3,$W$64,$V$64)</f>
        <v>0</v>
      </c>
      <c r="AU719" s="31">
        <f>IF(MID(E719,3,1)*1=1,$Y$64,$X$64)</f>
        <v>0</v>
      </c>
      <c r="AV719" s="2">
        <f>IF(MID(E719,3,1)*1=2,$AA$64,$Z$64)</f>
        <v>0</v>
      </c>
      <c r="AW719" s="33">
        <f>IF(MID(E719,3,1)*1=3,$AC$64,$AB$64)</f>
        <v>1</v>
      </c>
      <c r="AX719" s="31">
        <f>IF(MID(E719,5,1)*1=1,$AE$64,$AD$64)</f>
        <v>1</v>
      </c>
      <c r="AY719" s="33">
        <f>IF(MID(E719,5,1)*1=2,$AG$64,$AF$64)</f>
        <v>1</v>
      </c>
      <c r="AZ719" s="2"/>
      <c r="BA719" s="101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</row>
    <row r="720" spans="1:71" ht="12" customHeight="1">
      <c r="A720" s="2"/>
      <c r="B720" s="107">
        <v>511</v>
      </c>
      <c r="C720" s="31">
        <v>4</v>
      </c>
      <c r="D720" s="111" t="s">
        <v>14</v>
      </c>
      <c r="E720" s="2" t="s">
        <v>79</v>
      </c>
      <c r="F720" s="2"/>
      <c r="G720" s="2"/>
      <c r="H720" s="33" t="s">
        <v>81</v>
      </c>
      <c r="I720" s="173">
        <f>M720/AE720</f>
        <v>461.30974290374553</v>
      </c>
      <c r="J720" s="174">
        <f>AH720/AE720</f>
        <v>4.5442800822633735</v>
      </c>
      <c r="K720" s="207">
        <f>RANK(I720,$I$76:$I$977)</f>
        <v>644</v>
      </c>
      <c r="L720" s="208">
        <f>RANK(I720,$I$451:$I$866)</f>
        <v>269</v>
      </c>
      <c r="M720" s="173">
        <f>SUM(N720:R720)</f>
        <v>12790.810987363604</v>
      </c>
      <c r="N720" s="174">
        <f>T720*(1+((AG720+IF(F720="백어택",8,0))/100)*(AI720/100-1))</f>
        <v>3817.542994112036</v>
      </c>
      <c r="O720" s="174">
        <f>U720*(1+((AG720+IF(F720="백어택",8,0))/100)*(AI720/100-1))</f>
        <v>3817.542994112036</v>
      </c>
      <c r="P720" s="174">
        <f>V720*(1+((AG720+IF(F720="백어택",8,0))/100)*(AI720*IF(AX720=1,AW720,1)/100-1))</f>
        <v>5155.724999139532</v>
      </c>
      <c r="Q720" s="174">
        <f>W720*(1+((AG720+IF(F720="백어택",8,0))/100)*(AI720*AW720/100-1))</f>
        <v>0</v>
      </c>
      <c r="R720" s="175"/>
      <c r="S720" s="173">
        <f>SUM(T720:X720)</f>
        <v>10748.463241463416</v>
      </c>
      <c r="T720" s="174">
        <f>AL720*AY720*IF(F720="백어택",1.2,1)</f>
        <v>3207.9842775768298</v>
      </c>
      <c r="U720" s="174">
        <f>AM720*AY720*IF(F720="백어택",1.2,1)</f>
        <v>3207.9842775768298</v>
      </c>
      <c r="V720" s="174">
        <f>AN720*AY720*IF(F720="백어택",1.2,1)</f>
        <v>4332.4946863097566</v>
      </c>
      <c r="W720" s="174">
        <f>(T720+U720+V720)*IF(AX720=1,0,0.6)*IF(F720="백어택",1.2,1)</f>
        <v>0</v>
      </c>
      <c r="X720" s="175"/>
      <c r="Y720" s="173">
        <f>SUM(Z720:AD720)</f>
        <v>21496.926482926832</v>
      </c>
      <c r="Z720" s="174">
        <f>T720*AI720/100</f>
        <v>6415.9685551536595</v>
      </c>
      <c r="AA720" s="174">
        <f>U720*AI720/100</f>
        <v>6415.9685551536595</v>
      </c>
      <c r="AB720" s="174">
        <f>V720*AI720*IF(AX720=1,AW720,1)/100</f>
        <v>8664.9893726195132</v>
      </c>
      <c r="AC720" s="174">
        <f>W720*AI720*AW720/100</f>
        <v>0</v>
      </c>
      <c r="AD720" s="175"/>
      <c r="AE720" s="173">
        <f>AO720*(1-$D$20/100)*(1-$D$17/100)</f>
        <v>27.727164197424003</v>
      </c>
      <c r="AF720" s="174">
        <f>AP720</f>
        <v>36</v>
      </c>
      <c r="AG720" s="174">
        <f>IF($D$57+AU720&gt;100,100,$D$57+AU720)</f>
        <v>19.001300000000001</v>
      </c>
      <c r="AH720" s="174">
        <f>AQ720*AS720</f>
        <v>126</v>
      </c>
      <c r="AI720" s="174">
        <f>$D$58+IF(H720="근접",AR720,0)+IF(AY720=1,0,50)</f>
        <v>200</v>
      </c>
      <c r="AJ720" s="174">
        <f>10/3</f>
        <v>3.3333333333333335</v>
      </c>
      <c r="AK720" s="174">
        <f>SUM(AL720:AN720)</f>
        <v>10748.463241463416</v>
      </c>
      <c r="AL720" s="174">
        <f>(IF(H720="근접",$D$61*(VLOOKUP(C720,$B$36:$AG$39,19,FALSE)+VLOOKUP(C720,$B$40:$AG$43,19,FALSE)*$D$54),$D$60*(VLOOKUP(C720,$B$36:$AG$39,19,FALSE)+VLOOKUP(C720,$B$40:$AG$43,19,FALSE)*$D$54)))*$D$59/100</f>
        <v>3207.9842775768298</v>
      </c>
      <c r="AM720" s="174">
        <f>(IF(H720="근접",$D$61*(VLOOKUP(C720,$B$36:$AG$39,20,FALSE)+VLOOKUP(C720,$B$40:$AG$43,20,FALSE)*$D$54),$D$60*(VLOOKUP(C720,$B$36:$AG$39,20,FALSE)+VLOOKUP(C720,$B$40:$AG$43,20,FALSE)*$D$54)))*$D$59/100</f>
        <v>3207.9842775768298</v>
      </c>
      <c r="AN720" s="174">
        <f>(IF(H720="근접",$D$61*(VLOOKUP(C720,$B$36:$AG$39,21,FALSE)+VLOOKUP(C720,$B$40:$AG$43,21,FALSE)*$D$54),$D$60*(VLOOKUP(C720,$B$36:$AG$39,21,FALSE)+VLOOKUP(C720,$B$40:$AG$43,21,FALSE)*$D$54)))*$D$59/100</f>
        <v>4332.4946863097566</v>
      </c>
      <c r="AO720" s="176">
        <v>36</v>
      </c>
      <c r="AP720" s="174">
        <v>36</v>
      </c>
      <c r="AQ720" s="175">
        <f>VLOOKUP(C720,$B$45:$AA$48,19,FALSE)</f>
        <v>252</v>
      </c>
      <c r="AR720" s="31">
        <f>IF(LEFT(E720,1)*1=1,$S$64,$R$64)</f>
        <v>0</v>
      </c>
      <c r="AS720" s="2">
        <f>IF(LEFT(E720,1)*1=2,$U$64,$T$64)</f>
        <v>0.5</v>
      </c>
      <c r="AT720" s="33">
        <f>IF(LEFT(E720,1)*1=3,$W$64,$V$64)</f>
        <v>0</v>
      </c>
      <c r="AU720" s="31">
        <f>IF(MID(E720,3,1)*1=1,$Y$64,$X$64)</f>
        <v>0</v>
      </c>
      <c r="AV720" s="2">
        <f>IF(MID(E720,3,1)*1=2,$AA$64,$Z$64)</f>
        <v>0</v>
      </c>
      <c r="AW720" s="33">
        <f>IF(MID(E720,3,1)*1=3,$AC$64,$AB$64)</f>
        <v>1</v>
      </c>
      <c r="AX720" s="31">
        <f>IF(MID(E720,5,1)*1=1,$AE$64,$AD$64)</f>
        <v>1</v>
      </c>
      <c r="AY720" s="33">
        <f>IF(MID(E720,5,1)*1=2,$AG$64,$AF$64)</f>
        <v>1</v>
      </c>
      <c r="AZ720" s="2"/>
      <c r="BA720" s="101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</row>
    <row r="721" spans="1:71" ht="12" customHeight="1">
      <c r="A721" s="2"/>
      <c r="B721" s="107">
        <v>882</v>
      </c>
      <c r="C721" s="31">
        <v>10</v>
      </c>
      <c r="D721" s="113" t="s">
        <v>22</v>
      </c>
      <c r="E721" s="2" t="s">
        <v>67</v>
      </c>
      <c r="F721" s="2"/>
      <c r="G721" s="2"/>
      <c r="H721" s="33"/>
      <c r="I721" s="173">
        <f>M721/AE721</f>
        <v>459.97749487797546</v>
      </c>
      <c r="J721" s="174">
        <f>AH721/AE721</f>
        <v>19.780450366105395</v>
      </c>
      <c r="K721" s="207">
        <f>RANK(I721,$I$76:$I$977)</f>
        <v>646</v>
      </c>
      <c r="L721" s="208" t="e">
        <f>RANK(I721,$I$867:$I$977)</f>
        <v>#N/A</v>
      </c>
      <c r="M721" s="173">
        <f>SUM(N721:R721)*(1+$D$22/100)</f>
        <v>13766.454854555284</v>
      </c>
      <c r="N721" s="174">
        <f>T721*(1+((AG721+IF(F721="백어택",8,0))/100)*(AI721/100-1))</f>
        <v>12403.588267234059</v>
      </c>
      <c r="O721" s="174"/>
      <c r="P721" s="174"/>
      <c r="Q721" s="174"/>
      <c r="R721" s="175">
        <f>X721*(1+($D$57/100)*(AI721/100-1))</f>
        <v>0</v>
      </c>
      <c r="S721" s="173">
        <f>SUM(T721:X721)</f>
        <v>10423.069552378049</v>
      </c>
      <c r="T721" s="174">
        <f>AL721*AU721</f>
        <v>10423.069552378049</v>
      </c>
      <c r="U721" s="174"/>
      <c r="V721" s="174"/>
      <c r="W721" s="174"/>
      <c r="X721" s="175">
        <f>AL721*AW721</f>
        <v>0</v>
      </c>
      <c r="Y721" s="173">
        <f>SUM(Z721:AD721)</f>
        <v>20846.139104756097</v>
      </c>
      <c r="Z721" s="174">
        <f>T721*$D$58/100</f>
        <v>20846.139104756097</v>
      </c>
      <c r="AA721" s="174"/>
      <c r="AB721" s="174"/>
      <c r="AC721" s="174"/>
      <c r="AD721" s="175"/>
      <c r="AE721" s="173">
        <f>AO721*(1-$D$17/100)</f>
        <v>29.928540000000002</v>
      </c>
      <c r="AF721" s="174">
        <f>AP721+AV721</f>
        <v>36</v>
      </c>
      <c r="AG721" s="174">
        <f>IF($D$57+AY721&gt;100,100,$D$57+AY721)</f>
        <v>19.001300000000001</v>
      </c>
      <c r="AH721" s="174">
        <f>AQ721*AR721</f>
        <v>592</v>
      </c>
      <c r="AI721" s="174">
        <f>$D$58</f>
        <v>200</v>
      </c>
      <c r="AJ721" s="174">
        <f>10/5</f>
        <v>2</v>
      </c>
      <c r="AK721" s="174">
        <f>SUM(AL721:AN721)</f>
        <v>10423.069552378049</v>
      </c>
      <c r="AL721" s="174">
        <f>(VLOOKUP(C721,$B$36:$AG$39,32,FALSE)+VLOOKUP(C721,$B$40:$AG$43,32,FALSE)*$D$54)*$D$59/100</f>
        <v>10423.069552378049</v>
      </c>
      <c r="AM721" s="174"/>
      <c r="AN721" s="174"/>
      <c r="AO721" s="176">
        <v>30</v>
      </c>
      <c r="AP721" s="174">
        <v>36</v>
      </c>
      <c r="AQ721" s="175">
        <f>VLOOKUP(C721,$B$45:$AG$48,32,FALSE)</f>
        <v>592</v>
      </c>
      <c r="AR721" s="31">
        <f>IF(LEFT(E721,1)*1=1,$S$72,$R$72)</f>
        <v>1</v>
      </c>
      <c r="AS721" s="2">
        <f>IF(LEFT(E721,1)*1=2,$U$72,$T$72)</f>
        <v>0</v>
      </c>
      <c r="AT721" s="33">
        <f>IF(LEFT(E721,1)*1=3,$W$72,$V$72)</f>
        <v>0</v>
      </c>
      <c r="AU721" s="31">
        <f>IF(MID(E721,3,1)*1=1,$Y$72,$X$72)</f>
        <v>1</v>
      </c>
      <c r="AV721" s="2">
        <f>IF(MID(E721,3,1)*1=2,$AA$72,$Z$72)</f>
        <v>0</v>
      </c>
      <c r="AW721" s="33">
        <f>IF(MID(E721,3,1)*1=3,$AC$72,$AB$72)</f>
        <v>0</v>
      </c>
      <c r="AX721" s="31">
        <f>IF(MID(E721,5,1)*1=1,$AE$72,$AD$72)</f>
        <v>0</v>
      </c>
      <c r="AY721" s="33">
        <f>IF(MID(E721,5,1)*1=2,$AG$72,$AF$72)</f>
        <v>0</v>
      </c>
      <c r="AZ721" s="2"/>
      <c r="BA721" s="101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</row>
    <row r="722" spans="1:71" ht="12" customHeight="1">
      <c r="A722" s="2"/>
      <c r="B722" s="107">
        <v>885</v>
      </c>
      <c r="C722" s="31">
        <v>10</v>
      </c>
      <c r="D722" s="113" t="s">
        <v>22</v>
      </c>
      <c r="E722" s="2" t="s">
        <v>148</v>
      </c>
      <c r="F722" s="2"/>
      <c r="G722" s="2"/>
      <c r="H722" s="33"/>
      <c r="I722" s="173">
        <f>M722/AE722</f>
        <v>459.97749487797546</v>
      </c>
      <c r="J722" s="174">
        <f>AH722/AE722</f>
        <v>9.8902251830526975</v>
      </c>
      <c r="K722" s="207">
        <f>RANK(I722,$I$76:$I$977)</f>
        <v>646</v>
      </c>
      <c r="L722" s="208" t="e">
        <f>RANK(I722,$I$867:$I$977)</f>
        <v>#N/A</v>
      </c>
      <c r="M722" s="173">
        <f>SUM(N722:R722)*(1+$D$22/100)</f>
        <v>13766.454854555284</v>
      </c>
      <c r="N722" s="174">
        <f>T722*(1+((AG722+IF(F722="백어택",8,0))/100)*(AI722/100-1))</f>
        <v>12403.588267234059</v>
      </c>
      <c r="O722" s="174"/>
      <c r="P722" s="174"/>
      <c r="Q722" s="174"/>
      <c r="R722" s="175">
        <f>X722*(1+($D$57/100)*(AI722/100-1))</f>
        <v>0</v>
      </c>
      <c r="S722" s="173">
        <f>SUM(T722:X722)</f>
        <v>10423.069552378049</v>
      </c>
      <c r="T722" s="174">
        <f>AL722*AU722</f>
        <v>10423.069552378049</v>
      </c>
      <c r="U722" s="174"/>
      <c r="V722" s="174"/>
      <c r="W722" s="174"/>
      <c r="X722" s="175">
        <f>AL722*AW722</f>
        <v>0</v>
      </c>
      <c r="Y722" s="173">
        <f>SUM(Z722:AD722)</f>
        <v>20846.139104756097</v>
      </c>
      <c r="Z722" s="174">
        <f>T722*$D$58/100</f>
        <v>20846.139104756097</v>
      </c>
      <c r="AA722" s="174"/>
      <c r="AB722" s="174"/>
      <c r="AC722" s="174"/>
      <c r="AD722" s="175"/>
      <c r="AE722" s="173">
        <f>AO722*(1-$D$17/100)</f>
        <v>29.928540000000002</v>
      </c>
      <c r="AF722" s="174">
        <f>AP722+AV722</f>
        <v>36</v>
      </c>
      <c r="AG722" s="174">
        <f>IF($D$57+AY722&gt;100,100,$D$57+AY722)</f>
        <v>19.001300000000001</v>
      </c>
      <c r="AH722" s="174">
        <f>AQ722*AR722</f>
        <v>296</v>
      </c>
      <c r="AI722" s="174">
        <f>$D$58</f>
        <v>200</v>
      </c>
      <c r="AJ722" s="174">
        <f>10/5</f>
        <v>2</v>
      </c>
      <c r="AK722" s="174">
        <f>SUM(AL722:AN722)</f>
        <v>10423.069552378049</v>
      </c>
      <c r="AL722" s="174">
        <f>(VLOOKUP(C722,$B$36:$AG$39,32,FALSE)+VLOOKUP(C722,$B$40:$AG$43,32,FALSE)*$D$54)*$D$59/100</f>
        <v>10423.069552378049</v>
      </c>
      <c r="AM722" s="174"/>
      <c r="AN722" s="174"/>
      <c r="AO722" s="176">
        <v>30</v>
      </c>
      <c r="AP722" s="174">
        <v>36</v>
      </c>
      <c r="AQ722" s="175">
        <f>VLOOKUP(C722,$B$45:$AG$48,32,FALSE)</f>
        <v>592</v>
      </c>
      <c r="AR722" s="31">
        <f>IF(LEFT(E722,1)*1=1,$S$72,$R$72)</f>
        <v>0.5</v>
      </c>
      <c r="AS722" s="2">
        <f>IF(LEFT(E722,1)*1=2,$U$72,$T$72)</f>
        <v>0</v>
      </c>
      <c r="AT722" s="33">
        <f>IF(LEFT(E722,1)*1=3,$W$72,$V$72)</f>
        <v>0</v>
      </c>
      <c r="AU722" s="31">
        <f>IF(MID(E722,3,1)*1=1,$Y$72,$X$72)</f>
        <v>1</v>
      </c>
      <c r="AV722" s="2">
        <f>IF(MID(E722,3,1)*1=2,$AA$72,$Z$72)</f>
        <v>0</v>
      </c>
      <c r="AW722" s="33">
        <f>IF(MID(E722,3,1)*1=3,$AC$72,$AB$72)</f>
        <v>0</v>
      </c>
      <c r="AX722" s="31">
        <f>IF(MID(E722,5,1)*1=1,$AE$72,$AD$72)</f>
        <v>0</v>
      </c>
      <c r="AY722" s="33">
        <f>IF(MID(E722,5,1)*1=2,$AG$72,$AF$72)</f>
        <v>0</v>
      </c>
      <c r="AZ722" s="2"/>
      <c r="BA722" s="101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</row>
    <row r="723" spans="1:71" ht="12" customHeight="1">
      <c r="A723" s="2"/>
      <c r="B723" s="107">
        <v>452</v>
      </c>
      <c r="C723" s="31">
        <v>7</v>
      </c>
      <c r="D723" s="111" t="s">
        <v>8</v>
      </c>
      <c r="E723" s="2" t="s">
        <v>136</v>
      </c>
      <c r="F723" s="2" t="s">
        <v>149</v>
      </c>
      <c r="G723" s="2"/>
      <c r="H723" s="33" t="s">
        <v>80</v>
      </c>
      <c r="I723" s="173">
        <f>M723/AE723</f>
        <v>459.37294303123349</v>
      </c>
      <c r="J723" s="174">
        <f>AH723/AE723</f>
        <v>19.637781784066725</v>
      </c>
      <c r="K723" s="207">
        <f>RANK(I723,$I$76:$I$977)</f>
        <v>648</v>
      </c>
      <c r="L723" s="208">
        <f>RANK(I723,$I$451:$I$866)</f>
        <v>273</v>
      </c>
      <c r="M723" s="173">
        <f>SUM(N723:R723)</f>
        <v>8491.4060128539404</v>
      </c>
      <c r="N723" s="174">
        <f>T723*(1+((AG723+IF(F723="백어택",8,0))/100)*(IF(AY723=1,$D$58,$D$58+50)/100-1))</f>
        <v>3728.5428930344228</v>
      </c>
      <c r="O723" s="174">
        <f>U723*(1+((AG723+IF(F723="백어택",8,0))/100)*(AI723/100-1))</f>
        <v>4762.8631198195171</v>
      </c>
      <c r="P723" s="174">
        <f>V723*(1+((AG723+IF(F723="백어택",8,0))/100)*(AI723/100-1))</f>
        <v>0</v>
      </c>
      <c r="Q723" s="174"/>
      <c r="R723" s="175"/>
      <c r="S723" s="173">
        <f>SUM(T723:X723)</f>
        <v>5586.4035457946347</v>
      </c>
      <c r="T723" s="174">
        <f>AL723*IF(H723="근접",AR723,1)*AY723*IF(F723="백어택",1.2,1)</f>
        <v>2452.9677660878051</v>
      </c>
      <c r="U723" s="174">
        <f>AM723*IF(H723="근접",AR723,1)*AY723*IF(F723="백어택",1.2,1)</f>
        <v>3133.4357797068296</v>
      </c>
      <c r="V723" s="174">
        <f>IF(AX723=1,0,AM723*IF(H723="근접",AR723,1)*AY723)*IF(F723="백어택",1.2,1)</f>
        <v>0</v>
      </c>
      <c r="W723" s="174"/>
      <c r="X723" s="175"/>
      <c r="Y723" s="173">
        <f>SUM(Z723:AD723)</f>
        <v>11172.807091589271</v>
      </c>
      <c r="Z723" s="174">
        <f>T723*IF(AY723=1,$D$58,$D$58+50)/100</f>
        <v>4905.9355321756102</v>
      </c>
      <c r="AA723" s="174">
        <f>U723*AI723/100</f>
        <v>6266.8715594136602</v>
      </c>
      <c r="AB723" s="174">
        <f>V723*AI723/100</f>
        <v>0</v>
      </c>
      <c r="AC723" s="174"/>
      <c r="AD723" s="175"/>
      <c r="AE723" s="173">
        <f>AO723*(1-$D$20/100)*(1-$D$17/100)</f>
        <v>18.484776131615998</v>
      </c>
      <c r="AF723" s="174">
        <f>AP723</f>
        <v>36</v>
      </c>
      <c r="AG723" s="174">
        <f>IF($D$57+AU723&gt;100,100,$D$57+AU723)</f>
        <v>44.001300000000001</v>
      </c>
      <c r="AH723" s="174">
        <f>IF(AX723=1,AQ723,AQ723*1.4)</f>
        <v>363</v>
      </c>
      <c r="AI723" s="174">
        <f>IF(AY723=1,$D$58,$D$58+50)*AW723</f>
        <v>200</v>
      </c>
      <c r="AJ723" s="174">
        <f>10/6/AX723</f>
        <v>1.6666666666666667</v>
      </c>
      <c r="AK723" s="174">
        <f>SUM(AL723:AN723)</f>
        <v>4655.3362881621961</v>
      </c>
      <c r="AL723" s="174">
        <f>(IF(H723="근접",$D$61*(VLOOKUP(C723,$B$36:$AG$39,9,FALSE)+VLOOKUP(C723,$B$40:$AG$43,9,FALSE)*$D$54),$D$60*(VLOOKUP(C723,$B$36:$AG$39,9,FALSE)+VLOOKUP(C723,$B$40:$AG$43,9,FALSE)*$D$54)))*$D$59/100</f>
        <v>2044.1398050731711</v>
      </c>
      <c r="AM723" s="174">
        <f>(IF(H723="근접",$D$61*(VLOOKUP(C723,$B$36:$AG$39,10,FALSE)+VLOOKUP(C723,$B$40:$AG$43,10,FALSE)*$D$54),$D$60*(VLOOKUP(C723,$B$36:$AG$39,10,FALSE)+VLOOKUP(C723,$B$40:$AG$43,10,FALSE)*$D$54)))*$D$59/100</f>
        <v>2611.1964830890247</v>
      </c>
      <c r="AN723" s="174"/>
      <c r="AO723" s="176">
        <v>24</v>
      </c>
      <c r="AP723" s="174">
        <v>36</v>
      </c>
      <c r="AQ723" s="175">
        <f>VLOOKUP(C723,$B$45:$AA$48,9,FALSE)</f>
        <v>363</v>
      </c>
      <c r="AR723" s="31">
        <f>IF(LEFT(E723,1)*1=1,$S$58,$R$58)</f>
        <v>1</v>
      </c>
      <c r="AS723" s="2">
        <f>IF(LEFT(E723,1)*1=2,$U$58,$T$58)</f>
        <v>0</v>
      </c>
      <c r="AT723" s="33">
        <f>IF(LEFT(E723,1)*1=3,$W$58,$V$58)</f>
        <v>0</v>
      </c>
      <c r="AU723" s="31">
        <f>IF(MID(E723,3,1)*1=1,$Y$58,$X$58)</f>
        <v>25</v>
      </c>
      <c r="AV723" s="2">
        <f>IF(MID(E723,3,1)*1=2,$AA$58,$Z$58)</f>
        <v>0</v>
      </c>
      <c r="AW723" s="33">
        <f>IF(MID(E723,3,1)*1=3,$AC$58,$AB$58)</f>
        <v>1</v>
      </c>
      <c r="AX723" s="31">
        <f>IF(MID(E723,5,1)*1=1,$AE$58,$AD$58)</f>
        <v>1</v>
      </c>
      <c r="AY723" s="33">
        <f>IF(MID(E723,5,1)*1=2,$AG$58,$AF$58)</f>
        <v>1</v>
      </c>
      <c r="AZ723" s="2"/>
      <c r="BA723" s="101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</row>
    <row r="724" spans="1:71" ht="12" customHeight="1">
      <c r="A724" s="2"/>
      <c r="B724" s="107">
        <v>455</v>
      </c>
      <c r="C724" s="31">
        <v>7</v>
      </c>
      <c r="D724" s="111" t="s">
        <v>8</v>
      </c>
      <c r="E724" s="2" t="s">
        <v>163</v>
      </c>
      <c r="F724" s="2" t="s">
        <v>149</v>
      </c>
      <c r="G724" s="2"/>
      <c r="H724" s="33" t="s">
        <v>80</v>
      </c>
      <c r="I724" s="173">
        <f>M724/AE724</f>
        <v>459.37294303123349</v>
      </c>
      <c r="J724" s="174">
        <f>AH724/AE724</f>
        <v>19.637781784066725</v>
      </c>
      <c r="K724" s="207">
        <f>RANK(I724,$I$76:$I$977)</f>
        <v>648</v>
      </c>
      <c r="L724" s="208">
        <f>RANK(I724,$I$451:$I$866)</f>
        <v>273</v>
      </c>
      <c r="M724" s="173">
        <f>SUM(N724:R724)</f>
        <v>8491.4060128539404</v>
      </c>
      <c r="N724" s="174">
        <f>T724*(1+((AG724+IF(F724="백어택",8,0))/100)*(IF(AY724=1,$D$58,$D$58+50)/100-1))</f>
        <v>3728.5428930344228</v>
      </c>
      <c r="O724" s="174">
        <f>U724*(1+((AG724+IF(F724="백어택",8,0))/100)*(AI724/100-1))</f>
        <v>4762.8631198195171</v>
      </c>
      <c r="P724" s="174">
        <f>V724*(1+((AG724+IF(F724="백어택",8,0))/100)*(AI724/100-1))</f>
        <v>0</v>
      </c>
      <c r="Q724" s="174"/>
      <c r="R724" s="175"/>
      <c r="S724" s="173">
        <f>SUM(T724:X724)</f>
        <v>5586.4035457946347</v>
      </c>
      <c r="T724" s="174">
        <f>AL724*IF(H724="근접",AR724,1)*AY724*IF(F724="백어택",1.2,1)</f>
        <v>2452.9677660878051</v>
      </c>
      <c r="U724" s="174">
        <f>AM724*IF(H724="근접",AR724,1)*AY724*IF(F724="백어택",1.2,1)</f>
        <v>3133.4357797068296</v>
      </c>
      <c r="V724" s="174">
        <f>IF(AX724=1,0,AM724*IF(H724="근접",AR724,1)*AY724)*IF(F724="백어택",1.2,1)</f>
        <v>0</v>
      </c>
      <c r="W724" s="174"/>
      <c r="X724" s="175"/>
      <c r="Y724" s="173">
        <f>SUM(Z724:AD724)</f>
        <v>11172.807091589271</v>
      </c>
      <c r="Z724" s="174">
        <f>T724*IF(AY724=1,$D$58,$D$58+50)/100</f>
        <v>4905.9355321756102</v>
      </c>
      <c r="AA724" s="174">
        <f>U724*AI724/100</f>
        <v>6266.8715594136602</v>
      </c>
      <c r="AB724" s="174">
        <f>V724*AI724/100</f>
        <v>0</v>
      </c>
      <c r="AC724" s="174"/>
      <c r="AD724" s="175"/>
      <c r="AE724" s="173">
        <f>AO724*(1-$D$20/100)*(1-$D$17/100)</f>
        <v>18.484776131615998</v>
      </c>
      <c r="AF724" s="174">
        <f>AP724</f>
        <v>36</v>
      </c>
      <c r="AG724" s="174">
        <f>IF($D$57+AU724&gt;100,100,$D$57+AU724)</f>
        <v>44.001300000000001</v>
      </c>
      <c r="AH724" s="174">
        <f>IF(AX724=1,AQ724,AQ724*1.4)</f>
        <v>363</v>
      </c>
      <c r="AI724" s="174">
        <f>IF(AY724=1,$D$58,$D$58+50)*AW724</f>
        <v>200</v>
      </c>
      <c r="AJ724" s="174">
        <f>10/6/AX724</f>
        <v>1.6666666666666667</v>
      </c>
      <c r="AK724" s="174">
        <f>SUM(AL724:AN724)</f>
        <v>4655.3362881621961</v>
      </c>
      <c r="AL724" s="174">
        <f>(IF(H724="근접",$D$61*(VLOOKUP(C724,$B$36:$AG$39,9,FALSE)+VLOOKUP(C724,$B$40:$AG$43,9,FALSE)*$D$54),$D$60*(VLOOKUP(C724,$B$36:$AG$39,9,FALSE)+VLOOKUP(C724,$B$40:$AG$43,9,FALSE)*$D$54)))*$D$59/100</f>
        <v>2044.1398050731711</v>
      </c>
      <c r="AM724" s="174">
        <f>(IF(H724="근접",$D$61*(VLOOKUP(C724,$B$36:$AG$39,10,FALSE)+VLOOKUP(C724,$B$40:$AG$43,10,FALSE)*$D$54),$D$60*(VLOOKUP(C724,$B$36:$AG$39,10,FALSE)+VLOOKUP(C724,$B$40:$AG$43,10,FALSE)*$D$54)))*$D$59/100</f>
        <v>2611.1964830890247</v>
      </c>
      <c r="AN724" s="174"/>
      <c r="AO724" s="176">
        <v>24</v>
      </c>
      <c r="AP724" s="174">
        <v>36</v>
      </c>
      <c r="AQ724" s="175">
        <f>VLOOKUP(C724,$B$45:$AA$48,9,FALSE)</f>
        <v>363</v>
      </c>
      <c r="AR724" s="31">
        <f>IF(LEFT(E724,1)*1=1,$S$58,$R$58)</f>
        <v>1.2</v>
      </c>
      <c r="AS724" s="2">
        <f>IF(LEFT(E724,1)*1=2,$U$58,$T$58)</f>
        <v>0</v>
      </c>
      <c r="AT724" s="33">
        <f>IF(LEFT(E724,1)*1=3,$W$58,$V$58)</f>
        <v>0</v>
      </c>
      <c r="AU724" s="31">
        <f>IF(MID(E724,3,1)*1=1,$Y$58,$X$58)</f>
        <v>25</v>
      </c>
      <c r="AV724" s="2">
        <f>IF(MID(E724,3,1)*1=2,$AA$58,$Z$58)</f>
        <v>0</v>
      </c>
      <c r="AW724" s="33">
        <f>IF(MID(E724,3,1)*1=3,$AC$58,$AB$58)</f>
        <v>1</v>
      </c>
      <c r="AX724" s="31">
        <f>IF(MID(E724,5,1)*1=1,$AE$58,$AD$58)</f>
        <v>1</v>
      </c>
      <c r="AY724" s="33">
        <f>IF(MID(E724,5,1)*1=2,$AG$58,$AF$58)</f>
        <v>1</v>
      </c>
      <c r="AZ724" s="2"/>
      <c r="BA724" s="101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</row>
    <row r="725" spans="1:71" ht="12" customHeight="1">
      <c r="A725" s="2"/>
      <c r="B725" s="107">
        <v>574</v>
      </c>
      <c r="C725" s="31">
        <v>1</v>
      </c>
      <c r="D725" s="111" t="s">
        <v>14</v>
      </c>
      <c r="E725" s="2" t="s">
        <v>67</v>
      </c>
      <c r="F725" s="2" t="s">
        <v>149</v>
      </c>
      <c r="G725" s="1"/>
      <c r="H725" s="33" t="s">
        <v>81</v>
      </c>
      <c r="I725" s="173">
        <f>M725/AE725</f>
        <v>458.04662993687543</v>
      </c>
      <c r="J725" s="174">
        <f>AH725/AE725</f>
        <v>4.5803457972019714</v>
      </c>
      <c r="K725" s="207">
        <f>RANK(I725,$I$76:$I$977)</f>
        <v>650</v>
      </c>
      <c r="L725" s="208">
        <f>RANK(I725,$I$451:$I$866)</f>
        <v>275</v>
      </c>
      <c r="M725" s="173">
        <f>SUM(N725:R725)</f>
        <v>12700.334118336454</v>
      </c>
      <c r="N725" s="174">
        <f>T725*(1+((AG725+IF(F725="백어택",8,0))/100)*(AI725/100-1))</f>
        <v>3701.7173914751752</v>
      </c>
      <c r="O725" s="174">
        <f>U725*(1+((AG725+IF(F725="백어택",8,0))/100)*(AI725/100-1))</f>
        <v>3701.7173914751752</v>
      </c>
      <c r="P725" s="174">
        <f>V725*(1+((AG725+IF(F725="백어택",8,0))/100)*(AI725*IF(AX725=1,AW725,1)/100-1))</f>
        <v>5296.8993353861033</v>
      </c>
      <c r="Q725" s="174">
        <f>W725*(1+((AG725+IF(F725="백어택",8,0))/100)*(AI725*AW725/100-1))</f>
        <v>0</v>
      </c>
      <c r="R725" s="175"/>
      <c r="S725" s="173">
        <f>SUM(T725:X725)</f>
        <v>10000.160721454389</v>
      </c>
      <c r="T725" s="174">
        <f>AL725*AY725*IF(F725="백어택",1.2,1)</f>
        <v>2914.7082679273167</v>
      </c>
      <c r="U725" s="174">
        <f>AM725*AY725*IF(F725="백어택",1.2,1)</f>
        <v>2914.7082679273167</v>
      </c>
      <c r="V725" s="174">
        <f>AN725*AY725*IF(F725="백어택",1.2,1)</f>
        <v>4170.7441855997558</v>
      </c>
      <c r="W725" s="174">
        <f>(T725+U725+V725)*IF(AX725=1,0,0.6)*IF(F725="백어택",1.2,1)</f>
        <v>0</v>
      </c>
      <c r="X725" s="175"/>
      <c r="Y725" s="173">
        <f>SUM(Z725:AD725)</f>
        <v>20000.321442908778</v>
      </c>
      <c r="Z725" s="174">
        <f>T725*AI725/100</f>
        <v>5829.4165358546334</v>
      </c>
      <c r="AA725" s="174">
        <f>U725*AI725/100</f>
        <v>5829.4165358546334</v>
      </c>
      <c r="AB725" s="174">
        <f>V725*AI725*IF(AX725=1,AW725,1)/100</f>
        <v>8341.4883711995117</v>
      </c>
      <c r="AC725" s="174">
        <f>W725*AI725*AW725/100</f>
        <v>0</v>
      </c>
      <c r="AD725" s="175"/>
      <c r="AE725" s="173">
        <f>AO725*(1-$D$20/100)*(1-$D$17/100)</f>
        <v>27.727164197424003</v>
      </c>
      <c r="AF725" s="174">
        <f>AP725</f>
        <v>36</v>
      </c>
      <c r="AG725" s="174">
        <f>IF($D$57+AU725&gt;100,100,$D$57+AU725)</f>
        <v>19.001300000000001</v>
      </c>
      <c r="AH725" s="174">
        <f>AQ725*AS725</f>
        <v>127</v>
      </c>
      <c r="AI725" s="174">
        <f>$D$58+IF(H725="근접",AR725,0)+IF(AY725=1,0,50)</f>
        <v>200</v>
      </c>
      <c r="AJ725" s="174">
        <f>10/3</f>
        <v>3.3333333333333335</v>
      </c>
      <c r="AK725" s="174">
        <f>SUM(AL725:AN725)</f>
        <v>8333.4672678786592</v>
      </c>
      <c r="AL725" s="174">
        <f>(IF(H725="근접",$D$61*(VLOOKUP(C725,$B$36:$AG$39,19,FALSE)+VLOOKUP(C725,$B$40:$AG$43,19,FALSE)*$D$54),$D$60*(VLOOKUP(C725,$B$36:$AG$39,19,FALSE)+VLOOKUP(C725,$B$40:$AG$43,19,FALSE)*$D$54)))*$D$59/100</f>
        <v>2428.9235566060975</v>
      </c>
      <c r="AM725" s="174">
        <f>(IF(H725="근접",$D$61*(VLOOKUP(C725,$B$36:$AG$39,20,FALSE)+VLOOKUP(C725,$B$40:$AG$43,20,FALSE)*$D$54),$D$60*(VLOOKUP(C725,$B$36:$AG$39,20,FALSE)+VLOOKUP(C725,$B$40:$AG$43,20,FALSE)*$D$54)))*$D$59/100</f>
        <v>2428.9235566060975</v>
      </c>
      <c r="AN725" s="174">
        <f>(IF(H725="근접",$D$61*(VLOOKUP(C725,$B$36:$AG$39,21,FALSE)+VLOOKUP(C725,$B$40:$AG$43,21,FALSE)*$D$54),$D$60*(VLOOKUP(C725,$B$36:$AG$39,21,FALSE)+VLOOKUP(C725,$B$40:$AG$43,21,FALSE)*$D$54)))*$D$59/100</f>
        <v>3475.6201546664633</v>
      </c>
      <c r="AO725" s="176">
        <v>36</v>
      </c>
      <c r="AP725" s="174">
        <v>36</v>
      </c>
      <c r="AQ725" s="175">
        <f>VLOOKUP(C725,$B$45:$AA$48,19,FALSE)</f>
        <v>127</v>
      </c>
      <c r="AR725" s="31">
        <f>IF(LEFT(E725,1)*1=1,$S$64,$R$64)</f>
        <v>0</v>
      </c>
      <c r="AS725" s="2">
        <f>IF(LEFT(E725,1)*1=2,$U$64,$T$64)</f>
        <v>1</v>
      </c>
      <c r="AT725" s="33">
        <f>IF(LEFT(E725,1)*1=3,$W$64,$V$64)</f>
        <v>0</v>
      </c>
      <c r="AU725" s="31">
        <f>IF(MID(E725,3,1)*1=1,$Y$64,$X$64)</f>
        <v>0</v>
      </c>
      <c r="AV725" s="2">
        <f>IF(MID(E725,3,1)*1=2,$AA$64,$Z$64)</f>
        <v>0</v>
      </c>
      <c r="AW725" s="33">
        <f>IF(MID(E725,3,1)*1=3,$AC$64,$AB$64)</f>
        <v>1</v>
      </c>
      <c r="AX725" s="31">
        <f>IF(MID(E725,5,1)*1=1,$AE$64,$AD$64)</f>
        <v>1</v>
      </c>
      <c r="AY725" s="33">
        <f>IF(MID(E725,5,1)*1=2,$AG$64,$AF$64)</f>
        <v>1</v>
      </c>
      <c r="AZ725" s="2"/>
      <c r="BA725" s="101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</row>
    <row r="726" spans="1:71" ht="12" customHeight="1">
      <c r="A726" s="2"/>
      <c r="B726" s="107">
        <v>364</v>
      </c>
      <c r="C726" s="31">
        <v>7</v>
      </c>
      <c r="D726" s="106" t="s">
        <v>20</v>
      </c>
      <c r="E726" s="2" t="s">
        <v>136</v>
      </c>
      <c r="F726" s="2"/>
      <c r="G726" s="2"/>
      <c r="H726" s="33"/>
      <c r="I726" s="173">
        <f>M726/AE726</f>
        <v>457.91584773318857</v>
      </c>
      <c r="J726" s="174">
        <f>AH726/AE726</f>
        <v>17.096278891876004</v>
      </c>
      <c r="K726" s="207">
        <f>RANK(I726,$I$76:$I$977)</f>
        <v>651</v>
      </c>
      <c r="L726" s="208" t="e">
        <f>RANK(I726,$I$76:$I$450)</f>
        <v>#N/A</v>
      </c>
      <c r="M726" s="173">
        <f>SUM(N726:R726)</f>
        <v>8222.8516593099866</v>
      </c>
      <c r="N726" s="174">
        <f>T726*(1+((AG726+IF(F726="백어택",8,0))/100)*((AI726/100-1)))</f>
        <v>5444.8780756743117</v>
      </c>
      <c r="O726" s="174">
        <f>U726*(1+(($D$57+IF(F726="백어택",8,0))/100)*($D$58/100-1))</f>
        <v>2777.9735836356754</v>
      </c>
      <c r="P726" s="174"/>
      <c r="Q726" s="174"/>
      <c r="R726" s="175"/>
      <c r="S726" s="173">
        <f>SUM(T726:X726)</f>
        <v>4669.212161943904</v>
      </c>
      <c r="T726" s="174">
        <f>AL726*AV726*IF(F726="백어택",1.2,1)</f>
        <v>2334.8060809719518</v>
      </c>
      <c r="U726" s="174">
        <f>AM726*AX726*AY726*IF(F726="백어택",1.2,1)</f>
        <v>2334.4060809719517</v>
      </c>
      <c r="V726" s="174"/>
      <c r="W726" s="174"/>
      <c r="X726" s="175"/>
      <c r="Y726" s="173">
        <f>SUM(Z726:AD726)</f>
        <v>9338.424323887808</v>
      </c>
      <c r="Z726" s="174">
        <f>T726*$D$58/100</f>
        <v>4669.6121619439036</v>
      </c>
      <c r="AA726" s="174">
        <f>U726*$D$58/100</f>
        <v>4668.8121619439034</v>
      </c>
      <c r="AB726" s="174"/>
      <c r="AC726" s="174"/>
      <c r="AD726" s="175"/>
      <c r="AE726" s="173">
        <f>AO726*(1-$D$17/100)-AR726</f>
        <v>17.957124</v>
      </c>
      <c r="AF726" s="174">
        <f>AP726</f>
        <v>36</v>
      </c>
      <c r="AG726" s="174">
        <f>IF($D$57+AU726&gt;100,100,$D$57+AU726)</f>
        <v>79.001300000000001</v>
      </c>
      <c r="AH726" s="174">
        <f>AQ726*AS726</f>
        <v>307</v>
      </c>
      <c r="AI726" s="174">
        <f>$D$58+$D$19</f>
        <v>268.61079999999998</v>
      </c>
      <c r="AJ726" s="174">
        <f>10*IF(AV726=1,1,5/4.5)/IF(AX726=1,5,3.5)</f>
        <v>2</v>
      </c>
      <c r="AK726" s="174">
        <f>SUM(AL726:AN726)</f>
        <v>4669.212161943904</v>
      </c>
      <c r="AL726" s="174">
        <f>(VLOOKUP(C726,$B$36:$AG$39,29,FALSE)+VLOOKUP(C726,$B$40:$AG$43,29,FALSE)*$D$54)*$D$59/100</f>
        <v>2334.8060809719518</v>
      </c>
      <c r="AM726" s="174">
        <f>(VLOOKUP(C726,$B$36:$AG$39,30,FALSE)+VLOOKUP(C726,$B$40:$AG$43,30,FALSE)*$D$54)*$D$59/100</f>
        <v>2334.4060809719517</v>
      </c>
      <c r="AN726" s="174"/>
      <c r="AO726" s="176">
        <v>18</v>
      </c>
      <c r="AP726" s="174">
        <v>36</v>
      </c>
      <c r="AQ726" s="175">
        <f>VLOOKUP(C726,$B$45:$AG$48,29,FALSE)</f>
        <v>307</v>
      </c>
      <c r="AR726" s="31">
        <f>IF(LEFT(E726,1)*1=1,$S$70,$R$70)</f>
        <v>0</v>
      </c>
      <c r="AS726" s="2">
        <f>IF(LEFT(E726,1)*1=2,$U$70,$T$70)</f>
        <v>1</v>
      </c>
      <c r="AT726" s="33">
        <f>IF(LEFT(E726,1)*1=3,$W$70,$V$70)</f>
        <v>0</v>
      </c>
      <c r="AU726" s="31">
        <f>IF(MID(E726,3,1)*1=1,$Y$70,$X$70)</f>
        <v>60</v>
      </c>
      <c r="AV726" s="2">
        <f>IF(MID(E726,3,1)*1=2,$AA$70,$Z$70)</f>
        <v>1</v>
      </c>
      <c r="AW726" s="33">
        <f>IF(MID(E726,3,1)*1=3,$AC$70,$AB$70)</f>
        <v>0</v>
      </c>
      <c r="AX726" s="31">
        <f>IF(MID(E726,5,1)*1=1,$AE$70,$AD$70)</f>
        <v>1</v>
      </c>
      <c r="AY726" s="33">
        <f>IF(MID(E726,5,1)*1=2,$AG$70,$AF$70)</f>
        <v>1</v>
      </c>
      <c r="AZ726" s="2"/>
      <c r="BA726" s="101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</row>
    <row r="727" spans="1:71" ht="12" customHeight="1">
      <c r="A727" s="2"/>
      <c r="B727" s="107">
        <v>370</v>
      </c>
      <c r="C727" s="31">
        <v>7</v>
      </c>
      <c r="D727" s="106" t="s">
        <v>20</v>
      </c>
      <c r="E727" s="2" t="s">
        <v>168</v>
      </c>
      <c r="F727" s="2"/>
      <c r="G727" s="2"/>
      <c r="H727" s="33"/>
      <c r="I727" s="173">
        <f>M727/AE727</f>
        <v>457.91584773318857</v>
      </c>
      <c r="J727" s="174">
        <f>AH727/AE727</f>
        <v>8.548139445938002</v>
      </c>
      <c r="K727" s="207">
        <f>RANK(I727,$I$76:$I$977)</f>
        <v>651</v>
      </c>
      <c r="L727" s="208" t="e">
        <f>RANK(I727,$I$76:$I$450)</f>
        <v>#N/A</v>
      </c>
      <c r="M727" s="173">
        <f>SUM(N727:R727)</f>
        <v>8222.8516593099866</v>
      </c>
      <c r="N727" s="174">
        <f>T727*(1+((AG727+IF(F727="백어택",8,0))/100)*((AI727/100-1)))</f>
        <v>5444.8780756743117</v>
      </c>
      <c r="O727" s="174">
        <f>U727*(1+(($D$57+IF(F727="백어택",8,0))/100)*($D$58/100-1))</f>
        <v>2777.9735836356754</v>
      </c>
      <c r="P727" s="174"/>
      <c r="Q727" s="174"/>
      <c r="R727" s="175"/>
      <c r="S727" s="173">
        <f>SUM(T727:X727)</f>
        <v>4669.212161943904</v>
      </c>
      <c r="T727" s="174">
        <f>AL727*AV727*IF(F727="백어택",1.2,1)</f>
        <v>2334.8060809719518</v>
      </c>
      <c r="U727" s="174">
        <f>AM727*AX727*AY727*IF(F727="백어택",1.2,1)</f>
        <v>2334.4060809719517</v>
      </c>
      <c r="V727" s="174"/>
      <c r="W727" s="174"/>
      <c r="X727" s="175"/>
      <c r="Y727" s="173">
        <f>SUM(Z727:AD727)</f>
        <v>9338.424323887808</v>
      </c>
      <c r="Z727" s="174">
        <f>T727*$D$58/100</f>
        <v>4669.6121619439036</v>
      </c>
      <c r="AA727" s="174">
        <f>U727*$D$58/100</f>
        <v>4668.8121619439034</v>
      </c>
      <c r="AB727" s="174"/>
      <c r="AC727" s="174"/>
      <c r="AD727" s="175"/>
      <c r="AE727" s="173">
        <f>AO727*(1-$D$17/100)-AR727</f>
        <v>17.957124</v>
      </c>
      <c r="AF727" s="174">
        <f>AP727</f>
        <v>36</v>
      </c>
      <c r="AG727" s="174">
        <f>IF($D$57+AU727&gt;100,100,$D$57+AU727)</f>
        <v>79.001300000000001</v>
      </c>
      <c r="AH727" s="174">
        <f>AQ727*AS727</f>
        <v>153.5</v>
      </c>
      <c r="AI727" s="174">
        <f>$D$58+$D$19</f>
        <v>268.61079999999998</v>
      </c>
      <c r="AJ727" s="174">
        <f>10*IF(AV727=1,1,5/4.5)/IF(AX727=1,5,3.5)</f>
        <v>2</v>
      </c>
      <c r="AK727" s="174">
        <f>SUM(AL727:AN727)</f>
        <v>4669.212161943904</v>
      </c>
      <c r="AL727" s="174">
        <f>(VLOOKUP(C727,$B$36:$AG$39,29,FALSE)+VLOOKUP(C727,$B$40:$AG$43,29,FALSE)*$D$54)*$D$59/100</f>
        <v>2334.8060809719518</v>
      </c>
      <c r="AM727" s="174">
        <f>(VLOOKUP(C727,$B$36:$AG$39,30,FALSE)+VLOOKUP(C727,$B$40:$AG$43,30,FALSE)*$D$54)*$D$59/100</f>
        <v>2334.4060809719517</v>
      </c>
      <c r="AN727" s="174"/>
      <c r="AO727" s="176">
        <v>18</v>
      </c>
      <c r="AP727" s="174">
        <v>36</v>
      </c>
      <c r="AQ727" s="175">
        <f>VLOOKUP(C727,$B$45:$AG$48,29,FALSE)</f>
        <v>307</v>
      </c>
      <c r="AR727" s="31">
        <f>IF(LEFT(E727,1)*1=1,$S$70,$R$70)</f>
        <v>0</v>
      </c>
      <c r="AS727" s="2">
        <f>IF(LEFT(E727,1)*1=2,$U$70,$T$70)</f>
        <v>0.5</v>
      </c>
      <c r="AT727" s="33">
        <f>IF(LEFT(E727,1)*1=3,$W$70,$V$70)</f>
        <v>0</v>
      </c>
      <c r="AU727" s="31">
        <f>IF(MID(E727,3,1)*1=1,$Y$70,$X$70)</f>
        <v>60</v>
      </c>
      <c r="AV727" s="2">
        <f>IF(MID(E727,3,1)*1=2,$AA$70,$Z$70)</f>
        <v>1</v>
      </c>
      <c r="AW727" s="33">
        <f>IF(MID(E727,3,1)*1=3,$AC$70,$AB$70)</f>
        <v>0</v>
      </c>
      <c r="AX727" s="31">
        <f>IF(MID(E727,5,1)*1=1,$AE$70,$AD$70)</f>
        <v>1</v>
      </c>
      <c r="AY727" s="33">
        <f>IF(MID(E727,5,1)*1=2,$AG$70,$AF$70)</f>
        <v>1</v>
      </c>
      <c r="AZ727" s="2"/>
      <c r="BA727" s="101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</row>
    <row r="728" spans="1:71" ht="12" customHeight="1">
      <c r="A728" s="2"/>
      <c r="B728" s="107">
        <v>804</v>
      </c>
      <c r="C728" s="31">
        <v>10</v>
      </c>
      <c r="D728" s="113" t="s">
        <v>9</v>
      </c>
      <c r="E728" s="2" t="s">
        <v>99</v>
      </c>
      <c r="F728" s="2"/>
      <c r="G728" s="2"/>
      <c r="H728" s="33"/>
      <c r="I728" s="173">
        <f>M728/AE728</f>
        <v>455.50340482302505</v>
      </c>
      <c r="J728" s="174">
        <f>AH728/AE728</f>
        <v>18.293575296355918</v>
      </c>
      <c r="K728" s="207">
        <f>RANK(I728,$I$76:$I$977)</f>
        <v>653</v>
      </c>
      <c r="L728" s="208" t="e">
        <f>RANK(I728,$I$867:$I$977)</f>
        <v>#N/A</v>
      </c>
      <c r="M728" s="173">
        <f>SUM(N728:R728)*(1+$D$22/100)</f>
        <v>16359.062245658519</v>
      </c>
      <c r="N728" s="174">
        <f>T728*(1+((AG728+IF(F728="백어택",8,0))/100)*(AI728/100-1))</f>
        <v>10650.71652178061</v>
      </c>
      <c r="O728" s="174">
        <f>U728*(1+($D$57/100)*(AI728/100-1))</f>
        <v>2044.4066741270403</v>
      </c>
      <c r="P728" s="174"/>
      <c r="Q728" s="174"/>
      <c r="R728" s="175">
        <f>X728*(1+($D$57/100)*(AI728/100-1))</f>
        <v>2044.4066741270403</v>
      </c>
      <c r="S728" s="173">
        <f>SUM(T728:X728)</f>
        <v>12386.02424514244</v>
      </c>
      <c r="T728" s="174">
        <f>AL728*AU728*AY728</f>
        <v>8950.084177047318</v>
      </c>
      <c r="U728" s="174">
        <f>AM728*AX728</f>
        <v>1717.9700340475611</v>
      </c>
      <c r="V728" s="174"/>
      <c r="W728" s="174"/>
      <c r="X728" s="175">
        <f>AM728*AS728</f>
        <v>1717.9700340475611</v>
      </c>
      <c r="Y728" s="173">
        <f>SUM(Z728:AD728)</f>
        <v>24772.04849028488</v>
      </c>
      <c r="Z728" s="174">
        <f>T728*$D$58/100</f>
        <v>17900.168354094636</v>
      </c>
      <c r="AA728" s="174">
        <f>U728*$D$58/100</f>
        <v>3435.9400680951221</v>
      </c>
      <c r="AB728" s="174"/>
      <c r="AC728" s="174"/>
      <c r="AD728" s="175">
        <f>X728*$D$58/100</f>
        <v>3435.9400680951221</v>
      </c>
      <c r="AE728" s="173">
        <f>AO728*(1-$D$17/100)</f>
        <v>35.914248000000001</v>
      </c>
      <c r="AF728" s="174">
        <f>AP728</f>
        <v>36</v>
      </c>
      <c r="AG728" s="174">
        <f>IF($D$57+AW728&gt;100,100,$D$57+AW728)</f>
        <v>19.001300000000001</v>
      </c>
      <c r="AH728" s="174">
        <f>AQ728</f>
        <v>657</v>
      </c>
      <c r="AI728" s="174">
        <f>$D$58</f>
        <v>200</v>
      </c>
      <c r="AJ728" s="174">
        <f>10/(6+AT728)</f>
        <v>1.6666666666666667</v>
      </c>
      <c r="AK728" s="174">
        <f>SUM(AL728:AN728)</f>
        <v>8602.6501702378046</v>
      </c>
      <c r="AL728" s="174">
        <f>(VLOOKUP(C728,$B$36:$AG$39,11,FALSE)+VLOOKUP(C728,$B$40:$AG$43,11,FALSE)*$D$54)*$D$59/100</f>
        <v>6884.6801361902444</v>
      </c>
      <c r="AM728" s="174">
        <f>(3*(VLOOKUP(C728,$B$36:$AG$39,12,FALSE)+VLOOKUP(C728,$B$40:$AG$43,12,FALSE)*$D$54))*$D$59/100</f>
        <v>1717.9700340475611</v>
      </c>
      <c r="AN728" s="174"/>
      <c r="AO728" s="176">
        <v>36</v>
      </c>
      <c r="AP728" s="174">
        <v>36</v>
      </c>
      <c r="AQ728" s="175">
        <f>VLOOKUP(C728,$B$45:$AA$48,11,FALSE)</f>
        <v>657</v>
      </c>
      <c r="AR728" s="31">
        <f>IF(LEFT(E728,1)*1=1,$S$59,$R$59)</f>
        <v>0</v>
      </c>
      <c r="AS728" s="2">
        <f>IF(LEFT(E728,1)*1=2,$U$59,$T$59)</f>
        <v>1</v>
      </c>
      <c r="AT728" s="33">
        <f>IF(LEFT(E728,1)*1=3,$W$59,$V$59)</f>
        <v>0</v>
      </c>
      <c r="AU728" s="31">
        <f>IF(MID(E728,3,1)*1=1,$Y$59,$X$59)</f>
        <v>1</v>
      </c>
      <c r="AV728" s="2">
        <f>IF(MID(E728,3,1)*1=2,$AA$59,$Z$59)</f>
        <v>0</v>
      </c>
      <c r="AW728" s="33">
        <f>IF(MID(E728,3,1)*1=3,$AC$59,$AB$59)</f>
        <v>0</v>
      </c>
      <c r="AX728" s="31">
        <f>IF(MID(E728,5,1)*1=1,$AE$59,$AD$59)</f>
        <v>1</v>
      </c>
      <c r="AY728" s="33">
        <f>IF(MID(E728,5,1)*1=2,$AG$59,$AF$59)</f>
        <v>1.3</v>
      </c>
      <c r="AZ728" s="2"/>
      <c r="BA728" s="101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</row>
    <row r="729" spans="1:71" ht="12" customHeight="1">
      <c r="A729" s="2"/>
      <c r="B729" s="107">
        <v>460</v>
      </c>
      <c r="C729" s="31">
        <v>10</v>
      </c>
      <c r="D729" s="111" t="s">
        <v>11</v>
      </c>
      <c r="E729" s="2" t="s">
        <v>67</v>
      </c>
      <c r="F729" s="2"/>
      <c r="G729" s="2"/>
      <c r="H729" s="33">
        <f>IF(AX729=1,5,1)</f>
        <v>5</v>
      </c>
      <c r="I729" s="173">
        <f>M729/AE729</f>
        <v>453.26783867667638</v>
      </c>
      <c r="J729" s="174">
        <f>AH729/AE729</f>
        <v>25.621083892380163</v>
      </c>
      <c r="K729" s="207">
        <f>RANK(I729,$I$76:$I$977)</f>
        <v>654</v>
      </c>
      <c r="L729" s="208">
        <f>RANK(I729,$I$451:$I$866)</f>
        <v>279</v>
      </c>
      <c r="M729" s="173">
        <f>SUM(N729:R729)</f>
        <v>10473.193156999749</v>
      </c>
      <c r="N729" s="174">
        <f>T729*(1+(AG729/100)*(AI729/100-1))</f>
        <v>9698.8375121045228</v>
      </c>
      <c r="O729" s="174">
        <f>U729*(1+(AG729/100)*(AI729/100-1))</f>
        <v>774.35564489522528</v>
      </c>
      <c r="P729" s="174"/>
      <c r="Q729" s="174"/>
      <c r="R729" s="175"/>
      <c r="S729" s="173">
        <f>T729</f>
        <v>8150.1945878780507</v>
      </c>
      <c r="T729" s="174">
        <f>H729*AL729*AX729</f>
        <v>8150.1945878780507</v>
      </c>
      <c r="U729" s="174">
        <f>AM729*AV729</f>
        <v>650.71192070609754</v>
      </c>
      <c r="V729" s="174"/>
      <c r="W729" s="174"/>
      <c r="X729" s="175"/>
      <c r="Y729" s="173">
        <f>SUM(Z729:AD729)</f>
        <v>17601.813017168297</v>
      </c>
      <c r="Z729" s="174">
        <f>T729*$D$58/100</f>
        <v>16300.389175756101</v>
      </c>
      <c r="AA729" s="174">
        <f>U729*$D$58/100</f>
        <v>1301.4238414121951</v>
      </c>
      <c r="AB729" s="174"/>
      <c r="AC729" s="174"/>
      <c r="AD729" s="175"/>
      <c r="AE729" s="173">
        <f>AO729*(1-$D$20/100)*(1-$D$17/100)-AR729</f>
        <v>23.105970164519999</v>
      </c>
      <c r="AF729" s="174">
        <f>AP729</f>
        <v>36</v>
      </c>
      <c r="AG729" s="174">
        <f>IF($D$57+AS729&gt;100,100,$D$57+AS729)</f>
        <v>19.001300000000001</v>
      </c>
      <c r="AH729" s="174">
        <f>AQ729</f>
        <v>592</v>
      </c>
      <c r="AI729" s="174">
        <f>$D$58</f>
        <v>200</v>
      </c>
      <c r="AJ729" s="174">
        <f>10/IF(AX729=1,7,6)</f>
        <v>1.4285714285714286</v>
      </c>
      <c r="AK729" s="174">
        <f>SUM(AL729:AN729)</f>
        <v>2280.7508382817077</v>
      </c>
      <c r="AL729" s="174">
        <f>(VLOOKUP(C729,$B$36:$AG$39,14,FALSE)+VLOOKUP(C729,$B$40:$AG$43,14,FALSE)*$D$54)*$D$59/100</f>
        <v>1630.0389175756102</v>
      </c>
      <c r="AM729" s="174">
        <f>(VLOOKUP(C729,$B$36:$AG$39,15,FALSE)+VLOOKUP(C729,$B$40:$AG$43,15,FALSE)*$D$54)*$D$59/100</f>
        <v>650.71192070609754</v>
      </c>
      <c r="AN729" s="174"/>
      <c r="AO729" s="176">
        <v>30</v>
      </c>
      <c r="AP729" s="174">
        <v>36</v>
      </c>
      <c r="AQ729" s="175">
        <f>VLOOKUP(C729,$B$45:$AA$48,14,FALSE)</f>
        <v>592</v>
      </c>
      <c r="AR729" s="31">
        <f>IF(LEFT(E729,1)*1=1,$S$61,$R$61)</f>
        <v>0</v>
      </c>
      <c r="AS729" s="2">
        <f>IF(LEFT(E729,1)*1=2,$U$61,$T$61)</f>
        <v>0</v>
      </c>
      <c r="AT729" s="33">
        <f>IF(LEFT(E729,1)*1=3,$W$61,$V$61)</f>
        <v>0</v>
      </c>
      <c r="AU729" s="31">
        <f>IF(MID(E729,3,1)*1=1,$Y$61,$X$61)</f>
        <v>0</v>
      </c>
      <c r="AV729" s="2">
        <f>IF(MID(E729,3,1)*1=2,$AA$61,$Z$61)</f>
        <v>1</v>
      </c>
      <c r="AW729" s="33">
        <f>IF(MID(E729,3,1)*1=3,$AC$61,$AB$61)</f>
        <v>0</v>
      </c>
      <c r="AX729" s="31">
        <f>IF(MID(E729,5,1)*1=1,$AE$61,$AD$61)</f>
        <v>1</v>
      </c>
      <c r="AY729" s="33">
        <f>IF(MID(E729,5,1)*1=2,$AG$61,$AF$61)</f>
        <v>0</v>
      </c>
      <c r="AZ729" s="2"/>
      <c r="BA729" s="101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</row>
    <row r="730" spans="1:71" ht="12" customHeight="1">
      <c r="A730" s="2"/>
      <c r="B730" s="107">
        <v>759</v>
      </c>
      <c r="C730" s="31">
        <v>4</v>
      </c>
      <c r="D730" s="111" t="s">
        <v>21</v>
      </c>
      <c r="E730" s="2" t="s">
        <v>79</v>
      </c>
      <c r="F730" s="2"/>
      <c r="G730" s="2"/>
      <c r="H730" s="33"/>
      <c r="I730" s="173">
        <f>M730/AE730</f>
        <v>453.21832707554057</v>
      </c>
      <c r="J730" s="174">
        <f>AH730/AE730</f>
        <v>9.0885601645267471</v>
      </c>
      <c r="K730" s="207">
        <f>RANK(I730,$I$76:$I$977)</f>
        <v>655</v>
      </c>
      <c r="L730" s="208">
        <f>RANK(I730,$I$451:$I$866)</f>
        <v>280</v>
      </c>
      <c r="M730" s="173">
        <f>SUM(N730:R730)</f>
        <v>12566.458972105331</v>
      </c>
      <c r="N730" s="174">
        <f>T730*(1+((AG730+IF(F730="백어택",8,0))/100)*(AI730/100-1))</f>
        <v>10472.049143421109</v>
      </c>
      <c r="O730" s="174"/>
      <c r="P730" s="174"/>
      <c r="Q730" s="174"/>
      <c r="R730" s="175">
        <f>X730*(1+(AG730/100)*(AI730/100-1))</f>
        <v>2094.4098286842218</v>
      </c>
      <c r="S730" s="173">
        <f>SUM(T730:X730)</f>
        <v>10559.934195765367</v>
      </c>
      <c r="T730" s="174">
        <f>AL730*AW730*AX730*AY730*IF(F730="백어택",1.2,1)</f>
        <v>8799.9451631378051</v>
      </c>
      <c r="U730" s="174"/>
      <c r="V730" s="174"/>
      <c r="W730" s="174"/>
      <c r="X730" s="175">
        <f>AL730*AS730+IF(AX730=1,AL730*AU730,AL730*AU730*2)</f>
        <v>1759.9890326275611</v>
      </c>
      <c r="Y730" s="173">
        <f>SUM(Z730:AD730)</f>
        <v>21119.868391530734</v>
      </c>
      <c r="Z730" s="174">
        <f>T730*$D$58/100</f>
        <v>17599.89032627561</v>
      </c>
      <c r="AA730" s="174"/>
      <c r="AB730" s="174"/>
      <c r="AC730" s="174"/>
      <c r="AD730" s="175">
        <f>X730*$D$58/100</f>
        <v>3519.9780652551217</v>
      </c>
      <c r="AE730" s="173">
        <f>AO730*(1-$D$20/100)*(1-$D$17/100)-AR730</f>
        <v>27.727164197424003</v>
      </c>
      <c r="AF730" s="174">
        <f>AP730</f>
        <v>36</v>
      </c>
      <c r="AG730" s="174">
        <f>IF($D$57&gt;100,100,$D$57)</f>
        <v>19.001300000000001</v>
      </c>
      <c r="AH730" s="174">
        <f>AQ730</f>
        <v>252</v>
      </c>
      <c r="AI730" s="174">
        <f>$D$58</f>
        <v>200</v>
      </c>
      <c r="AJ730" s="174">
        <f>10/6</f>
        <v>1.6666666666666667</v>
      </c>
      <c r="AK730" s="174">
        <f>SUM(AL730:AN730)</f>
        <v>8799.9451631378051</v>
      </c>
      <c r="AL730" s="174">
        <f>(VLOOKUP(C730,$B$36:$AG$39,31,FALSE)+VLOOKUP(C730,$B$40:$AG$43,31,FALSE)*$D$54)*$D$59/100</f>
        <v>8799.9451631378051</v>
      </c>
      <c r="AM730" s="174"/>
      <c r="AN730" s="174"/>
      <c r="AO730" s="176">
        <v>36</v>
      </c>
      <c r="AP730" s="174">
        <v>36</v>
      </c>
      <c r="AQ730" s="175">
        <f>VLOOKUP(C730,$B$45:$AG$48,31,FALSE)</f>
        <v>252</v>
      </c>
      <c r="AR730" s="31">
        <f>IF(LEFT(E730,1)*1=1,$S$71,$R$71)</f>
        <v>0</v>
      </c>
      <c r="AS730" s="2">
        <f>IF(LEFT(E730,1)*1=2,$U$71,$T$71)</f>
        <v>0.2</v>
      </c>
      <c r="AT730" s="33">
        <f>IF(LEFT(E730,1)*1=3,$W$71,$V$71)</f>
        <v>0</v>
      </c>
      <c r="AU730" s="31">
        <f>IF(MID(E730,3,1)*1=1,$Y$71,$X$71)</f>
        <v>0</v>
      </c>
      <c r="AV730" s="2">
        <f>IF(MID(E730,3,1)*1=2,$AA$71,$Z$71)</f>
        <v>0</v>
      </c>
      <c r="AW730" s="33">
        <f>IF(MID(E730,3,1)*1=3,$AC$71,$AB$71)</f>
        <v>1</v>
      </c>
      <c r="AX730" s="31">
        <f>IF(MID(E730,5,1)*1=1,$AE$71,$AD$71)</f>
        <v>1</v>
      </c>
      <c r="AY730" s="33">
        <f>IF(MID(E730,5,1)*1=2,$AG$71,$AF$71)</f>
        <v>1</v>
      </c>
      <c r="AZ730" s="2"/>
      <c r="BA730" s="101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</row>
    <row r="731" spans="1:71" ht="12" customHeight="1">
      <c r="A731" s="2"/>
      <c r="B731" s="107">
        <v>480</v>
      </c>
      <c r="C731" s="31">
        <v>4</v>
      </c>
      <c r="D731" s="111" t="s">
        <v>11</v>
      </c>
      <c r="E731" s="2" t="s">
        <v>79</v>
      </c>
      <c r="F731" s="2"/>
      <c r="G731" s="2"/>
      <c r="H731" s="33">
        <f>IF(AX731=1,5,1)</f>
        <v>5</v>
      </c>
      <c r="I731" s="173">
        <f>M731/AE731</f>
        <v>452.78133491674595</v>
      </c>
      <c r="J731" s="174">
        <f>AH731/AE731</f>
        <v>9.8243007492741512</v>
      </c>
      <c r="K731" s="207">
        <f>RANK(I731,$I$76:$I$977)</f>
        <v>656</v>
      </c>
      <c r="L731" s="208">
        <f>RANK(I731,$I$451:$I$866)</f>
        <v>281</v>
      </c>
      <c r="M731" s="173">
        <f>SUM(N731:R731)</f>
        <v>10461.952015637869</v>
      </c>
      <c r="N731" s="174">
        <f>T731*(1+(AG731/100)*(AI731/100-1))</f>
        <v>9686.9828273246458</v>
      </c>
      <c r="O731" s="174">
        <f>U731*(1+(AG731/100)*(AI731/100-1))</f>
        <v>774.96918831322432</v>
      </c>
      <c r="P731" s="174"/>
      <c r="Q731" s="174"/>
      <c r="R731" s="175"/>
      <c r="S731" s="173">
        <f>T731</f>
        <v>7229.0215298841476</v>
      </c>
      <c r="T731" s="174">
        <f>H731*AL731*AX731</f>
        <v>7229.0215298841476</v>
      </c>
      <c r="U731" s="174">
        <f>AM731*AV731</f>
        <v>578.32960449878055</v>
      </c>
      <c r="V731" s="174"/>
      <c r="W731" s="174"/>
      <c r="X731" s="175"/>
      <c r="Y731" s="173">
        <f>SUM(Z731:AD731)</f>
        <v>15614.702268765857</v>
      </c>
      <c r="Z731" s="174">
        <f>T731*$D$58/100</f>
        <v>14458.043059768295</v>
      </c>
      <c r="AA731" s="174">
        <f>U731*$D$58/100</f>
        <v>1156.6592089975611</v>
      </c>
      <c r="AB731" s="174"/>
      <c r="AC731" s="174"/>
      <c r="AD731" s="175"/>
      <c r="AE731" s="173">
        <f>AO731*(1-$D$20/100)*(1-$D$17/100)-AR731</f>
        <v>23.105970164519999</v>
      </c>
      <c r="AF731" s="174">
        <f>AP731</f>
        <v>36</v>
      </c>
      <c r="AG731" s="174">
        <f>IF($D$57+AS731&gt;100,100,$D$57+AS731)</f>
        <v>34.001300000000001</v>
      </c>
      <c r="AH731" s="174">
        <f>AQ731</f>
        <v>227</v>
      </c>
      <c r="AI731" s="174">
        <f>$D$58</f>
        <v>200</v>
      </c>
      <c r="AJ731" s="174">
        <f>10/IF(AX731=1,7,6)</f>
        <v>1.4285714285714286</v>
      </c>
      <c r="AK731" s="174">
        <f>SUM(AL731:AN731)</f>
        <v>2024.13391047561</v>
      </c>
      <c r="AL731" s="174">
        <f>(VLOOKUP(C731,$B$36:$AG$39,14,FALSE)+VLOOKUP(C731,$B$40:$AG$43,14,FALSE)*$D$54)*$D$59/100</f>
        <v>1445.8043059768295</v>
      </c>
      <c r="AM731" s="174">
        <f>(VLOOKUP(C731,$B$36:$AG$39,15,FALSE)+VLOOKUP(C731,$B$40:$AG$43,15,FALSE)*$D$54)*$D$59/100</f>
        <v>578.32960449878055</v>
      </c>
      <c r="AN731" s="174"/>
      <c r="AO731" s="176">
        <v>30</v>
      </c>
      <c r="AP731" s="174">
        <v>36</v>
      </c>
      <c r="AQ731" s="175">
        <f>VLOOKUP(C731,$B$45:$AA$48,14,FALSE)</f>
        <v>227</v>
      </c>
      <c r="AR731" s="31">
        <f>IF(LEFT(E731,1)*1=1,$S$61,$R$61)</f>
        <v>0</v>
      </c>
      <c r="AS731" s="2">
        <f>IF(LEFT(E731,1)*1=2,$U$61,$T$61)</f>
        <v>15</v>
      </c>
      <c r="AT731" s="33">
        <f>IF(LEFT(E731,1)*1=3,$W$61,$V$61)</f>
        <v>0</v>
      </c>
      <c r="AU731" s="31">
        <f>IF(MID(E731,3,1)*1=1,$Y$61,$X$61)</f>
        <v>0</v>
      </c>
      <c r="AV731" s="2">
        <f>IF(MID(E731,3,1)*1=2,$AA$61,$Z$61)</f>
        <v>1</v>
      </c>
      <c r="AW731" s="33">
        <f>IF(MID(E731,3,1)*1=3,$AC$61,$AB$61)</f>
        <v>0</v>
      </c>
      <c r="AX731" s="31">
        <f>IF(MID(E731,5,1)*1=1,$AE$61,$AD$61)</f>
        <v>1</v>
      </c>
      <c r="AY731" s="33">
        <f>IF(MID(E731,5,1)*1=2,$AG$61,$AF$61)</f>
        <v>0</v>
      </c>
      <c r="AZ731" s="2"/>
      <c r="BA731" s="101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</row>
    <row r="732" spans="1:71" ht="12" customHeight="1">
      <c r="A732" s="2"/>
      <c r="B732" s="107">
        <v>595</v>
      </c>
      <c r="C732" s="31">
        <v>7</v>
      </c>
      <c r="D732" s="111" t="s">
        <v>14</v>
      </c>
      <c r="E732" s="2" t="s">
        <v>91</v>
      </c>
      <c r="F732" s="2" t="s">
        <v>149</v>
      </c>
      <c r="G732" s="2"/>
      <c r="H732" s="33" t="s">
        <v>80</v>
      </c>
      <c r="I732" s="173">
        <f>M732/AE732</f>
        <v>451.24646682645005</v>
      </c>
      <c r="J732" s="174">
        <f>AH732/AE732</f>
        <v>16.518097441877977</v>
      </c>
      <c r="K732" s="207">
        <f>RANK(I732,$I$76:$I$977)</f>
        <v>657</v>
      </c>
      <c r="L732" s="208">
        <f>RANK(I732,$I$451:$I$866)</f>
        <v>282</v>
      </c>
      <c r="M732" s="173">
        <f>SUM(N732:R732)</f>
        <v>12511.784879204424</v>
      </c>
      <c r="N732" s="174">
        <f>T732*(1+((AG732+IF(F732="백어택",8,0))/100)*(AI732/100-1))</f>
        <v>3517.2060066422109</v>
      </c>
      <c r="O732" s="174">
        <f>U732*(1+((AG732+IF(F732="백어택",8,0))/100)*(AI732/100-1))</f>
        <v>3517.2060066422109</v>
      </c>
      <c r="P732" s="174">
        <f>V732*(1+((AG732+IF(F732="백어택",8,0))/100)*(AI732*IF(AX732=1,AW732,1)/100-1))</f>
        <v>5477.3728659200024</v>
      </c>
      <c r="Q732" s="174">
        <f>W732*(1+((AG732+IF(F732="백어택",8,0))/100)*(AI732*AW732/100-1))</f>
        <v>0</v>
      </c>
      <c r="R732" s="175"/>
      <c r="S732" s="173">
        <f>SUM(T732:X732)</f>
        <v>9279.1462434643909</v>
      </c>
      <c r="T732" s="174">
        <f>AL732*AY732*IF(F732="백어택",1.2,1)</f>
        <v>2769.4252000902438</v>
      </c>
      <c r="U732" s="174">
        <f>AM732*AY732*IF(F732="백어택",1.2,1)</f>
        <v>2769.4252000902438</v>
      </c>
      <c r="V732" s="174">
        <f>AN732*AY732*IF(F732="백어택",1.2,1)</f>
        <v>3740.2958432839023</v>
      </c>
      <c r="W732" s="174">
        <f>(T732+U732+V732)*IF(AX732=1,0,0.6)*IF(F732="백어택",1.2,1)</f>
        <v>0</v>
      </c>
      <c r="X732" s="175"/>
      <c r="Y732" s="173">
        <f>SUM(Z732:AD732)</f>
        <v>21251.305494093191</v>
      </c>
      <c r="Z732" s="174">
        <f>T732*AI732/100</f>
        <v>5538.8504001804868</v>
      </c>
      <c r="AA732" s="174">
        <f>U732*AI732/100</f>
        <v>5538.8504001804868</v>
      </c>
      <c r="AB732" s="174">
        <f>V732*AI732*IF(AX732=1,AW732,1)/100</f>
        <v>10173.604693732215</v>
      </c>
      <c r="AC732" s="174">
        <f>W732*AI732*AW732/100</f>
        <v>0</v>
      </c>
      <c r="AD732" s="175"/>
      <c r="AE732" s="173">
        <f>AO732*(1-$D$20/100)*(1-$D$17/100)</f>
        <v>27.727164197424003</v>
      </c>
      <c r="AF732" s="174">
        <f>AP732</f>
        <v>36</v>
      </c>
      <c r="AG732" s="174">
        <f>IF($D$57+AU732&gt;100,100,$D$57+AU732)</f>
        <v>19.001300000000001</v>
      </c>
      <c r="AH732" s="174">
        <f>AQ732*AS732</f>
        <v>458</v>
      </c>
      <c r="AI732" s="174">
        <f>$D$58+IF(H732="근접",AR732,0)+IF(AY732=1,0,50)</f>
        <v>200</v>
      </c>
      <c r="AJ732" s="174">
        <f>10/3</f>
        <v>3.3333333333333335</v>
      </c>
      <c r="AK732" s="174">
        <f>SUM(AL732:AN732)</f>
        <v>7732.6218695536591</v>
      </c>
      <c r="AL732" s="174">
        <f>(IF(H732="근접",$D$61*(VLOOKUP(C732,$B$36:$AG$39,19,FALSE)+VLOOKUP(C732,$B$40:$AG$43,19,FALSE)*$D$54),$D$60*(VLOOKUP(C732,$B$36:$AG$39,19,FALSE)+VLOOKUP(C732,$B$40:$AG$43,19,FALSE)*$D$54)))*$D$59/100</f>
        <v>2307.8543334085366</v>
      </c>
      <c r="AM732" s="174">
        <f>(IF(H732="근접",$D$61*(VLOOKUP(C732,$B$36:$AG$39,20,FALSE)+VLOOKUP(C732,$B$40:$AG$43,20,FALSE)*$D$54),$D$60*(VLOOKUP(C732,$B$36:$AG$39,20,FALSE)+VLOOKUP(C732,$B$40:$AG$43,20,FALSE)*$D$54)))*$D$59/100</f>
        <v>2307.8543334085366</v>
      </c>
      <c r="AN732" s="174">
        <f>(IF(H732="근접",$D$61*(VLOOKUP(C732,$B$36:$AG$39,21,FALSE)+VLOOKUP(C732,$B$40:$AG$43,21,FALSE)*$D$54),$D$60*(VLOOKUP(C732,$B$36:$AG$39,21,FALSE)+VLOOKUP(C732,$B$40:$AG$43,21,FALSE)*$D$54)))*$D$59/100</f>
        <v>3116.9132027365854</v>
      </c>
      <c r="AO732" s="176">
        <v>36</v>
      </c>
      <c r="AP732" s="174">
        <v>36</v>
      </c>
      <c r="AQ732" s="175">
        <f>VLOOKUP(C732,$B$45:$AA$48,19,FALSE)</f>
        <v>458</v>
      </c>
      <c r="AR732" s="31">
        <f>IF(LEFT(E732,1)*1=1,$S$64,$R$64)</f>
        <v>0</v>
      </c>
      <c r="AS732" s="2">
        <f>IF(LEFT(E732,1)*1=2,$U$64,$T$64)</f>
        <v>1</v>
      </c>
      <c r="AT732" s="33">
        <f>IF(LEFT(E732,1)*1=3,$W$64,$V$64)</f>
        <v>0</v>
      </c>
      <c r="AU732" s="31">
        <f>IF(MID(E732,3,1)*1=1,$Y$64,$X$64)</f>
        <v>0</v>
      </c>
      <c r="AV732" s="2">
        <f>IF(MID(E732,3,1)*1=2,$AA$64,$Z$64)</f>
        <v>0</v>
      </c>
      <c r="AW732" s="33">
        <f>IF(MID(E732,3,1)*1=3,$AC$64,$AB$64)</f>
        <v>1.36</v>
      </c>
      <c r="AX732" s="31">
        <f>IF(MID(E732,5,1)*1=1,$AE$64,$AD$64)</f>
        <v>1</v>
      </c>
      <c r="AY732" s="33">
        <f>IF(MID(E732,5,1)*1=2,$AG$64,$AF$64)</f>
        <v>1</v>
      </c>
      <c r="AZ732" s="2"/>
      <c r="BA732" s="101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</row>
    <row r="733" spans="1:71" ht="12" customHeight="1">
      <c r="A733" s="2"/>
      <c r="B733" s="107">
        <v>598</v>
      </c>
      <c r="C733" s="31">
        <v>7</v>
      </c>
      <c r="D733" s="111" t="s">
        <v>14</v>
      </c>
      <c r="E733" s="2" t="s">
        <v>155</v>
      </c>
      <c r="F733" s="2" t="s">
        <v>149</v>
      </c>
      <c r="G733" s="2"/>
      <c r="H733" s="33" t="s">
        <v>80</v>
      </c>
      <c r="I733" s="173">
        <f>M733/AE733</f>
        <v>451.24646682645005</v>
      </c>
      <c r="J733" s="174">
        <f>AH733/AE733</f>
        <v>16.518097441877977</v>
      </c>
      <c r="K733" s="207">
        <f>RANK(I733,$I$76:$I$977)</f>
        <v>657</v>
      </c>
      <c r="L733" s="208">
        <f>RANK(I733,$I$451:$I$866)</f>
        <v>282</v>
      </c>
      <c r="M733" s="173">
        <f>SUM(N733:R733)</f>
        <v>12511.784879204424</v>
      </c>
      <c r="N733" s="174">
        <f>T733*(1+((AG733+IF(F733="백어택",8,0))/100)*(AI733/100-1))</f>
        <v>3517.2060066422109</v>
      </c>
      <c r="O733" s="174">
        <f>U733*(1+((AG733+IF(F733="백어택",8,0))/100)*(AI733/100-1))</f>
        <v>3517.2060066422109</v>
      </c>
      <c r="P733" s="174">
        <f>V733*(1+((AG733+IF(F733="백어택",8,0))/100)*(AI733*IF(AX733=1,AW733,1)/100-1))</f>
        <v>5477.3728659200024</v>
      </c>
      <c r="Q733" s="174">
        <f>W733*(1+((AG733+IF(F733="백어택",8,0))/100)*(AI733*AW733/100-1))</f>
        <v>0</v>
      </c>
      <c r="R733" s="175"/>
      <c r="S733" s="173">
        <f>SUM(T733:X733)</f>
        <v>9279.1462434643909</v>
      </c>
      <c r="T733" s="174">
        <f>AL733*AY733*IF(F733="백어택",1.2,1)</f>
        <v>2769.4252000902438</v>
      </c>
      <c r="U733" s="174">
        <f>AM733*AY733*IF(F733="백어택",1.2,1)</f>
        <v>2769.4252000902438</v>
      </c>
      <c r="V733" s="174">
        <f>AN733*AY733*IF(F733="백어택",1.2,1)</f>
        <v>3740.2958432839023</v>
      </c>
      <c r="W733" s="174">
        <f>(T733+U733+V733)*IF(AX733=1,0,0.6)*IF(F733="백어택",1.2,1)</f>
        <v>0</v>
      </c>
      <c r="X733" s="175"/>
      <c r="Y733" s="173">
        <f>SUM(Z733:AD733)</f>
        <v>21251.305494093191</v>
      </c>
      <c r="Z733" s="174">
        <f>T733*AI733/100</f>
        <v>5538.8504001804868</v>
      </c>
      <c r="AA733" s="174">
        <f>U733*AI733/100</f>
        <v>5538.8504001804868</v>
      </c>
      <c r="AB733" s="174">
        <f>V733*AI733*IF(AX733=1,AW733,1)/100</f>
        <v>10173.604693732215</v>
      </c>
      <c r="AC733" s="174">
        <f>W733*AI733*AW733/100</f>
        <v>0</v>
      </c>
      <c r="AD733" s="175"/>
      <c r="AE733" s="173">
        <f>AO733*(1-$D$20/100)*(1-$D$17/100)</f>
        <v>27.727164197424003</v>
      </c>
      <c r="AF733" s="174">
        <f>AP733</f>
        <v>36</v>
      </c>
      <c r="AG733" s="174">
        <f>IF($D$57+AU733&gt;100,100,$D$57+AU733)</f>
        <v>19.001300000000001</v>
      </c>
      <c r="AH733" s="174">
        <f>AQ733*AS733</f>
        <v>458</v>
      </c>
      <c r="AI733" s="174">
        <f>$D$58+IF(H733="근접",AR733,0)+IF(AY733=1,0,50)</f>
        <v>200</v>
      </c>
      <c r="AJ733" s="174">
        <f>10/3</f>
        <v>3.3333333333333335</v>
      </c>
      <c r="AK733" s="174">
        <f>SUM(AL733:AN733)</f>
        <v>7732.6218695536591</v>
      </c>
      <c r="AL733" s="174">
        <f>(IF(H733="근접",$D$61*(VLOOKUP(C733,$B$36:$AG$39,19,FALSE)+VLOOKUP(C733,$B$40:$AG$43,19,FALSE)*$D$54),$D$60*(VLOOKUP(C733,$B$36:$AG$39,19,FALSE)+VLOOKUP(C733,$B$40:$AG$43,19,FALSE)*$D$54)))*$D$59/100</f>
        <v>2307.8543334085366</v>
      </c>
      <c r="AM733" s="174">
        <f>(IF(H733="근접",$D$61*(VLOOKUP(C733,$B$36:$AG$39,20,FALSE)+VLOOKUP(C733,$B$40:$AG$43,20,FALSE)*$D$54),$D$60*(VLOOKUP(C733,$B$36:$AG$39,20,FALSE)+VLOOKUP(C733,$B$40:$AG$43,20,FALSE)*$D$54)))*$D$59/100</f>
        <v>2307.8543334085366</v>
      </c>
      <c r="AN733" s="174">
        <f>(IF(H733="근접",$D$61*(VLOOKUP(C733,$B$36:$AG$39,21,FALSE)+VLOOKUP(C733,$B$40:$AG$43,21,FALSE)*$D$54),$D$60*(VLOOKUP(C733,$B$36:$AG$39,21,FALSE)+VLOOKUP(C733,$B$40:$AG$43,21,FALSE)*$D$54)))*$D$59/100</f>
        <v>3116.9132027365854</v>
      </c>
      <c r="AO733" s="176">
        <v>36</v>
      </c>
      <c r="AP733" s="174">
        <v>36</v>
      </c>
      <c r="AQ733" s="175">
        <f>VLOOKUP(C733,$B$45:$AA$48,19,FALSE)</f>
        <v>458</v>
      </c>
      <c r="AR733" s="31">
        <f>IF(LEFT(E733,1)*1=1,$S$64,$R$64)</f>
        <v>50</v>
      </c>
      <c r="AS733" s="2">
        <f>IF(LEFT(E733,1)*1=2,$U$64,$T$64)</f>
        <v>1</v>
      </c>
      <c r="AT733" s="33">
        <f>IF(LEFT(E733,1)*1=3,$W$64,$V$64)</f>
        <v>0</v>
      </c>
      <c r="AU733" s="31">
        <f>IF(MID(E733,3,1)*1=1,$Y$64,$X$64)</f>
        <v>0</v>
      </c>
      <c r="AV733" s="2">
        <f>IF(MID(E733,3,1)*1=2,$AA$64,$Z$64)</f>
        <v>0</v>
      </c>
      <c r="AW733" s="33">
        <f>IF(MID(E733,3,1)*1=3,$AC$64,$AB$64)</f>
        <v>1.36</v>
      </c>
      <c r="AX733" s="31">
        <f>IF(MID(E733,5,1)*1=1,$AE$64,$AD$64)</f>
        <v>1</v>
      </c>
      <c r="AY733" s="33">
        <f>IF(MID(E733,5,1)*1=2,$AG$64,$AF$64)</f>
        <v>1</v>
      </c>
      <c r="AZ733" s="2"/>
      <c r="BA733" s="101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</row>
    <row r="734" spans="1:71" ht="12" customHeight="1">
      <c r="A734" s="2"/>
      <c r="B734" s="107">
        <v>601</v>
      </c>
      <c r="C734" s="31">
        <v>7</v>
      </c>
      <c r="D734" s="111" t="s">
        <v>14</v>
      </c>
      <c r="E734" s="2" t="s">
        <v>103</v>
      </c>
      <c r="F734" s="2" t="s">
        <v>149</v>
      </c>
      <c r="G734" s="2"/>
      <c r="H734" s="33" t="s">
        <v>80</v>
      </c>
      <c r="I734" s="173">
        <f>M734/AE734</f>
        <v>451.24646682645005</v>
      </c>
      <c r="J734" s="174">
        <f>AH734/AE734</f>
        <v>8.2590487209389885</v>
      </c>
      <c r="K734" s="207">
        <f>RANK(I734,$I$76:$I$977)</f>
        <v>657</v>
      </c>
      <c r="L734" s="208">
        <f>RANK(I734,$I$451:$I$866)</f>
        <v>282</v>
      </c>
      <c r="M734" s="173">
        <f>SUM(N734:R734)</f>
        <v>12511.784879204424</v>
      </c>
      <c r="N734" s="174">
        <f>T734*(1+((AG734+IF(F734="백어택",8,0))/100)*(AI734/100-1))</f>
        <v>3517.2060066422109</v>
      </c>
      <c r="O734" s="174">
        <f>U734*(1+((AG734+IF(F734="백어택",8,0))/100)*(AI734/100-1))</f>
        <v>3517.2060066422109</v>
      </c>
      <c r="P734" s="174">
        <f>V734*(1+((AG734+IF(F734="백어택",8,0))/100)*(AI734*IF(AX734=1,AW734,1)/100-1))</f>
        <v>5477.3728659200024</v>
      </c>
      <c r="Q734" s="174">
        <f>W734*(1+((AG734+IF(F734="백어택",8,0))/100)*(AI734*AW734/100-1))</f>
        <v>0</v>
      </c>
      <c r="R734" s="175"/>
      <c r="S734" s="173">
        <f>SUM(T734:X734)</f>
        <v>9279.1462434643909</v>
      </c>
      <c r="T734" s="174">
        <f>AL734*AY734*IF(F734="백어택",1.2,1)</f>
        <v>2769.4252000902438</v>
      </c>
      <c r="U734" s="174">
        <f>AM734*AY734*IF(F734="백어택",1.2,1)</f>
        <v>2769.4252000902438</v>
      </c>
      <c r="V734" s="174">
        <f>AN734*AY734*IF(F734="백어택",1.2,1)</f>
        <v>3740.2958432839023</v>
      </c>
      <c r="W734" s="174">
        <f>(T734+U734+V734)*IF(AX734=1,0,0.6)*IF(F734="백어택",1.2,1)</f>
        <v>0</v>
      </c>
      <c r="X734" s="175"/>
      <c r="Y734" s="173">
        <f>SUM(Z734:AD734)</f>
        <v>21251.305494093191</v>
      </c>
      <c r="Z734" s="174">
        <f>T734*AI734/100</f>
        <v>5538.8504001804868</v>
      </c>
      <c r="AA734" s="174">
        <f>U734*AI734/100</f>
        <v>5538.8504001804868</v>
      </c>
      <c r="AB734" s="174">
        <f>V734*AI734*IF(AX734=1,AW734,1)/100</f>
        <v>10173.604693732215</v>
      </c>
      <c r="AC734" s="174">
        <f>W734*AI734*AW734/100</f>
        <v>0</v>
      </c>
      <c r="AD734" s="175"/>
      <c r="AE734" s="173">
        <f>AO734*(1-$D$20/100)*(1-$D$17/100)</f>
        <v>27.727164197424003</v>
      </c>
      <c r="AF734" s="174">
        <f>AP734</f>
        <v>36</v>
      </c>
      <c r="AG734" s="174">
        <f>IF($D$57+AU734&gt;100,100,$D$57+AU734)</f>
        <v>19.001300000000001</v>
      </c>
      <c r="AH734" s="174">
        <f>AQ734*AS734</f>
        <v>229</v>
      </c>
      <c r="AI734" s="174">
        <f>$D$58+IF(H734="근접",AR734,0)+IF(AY734=1,0,50)</f>
        <v>200</v>
      </c>
      <c r="AJ734" s="174">
        <f>10/3</f>
        <v>3.3333333333333335</v>
      </c>
      <c r="AK734" s="174">
        <f>SUM(AL734:AN734)</f>
        <v>7732.6218695536591</v>
      </c>
      <c r="AL734" s="174">
        <f>(IF(H734="근접",$D$61*(VLOOKUP(C734,$B$36:$AG$39,19,FALSE)+VLOOKUP(C734,$B$40:$AG$43,19,FALSE)*$D$54),$D$60*(VLOOKUP(C734,$B$36:$AG$39,19,FALSE)+VLOOKUP(C734,$B$40:$AG$43,19,FALSE)*$D$54)))*$D$59/100</f>
        <v>2307.8543334085366</v>
      </c>
      <c r="AM734" s="174">
        <f>(IF(H734="근접",$D$61*(VLOOKUP(C734,$B$36:$AG$39,20,FALSE)+VLOOKUP(C734,$B$40:$AG$43,20,FALSE)*$D$54),$D$60*(VLOOKUP(C734,$B$36:$AG$39,20,FALSE)+VLOOKUP(C734,$B$40:$AG$43,20,FALSE)*$D$54)))*$D$59/100</f>
        <v>2307.8543334085366</v>
      </c>
      <c r="AN734" s="174">
        <f>(IF(H734="근접",$D$61*(VLOOKUP(C734,$B$36:$AG$39,21,FALSE)+VLOOKUP(C734,$B$40:$AG$43,21,FALSE)*$D$54),$D$60*(VLOOKUP(C734,$B$36:$AG$39,21,FALSE)+VLOOKUP(C734,$B$40:$AG$43,21,FALSE)*$D$54)))*$D$59/100</f>
        <v>3116.9132027365854</v>
      </c>
      <c r="AO734" s="176">
        <v>36</v>
      </c>
      <c r="AP734" s="174">
        <v>36</v>
      </c>
      <c r="AQ734" s="175">
        <f>VLOOKUP(C734,$B$45:$AA$48,19,FALSE)</f>
        <v>458</v>
      </c>
      <c r="AR734" s="31">
        <f>IF(LEFT(E734,1)*1=1,$S$64,$R$64)</f>
        <v>0</v>
      </c>
      <c r="AS734" s="2">
        <f>IF(LEFT(E734,1)*1=2,$U$64,$T$64)</f>
        <v>0.5</v>
      </c>
      <c r="AT734" s="33">
        <f>IF(LEFT(E734,1)*1=3,$W$64,$V$64)</f>
        <v>0</v>
      </c>
      <c r="AU734" s="31">
        <f>IF(MID(E734,3,1)*1=1,$Y$64,$X$64)</f>
        <v>0</v>
      </c>
      <c r="AV734" s="2">
        <f>IF(MID(E734,3,1)*1=2,$AA$64,$Z$64)</f>
        <v>0</v>
      </c>
      <c r="AW734" s="33">
        <f>IF(MID(E734,3,1)*1=3,$AC$64,$AB$64)</f>
        <v>1.36</v>
      </c>
      <c r="AX734" s="31">
        <f>IF(MID(E734,5,1)*1=1,$AE$64,$AD$64)</f>
        <v>1</v>
      </c>
      <c r="AY734" s="33">
        <f>IF(MID(E734,5,1)*1=2,$AG$64,$AF$64)</f>
        <v>1</v>
      </c>
      <c r="AZ734" s="2"/>
      <c r="BA734" s="101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</row>
    <row r="735" spans="1:71" ht="12" customHeight="1">
      <c r="A735" s="2"/>
      <c r="B735" s="107">
        <v>473</v>
      </c>
      <c r="C735" s="31">
        <v>7</v>
      </c>
      <c r="D735" s="111" t="s">
        <v>11</v>
      </c>
      <c r="E735" s="2" t="s">
        <v>89</v>
      </c>
      <c r="F735" s="2"/>
      <c r="G735" s="2"/>
      <c r="H735" s="33">
        <f>IF(AX735=1,5,1)</f>
        <v>5</v>
      </c>
      <c r="I735" s="173">
        <f>M735/AE735</f>
        <v>450.36249594415011</v>
      </c>
      <c r="J735" s="174">
        <f>AH735/AE735</f>
        <v>17.830889465642951</v>
      </c>
      <c r="K735" s="207">
        <f>RANK(I735,$I$76:$I$977)</f>
        <v>660</v>
      </c>
      <c r="L735" s="208">
        <f>RANK(I735,$I$451:$I$866)</f>
        <v>285</v>
      </c>
      <c r="M735" s="173">
        <f>SUM(N735:R735)</f>
        <v>10406.062394504292</v>
      </c>
      <c r="N735" s="174">
        <f>T735*(1+(AG735/100)*(AI735/100-1))</f>
        <v>9292.427276372704</v>
      </c>
      <c r="O735" s="174">
        <f>U735*(1+(AG735/100)*(AI735/100-1))</f>
        <v>1113.6351181315881</v>
      </c>
      <c r="P735" s="174"/>
      <c r="Q735" s="174"/>
      <c r="R735" s="175"/>
      <c r="S735" s="173">
        <f>T735</f>
        <v>7808.677112243904</v>
      </c>
      <c r="T735" s="174">
        <f>H735*AL735*AX735</f>
        <v>7808.677112243904</v>
      </c>
      <c r="U735" s="174">
        <f>AM735*AV735</f>
        <v>935.81760714512211</v>
      </c>
      <c r="V735" s="174"/>
      <c r="W735" s="174"/>
      <c r="X735" s="175"/>
      <c r="Y735" s="173">
        <f>SUM(Z735:AD735)</f>
        <v>17488.989438778051</v>
      </c>
      <c r="Z735" s="174">
        <f>T735*$D$58/100</f>
        <v>15617.354224487808</v>
      </c>
      <c r="AA735" s="174">
        <f>U735*$D$58/100</f>
        <v>1871.6352142902442</v>
      </c>
      <c r="AB735" s="174"/>
      <c r="AC735" s="174"/>
      <c r="AD735" s="175"/>
      <c r="AE735" s="173">
        <f>AO735*(1-$D$20/100)*(1-$D$17/100)-AR735</f>
        <v>23.105970164519999</v>
      </c>
      <c r="AF735" s="174">
        <f>AP735</f>
        <v>36</v>
      </c>
      <c r="AG735" s="174">
        <f>IF($D$57+AS735&gt;100,100,$D$57+AS735)</f>
        <v>19.001300000000001</v>
      </c>
      <c r="AH735" s="174">
        <f>AQ735</f>
        <v>412</v>
      </c>
      <c r="AI735" s="174">
        <f>$D$58</f>
        <v>200</v>
      </c>
      <c r="AJ735" s="174">
        <f>10/IF(AX735=1,7,6)</f>
        <v>1.4285714285714286</v>
      </c>
      <c r="AK735" s="174">
        <f>SUM(AL735:AN735)</f>
        <v>2185.6138272121957</v>
      </c>
      <c r="AL735" s="174">
        <f>(VLOOKUP(C735,$B$36:$AG$39,14,FALSE)+VLOOKUP(C735,$B$40:$AG$43,14,FALSE)*$D$54)*$D$59/100</f>
        <v>1561.7354224487808</v>
      </c>
      <c r="AM735" s="174">
        <f>(VLOOKUP(C735,$B$36:$AG$39,15,FALSE)+VLOOKUP(C735,$B$40:$AG$43,15,FALSE)*$D$54)*$D$59/100</f>
        <v>623.87840476341478</v>
      </c>
      <c r="AN735" s="174"/>
      <c r="AO735" s="176">
        <v>30</v>
      </c>
      <c r="AP735" s="174">
        <v>36</v>
      </c>
      <c r="AQ735" s="175">
        <f>VLOOKUP(C735,$B$45:$AA$48,14,FALSE)</f>
        <v>412</v>
      </c>
      <c r="AR735" s="31">
        <f>IF(LEFT(E735,1)*1=1,$S$61,$R$61)</f>
        <v>0</v>
      </c>
      <c r="AS735" s="2">
        <f>IF(LEFT(E735,1)*1=2,$U$61,$T$61)</f>
        <v>0</v>
      </c>
      <c r="AT735" s="33">
        <f>IF(LEFT(E735,1)*1=3,$W$61,$V$61)</f>
        <v>0</v>
      </c>
      <c r="AU735" s="31">
        <f>IF(MID(E735,3,1)*1=1,$Y$61,$X$61)</f>
        <v>0</v>
      </c>
      <c r="AV735" s="2">
        <f>IF(MID(E735,3,1)*1=2,$AA$61,$Z$61)</f>
        <v>1.5</v>
      </c>
      <c r="AW735" s="33">
        <f>IF(MID(E735,3,1)*1=3,$AC$61,$AB$61)</f>
        <v>0</v>
      </c>
      <c r="AX735" s="31">
        <f>IF(MID(E735,5,1)*1=1,$AE$61,$AD$61)</f>
        <v>1</v>
      </c>
      <c r="AY735" s="33">
        <f>IF(MID(E735,5,1)*1=2,$AG$61,$AF$61)</f>
        <v>0</v>
      </c>
      <c r="AZ735" s="2"/>
      <c r="BA735" s="101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</row>
    <row r="736" spans="1:71" ht="12" customHeight="1">
      <c r="A736" s="2"/>
      <c r="B736" s="107">
        <v>388</v>
      </c>
      <c r="C736" s="31">
        <v>7</v>
      </c>
      <c r="D736" s="111" t="s">
        <v>8</v>
      </c>
      <c r="E736" s="2" t="s">
        <v>67</v>
      </c>
      <c r="F736" s="2"/>
      <c r="G736" s="2"/>
      <c r="H736" s="33" t="s">
        <v>81</v>
      </c>
      <c r="I736" s="173">
        <f>M736/AE736</f>
        <v>449.55189039125588</v>
      </c>
      <c r="J736" s="174">
        <f>AH736/AE736</f>
        <v>19.637781784066725</v>
      </c>
      <c r="K736" s="207">
        <f>RANK(I736,$I$76:$I$977)</f>
        <v>661</v>
      </c>
      <c r="L736" s="208">
        <f>RANK(I736,$I$451:$I$866)</f>
        <v>286</v>
      </c>
      <c r="M736" s="173">
        <f>SUM(N736:R736)</f>
        <v>8309.8660534271385</v>
      </c>
      <c r="N736" s="174">
        <f>T736*(1+((AG736+IF(F736="백어택",8,0))/100)*(IF(AY736=1,$D$58,$D$58+50)/100-1))</f>
        <v>3648.8294127818094</v>
      </c>
      <c r="O736" s="174">
        <f>U736*(1+((AG736+IF(F736="백어택",8,0))/100)*(AI736/100-1))</f>
        <v>4661.0366406453295</v>
      </c>
      <c r="P736" s="174">
        <f>V736*(1+((AG736+IF(F736="백어택",8,0))/100)*(AI736/100-1))</f>
        <v>0</v>
      </c>
      <c r="Q736" s="174"/>
      <c r="R736" s="175"/>
      <c r="S736" s="173">
        <f>SUM(T736:X736)</f>
        <v>6983.0044322432941</v>
      </c>
      <c r="T736" s="174">
        <f>AL736*IF(H736="근접",AR736,1)*AY736*IF(F736="백어택",1.2,1)</f>
        <v>3066.2097076097566</v>
      </c>
      <c r="U736" s="174">
        <f>AM736*IF(H736="근접",AR736,1)*AY736*IF(F736="백어택",1.2,1)</f>
        <v>3916.7947246335375</v>
      </c>
      <c r="V736" s="174">
        <f>IF(AX736=1,0,AM736*IF(H736="근접",AR736,1)*AY736)*IF(F736="백어택",1.2,1)</f>
        <v>0</v>
      </c>
      <c r="W736" s="174"/>
      <c r="X736" s="175"/>
      <c r="Y736" s="173">
        <f>SUM(Z736:AD736)</f>
        <v>13966.008864486588</v>
      </c>
      <c r="Z736" s="174">
        <f>T736*IF(AY736=1,$D$58,$D$58+50)/100</f>
        <v>6132.4194152195132</v>
      </c>
      <c r="AA736" s="174">
        <f>U736*AI736/100</f>
        <v>7833.589449267075</v>
      </c>
      <c r="AB736" s="174">
        <f>V736*AI736/100</f>
        <v>0</v>
      </c>
      <c r="AC736" s="174"/>
      <c r="AD736" s="175"/>
      <c r="AE736" s="173">
        <f>AO736*(1-$D$20/100)*(1-$D$17/100)</f>
        <v>18.484776131615998</v>
      </c>
      <c r="AF736" s="174">
        <f>AP736</f>
        <v>36</v>
      </c>
      <c r="AG736" s="174">
        <f>IF($D$57+AU736&gt;100,100,$D$57+AU736)</f>
        <v>19.001300000000001</v>
      </c>
      <c r="AH736" s="174">
        <f>IF(AX736=1,AQ736,AQ736*1.4)</f>
        <v>363</v>
      </c>
      <c r="AI736" s="174">
        <f>IF(AY736=1,$D$58,$D$58+50)*AW736</f>
        <v>200</v>
      </c>
      <c r="AJ736" s="174">
        <f>10/6/AX736</f>
        <v>1.6666666666666667</v>
      </c>
      <c r="AK736" s="174">
        <f>SUM(AL736:AN736)</f>
        <v>6983.0044322432941</v>
      </c>
      <c r="AL736" s="174">
        <f>(IF(H736="근접",$D$61*(VLOOKUP(C736,$B$36:$AG$39,9,FALSE)+VLOOKUP(C736,$B$40:$AG$43,9,FALSE)*$D$54),$D$60*(VLOOKUP(C736,$B$36:$AG$39,9,FALSE)+VLOOKUP(C736,$B$40:$AG$43,9,FALSE)*$D$54)))*$D$59/100</f>
        <v>3066.2097076097566</v>
      </c>
      <c r="AM736" s="174">
        <f>(IF(H736="근접",$D$61*(VLOOKUP(C736,$B$36:$AG$39,10,FALSE)+VLOOKUP(C736,$B$40:$AG$43,10,FALSE)*$D$54),$D$60*(VLOOKUP(C736,$B$36:$AG$39,10,FALSE)+VLOOKUP(C736,$B$40:$AG$43,10,FALSE)*$D$54)))*$D$59/100</f>
        <v>3916.7947246335375</v>
      </c>
      <c r="AN736" s="174"/>
      <c r="AO736" s="176">
        <v>24</v>
      </c>
      <c r="AP736" s="174">
        <v>36</v>
      </c>
      <c r="AQ736" s="175">
        <f>VLOOKUP(C736,$B$45:$AA$48,9,FALSE)</f>
        <v>363</v>
      </c>
      <c r="AR736" s="31">
        <f>IF(LEFT(E736,1)*1=1,$S$58,$R$58)</f>
        <v>1</v>
      </c>
      <c r="AS736" s="2">
        <f>IF(LEFT(E736,1)*1=2,$U$58,$T$58)</f>
        <v>0</v>
      </c>
      <c r="AT736" s="33">
        <f>IF(LEFT(E736,1)*1=3,$W$58,$V$58)</f>
        <v>0</v>
      </c>
      <c r="AU736" s="31">
        <f>IF(MID(E736,3,1)*1=1,$Y$58,$X$58)</f>
        <v>0</v>
      </c>
      <c r="AV736" s="2">
        <f>IF(MID(E736,3,1)*1=2,$AA$58,$Z$58)</f>
        <v>0</v>
      </c>
      <c r="AW736" s="33">
        <f>IF(MID(E736,3,1)*1=3,$AC$58,$AB$58)</f>
        <v>1</v>
      </c>
      <c r="AX736" s="31">
        <f>IF(MID(E736,5,1)*1=1,$AE$58,$AD$58)</f>
        <v>1</v>
      </c>
      <c r="AY736" s="33">
        <f>IF(MID(E736,5,1)*1=2,$AG$58,$AF$58)</f>
        <v>1</v>
      </c>
      <c r="AZ736" s="2"/>
      <c r="BA736" s="101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</row>
    <row r="737" spans="1:71" ht="12" customHeight="1">
      <c r="A737" s="2"/>
      <c r="B737" s="107">
        <v>522</v>
      </c>
      <c r="C737" s="31">
        <v>10</v>
      </c>
      <c r="D737" s="111" t="s">
        <v>14</v>
      </c>
      <c r="E737" s="2" t="s">
        <v>92</v>
      </c>
      <c r="F737" s="2"/>
      <c r="G737" s="2"/>
      <c r="H737" s="33" t="s">
        <v>80</v>
      </c>
      <c r="I737" s="173">
        <f>M737/AE737</f>
        <v>449.30794121990357</v>
      </c>
      <c r="J737" s="174">
        <f>AH737/AE737</f>
        <v>23.695174714659018</v>
      </c>
      <c r="K737" s="207">
        <f>RANK(I737,$I$76:$I$977)</f>
        <v>662</v>
      </c>
      <c r="L737" s="208">
        <f>RANK(I737,$I$451:$I$866)</f>
        <v>287</v>
      </c>
      <c r="M737" s="173">
        <f>SUM(N737:R737)</f>
        <v>12458.035061410799</v>
      </c>
      <c r="N737" s="174">
        <f>T737*(1+((AG737+IF(F737="백어택",8,0))/100)*(AI737/100-1))</f>
        <v>3717.3705769484004</v>
      </c>
      <c r="O737" s="174">
        <f>U737*(1+((AG737+IF(F737="백어택",8,0))/100)*(AI737/100-1))</f>
        <v>3717.3705769484004</v>
      </c>
      <c r="P737" s="174">
        <f>V737*(1+((AG737+IF(F737="백어택",8,0))/100)*(AI737*IF(AX737=1,AW737,1)/100-1))</f>
        <v>5023.2939075139975</v>
      </c>
      <c r="Q737" s="174">
        <f>W737*(1+((AG737+IF(F737="백어택",8,0))/100)*(AI737*AW737/100-1))</f>
        <v>0</v>
      </c>
      <c r="R737" s="175"/>
      <c r="S737" s="173">
        <f>SUM(T737:X737)</f>
        <v>9694.8217995219511</v>
      </c>
      <c r="T737" s="174">
        <f>AL737*AY737*IF(F737="백어택",1.2,1)</f>
        <v>2892.8514913185368</v>
      </c>
      <c r="U737" s="174">
        <f>AM737*AY737*IF(F737="백어택",1.2,1)</f>
        <v>2892.8514913185368</v>
      </c>
      <c r="V737" s="174">
        <f>AN737*AY737*IF(F737="백어택",1.2,1)</f>
        <v>3909.118816884878</v>
      </c>
      <c r="W737" s="174">
        <f>(T737+U737+V737)*IF(AX737=1,0,0.6)*IF(F737="백어택",1.2,1)</f>
        <v>0</v>
      </c>
      <c r="X737" s="175"/>
      <c r="Y737" s="173">
        <f>SUM(Z737:AD737)</f>
        <v>24237.054498804879</v>
      </c>
      <c r="Z737" s="174">
        <f>T737*AI737/100</f>
        <v>7232.1287282963422</v>
      </c>
      <c r="AA737" s="174">
        <f>U737*AI737/100</f>
        <v>7232.1287282963422</v>
      </c>
      <c r="AB737" s="174">
        <f>V737*AI737*IF(AX737=1,AW737,1)/100</f>
        <v>9772.7970422121944</v>
      </c>
      <c r="AC737" s="174">
        <f>W737*AI737*AW737/100</f>
        <v>0</v>
      </c>
      <c r="AD737" s="175"/>
      <c r="AE737" s="173">
        <f>AO737*(1-$D$20/100)*(1-$D$17/100)</f>
        <v>27.727164197424003</v>
      </c>
      <c r="AF737" s="174">
        <f>AP737</f>
        <v>36</v>
      </c>
      <c r="AG737" s="174">
        <f>IF($D$57+AU737&gt;100,100,$D$57+AU737)</f>
        <v>19.001300000000001</v>
      </c>
      <c r="AH737" s="174">
        <f>AQ737*AS737</f>
        <v>657</v>
      </c>
      <c r="AI737" s="174">
        <f>$D$58+IF(H737="근접",AR737,0)+IF(AY737=1,0,50)</f>
        <v>250</v>
      </c>
      <c r="AJ737" s="174">
        <f>10/3</f>
        <v>3.3333333333333335</v>
      </c>
      <c r="AK737" s="174">
        <f>SUM(AL737:AN737)</f>
        <v>8079.0181662682935</v>
      </c>
      <c r="AL737" s="174">
        <f>(IF(H737="근접",$D$61*(VLOOKUP(C737,$B$36:$AG$39,19,FALSE)+VLOOKUP(C737,$B$40:$AG$43,19,FALSE)*$D$54),$D$60*(VLOOKUP(C737,$B$36:$AG$39,19,FALSE)+VLOOKUP(C737,$B$40:$AG$43,19,FALSE)*$D$54)))*$D$59/100</f>
        <v>2410.7095760987809</v>
      </c>
      <c r="AM737" s="174">
        <f>(IF(H737="근접",$D$61*(VLOOKUP(C737,$B$36:$AG$39,20,FALSE)+VLOOKUP(C737,$B$40:$AG$43,20,FALSE)*$D$54),$D$60*(VLOOKUP(C737,$B$36:$AG$39,20,FALSE)+VLOOKUP(C737,$B$40:$AG$43,20,FALSE)*$D$54)))*$D$59/100</f>
        <v>2410.7095760987809</v>
      </c>
      <c r="AN737" s="174">
        <f>(IF(H737="근접",$D$61*(VLOOKUP(C737,$B$36:$AG$39,21,FALSE)+VLOOKUP(C737,$B$40:$AG$43,21,FALSE)*$D$54),$D$60*(VLOOKUP(C737,$B$36:$AG$39,21,FALSE)+VLOOKUP(C737,$B$40:$AG$43,21,FALSE)*$D$54)))*$D$59/100</f>
        <v>3257.5990140707318</v>
      </c>
      <c r="AO737" s="176">
        <v>36</v>
      </c>
      <c r="AP737" s="174">
        <v>36</v>
      </c>
      <c r="AQ737" s="175">
        <f>VLOOKUP(C737,$B$45:$AA$48,19,FALSE)</f>
        <v>657</v>
      </c>
      <c r="AR737" s="31">
        <f>IF(LEFT(E737,1)*1=1,$S$64,$R$64)</f>
        <v>0</v>
      </c>
      <c r="AS737" s="2">
        <f>IF(LEFT(E737,1)*1=2,$U$64,$T$64)</f>
        <v>1</v>
      </c>
      <c r="AT737" s="33">
        <f>IF(LEFT(E737,1)*1=3,$W$64,$V$64)</f>
        <v>0</v>
      </c>
      <c r="AU737" s="31">
        <f>IF(MID(E737,3,1)*1=1,$Y$64,$X$64)</f>
        <v>0</v>
      </c>
      <c r="AV737" s="2">
        <f>IF(MID(E737,3,1)*1=2,$AA$64,$Z$64)</f>
        <v>0</v>
      </c>
      <c r="AW737" s="33">
        <f>IF(MID(E737,3,1)*1=3,$AC$64,$AB$64)</f>
        <v>1</v>
      </c>
      <c r="AX737" s="31">
        <f>IF(MID(E737,5,1)*1=1,$AE$64,$AD$64)</f>
        <v>1</v>
      </c>
      <c r="AY737" s="33">
        <f>IF(MID(E737,5,1)*1=2,$AG$64,$AF$64)</f>
        <v>1.2</v>
      </c>
      <c r="AZ737" s="2"/>
      <c r="BA737" s="101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</row>
    <row r="738" spans="1:71" ht="12" customHeight="1">
      <c r="A738" s="2"/>
      <c r="B738" s="107">
        <v>525</v>
      </c>
      <c r="C738" s="31">
        <v>10</v>
      </c>
      <c r="D738" s="111" t="s">
        <v>14</v>
      </c>
      <c r="E738" s="2" t="s">
        <v>151</v>
      </c>
      <c r="F738" s="2"/>
      <c r="G738" s="2"/>
      <c r="H738" s="33" t="s">
        <v>80</v>
      </c>
      <c r="I738" s="173">
        <f>M738/AE738</f>
        <v>449.30794121990357</v>
      </c>
      <c r="J738" s="174">
        <f>AH738/AE738</f>
        <v>23.695174714659018</v>
      </c>
      <c r="K738" s="207">
        <f>RANK(I738,$I$76:$I$977)</f>
        <v>662</v>
      </c>
      <c r="L738" s="208">
        <f>RANK(I738,$I$451:$I$866)</f>
        <v>287</v>
      </c>
      <c r="M738" s="173">
        <f>SUM(N738:R738)</f>
        <v>12458.035061410799</v>
      </c>
      <c r="N738" s="174">
        <f>T738*(1+((AG738+IF(F738="백어택",8,0))/100)*(AI738/100-1))</f>
        <v>3717.3705769484004</v>
      </c>
      <c r="O738" s="174">
        <f>U738*(1+((AG738+IF(F738="백어택",8,0))/100)*(AI738/100-1))</f>
        <v>3717.3705769484004</v>
      </c>
      <c r="P738" s="174">
        <f>V738*(1+((AG738+IF(F738="백어택",8,0))/100)*(AI738*IF(AX738=1,AW738,1)/100-1))</f>
        <v>5023.2939075139975</v>
      </c>
      <c r="Q738" s="174">
        <f>W738*(1+((AG738+IF(F738="백어택",8,0))/100)*(AI738*AW738/100-1))</f>
        <v>0</v>
      </c>
      <c r="R738" s="175"/>
      <c r="S738" s="173">
        <f>SUM(T738:X738)</f>
        <v>9694.8217995219511</v>
      </c>
      <c r="T738" s="174">
        <f>AL738*AY738*IF(F738="백어택",1.2,1)</f>
        <v>2892.8514913185368</v>
      </c>
      <c r="U738" s="174">
        <f>AM738*AY738*IF(F738="백어택",1.2,1)</f>
        <v>2892.8514913185368</v>
      </c>
      <c r="V738" s="174">
        <f>AN738*AY738*IF(F738="백어택",1.2,1)</f>
        <v>3909.118816884878</v>
      </c>
      <c r="W738" s="174">
        <f>(T738+U738+V738)*IF(AX738=1,0,0.6)*IF(F738="백어택",1.2,1)</f>
        <v>0</v>
      </c>
      <c r="X738" s="175"/>
      <c r="Y738" s="173">
        <f>SUM(Z738:AD738)</f>
        <v>24237.054498804879</v>
      </c>
      <c r="Z738" s="174">
        <f>T738*AI738/100</f>
        <v>7232.1287282963422</v>
      </c>
      <c r="AA738" s="174">
        <f>U738*AI738/100</f>
        <v>7232.1287282963422</v>
      </c>
      <c r="AB738" s="174">
        <f>V738*AI738*IF(AX738=1,AW738,1)/100</f>
        <v>9772.7970422121944</v>
      </c>
      <c r="AC738" s="174">
        <f>W738*AI738*AW738/100</f>
        <v>0</v>
      </c>
      <c r="AD738" s="175"/>
      <c r="AE738" s="173">
        <f>AO738*(1-$D$20/100)*(1-$D$17/100)</f>
        <v>27.727164197424003</v>
      </c>
      <c r="AF738" s="174">
        <f>AP738</f>
        <v>36</v>
      </c>
      <c r="AG738" s="174">
        <f>IF($D$57+AU738&gt;100,100,$D$57+AU738)</f>
        <v>19.001300000000001</v>
      </c>
      <c r="AH738" s="174">
        <f>AQ738*AS738</f>
        <v>657</v>
      </c>
      <c r="AI738" s="174">
        <f>$D$58+IF(H738="근접",AR738,0)+IF(AY738=1,0,50)</f>
        <v>250</v>
      </c>
      <c r="AJ738" s="174">
        <f>10/3</f>
        <v>3.3333333333333335</v>
      </c>
      <c r="AK738" s="174">
        <f>SUM(AL738:AN738)</f>
        <v>8079.0181662682935</v>
      </c>
      <c r="AL738" s="174">
        <f>(IF(H738="근접",$D$61*(VLOOKUP(C738,$B$36:$AG$39,19,FALSE)+VLOOKUP(C738,$B$40:$AG$43,19,FALSE)*$D$54),$D$60*(VLOOKUP(C738,$B$36:$AG$39,19,FALSE)+VLOOKUP(C738,$B$40:$AG$43,19,FALSE)*$D$54)))*$D$59/100</f>
        <v>2410.7095760987809</v>
      </c>
      <c r="AM738" s="174">
        <f>(IF(H738="근접",$D$61*(VLOOKUP(C738,$B$36:$AG$39,20,FALSE)+VLOOKUP(C738,$B$40:$AG$43,20,FALSE)*$D$54),$D$60*(VLOOKUP(C738,$B$36:$AG$39,20,FALSE)+VLOOKUP(C738,$B$40:$AG$43,20,FALSE)*$D$54)))*$D$59/100</f>
        <v>2410.7095760987809</v>
      </c>
      <c r="AN738" s="174">
        <f>(IF(H738="근접",$D$61*(VLOOKUP(C738,$B$36:$AG$39,21,FALSE)+VLOOKUP(C738,$B$40:$AG$43,21,FALSE)*$D$54),$D$60*(VLOOKUP(C738,$B$36:$AG$39,21,FALSE)+VLOOKUP(C738,$B$40:$AG$43,21,FALSE)*$D$54)))*$D$59/100</f>
        <v>3257.5990140707318</v>
      </c>
      <c r="AO738" s="176">
        <v>36</v>
      </c>
      <c r="AP738" s="174">
        <v>36</v>
      </c>
      <c r="AQ738" s="175">
        <f>VLOOKUP(C738,$B$45:$AA$48,19,FALSE)</f>
        <v>657</v>
      </c>
      <c r="AR738" s="31">
        <f>IF(LEFT(E738,1)*1=1,$S$64,$R$64)</f>
        <v>50</v>
      </c>
      <c r="AS738" s="2">
        <f>IF(LEFT(E738,1)*1=2,$U$64,$T$64)</f>
        <v>1</v>
      </c>
      <c r="AT738" s="33">
        <f>IF(LEFT(E738,1)*1=3,$W$64,$V$64)</f>
        <v>0</v>
      </c>
      <c r="AU738" s="31">
        <f>IF(MID(E738,3,1)*1=1,$Y$64,$X$64)</f>
        <v>0</v>
      </c>
      <c r="AV738" s="2">
        <f>IF(MID(E738,3,1)*1=2,$AA$64,$Z$64)</f>
        <v>0</v>
      </c>
      <c r="AW738" s="33">
        <f>IF(MID(E738,3,1)*1=3,$AC$64,$AB$64)</f>
        <v>1</v>
      </c>
      <c r="AX738" s="31">
        <f>IF(MID(E738,5,1)*1=1,$AE$64,$AD$64)</f>
        <v>1</v>
      </c>
      <c r="AY738" s="33">
        <f>IF(MID(E738,5,1)*1=2,$AG$64,$AF$64)</f>
        <v>1.2</v>
      </c>
      <c r="AZ738" s="2"/>
      <c r="BA738" s="101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</row>
    <row r="739" spans="1:71" ht="12" customHeight="1">
      <c r="A739" s="2"/>
      <c r="B739" s="107">
        <v>528</v>
      </c>
      <c r="C739" s="31">
        <v>10</v>
      </c>
      <c r="D739" s="111" t="s">
        <v>14</v>
      </c>
      <c r="E739" s="2" t="s">
        <v>99</v>
      </c>
      <c r="F739" s="2"/>
      <c r="G739" s="2"/>
      <c r="H739" s="33" t="s">
        <v>80</v>
      </c>
      <c r="I739" s="173">
        <f>M739/AE739</f>
        <v>449.30794121990357</v>
      </c>
      <c r="J739" s="174">
        <f>AH739/AE739</f>
        <v>11.847587357329509</v>
      </c>
      <c r="K739" s="207">
        <f>RANK(I739,$I$76:$I$977)</f>
        <v>662</v>
      </c>
      <c r="L739" s="208">
        <f>RANK(I739,$I$451:$I$866)</f>
        <v>287</v>
      </c>
      <c r="M739" s="173">
        <f>SUM(N739:R739)</f>
        <v>12458.035061410799</v>
      </c>
      <c r="N739" s="174">
        <f>T739*(1+((AG739+IF(F739="백어택",8,0))/100)*(AI739/100-1))</f>
        <v>3717.3705769484004</v>
      </c>
      <c r="O739" s="174">
        <f>U739*(1+((AG739+IF(F739="백어택",8,0))/100)*(AI739/100-1))</f>
        <v>3717.3705769484004</v>
      </c>
      <c r="P739" s="174">
        <f>V739*(1+((AG739+IF(F739="백어택",8,0))/100)*(AI739*IF(AX739=1,AW739,1)/100-1))</f>
        <v>5023.2939075139975</v>
      </c>
      <c r="Q739" s="174">
        <f>W739*(1+((AG739+IF(F739="백어택",8,0))/100)*(AI739*AW739/100-1))</f>
        <v>0</v>
      </c>
      <c r="R739" s="175"/>
      <c r="S739" s="173">
        <f>SUM(T739:X739)</f>
        <v>9694.8217995219511</v>
      </c>
      <c r="T739" s="174">
        <f>AL739*AY739*IF(F739="백어택",1.2,1)</f>
        <v>2892.8514913185368</v>
      </c>
      <c r="U739" s="174">
        <f>AM739*AY739*IF(F739="백어택",1.2,1)</f>
        <v>2892.8514913185368</v>
      </c>
      <c r="V739" s="174">
        <f>AN739*AY739*IF(F739="백어택",1.2,1)</f>
        <v>3909.118816884878</v>
      </c>
      <c r="W739" s="174">
        <f>(T739+U739+V739)*IF(AX739=1,0,0.6)*IF(F739="백어택",1.2,1)</f>
        <v>0</v>
      </c>
      <c r="X739" s="175"/>
      <c r="Y739" s="173">
        <f>SUM(Z739:AD739)</f>
        <v>24237.054498804879</v>
      </c>
      <c r="Z739" s="174">
        <f>T739*AI739/100</f>
        <v>7232.1287282963422</v>
      </c>
      <c r="AA739" s="174">
        <f>U739*AI739/100</f>
        <v>7232.1287282963422</v>
      </c>
      <c r="AB739" s="174">
        <f>V739*AI739*IF(AX739=1,AW739,1)/100</f>
        <v>9772.7970422121944</v>
      </c>
      <c r="AC739" s="174">
        <f>W739*AI739*AW739/100</f>
        <v>0</v>
      </c>
      <c r="AD739" s="175"/>
      <c r="AE739" s="173">
        <f>AO739*(1-$D$20/100)*(1-$D$17/100)</f>
        <v>27.727164197424003</v>
      </c>
      <c r="AF739" s="174">
        <f>AP739</f>
        <v>36</v>
      </c>
      <c r="AG739" s="174">
        <f>IF($D$57+AU739&gt;100,100,$D$57+AU739)</f>
        <v>19.001300000000001</v>
      </c>
      <c r="AH739" s="174">
        <f>AQ739*AS739</f>
        <v>328.5</v>
      </c>
      <c r="AI739" s="174">
        <f>$D$58+IF(H739="근접",AR739,0)+IF(AY739=1,0,50)</f>
        <v>250</v>
      </c>
      <c r="AJ739" s="174">
        <f>10/3</f>
        <v>3.3333333333333335</v>
      </c>
      <c r="AK739" s="174">
        <f>SUM(AL739:AN739)</f>
        <v>8079.0181662682935</v>
      </c>
      <c r="AL739" s="174">
        <f>(IF(H739="근접",$D$61*(VLOOKUP(C739,$B$36:$AG$39,19,FALSE)+VLOOKUP(C739,$B$40:$AG$43,19,FALSE)*$D$54),$D$60*(VLOOKUP(C739,$B$36:$AG$39,19,FALSE)+VLOOKUP(C739,$B$40:$AG$43,19,FALSE)*$D$54)))*$D$59/100</f>
        <v>2410.7095760987809</v>
      </c>
      <c r="AM739" s="174">
        <f>(IF(H739="근접",$D$61*(VLOOKUP(C739,$B$36:$AG$39,20,FALSE)+VLOOKUP(C739,$B$40:$AG$43,20,FALSE)*$D$54),$D$60*(VLOOKUP(C739,$B$36:$AG$39,20,FALSE)+VLOOKUP(C739,$B$40:$AG$43,20,FALSE)*$D$54)))*$D$59/100</f>
        <v>2410.7095760987809</v>
      </c>
      <c r="AN739" s="174">
        <f>(IF(H739="근접",$D$61*(VLOOKUP(C739,$B$36:$AG$39,21,FALSE)+VLOOKUP(C739,$B$40:$AG$43,21,FALSE)*$D$54),$D$60*(VLOOKUP(C739,$B$36:$AG$39,21,FALSE)+VLOOKUP(C739,$B$40:$AG$43,21,FALSE)*$D$54)))*$D$59/100</f>
        <v>3257.5990140707318</v>
      </c>
      <c r="AO739" s="176">
        <v>36</v>
      </c>
      <c r="AP739" s="174">
        <v>36</v>
      </c>
      <c r="AQ739" s="175">
        <f>VLOOKUP(C739,$B$45:$AA$48,19,FALSE)</f>
        <v>657</v>
      </c>
      <c r="AR739" s="31">
        <f>IF(LEFT(E739,1)*1=1,$S$64,$R$64)</f>
        <v>0</v>
      </c>
      <c r="AS739" s="2">
        <f>IF(LEFT(E739,1)*1=2,$U$64,$T$64)</f>
        <v>0.5</v>
      </c>
      <c r="AT739" s="33">
        <f>IF(LEFT(E739,1)*1=3,$W$64,$V$64)</f>
        <v>0</v>
      </c>
      <c r="AU739" s="31">
        <f>IF(MID(E739,3,1)*1=1,$Y$64,$X$64)</f>
        <v>0</v>
      </c>
      <c r="AV739" s="2">
        <f>IF(MID(E739,3,1)*1=2,$AA$64,$Z$64)</f>
        <v>0</v>
      </c>
      <c r="AW739" s="33">
        <f>IF(MID(E739,3,1)*1=3,$AC$64,$AB$64)</f>
        <v>1</v>
      </c>
      <c r="AX739" s="31">
        <f>IF(MID(E739,5,1)*1=1,$AE$64,$AD$64)</f>
        <v>1</v>
      </c>
      <c r="AY739" s="33">
        <f>IF(MID(E739,5,1)*1=2,$AG$64,$AF$64)</f>
        <v>1.2</v>
      </c>
      <c r="AZ739" s="2"/>
      <c r="BA739" s="101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</row>
    <row r="740" spans="1:71" ht="12" customHeight="1">
      <c r="A740" s="2"/>
      <c r="B740" s="107">
        <v>218</v>
      </c>
      <c r="C740" s="31">
        <v>10</v>
      </c>
      <c r="D740" s="106" t="s">
        <v>13</v>
      </c>
      <c r="E740" s="2" t="s">
        <v>67</v>
      </c>
      <c r="F740" s="2"/>
      <c r="G740" s="2"/>
      <c r="H740" s="33"/>
      <c r="I740" s="173">
        <f>M740/AE740</f>
        <v>448.14631907894403</v>
      </c>
      <c r="J740" s="174">
        <f>AH740/AE740</f>
        <v>21.760166048861723</v>
      </c>
      <c r="K740" s="207">
        <f>RANK(I740,$I$76:$I$977)</f>
        <v>665</v>
      </c>
      <c r="L740" s="208" t="e">
        <f>RANK(I740,$I$76:$I$450)</f>
        <v>#N/A</v>
      </c>
      <c r="M740" s="173">
        <f>SUM(N740:R740)</f>
        <v>10729.892029125551</v>
      </c>
      <c r="N740" s="174">
        <f>T740*(1+((AG740+IF(F740="백어택",8,0))/100)*((AI740/100-1)))</f>
        <v>7126.6841578976055</v>
      </c>
      <c r="O740" s="174">
        <f>U740*(1+($D$57/100)*($D$58/100-1))</f>
        <v>3603.2078712279454</v>
      </c>
      <c r="P740" s="174"/>
      <c r="Q740" s="174"/>
      <c r="R740" s="175">
        <f>X740*(1+($D$57/100)*($D$58/100-1))</f>
        <v>0</v>
      </c>
      <c r="S740" s="173">
        <f>SUM(T740:X740)</f>
        <v>8425.3120635121941</v>
      </c>
      <c r="T740" s="174">
        <f>AL740*AY740</f>
        <v>5397.4393669719502</v>
      </c>
      <c r="U740" s="174">
        <f>AM740*AU740*AW740</f>
        <v>3027.8726965402439</v>
      </c>
      <c r="V740" s="174"/>
      <c r="W740" s="174"/>
      <c r="X740" s="175">
        <f>IF(AU740=1,0,U740*0.625)</f>
        <v>0</v>
      </c>
      <c r="Y740" s="173">
        <f>SUM(Z740:AD740)</f>
        <v>16850.624127024388</v>
      </c>
      <c r="Z740" s="174">
        <f>T740*$D$58/100</f>
        <v>10794.8787339439</v>
      </c>
      <c r="AA740" s="174">
        <f>U740*$D$58/100</f>
        <v>6055.7453930804877</v>
      </c>
      <c r="AB740" s="174"/>
      <c r="AC740" s="174"/>
      <c r="AD740" s="175">
        <f>X740*$D$58/100</f>
        <v>0</v>
      </c>
      <c r="AE740" s="173">
        <f>AO740*(1-$D$17/100)</f>
        <v>23.942831999999999</v>
      </c>
      <c r="AF740" s="174">
        <f>AP740</f>
        <v>36</v>
      </c>
      <c r="AG740" s="174">
        <f>IF($D$57+AT740&gt;100,100,$D$57+AT740)</f>
        <v>19.001300000000001</v>
      </c>
      <c r="AH740" s="174">
        <f>AQ740</f>
        <v>521</v>
      </c>
      <c r="AI740" s="174">
        <f>$D$58+$D$19</f>
        <v>268.61079999999998</v>
      </c>
      <c r="AJ740" s="174">
        <f>10/IF(AY740=1,2.5,2)</f>
        <v>4</v>
      </c>
      <c r="AK740" s="174">
        <f>SUM(AL740:AN740)</f>
        <v>8425.3120635121941</v>
      </c>
      <c r="AL740" s="174">
        <f>(VLOOKUP(C740,$B$36:$AG$39,17,FALSE)+VLOOKUP(C740,$B$40:$AG$43,17,FALSE)*$D$54)*$D$59/100</f>
        <v>5397.4393669719502</v>
      </c>
      <c r="AM740" s="174">
        <f>(VLOOKUP(C740,$B$36:$AG$39,18,FALSE)+VLOOKUP(C740,$B$40:$AG$43,18,FALSE)*$D$54)*$D$59/100</f>
        <v>3027.8726965402439</v>
      </c>
      <c r="AN740" s="174"/>
      <c r="AO740" s="176">
        <v>24</v>
      </c>
      <c r="AP740" s="174">
        <v>36</v>
      </c>
      <c r="AQ740" s="175">
        <f>VLOOKUP(C740,$B$45:$AA$48,17,FALSE)</f>
        <v>521</v>
      </c>
      <c r="AR740" s="31">
        <f>IF(LEFT(E740,1)*1=1,$S$63,$R$63)</f>
        <v>0</v>
      </c>
      <c r="AS740" s="2">
        <f>IF(LEFT(E740,1)*1=2,$U$63,$T$63)</f>
        <v>0</v>
      </c>
      <c r="AT740" s="33">
        <f>IF(LEFT(E740,1)*1=3,$W$63,$V$63)</f>
        <v>0</v>
      </c>
      <c r="AU740" s="31">
        <f>IF(MID(E740,3,1)*1=1,$Y$63,$X$63)</f>
        <v>1</v>
      </c>
      <c r="AV740" s="2">
        <f>IF(MID(E740,3,1)*1=2,$AA$63,$Z$63)</f>
        <v>0</v>
      </c>
      <c r="AW740" s="33">
        <f>IF(MID(E740,3,1)*1=3,$AC$63,$AB$63)</f>
        <v>1</v>
      </c>
      <c r="AX740" s="31">
        <f>IF(MID(E740,5,1)*1=1,$AE$63,$AD$63)</f>
        <v>0</v>
      </c>
      <c r="AY740" s="33">
        <f>IF(MID(E740,5,1)*1=2,$AG$63,$AF$63)</f>
        <v>1</v>
      </c>
      <c r="AZ740" s="2"/>
      <c r="BA740" s="101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</row>
    <row r="741" spans="1:71" ht="12" customHeight="1">
      <c r="A741" s="2"/>
      <c r="B741" s="107">
        <v>86</v>
      </c>
      <c r="C741" s="31">
        <v>7</v>
      </c>
      <c r="D741" s="106" t="s">
        <v>5</v>
      </c>
      <c r="E741" s="2" t="s">
        <v>136</v>
      </c>
      <c r="F741" s="2"/>
      <c r="G741" s="2"/>
      <c r="H741" s="33">
        <v>9</v>
      </c>
      <c r="I741" s="173">
        <f>M741/AE741</f>
        <v>445.13484604904153</v>
      </c>
      <c r="J741" s="174">
        <f>AH741/AE741</f>
        <v>24.18260296025132</v>
      </c>
      <c r="K741" s="207">
        <f>RANK(I741,$I$76:$I$977)</f>
        <v>666</v>
      </c>
      <c r="L741" s="208" t="e">
        <f>RANK(I741,$I$76:$I$450)</f>
        <v>#N/A</v>
      </c>
      <c r="M741" s="173">
        <f>SUM(N741:R741)</f>
        <v>3552.5962787660219</v>
      </c>
      <c r="N741" s="174">
        <f>T741*(1+((AG741+IF(F741="백어택",8,0))/100)*((AI741/100-1)))</f>
        <v>3552.5962787660219</v>
      </c>
      <c r="O741" s="174"/>
      <c r="P741" s="174"/>
      <c r="Q741" s="174"/>
      <c r="R741" s="175"/>
      <c r="S741" s="173">
        <f>SUM(T741:X741)</f>
        <v>2690.5812836844516</v>
      </c>
      <c r="T741" s="174">
        <f>AL741*AU741*AW741*AX741*AY741</f>
        <v>2690.5812836844516</v>
      </c>
      <c r="U741" s="174"/>
      <c r="V741" s="174"/>
      <c r="W741" s="174"/>
      <c r="X741" s="175"/>
      <c r="Y741" s="173">
        <f>SUM(Z741:AD741)</f>
        <v>5381.1625673689032</v>
      </c>
      <c r="Z741" s="174">
        <f>T741*$D$58/100</f>
        <v>5381.1625673689032</v>
      </c>
      <c r="AA741" s="174"/>
      <c r="AB741" s="174"/>
      <c r="AC741" s="174"/>
      <c r="AD741" s="175"/>
      <c r="AE741" s="173">
        <f>AO741*(1-$D$17/100)</f>
        <v>7.980944</v>
      </c>
      <c r="AF741" s="174">
        <f>AP741</f>
        <v>36</v>
      </c>
      <c r="AG741" s="174">
        <f>IF($D$57&gt;100,100,$D$57)</f>
        <v>19.001300000000001</v>
      </c>
      <c r="AH741" s="174">
        <f>AQ741</f>
        <v>193</v>
      </c>
      <c r="AI741" s="174">
        <f>$D$58+$D$19</f>
        <v>268.61079999999998</v>
      </c>
      <c r="AJ741" s="174">
        <f>1*AS741</f>
        <v>1</v>
      </c>
      <c r="AK741" s="174">
        <f>SUM(AL741:AN741)</f>
        <v>2152.4650269475615</v>
      </c>
      <c r="AL741" s="174">
        <f>(H741*(VLOOKUP(C741,$B$36:$AG$39,6,FALSE)+VLOOKUP(C741,$B$40:$AG$43,6,FALSE)*$D$54))*$D$59/100</f>
        <v>2152.4650269475615</v>
      </c>
      <c r="AM741" s="174"/>
      <c r="AN741" s="174"/>
      <c r="AO741" s="176">
        <v>8</v>
      </c>
      <c r="AP741" s="174">
        <v>36</v>
      </c>
      <c r="AQ741" s="175">
        <f>VLOOKUP(C741,$B$45:$AA$48,6,FALSE)</f>
        <v>193</v>
      </c>
      <c r="AR741" s="31">
        <f>IF(LEFT(E741,1)*1=1,$S$55,$R$55)</f>
        <v>0</v>
      </c>
      <c r="AS741" s="2">
        <f>IF(LEFT(E741,1)*1=2,$U$55,$T$55)</f>
        <v>1</v>
      </c>
      <c r="AT741" s="33">
        <f>IF(LEFT(E741,1)*1=3,$W$55,$V$55)</f>
        <v>0</v>
      </c>
      <c r="AU741" s="31">
        <f>IF(MID(E741,3,1)*1=1,$Y$55,$X$55)</f>
        <v>1.25</v>
      </c>
      <c r="AV741" s="2">
        <f>IF(MID(E741,3,1)*1=2,$AA$55,$Z$55)</f>
        <v>0</v>
      </c>
      <c r="AW741" s="33">
        <f>IF(MID(E741,3,1)*1=3,$AC$55,$AB$55)</f>
        <v>1</v>
      </c>
      <c r="AX741" s="31">
        <f>IF(MID(E741,5,1)*1=1,$AE$55,$AD$55)</f>
        <v>1</v>
      </c>
      <c r="AY741" s="33">
        <f>IF(MID(E741,5,1)*1=2,$AG$55,$AF$55)</f>
        <v>1</v>
      </c>
      <c r="AZ741" s="2"/>
      <c r="BA741" s="101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</row>
    <row r="742" spans="1:71" ht="12" customHeight="1">
      <c r="A742" s="2"/>
      <c r="B742" s="107">
        <v>89</v>
      </c>
      <c r="C742" s="31">
        <v>7</v>
      </c>
      <c r="D742" s="106" t="s">
        <v>5</v>
      </c>
      <c r="E742" s="2" t="s">
        <v>168</v>
      </c>
      <c r="F742" s="2"/>
      <c r="G742" s="2"/>
      <c r="H742" s="33">
        <v>9</v>
      </c>
      <c r="I742" s="173">
        <f>M742/AE742</f>
        <v>445.13484604904153</v>
      </c>
      <c r="J742" s="174">
        <f>AH742/AE742</f>
        <v>24.18260296025132</v>
      </c>
      <c r="K742" s="207">
        <f>RANK(I742,$I$76:$I$977)</f>
        <v>666</v>
      </c>
      <c r="L742" s="208" t="e">
        <f>RANK(I742,$I$76:$I$450)</f>
        <v>#N/A</v>
      </c>
      <c r="M742" s="173">
        <f>SUM(N742:R742)</f>
        <v>3552.5962787660219</v>
      </c>
      <c r="N742" s="174">
        <f>T742*(1+((AG742+IF(F742="백어택",8,0))/100)*((AI742/100-1)))</f>
        <v>3552.5962787660219</v>
      </c>
      <c r="O742" s="174"/>
      <c r="P742" s="174"/>
      <c r="Q742" s="174"/>
      <c r="R742" s="175"/>
      <c r="S742" s="173">
        <f>SUM(T742:X742)</f>
        <v>2690.5812836844516</v>
      </c>
      <c r="T742" s="174">
        <f>AL742*AU742*AW742*AX742*AY742</f>
        <v>2690.5812836844516</v>
      </c>
      <c r="U742" s="174"/>
      <c r="V742" s="174"/>
      <c r="W742" s="174"/>
      <c r="X742" s="175"/>
      <c r="Y742" s="173">
        <f>SUM(Z742:AD742)</f>
        <v>5381.1625673689032</v>
      </c>
      <c r="Z742" s="174">
        <f>T742*$D$58/100</f>
        <v>5381.1625673689032</v>
      </c>
      <c r="AA742" s="174"/>
      <c r="AB742" s="174"/>
      <c r="AC742" s="174"/>
      <c r="AD742" s="175"/>
      <c r="AE742" s="173">
        <f>AO742*(1-$D$17/100)</f>
        <v>7.980944</v>
      </c>
      <c r="AF742" s="174">
        <f>AP742</f>
        <v>36</v>
      </c>
      <c r="AG742" s="174">
        <f>IF($D$57&gt;100,100,$D$57)</f>
        <v>19.001300000000001</v>
      </c>
      <c r="AH742" s="174">
        <f>AQ742</f>
        <v>193</v>
      </c>
      <c r="AI742" s="174">
        <f>$D$58+$D$19</f>
        <v>268.61079999999998</v>
      </c>
      <c r="AJ742" s="174">
        <f>1*AS742</f>
        <v>0.8</v>
      </c>
      <c r="AK742" s="174">
        <f>SUM(AL742:AN742)</f>
        <v>2152.4650269475615</v>
      </c>
      <c r="AL742" s="174">
        <f>(H742*(VLOOKUP(C742,$B$36:$AG$39,6,FALSE)+VLOOKUP(C742,$B$40:$AG$43,6,FALSE)*$D$54))*$D$59/100</f>
        <v>2152.4650269475615</v>
      </c>
      <c r="AM742" s="174"/>
      <c r="AN742" s="174"/>
      <c r="AO742" s="176">
        <v>8</v>
      </c>
      <c r="AP742" s="174">
        <v>36</v>
      </c>
      <c r="AQ742" s="175">
        <f>VLOOKUP(C742,$B$45:$AA$48,6,FALSE)</f>
        <v>193</v>
      </c>
      <c r="AR742" s="31">
        <f>IF(LEFT(E742,1)*1=1,$S$55,$R$55)</f>
        <v>0</v>
      </c>
      <c r="AS742" s="2">
        <f>IF(LEFT(E742,1)*1=2,$U$55,$T$55)</f>
        <v>0.8</v>
      </c>
      <c r="AT742" s="33">
        <f>IF(LEFT(E742,1)*1=3,$W$55,$V$55)</f>
        <v>0</v>
      </c>
      <c r="AU742" s="31">
        <f>IF(MID(E742,3,1)*1=1,$Y$55,$X$55)</f>
        <v>1.25</v>
      </c>
      <c r="AV742" s="2">
        <f>IF(MID(E742,3,1)*1=2,$AA$55,$Z$55)</f>
        <v>0</v>
      </c>
      <c r="AW742" s="33">
        <f>IF(MID(E742,3,1)*1=3,$AC$55,$AB$55)</f>
        <v>1</v>
      </c>
      <c r="AX742" s="31">
        <f>IF(MID(E742,5,1)*1=1,$AE$55,$AD$55)</f>
        <v>1</v>
      </c>
      <c r="AY742" s="33">
        <f>IF(MID(E742,5,1)*1=2,$AG$55,$AF$55)</f>
        <v>1</v>
      </c>
      <c r="AZ742" s="2"/>
      <c r="BA742" s="101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</row>
    <row r="743" spans="1:71" ht="12" customHeight="1">
      <c r="A743" s="2"/>
      <c r="B743" s="107">
        <v>307</v>
      </c>
      <c r="C743" s="31">
        <v>7</v>
      </c>
      <c r="D743" s="106" t="s">
        <v>17</v>
      </c>
      <c r="E743" s="2" t="s">
        <v>87</v>
      </c>
      <c r="F743" s="2"/>
      <c r="G743" s="2"/>
      <c r="H743" s="33">
        <f>IF(AT743=1,3,IF(AY743=1,3,2))</f>
        <v>3</v>
      </c>
      <c r="I743" s="173">
        <f>M743/AE743</f>
        <v>443.96884644716067</v>
      </c>
      <c r="J743" s="174">
        <f>AH743/AE743</f>
        <v>24.18260296025132</v>
      </c>
      <c r="K743" s="207">
        <f>RANK(I743,$I$76:$I$977)</f>
        <v>668</v>
      </c>
      <c r="L743" s="208" t="e">
        <f>RANK(I743,$I$76:$I$450)</f>
        <v>#N/A</v>
      </c>
      <c r="M743" s="173">
        <f>SUM(N743:R743)</f>
        <v>3543.2905012393885</v>
      </c>
      <c r="N743" s="174">
        <f>T743*(1+((AG743+IF(F743="백어택",8,0))/100)*((AI743/100-1)))</f>
        <v>1181.0968337464628</v>
      </c>
      <c r="O743" s="174">
        <f>U743*(1+(AG743/100)*(AI743/100-1))</f>
        <v>1181.0968337464628</v>
      </c>
      <c r="P743" s="174">
        <f>V743*(1+(AG743/100)*(AI743/100-1))</f>
        <v>1181.0968337464628</v>
      </c>
      <c r="Q743" s="174"/>
      <c r="R743" s="175"/>
      <c r="S743" s="173">
        <f>SUM(T743:X743)</f>
        <v>2683.533494158537</v>
      </c>
      <c r="T743" s="174">
        <f>AL743*AV743</f>
        <v>894.51116471951229</v>
      </c>
      <c r="U743" s="174">
        <f>AL743*AW743</f>
        <v>894.51116471951229</v>
      </c>
      <c r="V743" s="174">
        <f>IF(H743=3,AL743,0)*(1+AW743-1+AW743-1)</f>
        <v>894.51116471951229</v>
      </c>
      <c r="W743" s="174"/>
      <c r="X743" s="175"/>
      <c r="Y743" s="173">
        <f>SUM(Z743:AD743)</f>
        <v>7208.2607869271978</v>
      </c>
      <c r="Z743" s="174">
        <f>T743*AI743/100</f>
        <v>2402.7535956423994</v>
      </c>
      <c r="AA743" s="174">
        <f>U743*AI743/100</f>
        <v>2402.7535956423994</v>
      </c>
      <c r="AB743" s="174">
        <f>V743*AI743/100</f>
        <v>2402.7535956423994</v>
      </c>
      <c r="AC743" s="174"/>
      <c r="AD743" s="175"/>
      <c r="AE743" s="173">
        <f>AO743*(1-$D$17/100)</f>
        <v>7.980944</v>
      </c>
      <c r="AF743" s="174">
        <f>AP743</f>
        <v>36</v>
      </c>
      <c r="AG743" s="174">
        <f>IF($D$57&gt;100,100,$D$57)</f>
        <v>19.001300000000001</v>
      </c>
      <c r="AH743" s="174">
        <f>AQ743</f>
        <v>193</v>
      </c>
      <c r="AI743" s="174">
        <f>$D$58+$D$19</f>
        <v>268.61079999999998</v>
      </c>
      <c r="AJ743" s="174">
        <f>10*AR743/IF(AT743=0,IF(AY743=0,8,5),5)</f>
        <v>2</v>
      </c>
      <c r="AK743" s="174">
        <f>H743*SUM(AL743:AN743)</f>
        <v>2683.533494158537</v>
      </c>
      <c r="AL743" s="174">
        <f>((VLOOKUP(C743,$B$36:$AG$39,24,FALSE)+VLOOKUP(C743,$B$40:$AG$43,24,FALSE)*$D$54))*$D$59/100</f>
        <v>894.51116471951229</v>
      </c>
      <c r="AM743" s="174"/>
      <c r="AN743" s="174"/>
      <c r="AO743" s="176">
        <v>8</v>
      </c>
      <c r="AP743" s="174">
        <v>36</v>
      </c>
      <c r="AQ743" s="175">
        <f>VLOOKUP(C743,$B$45:$AA$48,24,FALSE)</f>
        <v>193</v>
      </c>
      <c r="AR743" s="31">
        <f>IF(LEFT(E743,1)*1=1,$S$67,$R$67)</f>
        <v>1</v>
      </c>
      <c r="AS743" s="2">
        <f>IF(LEFT(E743,1)*1=2,$U$67,$T$67)</f>
        <v>0</v>
      </c>
      <c r="AT743" s="33">
        <f>IF(LEFT(E743,1)*1=3,$W$67,$V$67)</f>
        <v>1</v>
      </c>
      <c r="AU743" s="31">
        <f>IF(MID(E743,3,1)*1=1,$Y$67,$X$67)</f>
        <v>0</v>
      </c>
      <c r="AV743" s="2">
        <f>IF(MID(E743,3,1)*1=2,$AA$67,$Z$67)</f>
        <v>1</v>
      </c>
      <c r="AW743" s="33">
        <f>IF(MID(E743,3,1)*1=3,$AC$67,$AB$67)</f>
        <v>1</v>
      </c>
      <c r="AX743" s="31">
        <f>IF(MID(E743,5,1)*1=1,$AE$67,$AD$67)</f>
        <v>0</v>
      </c>
      <c r="AY743" s="33">
        <f>IF(MID(E743,5,1)*1=2,$AG$67,$AF$67)</f>
        <v>0</v>
      </c>
      <c r="AZ743" s="2"/>
      <c r="BA743" s="101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</row>
    <row r="744" spans="1:71" ht="12" customHeight="1">
      <c r="A744" s="2"/>
      <c r="B744" s="107">
        <v>239</v>
      </c>
      <c r="C744" s="31">
        <v>10</v>
      </c>
      <c r="D744" s="106" t="s">
        <v>16</v>
      </c>
      <c r="E744" s="2" t="s">
        <v>150</v>
      </c>
      <c r="F744" s="2" t="s">
        <v>149</v>
      </c>
      <c r="G744" s="2"/>
      <c r="H744" s="33">
        <f>AX744*2</f>
        <v>3</v>
      </c>
      <c r="I744" s="173">
        <f>M744/AE744</f>
        <v>443.59135012850976</v>
      </c>
      <c r="J744" s="174">
        <f>AH744/AE744</f>
        <v>19.630092212984664</v>
      </c>
      <c r="K744" s="207">
        <f>RANK(I744,$I$76:$I$977)</f>
        <v>669</v>
      </c>
      <c r="L744" s="208" t="e">
        <f>RANK(I744,$I$76:$I$450)</f>
        <v>#N/A</v>
      </c>
      <c r="M744" s="173">
        <f>SUM(N744:R744)</f>
        <v>2655.2082931950217</v>
      </c>
      <c r="N744" s="174">
        <f>T744*(1+((AG744+IF(F744="백어택",8,0))/100)*((AI744/100-1)))</f>
        <v>2655.2082931950217</v>
      </c>
      <c r="O744" s="174"/>
      <c r="P744" s="174"/>
      <c r="Q744" s="174"/>
      <c r="R744" s="175"/>
      <c r="S744" s="173">
        <f>SUM(T744:X744)*H744</f>
        <v>5473.6364876070738</v>
      </c>
      <c r="T744" s="174">
        <f>AL744*AU744*AX744*IF(F744="백어택",1.2,1)</f>
        <v>1824.5454958690245</v>
      </c>
      <c r="U744" s="174"/>
      <c r="V744" s="174"/>
      <c r="W744" s="174"/>
      <c r="X744" s="175"/>
      <c r="Y744" s="173">
        <f>SUM(Z744:AD744)</f>
        <v>3649.0909917380491</v>
      </c>
      <c r="Z744" s="174">
        <f>T744*$D$58/100</f>
        <v>3649.0909917380491</v>
      </c>
      <c r="AA744" s="174"/>
      <c r="AB744" s="174"/>
      <c r="AC744" s="174"/>
      <c r="AD744" s="175"/>
      <c r="AE744" s="173">
        <f>AO744*(1-$D$17/100)</f>
        <v>5.9857079999999998</v>
      </c>
      <c r="AF744" s="174">
        <f>AP744</f>
        <v>36</v>
      </c>
      <c r="AG744" s="174">
        <f>IF($D$57+AT744&gt;100,100,$D$57+AT744)</f>
        <v>19.001300000000001</v>
      </c>
      <c r="AH744" s="174">
        <f>AQ744*AR744</f>
        <v>117.5</v>
      </c>
      <c r="AI744" s="174">
        <f>$D$58+$D$19</f>
        <v>268.61079999999998</v>
      </c>
      <c r="AJ744" s="174">
        <f>10*AS744/IF(AX744=1,5,3.5)</f>
        <v>2.8571428571428572</v>
      </c>
      <c r="AK744" s="174">
        <f>SUM(AL744:AN744)</f>
        <v>1013.6363865939026</v>
      </c>
      <c r="AL744" s="174">
        <f>((VLOOKUP(C744,$B$36:$AG$39,23,FALSE)+VLOOKUP(C744,$B$40:$AG$43,23,FALSE)*$D$54))*$D$59/100</f>
        <v>1013.6363865939026</v>
      </c>
      <c r="AM744" s="174"/>
      <c r="AN744" s="174"/>
      <c r="AO744" s="176">
        <v>6</v>
      </c>
      <c r="AP744" s="174">
        <v>36</v>
      </c>
      <c r="AQ744" s="175">
        <f>VLOOKUP(C744,$B$45:$AA$48,23,FALSE)</f>
        <v>235</v>
      </c>
      <c r="AR744" s="31">
        <f>IF(LEFT(E744,1)*1=1,$S$66,$R$66)</f>
        <v>0.5</v>
      </c>
      <c r="AS744" s="2">
        <f>IF(LEFT(E744,1)*1=2,$U$66,$T$66)</f>
        <v>1</v>
      </c>
      <c r="AT744" s="33">
        <f>IF(LEFT(E744,1)*1=3,$W$66,$V$66)</f>
        <v>0</v>
      </c>
      <c r="AU744" s="31">
        <f>IF(MID(E744,3,1)*1=1,$Y$66,$X$66)</f>
        <v>1</v>
      </c>
      <c r="AV744" s="2">
        <f>IF(MID(E744,3,1)*1=2,$AA$66,$Z$66)</f>
        <v>0</v>
      </c>
      <c r="AW744" s="33">
        <f>IF(MID(E744,3,1)*1=3,$AC$66,$AB$66)</f>
        <v>0</v>
      </c>
      <c r="AX744" s="31">
        <f>IF(MID(E744,5,1)*1=1,$AE$66,$AD$66)</f>
        <v>1.5</v>
      </c>
      <c r="AY744" s="33">
        <f>IF(MID(E744,5,1)*1=2,$AG$66,$AF$66)</f>
        <v>1</v>
      </c>
      <c r="AZ744" s="2"/>
      <c r="BA744" s="101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</row>
    <row r="745" spans="1:71" ht="12" customHeight="1">
      <c r="A745" s="2"/>
      <c r="B745" s="107">
        <v>241</v>
      </c>
      <c r="C745" s="31">
        <v>10</v>
      </c>
      <c r="D745" s="106" t="s">
        <v>16</v>
      </c>
      <c r="E745" s="2" t="s">
        <v>161</v>
      </c>
      <c r="F745" s="2" t="s">
        <v>149</v>
      </c>
      <c r="G745" s="2"/>
      <c r="H745" s="33">
        <f>AX745*2</f>
        <v>3</v>
      </c>
      <c r="I745" s="173">
        <f>M745/AE745</f>
        <v>443.59135012850976</v>
      </c>
      <c r="J745" s="174">
        <f>AH745/AE745</f>
        <v>39.260184425969328</v>
      </c>
      <c r="K745" s="207">
        <f>RANK(I745,$I$76:$I$977)</f>
        <v>669</v>
      </c>
      <c r="L745" s="208" t="e">
        <f>RANK(I745,$I$76:$I$450)</f>
        <v>#N/A</v>
      </c>
      <c r="M745" s="173">
        <f>SUM(N745:R745)</f>
        <v>2655.2082931950217</v>
      </c>
      <c r="N745" s="174">
        <f>T745*(1+((AG745+IF(F745="백어택",8,0))/100)*((AI745/100-1)))</f>
        <v>2655.2082931950217</v>
      </c>
      <c r="O745" s="174"/>
      <c r="P745" s="174"/>
      <c r="Q745" s="174"/>
      <c r="R745" s="175"/>
      <c r="S745" s="173">
        <f>SUM(T745:X745)*H745</f>
        <v>5473.6364876070738</v>
      </c>
      <c r="T745" s="174">
        <f>AL745*AU745*AX745*IF(F745="백어택",1.2,1)</f>
        <v>1824.5454958690245</v>
      </c>
      <c r="U745" s="174"/>
      <c r="V745" s="174"/>
      <c r="W745" s="174"/>
      <c r="X745" s="175"/>
      <c r="Y745" s="173">
        <f>SUM(Z745:AD745)</f>
        <v>3649.0909917380491</v>
      </c>
      <c r="Z745" s="174">
        <f>T745*$D$58/100</f>
        <v>3649.0909917380491</v>
      </c>
      <c r="AA745" s="174"/>
      <c r="AB745" s="174"/>
      <c r="AC745" s="174"/>
      <c r="AD745" s="175"/>
      <c r="AE745" s="173">
        <f>AO745*(1-$D$17/100)</f>
        <v>5.9857079999999998</v>
      </c>
      <c r="AF745" s="174">
        <f>AP745</f>
        <v>36</v>
      </c>
      <c r="AG745" s="174">
        <f>IF($D$57+AT745&gt;100,100,$D$57+AT745)</f>
        <v>19.001300000000001</v>
      </c>
      <c r="AH745" s="174">
        <f>AQ745*AR745</f>
        <v>235</v>
      </c>
      <c r="AI745" s="174">
        <f>$D$58+$D$19</f>
        <v>268.61079999999998</v>
      </c>
      <c r="AJ745" s="174">
        <f>10*AS745/IF(AX745=1,5,3.5)</f>
        <v>2.5714285714285716</v>
      </c>
      <c r="AK745" s="174">
        <f>SUM(AL745:AN745)</f>
        <v>1013.6363865939026</v>
      </c>
      <c r="AL745" s="174">
        <f>((VLOOKUP(C745,$B$36:$AG$39,23,FALSE)+VLOOKUP(C745,$B$40:$AG$43,23,FALSE)*$D$54))*$D$59/100</f>
        <v>1013.6363865939026</v>
      </c>
      <c r="AM745" s="174"/>
      <c r="AN745" s="174"/>
      <c r="AO745" s="176">
        <v>6</v>
      </c>
      <c r="AP745" s="174">
        <v>36</v>
      </c>
      <c r="AQ745" s="175">
        <f>VLOOKUP(C745,$B$45:$AA$48,23,FALSE)</f>
        <v>235</v>
      </c>
      <c r="AR745" s="31">
        <f>IF(LEFT(E745,1)*1=1,$S$66,$R$66)</f>
        <v>1</v>
      </c>
      <c r="AS745" s="2">
        <f>IF(LEFT(E745,1)*1=2,$U$66,$T$66)</f>
        <v>0.9</v>
      </c>
      <c r="AT745" s="33">
        <f>IF(LEFT(E745,1)*1=3,$W$66,$V$66)</f>
        <v>0</v>
      </c>
      <c r="AU745" s="31">
        <f>IF(MID(E745,3,1)*1=1,$Y$66,$X$66)</f>
        <v>1</v>
      </c>
      <c r="AV745" s="2">
        <f>IF(MID(E745,3,1)*1=2,$AA$66,$Z$66)</f>
        <v>0</v>
      </c>
      <c r="AW745" s="33">
        <f>IF(MID(E745,3,1)*1=3,$AC$66,$AB$66)</f>
        <v>0</v>
      </c>
      <c r="AX745" s="31">
        <f>IF(MID(E745,5,1)*1=1,$AE$66,$AD$66)</f>
        <v>1.5</v>
      </c>
      <c r="AY745" s="33">
        <f>IF(MID(E745,5,1)*1=2,$AG$66,$AF$66)</f>
        <v>1</v>
      </c>
      <c r="AZ745" s="2"/>
      <c r="BA745" s="101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</row>
    <row r="746" spans="1:71" ht="12" customHeight="1">
      <c r="A746" s="2"/>
      <c r="B746" s="107">
        <v>245</v>
      </c>
      <c r="C746" s="31">
        <v>10</v>
      </c>
      <c r="D746" s="106" t="s">
        <v>16</v>
      </c>
      <c r="E746" s="2" t="s">
        <v>151</v>
      </c>
      <c r="F746" s="2" t="s">
        <v>149</v>
      </c>
      <c r="G746" s="2"/>
      <c r="H746" s="33">
        <f>AX746*2</f>
        <v>2</v>
      </c>
      <c r="I746" s="173">
        <f>M746/AE746</f>
        <v>443.59135012850976</v>
      </c>
      <c r="J746" s="174">
        <f>AH746/AE746</f>
        <v>19.630092212984664</v>
      </c>
      <c r="K746" s="207">
        <f>RANK(I746,$I$76:$I$977)</f>
        <v>669</v>
      </c>
      <c r="L746" s="208" t="e">
        <f>RANK(I746,$I$76:$I$450)</f>
        <v>#N/A</v>
      </c>
      <c r="M746" s="173">
        <f>SUM(N746:R746)</f>
        <v>2655.2082931950217</v>
      </c>
      <c r="N746" s="174">
        <f>T746*(1+((AG746+IF(F746="백어택",8,0))/100)*((AI746/100-1)))</f>
        <v>2655.2082931950217</v>
      </c>
      <c r="O746" s="174"/>
      <c r="P746" s="174"/>
      <c r="Q746" s="174"/>
      <c r="R746" s="175"/>
      <c r="S746" s="173">
        <f>SUM(T746:X746)*H746</f>
        <v>3649.0909917380491</v>
      </c>
      <c r="T746" s="174">
        <f>AL746*AU746*AY746*IF(F746="백어택",1.2,1)</f>
        <v>1824.5454958690245</v>
      </c>
      <c r="U746" s="174"/>
      <c r="V746" s="174"/>
      <c r="W746" s="174"/>
      <c r="X746" s="175"/>
      <c r="Y746" s="173">
        <f>SUM(Z746:AD746)</f>
        <v>3649.0909917380491</v>
      </c>
      <c r="Z746" s="174">
        <f>T746*$D$58/100</f>
        <v>3649.0909917380491</v>
      </c>
      <c r="AA746" s="174"/>
      <c r="AB746" s="174"/>
      <c r="AC746" s="174"/>
      <c r="AD746" s="175"/>
      <c r="AE746" s="173">
        <f>AO746*(1-$D$17/100)</f>
        <v>5.9857079999999998</v>
      </c>
      <c r="AF746" s="174">
        <f>AP746</f>
        <v>36</v>
      </c>
      <c r="AG746" s="174">
        <f>IF($D$57+AT746&gt;100,100,$D$57+AT746)</f>
        <v>19.001300000000001</v>
      </c>
      <c r="AH746" s="174">
        <f>AQ746*AR746</f>
        <v>117.5</v>
      </c>
      <c r="AI746" s="174">
        <f>$D$58+$D$19</f>
        <v>268.61079999999998</v>
      </c>
      <c r="AJ746" s="174">
        <f>10*AS746/IF(AX746=1,5,3.5)</f>
        <v>2</v>
      </c>
      <c r="AK746" s="174">
        <f>SUM(AL746:AN746)</f>
        <v>1013.6363865939026</v>
      </c>
      <c r="AL746" s="174">
        <f>((VLOOKUP(C746,$B$36:$AG$39,23,FALSE)+VLOOKUP(C746,$B$40:$AG$43,23,FALSE)*$D$54))*$D$59/100</f>
        <v>1013.6363865939026</v>
      </c>
      <c r="AM746" s="174"/>
      <c r="AN746" s="174"/>
      <c r="AO746" s="176">
        <v>6</v>
      </c>
      <c r="AP746" s="174">
        <v>36</v>
      </c>
      <c r="AQ746" s="175">
        <f>VLOOKUP(C746,$B$45:$AA$48,23,FALSE)</f>
        <v>235</v>
      </c>
      <c r="AR746" s="31">
        <f>IF(LEFT(E746,1)*1=1,$S$66,$R$66)</f>
        <v>0.5</v>
      </c>
      <c r="AS746" s="2">
        <f>IF(LEFT(E746,1)*1=2,$U$66,$T$66)</f>
        <v>1</v>
      </c>
      <c r="AT746" s="33">
        <f>IF(LEFT(E746,1)*1=3,$W$66,$V$66)</f>
        <v>0</v>
      </c>
      <c r="AU746" s="31">
        <f>IF(MID(E746,3,1)*1=1,$Y$66,$X$66)</f>
        <v>1</v>
      </c>
      <c r="AV746" s="2">
        <f>IF(MID(E746,3,1)*1=2,$AA$66,$Z$66)</f>
        <v>0</v>
      </c>
      <c r="AW746" s="33">
        <f>IF(MID(E746,3,1)*1=3,$AC$66,$AB$66)</f>
        <v>0</v>
      </c>
      <c r="AX746" s="31">
        <f>IF(MID(E746,5,1)*1=1,$AE$66,$AD$66)</f>
        <v>1</v>
      </c>
      <c r="AY746" s="33">
        <f>IF(MID(E746,5,1)*1=2,$AG$66,$AF$66)</f>
        <v>1.5</v>
      </c>
      <c r="AZ746" s="2"/>
      <c r="BA746" s="101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</row>
    <row r="747" spans="1:71" ht="12" customHeight="1">
      <c r="A747" s="2"/>
      <c r="B747" s="107">
        <v>247</v>
      </c>
      <c r="C747" s="31">
        <v>10</v>
      </c>
      <c r="D747" s="106" t="s">
        <v>16</v>
      </c>
      <c r="E747" s="2" t="s">
        <v>99</v>
      </c>
      <c r="F747" s="2" t="s">
        <v>149</v>
      </c>
      <c r="G747" s="2"/>
      <c r="H747" s="33">
        <f>AX747*2</f>
        <v>2</v>
      </c>
      <c r="I747" s="173">
        <f>M747/AE747</f>
        <v>443.59135012850976</v>
      </c>
      <c r="J747" s="174">
        <f>AH747/AE747</f>
        <v>39.260184425969328</v>
      </c>
      <c r="K747" s="207">
        <f>RANK(I747,$I$76:$I$977)</f>
        <v>669</v>
      </c>
      <c r="L747" s="208" t="e">
        <f>RANK(I747,$I$76:$I$450)</f>
        <v>#N/A</v>
      </c>
      <c r="M747" s="173">
        <f>SUM(N747:R747)</f>
        <v>2655.2082931950217</v>
      </c>
      <c r="N747" s="174">
        <f>T747*(1+((AG747+IF(F747="백어택",8,0))/100)*((AI747/100-1)))</f>
        <v>2655.2082931950217</v>
      </c>
      <c r="O747" s="174"/>
      <c r="P747" s="174"/>
      <c r="Q747" s="174"/>
      <c r="R747" s="175"/>
      <c r="S747" s="173">
        <f>SUM(T747:X747)*H747</f>
        <v>3649.0909917380491</v>
      </c>
      <c r="T747" s="174">
        <f>AL747*AU747*AY747*IF(F747="백어택",1.2,1)</f>
        <v>1824.5454958690245</v>
      </c>
      <c r="U747" s="174"/>
      <c r="V747" s="174"/>
      <c r="W747" s="174"/>
      <c r="X747" s="175"/>
      <c r="Y747" s="173">
        <f>SUM(Z747:AD747)</f>
        <v>3649.0909917380491</v>
      </c>
      <c r="Z747" s="174">
        <f>T747*$D$58/100</f>
        <v>3649.0909917380491</v>
      </c>
      <c r="AA747" s="174"/>
      <c r="AB747" s="174"/>
      <c r="AC747" s="174"/>
      <c r="AD747" s="175"/>
      <c r="AE747" s="173">
        <f>AO747*(1-$D$17/100)</f>
        <v>5.9857079999999998</v>
      </c>
      <c r="AF747" s="174">
        <f>AP747</f>
        <v>36</v>
      </c>
      <c r="AG747" s="174">
        <f>IF($D$57+AT747&gt;100,100,$D$57+AT747)</f>
        <v>19.001300000000001</v>
      </c>
      <c r="AH747" s="174">
        <f>AQ747*AR747</f>
        <v>235</v>
      </c>
      <c r="AI747" s="174">
        <f>$D$58+$D$19</f>
        <v>268.61079999999998</v>
      </c>
      <c r="AJ747" s="174">
        <f>10*AS747/IF(AX747=1,5,3.5)</f>
        <v>1.8</v>
      </c>
      <c r="AK747" s="174">
        <f>SUM(AL747:AN747)</f>
        <v>1013.6363865939026</v>
      </c>
      <c r="AL747" s="174">
        <f>((VLOOKUP(C747,$B$36:$AG$39,23,FALSE)+VLOOKUP(C747,$B$40:$AG$43,23,FALSE)*$D$54))*$D$59/100</f>
        <v>1013.6363865939026</v>
      </c>
      <c r="AM747" s="174"/>
      <c r="AN747" s="174"/>
      <c r="AO747" s="176">
        <v>6</v>
      </c>
      <c r="AP747" s="174">
        <v>36</v>
      </c>
      <c r="AQ747" s="175">
        <f>VLOOKUP(C747,$B$45:$AA$48,23,FALSE)</f>
        <v>235</v>
      </c>
      <c r="AR747" s="31">
        <f>IF(LEFT(E747,1)*1=1,$S$66,$R$66)</f>
        <v>1</v>
      </c>
      <c r="AS747" s="2">
        <f>IF(LEFT(E747,1)*1=2,$U$66,$T$66)</f>
        <v>0.9</v>
      </c>
      <c r="AT747" s="33">
        <f>IF(LEFT(E747,1)*1=3,$W$66,$V$66)</f>
        <v>0</v>
      </c>
      <c r="AU747" s="31">
        <f>IF(MID(E747,3,1)*1=1,$Y$66,$X$66)</f>
        <v>1</v>
      </c>
      <c r="AV747" s="2">
        <f>IF(MID(E747,3,1)*1=2,$AA$66,$Z$66)</f>
        <v>0</v>
      </c>
      <c r="AW747" s="33">
        <f>IF(MID(E747,3,1)*1=3,$AC$66,$AB$66)</f>
        <v>0</v>
      </c>
      <c r="AX747" s="31">
        <f>IF(MID(E747,5,1)*1=1,$AE$66,$AD$66)</f>
        <v>1</v>
      </c>
      <c r="AY747" s="33">
        <f>IF(MID(E747,5,1)*1=2,$AG$66,$AF$66)</f>
        <v>1.5</v>
      </c>
      <c r="AZ747" s="2"/>
      <c r="BA747" s="101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</row>
    <row r="748" spans="1:71" ht="12" customHeight="1">
      <c r="A748" s="2"/>
      <c r="B748" s="107">
        <v>165</v>
      </c>
      <c r="C748" s="31">
        <v>10</v>
      </c>
      <c r="D748" s="106" t="s">
        <v>10</v>
      </c>
      <c r="E748" s="2" t="s">
        <v>92</v>
      </c>
      <c r="F748" s="2" t="s">
        <v>149</v>
      </c>
      <c r="G748" s="2"/>
      <c r="H748" s="33"/>
      <c r="I748" s="173">
        <f>M748/AE748</f>
        <v>443.00055807467885</v>
      </c>
      <c r="J748" s="174">
        <f>AH748/AE748</f>
        <v>25.811482952392598</v>
      </c>
      <c r="K748" s="207">
        <f>RANK(I748,$I$76:$I$977)</f>
        <v>673</v>
      </c>
      <c r="L748" s="208" t="e">
        <f>RANK(I748,$I$76:$I$450)</f>
        <v>#N/A</v>
      </c>
      <c r="M748" s="173">
        <f>SUM(N748:R748)</f>
        <v>7071.1252919255194</v>
      </c>
      <c r="N748" s="174">
        <f>T748*(1+((AG748+IF(F748="백어택",8,0))/100)*((AI748/100-1)))</f>
        <v>7071.1252919255194</v>
      </c>
      <c r="O748" s="174"/>
      <c r="P748" s="174"/>
      <c r="Q748" s="174"/>
      <c r="R748" s="175"/>
      <c r="S748" s="173">
        <f>SUM(T748:X748)</f>
        <v>4858.9746556507316</v>
      </c>
      <c r="T748" s="174">
        <f>AL748*AS748*AU748*AX748*IF(AY748=0,1,0.5)*IF(F748="백어택",1.2,1)</f>
        <v>4858.9746556507316</v>
      </c>
      <c r="U748" s="174"/>
      <c r="V748" s="174"/>
      <c r="W748" s="174"/>
      <c r="X748" s="175"/>
      <c r="Y748" s="173">
        <f>SUM(Z748:AD748)</f>
        <v>13051.730694340675</v>
      </c>
      <c r="Z748" s="174">
        <f>T748*AI748/100</f>
        <v>13051.730694340675</v>
      </c>
      <c r="AA748" s="174"/>
      <c r="AB748" s="174"/>
      <c r="AC748" s="174"/>
      <c r="AD748" s="175"/>
      <c r="AE748" s="173">
        <f>AO748*(1-$D$17/100)</f>
        <v>15.961888</v>
      </c>
      <c r="AF748" s="174">
        <f>AP748</f>
        <v>36</v>
      </c>
      <c r="AG748" s="174">
        <f>IF($D$57+AV748&gt;100,100,$D$57+AV748)</f>
        <v>19.001300000000001</v>
      </c>
      <c r="AH748" s="174">
        <f>AQ748</f>
        <v>412</v>
      </c>
      <c r="AI748" s="174">
        <f>$D$58+$D$19</f>
        <v>268.61079999999998</v>
      </c>
      <c r="AJ748" s="174">
        <f>10*AR748/(7-IF(AX748=1,0,3))</f>
        <v>1.4285714285714286</v>
      </c>
      <c r="AK748" s="174">
        <f>SUM(AL748:AN748)</f>
        <v>8098.2910927512203</v>
      </c>
      <c r="AL748" s="174">
        <f>(VLOOKUP(C748,$B$36:$AG$39,13,FALSE)+VLOOKUP(C748,$B$40:$AG$43,13,FALSE)*$D$54)*$D$59/100</f>
        <v>8098.2910927512203</v>
      </c>
      <c r="AM748" s="174"/>
      <c r="AN748" s="174"/>
      <c r="AO748" s="176">
        <v>16</v>
      </c>
      <c r="AP748" s="174">
        <v>36</v>
      </c>
      <c r="AQ748" s="175">
        <f>VLOOKUP(C748,$B$45:$AA$48,13,FALSE)</f>
        <v>412</v>
      </c>
      <c r="AR748" s="31">
        <f>IF(LEFT(E748,1)*1=1,$S$60,$R$60)</f>
        <v>1</v>
      </c>
      <c r="AS748" s="2">
        <f>IF(LEFT(E748,1)*1=2,$U$60,$T$60)</f>
        <v>1</v>
      </c>
      <c r="AT748" s="33">
        <f>IF(LEFT(E748,1)*1=3,$W$60,$V$60)</f>
        <v>0</v>
      </c>
      <c r="AU748" s="31">
        <f>IF(MID(E748,3,1)*1=1,$Y$60,$X$60)</f>
        <v>1</v>
      </c>
      <c r="AV748" s="2">
        <f>IF(MID(E748,3,1)*1=2,$AA$60,$Z$60)</f>
        <v>0</v>
      </c>
      <c r="AW748" s="33">
        <f>IF(MID(E748,3,1)*1=3,$AC$60,$AB$60)</f>
        <v>0</v>
      </c>
      <c r="AX748" s="31">
        <f>IF(MID(E748,5,1)*1=1,$AE$60,$AD$60)</f>
        <v>1</v>
      </c>
      <c r="AY748" s="33">
        <f>IF(MID(E748,5,1)*1=2,$AG$60,$AF$60)</f>
        <v>100</v>
      </c>
      <c r="AZ748" s="2"/>
      <c r="BA748" s="101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</row>
    <row r="749" spans="1:71" ht="12" customHeight="1">
      <c r="A749" s="2"/>
      <c r="B749" s="107">
        <v>168</v>
      </c>
      <c r="C749" s="31">
        <v>10</v>
      </c>
      <c r="D749" s="106" t="s">
        <v>10</v>
      </c>
      <c r="E749" s="2" t="s">
        <v>151</v>
      </c>
      <c r="F749" s="2" t="s">
        <v>149</v>
      </c>
      <c r="G749" s="2"/>
      <c r="H749" s="33"/>
      <c r="I749" s="173">
        <f>M749/AE749</f>
        <v>443.00055807467885</v>
      </c>
      <c r="J749" s="174">
        <f>AH749/AE749</f>
        <v>25.811482952392598</v>
      </c>
      <c r="K749" s="207">
        <f>RANK(I749,$I$76:$I$977)</f>
        <v>673</v>
      </c>
      <c r="L749" s="208" t="e">
        <f>RANK(I749,$I$76:$I$450)</f>
        <v>#N/A</v>
      </c>
      <c r="M749" s="173">
        <f>SUM(N749:R749)</f>
        <v>7071.1252919255194</v>
      </c>
      <c r="N749" s="174">
        <f>T749*(1+((AG749+IF(F749="백어택",8,0))/100)*((AI749/100-1)))</f>
        <v>7071.1252919255194</v>
      </c>
      <c r="O749" s="174"/>
      <c r="P749" s="174"/>
      <c r="Q749" s="174"/>
      <c r="R749" s="175"/>
      <c r="S749" s="173">
        <f>SUM(T749:X749)</f>
        <v>4858.9746556507316</v>
      </c>
      <c r="T749" s="174">
        <f>AL749*AS749*AU749*AX749*IF(AY749=0,1,0.5)*IF(F749="백어택",1.2,1)</f>
        <v>4858.9746556507316</v>
      </c>
      <c r="U749" s="174"/>
      <c r="V749" s="174"/>
      <c r="W749" s="174"/>
      <c r="X749" s="175"/>
      <c r="Y749" s="173">
        <f>SUM(Z749:AD749)</f>
        <v>13051.730694340675</v>
      </c>
      <c r="Z749" s="174">
        <f>T749*AI749/100</f>
        <v>13051.730694340675</v>
      </c>
      <c r="AA749" s="174"/>
      <c r="AB749" s="174"/>
      <c r="AC749" s="174"/>
      <c r="AD749" s="175"/>
      <c r="AE749" s="173">
        <f>AO749*(1-$D$17/100)</f>
        <v>15.961888</v>
      </c>
      <c r="AF749" s="174">
        <f>AP749</f>
        <v>36</v>
      </c>
      <c r="AG749" s="174">
        <f>IF($D$57+AV749&gt;100,100,$D$57+AV749)</f>
        <v>19.001300000000001</v>
      </c>
      <c r="AH749" s="174">
        <f>AQ749</f>
        <v>412</v>
      </c>
      <c r="AI749" s="174">
        <f>$D$58+$D$19</f>
        <v>268.61079999999998</v>
      </c>
      <c r="AJ749" s="174">
        <f>10*AR749/(7-IF(AX749=1,0,3))</f>
        <v>1.2142857142857142</v>
      </c>
      <c r="AK749" s="174">
        <f>SUM(AL749:AN749)</f>
        <v>8098.2910927512203</v>
      </c>
      <c r="AL749" s="174">
        <f>(VLOOKUP(C749,$B$36:$AG$39,13,FALSE)+VLOOKUP(C749,$B$40:$AG$43,13,FALSE)*$D$54)*$D$59/100</f>
        <v>8098.2910927512203</v>
      </c>
      <c r="AM749" s="174"/>
      <c r="AN749" s="174"/>
      <c r="AO749" s="176">
        <v>16</v>
      </c>
      <c r="AP749" s="174">
        <v>36</v>
      </c>
      <c r="AQ749" s="175">
        <f>VLOOKUP(C749,$B$45:$AA$48,13,FALSE)</f>
        <v>412</v>
      </c>
      <c r="AR749" s="31">
        <f>IF(LEFT(E749,1)*1=1,$S$60,$R$60)</f>
        <v>0.85</v>
      </c>
      <c r="AS749" s="2">
        <f>IF(LEFT(E749,1)*1=2,$U$60,$T$60)</f>
        <v>1</v>
      </c>
      <c r="AT749" s="33">
        <f>IF(LEFT(E749,1)*1=3,$W$60,$V$60)</f>
        <v>0</v>
      </c>
      <c r="AU749" s="31">
        <f>IF(MID(E749,3,1)*1=1,$Y$60,$X$60)</f>
        <v>1</v>
      </c>
      <c r="AV749" s="2">
        <f>IF(MID(E749,3,1)*1=2,$AA$60,$Z$60)</f>
        <v>0</v>
      </c>
      <c r="AW749" s="33">
        <f>IF(MID(E749,3,1)*1=3,$AC$60,$AB$60)</f>
        <v>0</v>
      </c>
      <c r="AX749" s="31">
        <f>IF(MID(E749,5,1)*1=1,$AE$60,$AD$60)</f>
        <v>1</v>
      </c>
      <c r="AY749" s="33">
        <f>IF(MID(E749,5,1)*1=2,$AG$60,$AF$60)</f>
        <v>100</v>
      </c>
      <c r="AZ749" s="2"/>
      <c r="BA749" s="101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</row>
    <row r="750" spans="1:71" ht="12" customHeight="1">
      <c r="A750" s="2"/>
      <c r="B750" s="107">
        <v>792</v>
      </c>
      <c r="C750" s="31">
        <v>10</v>
      </c>
      <c r="D750" s="113" t="s">
        <v>9</v>
      </c>
      <c r="E750" s="2" t="s">
        <v>144</v>
      </c>
      <c r="F750" s="2"/>
      <c r="G750" s="2"/>
      <c r="H750" s="33"/>
      <c r="I750" s="173">
        <f>M750/AE750</f>
        <v>442.7263126810405</v>
      </c>
      <c r="J750" s="174">
        <f>AH750/AE750</f>
        <v>18.293575296355918</v>
      </c>
      <c r="K750" s="207">
        <f>RANK(I750,$I$76:$I$977)</f>
        <v>675</v>
      </c>
      <c r="L750" s="208" t="e">
        <f>RANK(I750,$I$867:$I$977)</f>
        <v>#N/A</v>
      </c>
      <c r="M750" s="173">
        <f>SUM(N750:R750)*(1+$D$22/100)</f>
        <v>15900.182589752434</v>
      </c>
      <c r="N750" s="174">
        <f>T750*(1+((AG750+IF(F750="백어택",8,0))/100)*(AI750/100-1))</f>
        <v>8192.8588629081605</v>
      </c>
      <c r="O750" s="174">
        <f>U750*(1+($D$57/100)*(AI750/100-1))</f>
        <v>6133.2200223811205</v>
      </c>
      <c r="P750" s="174"/>
      <c r="Q750" s="174"/>
      <c r="R750" s="175">
        <f>X750*(1+($D$57/100)*(AI750/100-1))</f>
        <v>0</v>
      </c>
      <c r="S750" s="173">
        <f>SUM(T750:X750)</f>
        <v>12038.590238332927</v>
      </c>
      <c r="T750" s="174">
        <f>AL750*AU750*AY750</f>
        <v>6884.6801361902444</v>
      </c>
      <c r="U750" s="174">
        <f>AM750*AX750</f>
        <v>5153.9101021426832</v>
      </c>
      <c r="V750" s="174"/>
      <c r="W750" s="174"/>
      <c r="X750" s="175">
        <f>AM750*AS750</f>
        <v>0</v>
      </c>
      <c r="Y750" s="173">
        <f>SUM(Z750:AD750)</f>
        <v>24077.180476665853</v>
      </c>
      <c r="Z750" s="174">
        <f>T750*$D$58/100</f>
        <v>13769.360272380489</v>
      </c>
      <c r="AA750" s="174">
        <f>U750*$D$58/100</f>
        <v>10307.820204285366</v>
      </c>
      <c r="AB750" s="174"/>
      <c r="AC750" s="174"/>
      <c r="AD750" s="175">
        <f>X750*$D$58/100</f>
        <v>0</v>
      </c>
      <c r="AE750" s="173">
        <f>AO750*(1-$D$17/100)</f>
        <v>35.914248000000001</v>
      </c>
      <c r="AF750" s="174">
        <f>AP750</f>
        <v>36</v>
      </c>
      <c r="AG750" s="174">
        <f>IF($D$57+AW750&gt;100,100,$D$57+AW750)</f>
        <v>19.001300000000001</v>
      </c>
      <c r="AH750" s="174">
        <f>AQ750</f>
        <v>657</v>
      </c>
      <c r="AI750" s="174">
        <f>$D$58</f>
        <v>200</v>
      </c>
      <c r="AJ750" s="174">
        <f>10/(6+AT750)</f>
        <v>1.6666666666666667</v>
      </c>
      <c r="AK750" s="174">
        <f>SUM(AL750:AN750)</f>
        <v>8602.6501702378046</v>
      </c>
      <c r="AL750" s="174">
        <f>(VLOOKUP(C750,$B$36:$AG$39,11,FALSE)+VLOOKUP(C750,$B$40:$AG$43,11,FALSE)*$D$54)*$D$59/100</f>
        <v>6884.6801361902444</v>
      </c>
      <c r="AM750" s="174">
        <f>(3*(VLOOKUP(C750,$B$36:$AG$39,12,FALSE)+VLOOKUP(C750,$B$40:$AG$43,12,FALSE)*$D$54))*$D$59/100</f>
        <v>1717.9700340475611</v>
      </c>
      <c r="AN750" s="174"/>
      <c r="AO750" s="176">
        <v>36</v>
      </c>
      <c r="AP750" s="174">
        <v>36</v>
      </c>
      <c r="AQ750" s="175">
        <f>VLOOKUP(C750,$B$45:$AA$48,11,FALSE)</f>
        <v>657</v>
      </c>
      <c r="AR750" s="31">
        <f>IF(LEFT(E750,1)*1=1,$S$59,$R$59)</f>
        <v>0</v>
      </c>
      <c r="AS750" s="2">
        <f>IF(LEFT(E750,1)*1=2,$U$59,$T$59)</f>
        <v>0</v>
      </c>
      <c r="AT750" s="33">
        <f>IF(LEFT(E750,1)*1=3,$W$59,$V$59)</f>
        <v>0</v>
      </c>
      <c r="AU750" s="31">
        <f>IF(MID(E750,3,1)*1=1,$Y$59,$X$59)</f>
        <v>1</v>
      </c>
      <c r="AV750" s="2">
        <f>IF(MID(E750,3,1)*1=2,$AA$59,$Z$59)</f>
        <v>0</v>
      </c>
      <c r="AW750" s="33">
        <f>IF(MID(E750,3,1)*1=3,$AC$59,$AB$59)</f>
        <v>0</v>
      </c>
      <c r="AX750" s="31">
        <f>IF(MID(E750,5,1)*1=1,$AE$59,$AD$59)</f>
        <v>3</v>
      </c>
      <c r="AY750" s="33">
        <f>IF(MID(E750,5,1)*1=2,$AG$59,$AF$59)</f>
        <v>1</v>
      </c>
      <c r="AZ750" s="2"/>
      <c r="BA750" s="101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</row>
    <row r="751" spans="1:71" ht="12" customHeight="1">
      <c r="A751" s="2"/>
      <c r="B751" s="107">
        <v>798</v>
      </c>
      <c r="C751" s="31">
        <v>10</v>
      </c>
      <c r="D751" s="113" t="s">
        <v>9</v>
      </c>
      <c r="E751" s="2" t="s">
        <v>146</v>
      </c>
      <c r="F751" s="2"/>
      <c r="G751" s="2"/>
      <c r="H751" s="33"/>
      <c r="I751" s="173">
        <f>M751/AE751</f>
        <v>442.7263126810405</v>
      </c>
      <c r="J751" s="174">
        <f>AH751/AE751</f>
        <v>18.293575296355918</v>
      </c>
      <c r="K751" s="207">
        <f>RANK(I751,$I$76:$I$977)</f>
        <v>675</v>
      </c>
      <c r="L751" s="208" t="e">
        <f>RANK(I751,$I$867:$I$977)</f>
        <v>#N/A</v>
      </c>
      <c r="M751" s="173">
        <f>SUM(N751:R751)*(1+$D$22/100)</f>
        <v>15900.182589752434</v>
      </c>
      <c r="N751" s="174">
        <f>T751*(1+((AG751+IF(F751="백어택",8,0))/100)*(AI751/100-1))</f>
        <v>8192.8588629081605</v>
      </c>
      <c r="O751" s="174">
        <f>U751*(1+($D$57/100)*(AI751/100-1))</f>
        <v>6133.2200223811205</v>
      </c>
      <c r="P751" s="174"/>
      <c r="Q751" s="174"/>
      <c r="R751" s="175">
        <f>X751*(1+($D$57/100)*(AI751/100-1))</f>
        <v>0</v>
      </c>
      <c r="S751" s="173">
        <f>SUM(T751:X751)</f>
        <v>12038.590238332927</v>
      </c>
      <c r="T751" s="174">
        <f>AL751*AU751*AY751</f>
        <v>6884.6801361902444</v>
      </c>
      <c r="U751" s="174">
        <f>AM751*AX751</f>
        <v>5153.9101021426832</v>
      </c>
      <c r="V751" s="174"/>
      <c r="W751" s="174"/>
      <c r="X751" s="175">
        <f>AM751*AS751</f>
        <v>0</v>
      </c>
      <c r="Y751" s="173">
        <f>SUM(Z751:AD751)</f>
        <v>24077.180476665853</v>
      </c>
      <c r="Z751" s="174">
        <f>T751*$D$58/100</f>
        <v>13769.360272380489</v>
      </c>
      <c r="AA751" s="174">
        <f>U751*$D$58/100</f>
        <v>10307.820204285366</v>
      </c>
      <c r="AB751" s="174"/>
      <c r="AC751" s="174"/>
      <c r="AD751" s="175">
        <f>X751*$D$58/100</f>
        <v>0</v>
      </c>
      <c r="AE751" s="173">
        <f>AO751*(1-$D$17/100)</f>
        <v>35.914248000000001</v>
      </c>
      <c r="AF751" s="174">
        <f>AP751</f>
        <v>36</v>
      </c>
      <c r="AG751" s="174">
        <f>IF($D$57+AW751&gt;100,100,$D$57+AW751)</f>
        <v>19.001300000000001</v>
      </c>
      <c r="AH751" s="174">
        <f>AQ751</f>
        <v>657</v>
      </c>
      <c r="AI751" s="174">
        <f>$D$58</f>
        <v>200</v>
      </c>
      <c r="AJ751" s="174">
        <f>10/(6+AT751)</f>
        <v>1.4285714285714286</v>
      </c>
      <c r="AK751" s="174">
        <f>SUM(AL751:AN751)</f>
        <v>8602.6501702378046</v>
      </c>
      <c r="AL751" s="174">
        <f>(VLOOKUP(C751,$B$36:$AG$39,11,FALSE)+VLOOKUP(C751,$B$40:$AG$43,11,FALSE)*$D$54)*$D$59/100</f>
        <v>6884.6801361902444</v>
      </c>
      <c r="AM751" s="174">
        <f>(3*(VLOOKUP(C751,$B$36:$AG$39,12,FALSE)+VLOOKUP(C751,$B$40:$AG$43,12,FALSE)*$D$54))*$D$59/100</f>
        <v>1717.9700340475611</v>
      </c>
      <c r="AN751" s="174"/>
      <c r="AO751" s="176">
        <v>36</v>
      </c>
      <c r="AP751" s="174">
        <v>36</v>
      </c>
      <c r="AQ751" s="175">
        <f>VLOOKUP(C751,$B$45:$AA$48,11,FALSE)</f>
        <v>657</v>
      </c>
      <c r="AR751" s="31">
        <f>IF(LEFT(E751,1)*1=1,$S$59,$R$59)</f>
        <v>0</v>
      </c>
      <c r="AS751" s="2">
        <f>IF(LEFT(E751,1)*1=2,$U$59,$T$59)</f>
        <v>0</v>
      </c>
      <c r="AT751" s="33">
        <f>IF(LEFT(E751,1)*1=3,$W$59,$V$59)</f>
        <v>1</v>
      </c>
      <c r="AU751" s="31">
        <f>IF(MID(E751,3,1)*1=1,$Y$59,$X$59)</f>
        <v>1</v>
      </c>
      <c r="AV751" s="2">
        <f>IF(MID(E751,3,1)*1=2,$AA$59,$Z$59)</f>
        <v>0</v>
      </c>
      <c r="AW751" s="33">
        <f>IF(MID(E751,3,1)*1=3,$AC$59,$AB$59)</f>
        <v>0</v>
      </c>
      <c r="AX751" s="31">
        <f>IF(MID(E751,5,1)*1=1,$AE$59,$AD$59)</f>
        <v>3</v>
      </c>
      <c r="AY751" s="33">
        <f>IF(MID(E751,5,1)*1=2,$AG$59,$AF$59)</f>
        <v>1</v>
      </c>
      <c r="AZ751" s="2"/>
      <c r="BA751" s="101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</row>
    <row r="752" spans="1:71" ht="12" customHeight="1">
      <c r="A752" s="2"/>
      <c r="B752" s="107">
        <v>894</v>
      </c>
      <c r="C752" s="31">
        <v>7</v>
      </c>
      <c r="D752" s="113" t="s">
        <v>22</v>
      </c>
      <c r="E752" s="2" t="s">
        <v>67</v>
      </c>
      <c r="F752" s="2"/>
      <c r="G752" s="2"/>
      <c r="H752" s="33"/>
      <c r="I752" s="173">
        <f>M752/AE752</f>
        <v>440.38466210037728</v>
      </c>
      <c r="J752" s="174">
        <f>AH752/AE752</f>
        <v>13.766124241276053</v>
      </c>
      <c r="K752" s="207">
        <f>RANK(I752,$I$76:$I$977)</f>
        <v>677</v>
      </c>
      <c r="L752" s="208" t="e">
        <f>RANK(I752,$I$867:$I$977)</f>
        <v>#N/A</v>
      </c>
      <c r="M752" s="173">
        <f>SUM(N752:R752)*(1+$D$22/100)</f>
        <v>13180.069975057626</v>
      </c>
      <c r="N752" s="174">
        <f>T752*(1+((AG752+IF(F752="백어택",8,0))/100)*(AI752/100-1))</f>
        <v>11875.254960782697</v>
      </c>
      <c r="O752" s="174"/>
      <c r="P752" s="174"/>
      <c r="Q752" s="174"/>
      <c r="R752" s="175">
        <f>X752*(1+($D$57/100)*(AI752/100-1))</f>
        <v>0</v>
      </c>
      <c r="S752" s="173">
        <f>SUM(T752:X752)</f>
        <v>9979.0968340536583</v>
      </c>
      <c r="T752" s="174">
        <f>AL752*AU752</f>
        <v>9979.0968340536583</v>
      </c>
      <c r="U752" s="174"/>
      <c r="V752" s="174"/>
      <c r="W752" s="174"/>
      <c r="X752" s="175">
        <f>AL752*AW752</f>
        <v>0</v>
      </c>
      <c r="Y752" s="173">
        <f>SUM(Z752:AD752)</f>
        <v>19958.193668107317</v>
      </c>
      <c r="Z752" s="174">
        <f>T752*$D$58/100</f>
        <v>19958.193668107317</v>
      </c>
      <c r="AA752" s="174"/>
      <c r="AB752" s="174"/>
      <c r="AC752" s="174"/>
      <c r="AD752" s="175"/>
      <c r="AE752" s="173">
        <f>AO752*(1-$D$17/100)</f>
        <v>29.928540000000002</v>
      </c>
      <c r="AF752" s="174">
        <f>AP752+AV752</f>
        <v>36</v>
      </c>
      <c r="AG752" s="174">
        <f>IF($D$57+AY752&gt;100,100,$D$57+AY752)</f>
        <v>19.001300000000001</v>
      </c>
      <c r="AH752" s="174">
        <f>AQ752*AR752</f>
        <v>412</v>
      </c>
      <c r="AI752" s="174">
        <f>$D$58</f>
        <v>200</v>
      </c>
      <c r="AJ752" s="174">
        <f>10/5</f>
        <v>2</v>
      </c>
      <c r="AK752" s="174">
        <f>SUM(AL752:AN752)</f>
        <v>9979.0968340536583</v>
      </c>
      <c r="AL752" s="174">
        <f>(VLOOKUP(C752,$B$36:$AG$39,32,FALSE)+VLOOKUP(C752,$B$40:$AG$43,32,FALSE)*$D$54)*$D$59/100</f>
        <v>9979.0968340536583</v>
      </c>
      <c r="AM752" s="174"/>
      <c r="AN752" s="174"/>
      <c r="AO752" s="176">
        <v>30</v>
      </c>
      <c r="AP752" s="174">
        <v>36</v>
      </c>
      <c r="AQ752" s="175">
        <f>VLOOKUP(C752,$B$45:$AG$48,32,FALSE)</f>
        <v>412</v>
      </c>
      <c r="AR752" s="31">
        <f>IF(LEFT(E752,1)*1=1,$S$72,$R$72)</f>
        <v>1</v>
      </c>
      <c r="AS752" s="2">
        <f>IF(LEFT(E752,1)*1=2,$U$72,$T$72)</f>
        <v>0</v>
      </c>
      <c r="AT752" s="33">
        <f>IF(LEFT(E752,1)*1=3,$W$72,$V$72)</f>
        <v>0</v>
      </c>
      <c r="AU752" s="31">
        <f>IF(MID(E752,3,1)*1=1,$Y$72,$X$72)</f>
        <v>1</v>
      </c>
      <c r="AV752" s="2">
        <f>IF(MID(E752,3,1)*1=2,$AA$72,$Z$72)</f>
        <v>0</v>
      </c>
      <c r="AW752" s="33">
        <f>IF(MID(E752,3,1)*1=3,$AC$72,$AB$72)</f>
        <v>0</v>
      </c>
      <c r="AX752" s="31">
        <f>IF(MID(E752,5,1)*1=1,$AE$72,$AD$72)</f>
        <v>0</v>
      </c>
      <c r="AY752" s="33">
        <f>IF(MID(E752,5,1)*1=2,$AG$72,$AF$72)</f>
        <v>0</v>
      </c>
      <c r="AZ752" s="2"/>
      <c r="BA752" s="101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</row>
    <row r="753" spans="1:71" ht="12" customHeight="1">
      <c r="A753" s="2"/>
      <c r="B753" s="107">
        <v>897</v>
      </c>
      <c r="C753" s="31">
        <v>7</v>
      </c>
      <c r="D753" s="113" t="s">
        <v>22</v>
      </c>
      <c r="E753" s="2" t="s">
        <v>148</v>
      </c>
      <c r="F753" s="2"/>
      <c r="G753" s="2"/>
      <c r="H753" s="33"/>
      <c r="I753" s="173">
        <f>M753/AE753</f>
        <v>440.38466210037728</v>
      </c>
      <c r="J753" s="174">
        <f>AH753/AE753</f>
        <v>6.8830621206380265</v>
      </c>
      <c r="K753" s="207">
        <f>RANK(I753,$I$76:$I$977)</f>
        <v>677</v>
      </c>
      <c r="L753" s="208" t="e">
        <f>RANK(I753,$I$867:$I$977)</f>
        <v>#N/A</v>
      </c>
      <c r="M753" s="173">
        <f>SUM(N753:R753)*(1+$D$22/100)</f>
        <v>13180.069975057626</v>
      </c>
      <c r="N753" s="174">
        <f>T753*(1+((AG753+IF(F753="백어택",8,0))/100)*(AI753/100-1))</f>
        <v>11875.254960782697</v>
      </c>
      <c r="O753" s="174"/>
      <c r="P753" s="174"/>
      <c r="Q753" s="174"/>
      <c r="R753" s="175">
        <f>X753*(1+($D$57/100)*(AI753/100-1))</f>
        <v>0</v>
      </c>
      <c r="S753" s="173">
        <f>SUM(T753:X753)</f>
        <v>9979.0968340536583</v>
      </c>
      <c r="T753" s="174">
        <f>AL753*AU753</f>
        <v>9979.0968340536583</v>
      </c>
      <c r="U753" s="174"/>
      <c r="V753" s="174"/>
      <c r="W753" s="174"/>
      <c r="X753" s="175">
        <f>AL753*AW753</f>
        <v>0</v>
      </c>
      <c r="Y753" s="173">
        <f>SUM(Z753:AD753)</f>
        <v>19958.193668107317</v>
      </c>
      <c r="Z753" s="174">
        <f>T753*$D$58/100</f>
        <v>19958.193668107317</v>
      </c>
      <c r="AA753" s="174"/>
      <c r="AB753" s="174"/>
      <c r="AC753" s="174"/>
      <c r="AD753" s="175"/>
      <c r="AE753" s="173">
        <f>AO753*(1-$D$17/100)</f>
        <v>29.928540000000002</v>
      </c>
      <c r="AF753" s="174">
        <f>AP753+AV753</f>
        <v>36</v>
      </c>
      <c r="AG753" s="174">
        <f>IF($D$57+AY753&gt;100,100,$D$57+AY753)</f>
        <v>19.001300000000001</v>
      </c>
      <c r="AH753" s="174">
        <f>AQ753*AR753</f>
        <v>206</v>
      </c>
      <c r="AI753" s="174">
        <f>$D$58</f>
        <v>200</v>
      </c>
      <c r="AJ753" s="174">
        <f>10/5</f>
        <v>2</v>
      </c>
      <c r="AK753" s="174">
        <f>SUM(AL753:AN753)</f>
        <v>9979.0968340536583</v>
      </c>
      <c r="AL753" s="174">
        <f>(VLOOKUP(C753,$B$36:$AG$39,32,FALSE)+VLOOKUP(C753,$B$40:$AG$43,32,FALSE)*$D$54)*$D$59/100</f>
        <v>9979.0968340536583</v>
      </c>
      <c r="AM753" s="174"/>
      <c r="AN753" s="174"/>
      <c r="AO753" s="176">
        <v>30</v>
      </c>
      <c r="AP753" s="174">
        <v>36</v>
      </c>
      <c r="AQ753" s="175">
        <f>VLOOKUP(C753,$B$45:$AG$48,32,FALSE)</f>
        <v>412</v>
      </c>
      <c r="AR753" s="31">
        <f>IF(LEFT(E753,1)*1=1,$S$72,$R$72)</f>
        <v>0.5</v>
      </c>
      <c r="AS753" s="2">
        <f>IF(LEFT(E753,1)*1=2,$U$72,$T$72)</f>
        <v>0</v>
      </c>
      <c r="AT753" s="33">
        <f>IF(LEFT(E753,1)*1=3,$W$72,$V$72)</f>
        <v>0</v>
      </c>
      <c r="AU753" s="31">
        <f>IF(MID(E753,3,1)*1=1,$Y$72,$X$72)</f>
        <v>1</v>
      </c>
      <c r="AV753" s="2">
        <f>IF(MID(E753,3,1)*1=2,$AA$72,$Z$72)</f>
        <v>0</v>
      </c>
      <c r="AW753" s="33">
        <f>IF(MID(E753,3,1)*1=3,$AC$72,$AB$72)</f>
        <v>0</v>
      </c>
      <c r="AX753" s="31">
        <f>IF(MID(E753,5,1)*1=1,$AE$72,$AD$72)</f>
        <v>0</v>
      </c>
      <c r="AY753" s="33">
        <f>IF(MID(E753,5,1)*1=2,$AG$72,$AF$72)</f>
        <v>0</v>
      </c>
      <c r="AZ753" s="2"/>
      <c r="BA753" s="101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</row>
    <row r="754" spans="1:71" ht="12" hidden="1" customHeight="1">
      <c r="A754" s="2"/>
      <c r="B754" s="107">
        <v>142</v>
      </c>
      <c r="C754" s="31">
        <v>10</v>
      </c>
      <c r="D754" s="106" t="s">
        <v>7</v>
      </c>
      <c r="E754" s="2" t="s">
        <v>102</v>
      </c>
      <c r="F754" s="2"/>
      <c r="G754" s="2" t="s">
        <v>184</v>
      </c>
      <c r="H754" s="33"/>
      <c r="I754" s="173">
        <f>M754/AE754</f>
        <v>439.30431806211016</v>
      </c>
      <c r="J754" s="174">
        <f>AH754/AE754</f>
        <v>49.51023339726175</v>
      </c>
      <c r="K754" s="207">
        <f>RANK(I754,$I$76:$I$977)</f>
        <v>679</v>
      </c>
      <c r="L754" s="208" t="e">
        <f>RANK(I754,$I$76:$I$450)</f>
        <v>#N/A</v>
      </c>
      <c r="M754" s="173">
        <f>N754+R754/2</f>
        <v>2626.4081024020456</v>
      </c>
      <c r="N754" s="174">
        <f>T754*(1+((AG754+IF(F754="백어택",8,0))/100)*((AI754/100-1)))</f>
        <v>2173.5791192292791</v>
      </c>
      <c r="O754" s="174"/>
      <c r="P754" s="174"/>
      <c r="Q754" s="174"/>
      <c r="R754" s="175">
        <f>X754*(1+(AG754/100)*(AI754/100-1))</f>
        <v>905.65796634553283</v>
      </c>
      <c r="S754" s="173">
        <f>SUM(T754:X754)</f>
        <v>2332.0797018208841</v>
      </c>
      <c r="T754" s="174">
        <f>AL754*AV754*AX754</f>
        <v>1646.173907167683</v>
      </c>
      <c r="U754" s="174"/>
      <c r="V754" s="174"/>
      <c r="W754" s="174"/>
      <c r="X754" s="175">
        <f>AS754*AL754</f>
        <v>685.90579465320116</v>
      </c>
      <c r="Y754" s="173">
        <f>SUM(Z754:AD754)</f>
        <v>4664.1594036417682</v>
      </c>
      <c r="Z754" s="174">
        <f>T754*$D$58/100</f>
        <v>3292.3478143353659</v>
      </c>
      <c r="AA754" s="174"/>
      <c r="AB754" s="174"/>
      <c r="AC754" s="174"/>
      <c r="AD754" s="175">
        <f>X754*$D$58/100</f>
        <v>1371.8115893064023</v>
      </c>
      <c r="AE754" s="173">
        <f>AO754*(1-$D$17/100)-AY754</f>
        <v>5.9785620000000002</v>
      </c>
      <c r="AF754" s="174">
        <f>AP754</f>
        <v>36</v>
      </c>
      <c r="AG754" s="174">
        <f>IF($D$57&gt;100,100,$D$57)</f>
        <v>19.001300000000001</v>
      </c>
      <c r="AH754" s="174">
        <f>AQ754*AR754</f>
        <v>296</v>
      </c>
      <c r="AI754" s="174">
        <f>$D$58+$D$19</f>
        <v>268.61079999999998</v>
      </c>
      <c r="AJ754" s="174">
        <f>10*AX754*AU754/9</f>
        <v>1.1111111111111112</v>
      </c>
      <c r="AK754" s="174">
        <f>SUM(AL754:AN754)</f>
        <v>1097.4492714451219</v>
      </c>
      <c r="AL754" s="174">
        <f>(VLOOKUP(C754,$B$36:$AG$39,8,FALSE)+VLOOKUP(C754,$B$40:$AG$43,8,FALSE)*$D$54)*$D$59/100</f>
        <v>1097.4492714451219</v>
      </c>
      <c r="AM754" s="174"/>
      <c r="AN754" s="174"/>
      <c r="AO754" s="176">
        <v>9</v>
      </c>
      <c r="AP754" s="174">
        <v>36</v>
      </c>
      <c r="AQ754" s="175">
        <f>VLOOKUP(C754,$B$45:$AA$48,8,FALSE)</f>
        <v>296</v>
      </c>
      <c r="AR754" s="31">
        <f>IF(LEFT(E754,1)*1=1,$S$57,$R$57)</f>
        <v>1</v>
      </c>
      <c r="AS754" s="2">
        <f>IF(LEFT(E754,1)*1=2,$U$57,$T$57)</f>
        <v>0.625</v>
      </c>
      <c r="AT754" s="33">
        <f>IF(LEFT(E754,1)*1=3,$W$57,$V$57)</f>
        <v>0</v>
      </c>
      <c r="AU754" s="31">
        <f>IF(MID(E754,3,1)*1=1,$Y$57,$X$57)</f>
        <v>1</v>
      </c>
      <c r="AV754" s="2">
        <f>IF(MID(E754,3,1)*1=2,$AA$57,$Z$57)</f>
        <v>1.5</v>
      </c>
      <c r="AW754" s="33">
        <f>IF(MID(E754,3,1)*1=3,$AC$57,$AB$57)</f>
        <v>0</v>
      </c>
      <c r="AX754" s="31">
        <f>IF(MID(E754,5,1)*1=1,$AE$57,$AD$57)</f>
        <v>1</v>
      </c>
      <c r="AY754" s="33">
        <f>IF(MID(E754,5,1)*1=2,$AG$57,$AF$57)</f>
        <v>3</v>
      </c>
      <c r="AZ754" s="2"/>
      <c r="BA754" s="101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</row>
    <row r="755" spans="1:71" ht="12" customHeight="1">
      <c r="A755" s="2"/>
      <c r="B755" s="107">
        <v>867</v>
      </c>
      <c r="C755" s="31">
        <v>10</v>
      </c>
      <c r="D755" s="113" t="s">
        <v>19</v>
      </c>
      <c r="E755" s="2" t="s">
        <v>144</v>
      </c>
      <c r="F755" s="2"/>
      <c r="G755" s="2"/>
      <c r="H755" s="33">
        <f>IF(AY755=1,4,6)</f>
        <v>4</v>
      </c>
      <c r="I755" s="173">
        <f>M755/AE755</f>
        <v>435.67151484583997</v>
      </c>
      <c r="J755" s="174">
        <f>AH755/AE755</f>
        <v>21.760166048861723</v>
      </c>
      <c r="K755" s="207">
        <f>RANK(I755,$I$76:$I$977)</f>
        <v>680</v>
      </c>
      <c r="L755" s="208" t="e">
        <f>RANK(I755,$I$867:$I$977)</f>
        <v>#N/A</v>
      </c>
      <c r="M755" s="173">
        <f>SUM(N755:R755)*(1+$D$22/100)</f>
        <v>10431.209887139452</v>
      </c>
      <c r="N755" s="174">
        <f>T755*(1+($D$57/100)*($D$58/100-1))</f>
        <v>6016.1648310674855</v>
      </c>
      <c r="O755" s="174">
        <f>U755*(1+(AG755/100)*(AI755/100-1))</f>
        <v>3382.3647058499914</v>
      </c>
      <c r="P755" s="174"/>
      <c r="Q755" s="174"/>
      <c r="R755" s="175"/>
      <c r="S755" s="173">
        <f>SUM(T755:X755)</f>
        <v>7897.8377017036591</v>
      </c>
      <c r="T755" s="174">
        <f>AL755*AU755</f>
        <v>5055.5454697280493</v>
      </c>
      <c r="U755" s="174">
        <f>AM755*AU755</f>
        <v>2842.2922319756099</v>
      </c>
      <c r="V755" s="174"/>
      <c r="W755" s="174"/>
      <c r="X755" s="175"/>
      <c r="Y755" s="173">
        <f>SUM(Z755:AD755)</f>
        <v>15795.675403407318</v>
      </c>
      <c r="Z755" s="174">
        <f>T755*$D$58/100</f>
        <v>10111.090939456099</v>
      </c>
      <c r="AA755" s="174">
        <f>U755*$D$58/100</f>
        <v>5684.5844639512197</v>
      </c>
      <c r="AB755" s="174"/>
      <c r="AC755" s="174"/>
      <c r="AD755" s="175"/>
      <c r="AE755" s="173">
        <f>AO755*(1-$D$17/100)</f>
        <v>23.942831999999999</v>
      </c>
      <c r="AF755" s="174">
        <f>AP755</f>
        <v>36</v>
      </c>
      <c r="AG755" s="174">
        <f>IF($D$57+AT755&gt;100,100,$D$57+AT755)</f>
        <v>19.001300000000001</v>
      </c>
      <c r="AH755" s="174">
        <f>AQ755</f>
        <v>521</v>
      </c>
      <c r="AI755" s="174">
        <f>$D$58</f>
        <v>200</v>
      </c>
      <c r="AJ755" s="174">
        <f>10/IF(AY755=1,(2.5+AX755),2)</f>
        <v>2.8571428571428572</v>
      </c>
      <c r="AK755" s="174">
        <f>SUM(AL755:AN755)</f>
        <v>7897.8377017036591</v>
      </c>
      <c r="AL755" s="174">
        <f>(H755-1)*(VLOOKUP(C755,$B$36:$AG$39,27,FALSE)+VLOOKUP(C755,$B$40:$AG$43,27,FALSE)*$D$54)*$D$59/100</f>
        <v>5055.5454697280493</v>
      </c>
      <c r="AM755" s="174">
        <f>(VLOOKUP(C755,$B$36:$AG$39,28,FALSE)+VLOOKUP(C755,$B$40:$AG$43,28,FALSE)*$D$54)*$D$59/100</f>
        <v>2842.2922319756099</v>
      </c>
      <c r="AN755" s="174"/>
      <c r="AO755" s="176">
        <v>24</v>
      </c>
      <c r="AP755" s="174">
        <v>36</v>
      </c>
      <c r="AQ755" s="175">
        <f>VLOOKUP(C755,$B$45:$AG$48,27,FALSE)</f>
        <v>521</v>
      </c>
      <c r="AR755" s="31">
        <f>IF(LEFT(E755,1)*1=1,$S$69,$R$69)</f>
        <v>0</v>
      </c>
      <c r="AS755" s="2">
        <f>IF(LEFT(E755,1)*1=2,$U$69,$T$69)</f>
        <v>0</v>
      </c>
      <c r="AT755" s="33">
        <f>IF(LEFT(E755,1)*1=3,$W$69,$V$69)</f>
        <v>0</v>
      </c>
      <c r="AU755" s="31">
        <f>IF(MID(E755,3,1)*1=1,$Y$69,$X$69)</f>
        <v>1</v>
      </c>
      <c r="AV755" s="2">
        <f>IF(MID(E755,3,1)*1=2,$AA$69,$Z$69)</f>
        <v>0</v>
      </c>
      <c r="AW755" s="33">
        <f>IF(MID(E755,3,1)*1=3,$AC$69,$AB$69)</f>
        <v>0</v>
      </c>
      <c r="AX755" s="31">
        <f>IF(MID(E755,5,1)*1=1,$AE$69,$AD$69)</f>
        <v>1</v>
      </c>
      <c r="AY755" s="33">
        <f>IF(MID(E755,5,1)*1=2,$AG$69,$AF$69)</f>
        <v>1</v>
      </c>
      <c r="AZ755" s="2"/>
      <c r="BA755" s="101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</row>
    <row r="756" spans="1:71" ht="12" customHeight="1">
      <c r="A756" s="2"/>
      <c r="B756" s="107">
        <v>472</v>
      </c>
      <c r="C756" s="31">
        <v>7</v>
      </c>
      <c r="D756" s="111" t="s">
        <v>11</v>
      </c>
      <c r="E756" s="2" t="s">
        <v>67</v>
      </c>
      <c r="F756" s="2"/>
      <c r="G756" s="2"/>
      <c r="H756" s="33">
        <f>IF(AX756=1,5,1)</f>
        <v>5</v>
      </c>
      <c r="I756" s="173">
        <f>M756/AE756</f>
        <v>434.29687725769179</v>
      </c>
      <c r="J756" s="174">
        <f>AH756/AE756</f>
        <v>17.830889465642951</v>
      </c>
      <c r="K756" s="207">
        <f>RANK(I756,$I$76:$I$977)</f>
        <v>681</v>
      </c>
      <c r="L756" s="208">
        <f>RANK(I756,$I$451:$I$866)</f>
        <v>306</v>
      </c>
      <c r="M756" s="173">
        <f>SUM(N756:R756)</f>
        <v>10034.85068846043</v>
      </c>
      <c r="N756" s="174">
        <f>T756*(1+(AG756/100)*(AI756/100-1))</f>
        <v>9292.427276372704</v>
      </c>
      <c r="O756" s="174">
        <f>U756*(1+(AG756/100)*(AI756/100-1))</f>
        <v>742.42341208772552</v>
      </c>
      <c r="P756" s="174"/>
      <c r="Q756" s="174"/>
      <c r="R756" s="175"/>
      <c r="S756" s="173">
        <f>T756</f>
        <v>7808.677112243904</v>
      </c>
      <c r="T756" s="174">
        <f>H756*AL756*AX756</f>
        <v>7808.677112243904</v>
      </c>
      <c r="U756" s="174">
        <f>AM756*AV756</f>
        <v>623.87840476341478</v>
      </c>
      <c r="V756" s="174"/>
      <c r="W756" s="174"/>
      <c r="X756" s="175"/>
      <c r="Y756" s="173">
        <f>SUM(Z756:AD756)</f>
        <v>16865.111034014637</v>
      </c>
      <c r="Z756" s="174">
        <f>T756*$D$58/100</f>
        <v>15617.354224487808</v>
      </c>
      <c r="AA756" s="174">
        <f>U756*$D$58/100</f>
        <v>1247.7568095268296</v>
      </c>
      <c r="AB756" s="174"/>
      <c r="AC756" s="174"/>
      <c r="AD756" s="175"/>
      <c r="AE756" s="173">
        <f>AO756*(1-$D$20/100)*(1-$D$17/100)-AR756</f>
        <v>23.105970164519999</v>
      </c>
      <c r="AF756" s="174">
        <f>AP756</f>
        <v>36</v>
      </c>
      <c r="AG756" s="174">
        <f>IF($D$57+AS756&gt;100,100,$D$57+AS756)</f>
        <v>19.001300000000001</v>
      </c>
      <c r="AH756" s="174">
        <f>AQ756</f>
        <v>412</v>
      </c>
      <c r="AI756" s="174">
        <f>$D$58</f>
        <v>200</v>
      </c>
      <c r="AJ756" s="174">
        <f>10/IF(AX756=1,7,6)</f>
        <v>1.4285714285714286</v>
      </c>
      <c r="AK756" s="174">
        <f>SUM(AL756:AN756)</f>
        <v>2185.6138272121957</v>
      </c>
      <c r="AL756" s="174">
        <f>(VLOOKUP(C756,$B$36:$AG$39,14,FALSE)+VLOOKUP(C756,$B$40:$AG$43,14,FALSE)*$D$54)*$D$59/100</f>
        <v>1561.7354224487808</v>
      </c>
      <c r="AM756" s="174">
        <f>(VLOOKUP(C756,$B$36:$AG$39,15,FALSE)+VLOOKUP(C756,$B$40:$AG$43,15,FALSE)*$D$54)*$D$59/100</f>
        <v>623.87840476341478</v>
      </c>
      <c r="AN756" s="174"/>
      <c r="AO756" s="176">
        <v>30</v>
      </c>
      <c r="AP756" s="174">
        <v>36</v>
      </c>
      <c r="AQ756" s="175">
        <f>VLOOKUP(C756,$B$45:$AA$48,14,FALSE)</f>
        <v>412</v>
      </c>
      <c r="AR756" s="31">
        <f>IF(LEFT(E756,1)*1=1,$S$61,$R$61)</f>
        <v>0</v>
      </c>
      <c r="AS756" s="2">
        <f>IF(LEFT(E756,1)*1=2,$U$61,$T$61)</f>
        <v>0</v>
      </c>
      <c r="AT756" s="33">
        <f>IF(LEFT(E756,1)*1=3,$W$61,$V$61)</f>
        <v>0</v>
      </c>
      <c r="AU756" s="31">
        <f>IF(MID(E756,3,1)*1=1,$Y$61,$X$61)</f>
        <v>0</v>
      </c>
      <c r="AV756" s="2">
        <f>IF(MID(E756,3,1)*1=2,$AA$61,$Z$61)</f>
        <v>1</v>
      </c>
      <c r="AW756" s="33">
        <f>IF(MID(E756,3,1)*1=3,$AC$61,$AB$61)</f>
        <v>0</v>
      </c>
      <c r="AX756" s="31">
        <f>IF(MID(E756,5,1)*1=1,$AE$61,$AD$61)</f>
        <v>1</v>
      </c>
      <c r="AY756" s="33">
        <f>IF(MID(E756,5,1)*1=2,$AG$61,$AF$61)</f>
        <v>0</v>
      </c>
      <c r="AZ756" s="2"/>
      <c r="BA756" s="101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</row>
    <row r="757" spans="1:71" ht="12" customHeight="1">
      <c r="A757" s="2"/>
      <c r="B757" s="107">
        <v>114</v>
      </c>
      <c r="C757" s="31">
        <v>7</v>
      </c>
      <c r="D757" s="106" t="s">
        <v>6</v>
      </c>
      <c r="E757" s="2" t="s">
        <v>91</v>
      </c>
      <c r="F757" s="2"/>
      <c r="G757" s="2" t="s">
        <v>86</v>
      </c>
      <c r="H757" s="33"/>
      <c r="I757" s="173">
        <f>M757/AE757</f>
        <v>432.33567298295009</v>
      </c>
      <c r="J757" s="174">
        <f>AH757/AE757</f>
        <v>16.338919305786384</v>
      </c>
      <c r="K757" s="207">
        <f>RANK(I757,$I$76:$I$977)</f>
        <v>682</v>
      </c>
      <c r="L757" s="208" t="e">
        <f>RANK(I757,$I$76:$I$450)</f>
        <v>#N/A</v>
      </c>
      <c r="M757" s="173">
        <f>SUM(N757:R757)</f>
        <v>8626.1169881980932</v>
      </c>
      <c r="N757" s="174">
        <f>T757*(1+((AG757+IF(F757="백어택",8,0))/100)*((AI757/100-1)))</f>
        <v>8626.1169881980932</v>
      </c>
      <c r="O757" s="174"/>
      <c r="P757" s="174"/>
      <c r="Q757" s="174"/>
      <c r="R757" s="175"/>
      <c r="S757" s="173">
        <f>SUM(T757:X757)</f>
        <v>6533.0443141093174</v>
      </c>
      <c r="T757" s="174">
        <f>AL757*AW757*AT757*AX757*AY757</f>
        <v>6533.0443141093174</v>
      </c>
      <c r="U757" s="174"/>
      <c r="V757" s="174"/>
      <c r="W757" s="174"/>
      <c r="X757" s="175"/>
      <c r="Y757" s="173">
        <f>SUM(Z757:AD757)</f>
        <v>13066.088628218635</v>
      </c>
      <c r="Z757" s="174">
        <f>T757*$D$58/100</f>
        <v>13066.088628218635</v>
      </c>
      <c r="AA757" s="174"/>
      <c r="AB757" s="174"/>
      <c r="AC757" s="174"/>
      <c r="AD757" s="175"/>
      <c r="AE757" s="173">
        <f>AO757*(1-$D$17/100)</f>
        <v>19.952359999999999</v>
      </c>
      <c r="AF757" s="174">
        <f>AP757</f>
        <v>36</v>
      </c>
      <c r="AG757" s="174">
        <f>IF($D$57+AV757&gt;100,100,$D$57+AV757)</f>
        <v>19.001300000000001</v>
      </c>
      <c r="AH757" s="174">
        <f>AQ757*AR757</f>
        <v>326</v>
      </c>
      <c r="AI757" s="174">
        <f>$D$58+$D$19</f>
        <v>268.61079999999998</v>
      </c>
      <c r="AJ757" s="174">
        <f>10/IF(AX757=1,IF(AY757=1,5,6),4)</f>
        <v>2</v>
      </c>
      <c r="AK757" s="174">
        <f>SUM(AL757:AN757)</f>
        <v>5268.5841242817078</v>
      </c>
      <c r="AL757" s="174">
        <f>(VLOOKUP(C757,$B$36:$AG$39,7,FALSE)+VLOOKUP(C757,$B$40:$AG$43,7,FALSE)*$D$54)*$D$59/100</f>
        <v>5268.5841242817078</v>
      </c>
      <c r="AM757" s="174"/>
      <c r="AN757" s="174"/>
      <c r="AO757" s="176">
        <v>20</v>
      </c>
      <c r="AP757" s="174">
        <v>36</v>
      </c>
      <c r="AQ757" s="175">
        <f>VLOOKUP(C757,$B$45:$AA$48,7,FALSE)</f>
        <v>326</v>
      </c>
      <c r="AR757" s="31">
        <f>IF(LEFT(E757,1)*1=1,$S$56,$R$56)</f>
        <v>1</v>
      </c>
      <c r="AS757" s="2">
        <f>IF(LEFT(E757,1)*1=2,$U$56,$T$56)</f>
        <v>0</v>
      </c>
      <c r="AT757" s="33">
        <f>IF(LEFT(E757,1)*1=3,$W$56,$V$56)</f>
        <v>1</v>
      </c>
      <c r="AU757" s="31">
        <f>IF(MID(E757,3,1)*1=1,$Y$56,$X$56)</f>
        <v>0</v>
      </c>
      <c r="AV757" s="2">
        <f>IF(MID(E757,3,1)*1=2,$AA$56,$Z$56)</f>
        <v>0</v>
      </c>
      <c r="AW757" s="33">
        <f>IF(MID(E757,3,1)*1=3,$AC$56,$AB$56)</f>
        <v>1.24</v>
      </c>
      <c r="AX757" s="31">
        <f>IF(MID(E757,5,1)*1=1,$AE$56,$AD$56)</f>
        <v>1</v>
      </c>
      <c r="AY757" s="33">
        <f>IF(MID(E757,5,1)*1=2,$AG$56,$AF$56)</f>
        <v>1</v>
      </c>
      <c r="AZ757" s="2"/>
      <c r="BA757" s="101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</row>
    <row r="758" spans="1:71" ht="12" customHeight="1">
      <c r="A758" s="2"/>
      <c r="B758" s="107">
        <v>117</v>
      </c>
      <c r="C758" s="31">
        <v>7</v>
      </c>
      <c r="D758" s="106" t="s">
        <v>6</v>
      </c>
      <c r="E758" s="2" t="s">
        <v>155</v>
      </c>
      <c r="F758" s="2"/>
      <c r="G758" s="2" t="s">
        <v>86</v>
      </c>
      <c r="H758" s="33"/>
      <c r="I758" s="173">
        <f>M758/AE758</f>
        <v>432.33567298295009</v>
      </c>
      <c r="J758" s="174">
        <f>AH758/AE758</f>
        <v>8.1694596528931918</v>
      </c>
      <c r="K758" s="207">
        <f>RANK(I758,$I$76:$I$977)</f>
        <v>682</v>
      </c>
      <c r="L758" s="208" t="e">
        <f>RANK(I758,$I$76:$I$450)</f>
        <v>#N/A</v>
      </c>
      <c r="M758" s="173">
        <f>SUM(N758:R758)</f>
        <v>8626.1169881980932</v>
      </c>
      <c r="N758" s="174">
        <f>T758*(1+((AG758+IF(F758="백어택",8,0))/100)*((AI758/100-1)))</f>
        <v>8626.1169881980932</v>
      </c>
      <c r="O758" s="174"/>
      <c r="P758" s="174"/>
      <c r="Q758" s="174"/>
      <c r="R758" s="175"/>
      <c r="S758" s="173">
        <f>SUM(T758:X758)</f>
        <v>6533.0443141093174</v>
      </c>
      <c r="T758" s="174">
        <f>AL758*AW758*AT758*AX758*AY758</f>
        <v>6533.0443141093174</v>
      </c>
      <c r="U758" s="174"/>
      <c r="V758" s="174"/>
      <c r="W758" s="174"/>
      <c r="X758" s="175"/>
      <c r="Y758" s="173">
        <f>SUM(Z758:AD758)</f>
        <v>13066.088628218635</v>
      </c>
      <c r="Z758" s="174">
        <f>T758*$D$58/100</f>
        <v>13066.088628218635</v>
      </c>
      <c r="AA758" s="174"/>
      <c r="AB758" s="174"/>
      <c r="AC758" s="174"/>
      <c r="AD758" s="175"/>
      <c r="AE758" s="173">
        <f>AO758*(1-$D$17/100)</f>
        <v>19.952359999999999</v>
      </c>
      <c r="AF758" s="174">
        <f>AP758</f>
        <v>36</v>
      </c>
      <c r="AG758" s="174">
        <f>IF($D$57+AV758&gt;100,100,$D$57+AV758)</f>
        <v>19.001300000000001</v>
      </c>
      <c r="AH758" s="174">
        <f>AQ758*AR758</f>
        <v>163</v>
      </c>
      <c r="AI758" s="174">
        <f>$D$58+$D$19</f>
        <v>268.61079999999998</v>
      </c>
      <c r="AJ758" s="174">
        <f>10/IF(AX758=1,IF(AY758=1,5,6),4)</f>
        <v>2</v>
      </c>
      <c r="AK758" s="174">
        <f>SUM(AL758:AN758)</f>
        <v>5268.5841242817078</v>
      </c>
      <c r="AL758" s="174">
        <f>(VLOOKUP(C758,$B$36:$AG$39,7,FALSE)+VLOOKUP(C758,$B$40:$AG$43,7,FALSE)*$D$54)*$D$59/100</f>
        <v>5268.5841242817078</v>
      </c>
      <c r="AM758" s="174"/>
      <c r="AN758" s="174"/>
      <c r="AO758" s="176">
        <v>20</v>
      </c>
      <c r="AP758" s="174">
        <v>36</v>
      </c>
      <c r="AQ758" s="175">
        <f>VLOOKUP(C758,$B$45:$AA$48,7,FALSE)</f>
        <v>326</v>
      </c>
      <c r="AR758" s="31">
        <f>IF(LEFT(E758,1)*1=1,$S$56,$R$56)</f>
        <v>0.5</v>
      </c>
      <c r="AS758" s="2">
        <f>IF(LEFT(E758,1)*1=2,$U$56,$T$56)</f>
        <v>0</v>
      </c>
      <c r="AT758" s="33">
        <f>IF(LEFT(E758,1)*1=3,$W$56,$V$56)</f>
        <v>1</v>
      </c>
      <c r="AU758" s="31">
        <f>IF(MID(E758,3,1)*1=1,$Y$56,$X$56)</f>
        <v>0</v>
      </c>
      <c r="AV758" s="2">
        <f>IF(MID(E758,3,1)*1=2,$AA$56,$Z$56)</f>
        <v>0</v>
      </c>
      <c r="AW758" s="33">
        <f>IF(MID(E758,3,1)*1=3,$AC$56,$AB$56)</f>
        <v>1.24</v>
      </c>
      <c r="AX758" s="31">
        <f>IF(MID(E758,5,1)*1=1,$AE$56,$AD$56)</f>
        <v>1</v>
      </c>
      <c r="AY758" s="33">
        <f>IF(MID(E758,5,1)*1=2,$AG$56,$AF$56)</f>
        <v>1</v>
      </c>
      <c r="AZ758" s="2"/>
      <c r="BA758" s="101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</row>
    <row r="759" spans="1:71" ht="12" customHeight="1">
      <c r="A759" s="2"/>
      <c r="B759" s="107">
        <v>87</v>
      </c>
      <c r="C759" s="31">
        <v>7</v>
      </c>
      <c r="D759" s="106" t="s">
        <v>5</v>
      </c>
      <c r="E759" s="2" t="s">
        <v>91</v>
      </c>
      <c r="F759" s="2"/>
      <c r="G759" s="2"/>
      <c r="H759" s="33">
        <v>9</v>
      </c>
      <c r="I759" s="173">
        <f>M759/AE759</f>
        <v>432.07755723160312</v>
      </c>
      <c r="J759" s="174">
        <f>AH759/AE759</f>
        <v>24.18260296025132</v>
      </c>
      <c r="K759" s="207">
        <f>RANK(I759,$I$76:$I$977)</f>
        <v>684</v>
      </c>
      <c r="L759" s="208" t="e">
        <f>RANK(I759,$I$76:$I$450)</f>
        <v>#N/A</v>
      </c>
      <c r="M759" s="173">
        <f>SUM(N759:R759)</f>
        <v>3448.3867879222194</v>
      </c>
      <c r="N759" s="174">
        <f>T759*(1+((AG759+IF(F759="백어택",8,0))/100)*((AI759/100-1)))</f>
        <v>3448.3867879222194</v>
      </c>
      <c r="O759" s="174"/>
      <c r="P759" s="174"/>
      <c r="Q759" s="174"/>
      <c r="R759" s="175"/>
      <c r="S759" s="173">
        <f>SUM(T759:X759)</f>
        <v>2611.6575660297081</v>
      </c>
      <c r="T759" s="174">
        <f>AL759*AU759*AW759*AX759*AY759</f>
        <v>2611.6575660297081</v>
      </c>
      <c r="U759" s="174"/>
      <c r="V759" s="174"/>
      <c r="W759" s="174"/>
      <c r="X759" s="175"/>
      <c r="Y759" s="173">
        <f>SUM(Z759:AD759)</f>
        <v>5223.3151320594161</v>
      </c>
      <c r="Z759" s="174">
        <f>T759*$D$58/100</f>
        <v>5223.3151320594161</v>
      </c>
      <c r="AA759" s="174"/>
      <c r="AB759" s="174"/>
      <c r="AC759" s="174"/>
      <c r="AD759" s="175"/>
      <c r="AE759" s="173">
        <f>AO759*(1-$D$17/100)</f>
        <v>7.980944</v>
      </c>
      <c r="AF759" s="174">
        <f>AP759</f>
        <v>36</v>
      </c>
      <c r="AG759" s="174">
        <f>IF($D$57&gt;100,100,$D$57)</f>
        <v>19.001300000000001</v>
      </c>
      <c r="AH759" s="174">
        <f>AQ759</f>
        <v>193</v>
      </c>
      <c r="AI759" s="174">
        <f>$D$58+$D$19</f>
        <v>268.61079999999998</v>
      </c>
      <c r="AJ759" s="174">
        <f>1*AS759</f>
        <v>1</v>
      </c>
      <c r="AK759" s="174">
        <f>SUM(AL759:AN759)</f>
        <v>2152.4650269475615</v>
      </c>
      <c r="AL759" s="174">
        <f>(H759*(VLOOKUP(C759,$B$36:$AG$39,6,FALSE)+VLOOKUP(C759,$B$40:$AG$43,6,FALSE)*$D$54))*$D$59/100</f>
        <v>2152.4650269475615</v>
      </c>
      <c r="AM759" s="174"/>
      <c r="AN759" s="174"/>
      <c r="AO759" s="176">
        <v>8</v>
      </c>
      <c r="AP759" s="174">
        <v>36</v>
      </c>
      <c r="AQ759" s="175">
        <f>VLOOKUP(C759,$B$45:$AA$48,6,FALSE)</f>
        <v>193</v>
      </c>
      <c r="AR759" s="31">
        <f>IF(LEFT(E759,1)*1=1,$S$55,$R$55)</f>
        <v>0</v>
      </c>
      <c r="AS759" s="2">
        <f>IF(LEFT(E759,1)*1=2,$U$55,$T$55)</f>
        <v>1</v>
      </c>
      <c r="AT759" s="33">
        <f>IF(LEFT(E759,1)*1=3,$W$55,$V$55)</f>
        <v>0</v>
      </c>
      <c r="AU759" s="31">
        <f>IF(MID(E759,3,1)*1=1,$Y$55,$X$55)</f>
        <v>1</v>
      </c>
      <c r="AV759" s="2">
        <f>IF(MID(E759,3,1)*1=2,$AA$55,$Z$55)</f>
        <v>0</v>
      </c>
      <c r="AW759" s="60">
        <f>IF(MID(E759,3,1)*1=3,$AC$55,$AB$55)</f>
        <v>1.2133333333333334</v>
      </c>
      <c r="AX759" s="31">
        <f>IF(MID(E759,5,1)*1=1,$AE$55,$AD$55)</f>
        <v>1</v>
      </c>
      <c r="AY759" s="33">
        <f>IF(MID(E759,5,1)*1=2,$AG$55,$AF$55)</f>
        <v>1</v>
      </c>
      <c r="AZ759" s="2"/>
      <c r="BA759" s="101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</row>
    <row r="760" spans="1:71" ht="12" customHeight="1">
      <c r="A760" s="2"/>
      <c r="B760" s="107">
        <v>90</v>
      </c>
      <c r="C760" s="31">
        <v>7</v>
      </c>
      <c r="D760" s="106" t="s">
        <v>5</v>
      </c>
      <c r="E760" s="2" t="s">
        <v>103</v>
      </c>
      <c r="F760" s="2"/>
      <c r="G760" s="2"/>
      <c r="H760" s="33">
        <v>9</v>
      </c>
      <c r="I760" s="173">
        <f>M760/AE760</f>
        <v>432.07755723160312</v>
      </c>
      <c r="J760" s="174">
        <f>AH760/AE760</f>
        <v>24.18260296025132</v>
      </c>
      <c r="K760" s="207">
        <f>RANK(I760,$I$76:$I$977)</f>
        <v>684</v>
      </c>
      <c r="L760" s="208" t="e">
        <f>RANK(I760,$I$76:$I$450)</f>
        <v>#N/A</v>
      </c>
      <c r="M760" s="173">
        <f>SUM(N760:R760)</f>
        <v>3448.3867879222194</v>
      </c>
      <c r="N760" s="174">
        <f>T760*(1+((AG760+IF(F760="백어택",8,0))/100)*((AI760/100-1)))</f>
        <v>3448.3867879222194</v>
      </c>
      <c r="O760" s="174"/>
      <c r="P760" s="174"/>
      <c r="Q760" s="174"/>
      <c r="R760" s="175"/>
      <c r="S760" s="173">
        <f>SUM(T760:X760)</f>
        <v>2611.6575660297081</v>
      </c>
      <c r="T760" s="174">
        <f>AL760*AU760*AW760*AX760*AY760</f>
        <v>2611.6575660297081</v>
      </c>
      <c r="U760" s="174"/>
      <c r="V760" s="174"/>
      <c r="W760" s="174"/>
      <c r="X760" s="175"/>
      <c r="Y760" s="173">
        <f>SUM(Z760:AD760)</f>
        <v>5223.3151320594161</v>
      </c>
      <c r="Z760" s="174">
        <f>T760*$D$58/100</f>
        <v>5223.3151320594161</v>
      </c>
      <c r="AA760" s="174"/>
      <c r="AB760" s="174"/>
      <c r="AC760" s="174"/>
      <c r="AD760" s="175"/>
      <c r="AE760" s="173">
        <f>AO760*(1-$D$17/100)</f>
        <v>7.980944</v>
      </c>
      <c r="AF760" s="174">
        <f>AP760</f>
        <v>36</v>
      </c>
      <c r="AG760" s="174">
        <f>IF($D$57&gt;100,100,$D$57)</f>
        <v>19.001300000000001</v>
      </c>
      <c r="AH760" s="174">
        <f>AQ760</f>
        <v>193</v>
      </c>
      <c r="AI760" s="174">
        <f>$D$58+$D$19</f>
        <v>268.61079999999998</v>
      </c>
      <c r="AJ760" s="174">
        <f>1*AS760</f>
        <v>0.8</v>
      </c>
      <c r="AK760" s="174">
        <f>SUM(AL760:AN760)</f>
        <v>2152.4650269475615</v>
      </c>
      <c r="AL760" s="174">
        <f>(H760*(VLOOKUP(C760,$B$36:$AG$39,6,FALSE)+VLOOKUP(C760,$B$40:$AG$43,6,FALSE)*$D$54))*$D$59/100</f>
        <v>2152.4650269475615</v>
      </c>
      <c r="AM760" s="174"/>
      <c r="AN760" s="174"/>
      <c r="AO760" s="176">
        <v>8</v>
      </c>
      <c r="AP760" s="174">
        <v>36</v>
      </c>
      <c r="AQ760" s="175">
        <f>VLOOKUP(C760,$B$45:$AA$48,6,FALSE)</f>
        <v>193</v>
      </c>
      <c r="AR760" s="31">
        <f>IF(LEFT(E760,1)*1=1,$S$55,$R$55)</f>
        <v>0</v>
      </c>
      <c r="AS760" s="2">
        <f>IF(LEFT(E760,1)*1=2,$U$55,$T$55)</f>
        <v>0.8</v>
      </c>
      <c r="AT760" s="33">
        <f>IF(LEFT(E760,1)*1=3,$W$55,$V$55)</f>
        <v>0</v>
      </c>
      <c r="AU760" s="31">
        <f>IF(MID(E760,3,1)*1=1,$Y$55,$X$55)</f>
        <v>1</v>
      </c>
      <c r="AV760" s="2">
        <f>IF(MID(E760,3,1)*1=2,$AA$55,$Z$55)</f>
        <v>0</v>
      </c>
      <c r="AW760" s="60">
        <f>IF(MID(E760,3,1)*1=3,$AC$55,$AB$55)</f>
        <v>1.2133333333333334</v>
      </c>
      <c r="AX760" s="31">
        <f>IF(MID(E760,5,1)*1=1,$AE$55,$AD$55)</f>
        <v>1</v>
      </c>
      <c r="AY760" s="33">
        <f>IF(MID(E760,5,1)*1=2,$AG$55,$AF$55)</f>
        <v>1</v>
      </c>
      <c r="AZ760" s="2"/>
      <c r="BA760" s="101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</row>
    <row r="761" spans="1:71" ht="12" customHeight="1">
      <c r="A761" s="2"/>
      <c r="B761" s="107">
        <v>230</v>
      </c>
      <c r="C761" s="31">
        <v>7</v>
      </c>
      <c r="D761" s="106" t="s">
        <v>13</v>
      </c>
      <c r="E761" s="2" t="s">
        <v>67</v>
      </c>
      <c r="F761" s="2"/>
      <c r="G761" s="2"/>
      <c r="H761" s="33"/>
      <c r="I761" s="173">
        <f>M761/AE761</f>
        <v>428.81449110555917</v>
      </c>
      <c r="J761" s="174">
        <f>AH761/AE761</f>
        <v>15.161113773007305</v>
      </c>
      <c r="K761" s="207">
        <f>RANK(I761,$I$76:$I$977)</f>
        <v>686</v>
      </c>
      <c r="L761" s="208" t="e">
        <f>RANK(I761,$I$76:$I$450)</f>
        <v>#N/A</v>
      </c>
      <c r="M761" s="173">
        <f>SUM(N761:R761)</f>
        <v>10267.033319705897</v>
      </c>
      <c r="N761" s="174">
        <f>T761*(1+((AG761+IF(F761="백어택",8,0))/100)*((AI761/100-1)))</f>
        <v>6818.1567572049971</v>
      </c>
      <c r="O761" s="174">
        <f>U761*(1+($D$57/100)*($D$58/100-1))</f>
        <v>3448.8765625009</v>
      </c>
      <c r="P761" s="174"/>
      <c r="Q761" s="174"/>
      <c r="R761" s="175">
        <f>X761*(1+($D$57/100)*($D$58/100-1))</f>
        <v>0</v>
      </c>
      <c r="S761" s="173">
        <f>SUM(T761:X761)</f>
        <v>8061.9581246365851</v>
      </c>
      <c r="T761" s="174">
        <f>AL761*AY761</f>
        <v>5163.774186729268</v>
      </c>
      <c r="U761" s="174">
        <f>AM761*AU761*AW761</f>
        <v>2898.1839379073172</v>
      </c>
      <c r="V761" s="174"/>
      <c r="W761" s="174"/>
      <c r="X761" s="175">
        <f>IF(AU761=1,0,U761*0.625)</f>
        <v>0</v>
      </c>
      <c r="Y761" s="173">
        <f>SUM(Z761:AD761)</f>
        <v>16123.91624927317</v>
      </c>
      <c r="Z761" s="174">
        <f>T761*$D$58/100</f>
        <v>10327.548373458536</v>
      </c>
      <c r="AA761" s="174">
        <f>U761*$D$58/100</f>
        <v>5796.3678758146343</v>
      </c>
      <c r="AB761" s="174"/>
      <c r="AC761" s="174"/>
      <c r="AD761" s="175">
        <f>X761*$D$58/100</f>
        <v>0</v>
      </c>
      <c r="AE761" s="173">
        <f>AO761*(1-$D$17/100)</f>
        <v>23.942831999999999</v>
      </c>
      <c r="AF761" s="174">
        <f>AP761</f>
        <v>36</v>
      </c>
      <c r="AG761" s="174">
        <f>IF($D$57+AT761&gt;100,100,$D$57+AT761)</f>
        <v>19.001300000000001</v>
      </c>
      <c r="AH761" s="174">
        <f>AQ761</f>
        <v>363</v>
      </c>
      <c r="AI761" s="174">
        <f>$D$58+$D$19</f>
        <v>268.61079999999998</v>
      </c>
      <c r="AJ761" s="174">
        <f>10/IF(AY761=1,2.5,2)</f>
        <v>4</v>
      </c>
      <c r="AK761" s="174">
        <f>SUM(AL761:AN761)</f>
        <v>8061.9581246365851</v>
      </c>
      <c r="AL761" s="174">
        <f>(VLOOKUP(C761,$B$36:$AG$39,17,FALSE)+VLOOKUP(C761,$B$40:$AG$43,17,FALSE)*$D$54)*$D$59/100</f>
        <v>5163.774186729268</v>
      </c>
      <c r="AM761" s="174">
        <f>(VLOOKUP(C761,$B$36:$AG$39,18,FALSE)+VLOOKUP(C761,$B$40:$AG$43,18,FALSE)*$D$54)*$D$59/100</f>
        <v>2898.1839379073172</v>
      </c>
      <c r="AN761" s="174"/>
      <c r="AO761" s="176">
        <v>24</v>
      </c>
      <c r="AP761" s="174">
        <v>36</v>
      </c>
      <c r="AQ761" s="175">
        <f>VLOOKUP(C761,$B$45:$AA$48,17,FALSE)</f>
        <v>363</v>
      </c>
      <c r="AR761" s="31">
        <f>IF(LEFT(E761,1)*1=1,$S$63,$R$63)</f>
        <v>0</v>
      </c>
      <c r="AS761" s="2">
        <f>IF(LEFT(E761,1)*1=2,$U$63,$T$63)</f>
        <v>0</v>
      </c>
      <c r="AT761" s="33">
        <f>IF(LEFT(E761,1)*1=3,$W$63,$V$63)</f>
        <v>0</v>
      </c>
      <c r="AU761" s="31">
        <f>IF(MID(E761,3,1)*1=1,$Y$63,$X$63)</f>
        <v>1</v>
      </c>
      <c r="AV761" s="2">
        <f>IF(MID(E761,3,1)*1=2,$AA$63,$Z$63)</f>
        <v>0</v>
      </c>
      <c r="AW761" s="33">
        <f>IF(MID(E761,3,1)*1=3,$AC$63,$AB$63)</f>
        <v>1</v>
      </c>
      <c r="AX761" s="31">
        <f>IF(MID(E761,5,1)*1=1,$AE$63,$AD$63)</f>
        <v>0</v>
      </c>
      <c r="AY761" s="33">
        <f>IF(MID(E761,5,1)*1=2,$AG$63,$AF$63)</f>
        <v>1</v>
      </c>
      <c r="AZ761" s="2"/>
      <c r="BA761" s="101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</row>
    <row r="762" spans="1:71" ht="12" customHeight="1">
      <c r="A762" s="2"/>
      <c r="B762" s="107">
        <v>438</v>
      </c>
      <c r="C762" s="31">
        <v>1</v>
      </c>
      <c r="D762" s="111" t="s">
        <v>8</v>
      </c>
      <c r="E762" s="2" t="s">
        <v>67</v>
      </c>
      <c r="F762" s="2" t="s">
        <v>149</v>
      </c>
      <c r="G762" s="2"/>
      <c r="H762" s="33" t="s">
        <v>81</v>
      </c>
      <c r="I762" s="173">
        <f>M762/AE762</f>
        <v>428.03448742991162</v>
      </c>
      <c r="J762" s="174">
        <f>AH762/AE762</f>
        <v>5.4639558131976278</v>
      </c>
      <c r="K762" s="207">
        <f>RANK(I762,$I$76:$I$977)</f>
        <v>687</v>
      </c>
      <c r="L762" s="208">
        <f>RANK(I762,$I$451:$I$866)</f>
        <v>312</v>
      </c>
      <c r="M762" s="173">
        <f>SUM(N762:R762)</f>
        <v>7912.1216767529186</v>
      </c>
      <c r="N762" s="174">
        <f>T762*(1+((AG762+IF(F762="백어택",8,0))/100)*(IF(AY762=1,$D$58,$D$58+50)/100-1))</f>
        <v>3474.4706856317412</v>
      </c>
      <c r="O762" s="174">
        <f>U762*(1+((AG762+IF(F762="백어택",8,0))/100)*(AI762/100-1))</f>
        <v>4437.6509911211779</v>
      </c>
      <c r="P762" s="174">
        <f>V762*(1+((AG762+IF(F762="백어택",8,0))/100)*(AI762/100-1))</f>
        <v>0</v>
      </c>
      <c r="Q762" s="174"/>
      <c r="R762" s="175"/>
      <c r="S762" s="173">
        <f>SUM(T762:X762)</f>
        <v>6229.9532971339031</v>
      </c>
      <c r="T762" s="174">
        <f>AL762*IF(H762="근접",AR762,1)*AY762*IF(F762="백어택",1.2,1)</f>
        <v>2735.7756854707322</v>
      </c>
      <c r="U762" s="174">
        <f>AM762*IF(H762="근접",AR762,1)*AY762*IF(F762="백어택",1.2,1)</f>
        <v>3494.1776116631704</v>
      </c>
      <c r="V762" s="174">
        <f>IF(AX762=1,0,AM762*IF(H762="근접",AR762,1)*AY762)*IF(F762="백어택",1.2,1)</f>
        <v>0</v>
      </c>
      <c r="W762" s="174"/>
      <c r="X762" s="175"/>
      <c r="Y762" s="173">
        <f>SUM(Z762:AD762)</f>
        <v>12459.906594267806</v>
      </c>
      <c r="Z762" s="174">
        <f>T762*IF(AY762=1,$D$58,$D$58+50)/100</f>
        <v>5471.5513709414645</v>
      </c>
      <c r="AA762" s="174">
        <f>U762*AI762/100</f>
        <v>6988.3552233263408</v>
      </c>
      <c r="AB762" s="174">
        <f>V762*AI762/100</f>
        <v>0</v>
      </c>
      <c r="AC762" s="174"/>
      <c r="AD762" s="175"/>
      <c r="AE762" s="173">
        <f>AO762*(1-$D$20/100)*(1-$D$17/100)</f>
        <v>18.484776131615998</v>
      </c>
      <c r="AF762" s="174">
        <f>AP762</f>
        <v>36</v>
      </c>
      <c r="AG762" s="174">
        <f>IF($D$57+AU762&gt;100,100,$D$57+AU762)</f>
        <v>19.001300000000001</v>
      </c>
      <c r="AH762" s="174">
        <f>IF(AX762=1,AQ762,AQ762*1.4)</f>
        <v>101</v>
      </c>
      <c r="AI762" s="174">
        <f>IF(AY762=1,$D$58,$D$58+50)*AW762</f>
        <v>200</v>
      </c>
      <c r="AJ762" s="174">
        <f>10/6/AX762</f>
        <v>1.6666666666666667</v>
      </c>
      <c r="AK762" s="174">
        <f>SUM(AL762:AN762)</f>
        <v>5191.6277476115856</v>
      </c>
      <c r="AL762" s="174">
        <f>(IF(H762="근접",$D$61*(VLOOKUP(C762,$B$36:$AG$39,9,FALSE)+VLOOKUP(C762,$B$40:$AG$43,9,FALSE)*$D$54),$D$60*(VLOOKUP(C762,$B$36:$AG$39,9,FALSE)+VLOOKUP(C762,$B$40:$AG$43,9,FALSE)*$D$54)))*$D$59/100</f>
        <v>2279.8130712256102</v>
      </c>
      <c r="AM762" s="174">
        <f>(IF(H762="근접",$D$61*(VLOOKUP(C762,$B$36:$AG$39,10,FALSE)+VLOOKUP(C762,$B$40:$AG$43,10,FALSE)*$D$54),$D$60*(VLOOKUP(C762,$B$36:$AG$39,10,FALSE)+VLOOKUP(C762,$B$40:$AG$43,10,FALSE)*$D$54)))*$D$59/100</f>
        <v>2911.8146763859754</v>
      </c>
      <c r="AN762" s="174"/>
      <c r="AO762" s="176">
        <v>24</v>
      </c>
      <c r="AP762" s="174">
        <v>36</v>
      </c>
      <c r="AQ762" s="175">
        <f>VLOOKUP(C762,$B$45:$AA$48,9,FALSE)</f>
        <v>101</v>
      </c>
      <c r="AR762" s="31">
        <f>IF(LEFT(E762,1)*1=1,$S$58,$R$58)</f>
        <v>1</v>
      </c>
      <c r="AS762" s="2">
        <f>IF(LEFT(E762,1)*1=2,$U$58,$T$58)</f>
        <v>0</v>
      </c>
      <c r="AT762" s="33">
        <f>IF(LEFT(E762,1)*1=3,$W$58,$V$58)</f>
        <v>0</v>
      </c>
      <c r="AU762" s="31">
        <f>IF(MID(E762,3,1)*1=1,$Y$58,$X$58)</f>
        <v>0</v>
      </c>
      <c r="AV762" s="2">
        <f>IF(MID(E762,3,1)*1=2,$AA$58,$Z$58)</f>
        <v>0</v>
      </c>
      <c r="AW762" s="33">
        <f>IF(MID(E762,3,1)*1=3,$AC$58,$AB$58)</f>
        <v>1</v>
      </c>
      <c r="AX762" s="31">
        <f>IF(MID(E762,5,1)*1=1,$AE$58,$AD$58)</f>
        <v>1</v>
      </c>
      <c r="AY762" s="33">
        <f>IF(MID(E762,5,1)*1=2,$AG$58,$AF$58)</f>
        <v>1</v>
      </c>
      <c r="AZ762" s="2"/>
      <c r="BA762" s="101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</row>
    <row r="763" spans="1:71" ht="12" customHeight="1">
      <c r="A763" s="2"/>
      <c r="B763" s="107">
        <v>405</v>
      </c>
      <c r="C763" s="31">
        <v>10</v>
      </c>
      <c r="D763" s="111" t="s">
        <v>8</v>
      </c>
      <c r="E763" s="2" t="s">
        <v>98</v>
      </c>
      <c r="F763" s="2"/>
      <c r="G763" s="2"/>
      <c r="H763" s="33" t="s">
        <v>80</v>
      </c>
      <c r="I763" s="173">
        <f>M763/AE763</f>
        <v>425.86524772334803</v>
      </c>
      <c r="J763" s="174">
        <f>AH763/AE763</f>
        <v>28.185356224514496</v>
      </c>
      <c r="K763" s="207">
        <f>RANK(I763,$I$76:$I$977)</f>
        <v>688</v>
      </c>
      <c r="L763" s="208">
        <f>RANK(I763,$I$451:$I$866)</f>
        <v>313</v>
      </c>
      <c r="M763" s="173">
        <f>SUM(N763:R763)</f>
        <v>7872.0237664012784</v>
      </c>
      <c r="N763" s="174">
        <f>T763*(1+((AG763+IF(F763="백어택",8,0))/100)*(IF(AY763=1,$D$58,$D$58+50)/100-1))</f>
        <v>3294.4364720742519</v>
      </c>
      <c r="O763" s="174">
        <f>U763*(1+((AG763+IF(F763="백어택",8,0))/100)*(AI763/100-1))</f>
        <v>4577.587294327026</v>
      </c>
      <c r="P763" s="174">
        <f>V763*(1+((AG763+IF(F763="백어택",8,0))/100)*(AI763/100-1))</f>
        <v>0</v>
      </c>
      <c r="Q763" s="174"/>
      <c r="R763" s="175"/>
      <c r="S763" s="173">
        <f>SUM(T763:X763)</f>
        <v>5835.7034208995119</v>
      </c>
      <c r="T763" s="174">
        <f>AL763*IF(H763="근접",AR763,1)*AY763*IF(F763="백어택",1.2,1)</f>
        <v>2563.7248867229268</v>
      </c>
      <c r="U763" s="174">
        <f>AM763*IF(H763="근접",AR763,1)*AY763*IF(F763="백어택",1.2,1)</f>
        <v>3271.9785341765855</v>
      </c>
      <c r="V763" s="174">
        <f>IF(AX763=1,0,AM763*IF(H763="근접",AR763,1)*AY763)*IF(F763="백어택",1.2,1)</f>
        <v>0</v>
      </c>
      <c r="W763" s="174"/>
      <c r="X763" s="175"/>
      <c r="Y763" s="173">
        <f>SUM(Z763:AD763)</f>
        <v>16552.445672754733</v>
      </c>
      <c r="Z763" s="174">
        <f>T763*IF(AY763=1,$D$58,$D$58+50)/100</f>
        <v>6409.3122168073178</v>
      </c>
      <c r="AA763" s="174">
        <f>U763*AI763/100</f>
        <v>10143.133455947414</v>
      </c>
      <c r="AB763" s="174">
        <f>V763*AI763/100</f>
        <v>0</v>
      </c>
      <c r="AC763" s="174"/>
      <c r="AD763" s="175"/>
      <c r="AE763" s="173">
        <f>AO763*(1-$D$20/100)*(1-$D$17/100)</f>
        <v>18.484776131615998</v>
      </c>
      <c r="AF763" s="174">
        <f>AP763</f>
        <v>36</v>
      </c>
      <c r="AG763" s="174">
        <f>IF($D$57+AU763&gt;100,100,$D$57+AU763)</f>
        <v>19.001300000000001</v>
      </c>
      <c r="AH763" s="174">
        <f>IF(AX763=1,AQ763,AQ763*1.4)</f>
        <v>521</v>
      </c>
      <c r="AI763" s="174">
        <f>IF(AY763=1,$D$58,$D$58+50)*AW763</f>
        <v>310</v>
      </c>
      <c r="AJ763" s="174">
        <f>10/6/AX763</f>
        <v>1.6666666666666667</v>
      </c>
      <c r="AK763" s="174">
        <f>SUM(AL763:AN763)</f>
        <v>4863.0861840829275</v>
      </c>
      <c r="AL763" s="174">
        <f>(IF(H763="근접",$D$61*(VLOOKUP(C763,$B$36:$AG$39,9,FALSE)+VLOOKUP(C763,$B$40:$AG$43,9,FALSE)*$D$54),$D$60*(VLOOKUP(C763,$B$36:$AG$39,9,FALSE)+VLOOKUP(C763,$B$40:$AG$43,9,FALSE)*$D$54)))*$D$59/100</f>
        <v>2136.437405602439</v>
      </c>
      <c r="AM763" s="174">
        <f>(IF(H763="근접",$D$61*(VLOOKUP(C763,$B$36:$AG$39,10,FALSE)+VLOOKUP(C763,$B$40:$AG$43,10,FALSE)*$D$54),$D$60*(VLOOKUP(C763,$B$36:$AG$39,10,FALSE)+VLOOKUP(C763,$B$40:$AG$43,10,FALSE)*$D$54)))*$D$59/100</f>
        <v>2726.6487784804881</v>
      </c>
      <c r="AN763" s="174"/>
      <c r="AO763" s="176">
        <v>24</v>
      </c>
      <c r="AP763" s="174">
        <v>36</v>
      </c>
      <c r="AQ763" s="175">
        <f>VLOOKUP(C763,$B$45:$AA$48,9,FALSE)</f>
        <v>521</v>
      </c>
      <c r="AR763" s="31">
        <f>IF(LEFT(E763,1)*1=1,$S$58,$R$58)</f>
        <v>1</v>
      </c>
      <c r="AS763" s="2">
        <f>IF(LEFT(E763,1)*1=2,$U$58,$T$58)</f>
        <v>0</v>
      </c>
      <c r="AT763" s="33">
        <f>IF(LEFT(E763,1)*1=3,$W$58,$V$58)</f>
        <v>0</v>
      </c>
      <c r="AU763" s="31">
        <f>IF(MID(E763,3,1)*1=1,$Y$58,$X$58)</f>
        <v>0</v>
      </c>
      <c r="AV763" s="2">
        <f>IF(MID(E763,3,1)*1=2,$AA$58,$Z$58)</f>
        <v>0</v>
      </c>
      <c r="AW763" s="33">
        <f>IF(MID(E763,3,1)*1=3,$AC$58,$AB$58)</f>
        <v>1.24</v>
      </c>
      <c r="AX763" s="31">
        <f>IF(MID(E763,5,1)*1=1,$AE$58,$AD$58)</f>
        <v>1</v>
      </c>
      <c r="AY763" s="33">
        <f>IF(MID(E763,5,1)*1=2,$AG$58,$AF$58)</f>
        <v>1.2</v>
      </c>
      <c r="AZ763" s="2"/>
      <c r="BA763" s="101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</row>
    <row r="764" spans="1:71" ht="12" customHeight="1">
      <c r="A764" s="2"/>
      <c r="B764" s="107">
        <v>408</v>
      </c>
      <c r="C764" s="31">
        <v>10</v>
      </c>
      <c r="D764" s="111" t="s">
        <v>8</v>
      </c>
      <c r="E764" s="2" t="s">
        <v>157</v>
      </c>
      <c r="F764" s="2"/>
      <c r="G764" s="2"/>
      <c r="H764" s="33" t="s">
        <v>80</v>
      </c>
      <c r="I764" s="173">
        <f>M764/AE764</f>
        <v>425.86524772334803</v>
      </c>
      <c r="J764" s="174">
        <f>AH764/AE764</f>
        <v>28.185356224514496</v>
      </c>
      <c r="K764" s="207">
        <f>RANK(I764,$I$76:$I$977)</f>
        <v>688</v>
      </c>
      <c r="L764" s="208">
        <f>RANK(I764,$I$451:$I$866)</f>
        <v>313</v>
      </c>
      <c r="M764" s="173">
        <f>SUM(N764:R764)</f>
        <v>7872.0237664012784</v>
      </c>
      <c r="N764" s="174">
        <f>T764*(1+((AG764+IF(F764="백어택",8,0))/100)*(IF(AY764=1,$D$58,$D$58+50)/100-1))</f>
        <v>3294.4364720742519</v>
      </c>
      <c r="O764" s="174">
        <f>U764*(1+((AG764+IF(F764="백어택",8,0))/100)*(AI764/100-1))</f>
        <v>4577.587294327026</v>
      </c>
      <c r="P764" s="174">
        <f>V764*(1+((AG764+IF(F764="백어택",8,0))/100)*(AI764/100-1))</f>
        <v>0</v>
      </c>
      <c r="Q764" s="174"/>
      <c r="R764" s="175"/>
      <c r="S764" s="173">
        <f>SUM(T764:X764)</f>
        <v>5835.7034208995119</v>
      </c>
      <c r="T764" s="174">
        <f>AL764*IF(H764="근접",AR764,1)*AY764*IF(F764="백어택",1.2,1)</f>
        <v>2563.7248867229268</v>
      </c>
      <c r="U764" s="174">
        <f>AM764*IF(H764="근접",AR764,1)*AY764*IF(F764="백어택",1.2,1)</f>
        <v>3271.9785341765855</v>
      </c>
      <c r="V764" s="174">
        <f>IF(AX764=1,0,AM764*IF(H764="근접",AR764,1)*AY764)*IF(F764="백어택",1.2,1)</f>
        <v>0</v>
      </c>
      <c r="W764" s="174"/>
      <c r="X764" s="175"/>
      <c r="Y764" s="173">
        <f>SUM(Z764:AD764)</f>
        <v>16552.445672754733</v>
      </c>
      <c r="Z764" s="174">
        <f>T764*IF(AY764=1,$D$58,$D$58+50)/100</f>
        <v>6409.3122168073178</v>
      </c>
      <c r="AA764" s="174">
        <f>U764*AI764/100</f>
        <v>10143.133455947414</v>
      </c>
      <c r="AB764" s="174">
        <f>V764*AI764/100</f>
        <v>0</v>
      </c>
      <c r="AC764" s="174"/>
      <c r="AD764" s="175"/>
      <c r="AE764" s="173">
        <f>AO764*(1-$D$20/100)*(1-$D$17/100)</f>
        <v>18.484776131615998</v>
      </c>
      <c r="AF764" s="174">
        <f>AP764</f>
        <v>36</v>
      </c>
      <c r="AG764" s="174">
        <f>IF($D$57+AU764&gt;100,100,$D$57+AU764)</f>
        <v>19.001300000000001</v>
      </c>
      <c r="AH764" s="174">
        <f>IF(AX764=1,AQ764,AQ764*1.4)</f>
        <v>521</v>
      </c>
      <c r="AI764" s="174">
        <f>IF(AY764=1,$D$58,$D$58+50)*AW764</f>
        <v>310</v>
      </c>
      <c r="AJ764" s="174">
        <f>10/6/AX764</f>
        <v>1.6666666666666667</v>
      </c>
      <c r="AK764" s="174">
        <f>SUM(AL764:AN764)</f>
        <v>4863.0861840829275</v>
      </c>
      <c r="AL764" s="174">
        <f>(IF(H764="근접",$D$61*(VLOOKUP(C764,$B$36:$AG$39,9,FALSE)+VLOOKUP(C764,$B$40:$AG$43,9,FALSE)*$D$54),$D$60*(VLOOKUP(C764,$B$36:$AG$39,9,FALSE)+VLOOKUP(C764,$B$40:$AG$43,9,FALSE)*$D$54)))*$D$59/100</f>
        <v>2136.437405602439</v>
      </c>
      <c r="AM764" s="174">
        <f>(IF(H764="근접",$D$61*(VLOOKUP(C764,$B$36:$AG$39,10,FALSE)+VLOOKUP(C764,$B$40:$AG$43,10,FALSE)*$D$54),$D$60*(VLOOKUP(C764,$B$36:$AG$39,10,FALSE)+VLOOKUP(C764,$B$40:$AG$43,10,FALSE)*$D$54)))*$D$59/100</f>
        <v>2726.6487784804881</v>
      </c>
      <c r="AN764" s="174"/>
      <c r="AO764" s="176">
        <v>24</v>
      </c>
      <c r="AP764" s="174">
        <v>36</v>
      </c>
      <c r="AQ764" s="175">
        <f>VLOOKUP(C764,$B$45:$AA$48,9,FALSE)</f>
        <v>521</v>
      </c>
      <c r="AR764" s="31">
        <f>IF(LEFT(E764,1)*1=1,$S$58,$R$58)</f>
        <v>1.2</v>
      </c>
      <c r="AS764" s="2">
        <f>IF(LEFT(E764,1)*1=2,$U$58,$T$58)</f>
        <v>0</v>
      </c>
      <c r="AT764" s="33">
        <f>IF(LEFT(E764,1)*1=3,$W$58,$V$58)</f>
        <v>0</v>
      </c>
      <c r="AU764" s="31">
        <f>IF(MID(E764,3,1)*1=1,$Y$58,$X$58)</f>
        <v>0</v>
      </c>
      <c r="AV764" s="2">
        <f>IF(MID(E764,3,1)*1=2,$AA$58,$Z$58)</f>
        <v>0</v>
      </c>
      <c r="AW764" s="33">
        <f>IF(MID(E764,3,1)*1=3,$AC$58,$AB$58)</f>
        <v>1.24</v>
      </c>
      <c r="AX764" s="31">
        <f>IF(MID(E764,5,1)*1=1,$AE$58,$AD$58)</f>
        <v>1</v>
      </c>
      <c r="AY764" s="33">
        <f>IF(MID(E764,5,1)*1=2,$AG$58,$AF$58)</f>
        <v>1.2</v>
      </c>
      <c r="AZ764" s="2"/>
      <c r="BA764" s="101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</row>
    <row r="765" spans="1:71" ht="12" customHeight="1">
      <c r="A765" s="2"/>
      <c r="B765" s="107">
        <v>332</v>
      </c>
      <c r="C765" s="31">
        <v>7</v>
      </c>
      <c r="D765" s="106" t="s">
        <v>20</v>
      </c>
      <c r="E765" s="2" t="s">
        <v>67</v>
      </c>
      <c r="F765" s="2" t="s">
        <v>149</v>
      </c>
      <c r="G765" s="2"/>
      <c r="H765" s="33"/>
      <c r="I765" s="173">
        <f>M765/AE765</f>
        <v>425.17956677930204</v>
      </c>
      <c r="J765" s="174">
        <f>AH765/AE765</f>
        <v>17.096278891876004</v>
      </c>
      <c r="K765" s="207">
        <f>RANK(I765,$I$76:$I$977)</f>
        <v>690</v>
      </c>
      <c r="L765" s="208" t="e">
        <f>RANK(I765,$I$76:$I$450)</f>
        <v>#N/A</v>
      </c>
      <c r="M765" s="173">
        <f>SUM(N765:R765)</f>
        <v>7635.0022029222073</v>
      </c>
      <c r="N765" s="174">
        <f>T765*(1+((AG765+IF(F765="백어택",8,0))/100)*((AI765/100-1)))</f>
        <v>4077.33091878609</v>
      </c>
      <c r="O765" s="174">
        <f>U765*(1+(($D$57+IF(F765="백어택",8,0))/100)*($D$58/100-1))</f>
        <v>3557.6712841361177</v>
      </c>
      <c r="P765" s="174"/>
      <c r="Q765" s="174"/>
      <c r="R765" s="175"/>
      <c r="S765" s="173">
        <f>SUM(T765:X765)</f>
        <v>5603.0545943326833</v>
      </c>
      <c r="T765" s="174">
        <f>AL765*AV765*IF(F765="백어택",1.2,1)</f>
        <v>2801.7672971663419</v>
      </c>
      <c r="U765" s="174">
        <f>AM765*AX765*AY765*IF(F765="백어택",1.2,1)</f>
        <v>2801.2872971663419</v>
      </c>
      <c r="V765" s="174"/>
      <c r="W765" s="174"/>
      <c r="X765" s="175"/>
      <c r="Y765" s="173">
        <f>SUM(Z765:AD765)</f>
        <v>11206.109188665367</v>
      </c>
      <c r="Z765" s="174">
        <f>T765*$D$58/100</f>
        <v>5603.5345943326838</v>
      </c>
      <c r="AA765" s="174">
        <f>U765*$D$58/100</f>
        <v>5602.5745943326838</v>
      </c>
      <c r="AB765" s="174"/>
      <c r="AC765" s="174"/>
      <c r="AD765" s="175"/>
      <c r="AE765" s="173">
        <f>AO765*(1-$D$17/100)-AR765</f>
        <v>17.957124</v>
      </c>
      <c r="AF765" s="174">
        <f>AP765</f>
        <v>36</v>
      </c>
      <c r="AG765" s="174">
        <f>IF($D$57+AU765&gt;100,100,$D$57+AU765)</f>
        <v>19.001300000000001</v>
      </c>
      <c r="AH765" s="174">
        <f>AQ765*AS765</f>
        <v>307</v>
      </c>
      <c r="AI765" s="174">
        <f>$D$58+$D$19</f>
        <v>268.61079999999998</v>
      </c>
      <c r="AJ765" s="174">
        <f>10*IF(AV765=1,1,5/4.5)/IF(AX765=1,5,3.5)</f>
        <v>2</v>
      </c>
      <c r="AK765" s="174">
        <f>SUM(AL765:AN765)</f>
        <v>4669.212161943904</v>
      </c>
      <c r="AL765" s="174">
        <f>(VLOOKUP(C765,$B$36:$AG$39,29,FALSE)+VLOOKUP(C765,$B$40:$AG$43,29,FALSE)*$D$54)*$D$59/100</f>
        <v>2334.8060809719518</v>
      </c>
      <c r="AM765" s="174">
        <f>(VLOOKUP(C765,$B$36:$AG$39,30,FALSE)+VLOOKUP(C765,$B$40:$AG$43,30,FALSE)*$D$54)*$D$59/100</f>
        <v>2334.4060809719517</v>
      </c>
      <c r="AN765" s="174"/>
      <c r="AO765" s="176">
        <v>18</v>
      </c>
      <c r="AP765" s="174">
        <v>36</v>
      </c>
      <c r="AQ765" s="175">
        <f>VLOOKUP(C765,$B$45:$AG$48,29,FALSE)</f>
        <v>307</v>
      </c>
      <c r="AR765" s="31">
        <f>IF(LEFT(E765,1)*1=1,$S$70,$R$70)</f>
        <v>0</v>
      </c>
      <c r="AS765" s="2">
        <f>IF(LEFT(E765,1)*1=2,$U$70,$T$70)</f>
        <v>1</v>
      </c>
      <c r="AT765" s="33">
        <f>IF(LEFT(E765,1)*1=3,$W$70,$V$70)</f>
        <v>0</v>
      </c>
      <c r="AU765" s="31">
        <f>IF(MID(E765,3,1)*1=1,$Y$70,$X$70)</f>
        <v>0</v>
      </c>
      <c r="AV765" s="2">
        <f>IF(MID(E765,3,1)*1=2,$AA$70,$Z$70)</f>
        <v>1</v>
      </c>
      <c r="AW765" s="33">
        <f>IF(MID(E765,3,1)*1=3,$AC$70,$AB$70)</f>
        <v>0</v>
      </c>
      <c r="AX765" s="31">
        <f>IF(MID(E765,5,1)*1=1,$AE$70,$AD$70)</f>
        <v>1</v>
      </c>
      <c r="AY765" s="33">
        <f>IF(MID(E765,5,1)*1=2,$AG$70,$AF$70)</f>
        <v>1</v>
      </c>
      <c r="AZ765" s="2"/>
      <c r="BA765" s="101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</row>
    <row r="766" spans="1:71" ht="12" customHeight="1">
      <c r="A766" s="2"/>
      <c r="B766" s="107">
        <v>338</v>
      </c>
      <c r="C766" s="31">
        <v>7</v>
      </c>
      <c r="D766" s="106" t="s">
        <v>20</v>
      </c>
      <c r="E766" s="2" t="s">
        <v>79</v>
      </c>
      <c r="F766" s="2" t="s">
        <v>149</v>
      </c>
      <c r="G766" s="2"/>
      <c r="H766" s="33"/>
      <c r="I766" s="173">
        <f>M766/AE766</f>
        <v>425.17956677930204</v>
      </c>
      <c r="J766" s="174">
        <f>AH766/AE766</f>
        <v>8.548139445938002</v>
      </c>
      <c r="K766" s="207">
        <f>RANK(I766,$I$76:$I$977)</f>
        <v>690</v>
      </c>
      <c r="L766" s="208" t="e">
        <f>RANK(I766,$I$76:$I$450)</f>
        <v>#N/A</v>
      </c>
      <c r="M766" s="173">
        <f>SUM(N766:R766)</f>
        <v>7635.0022029222073</v>
      </c>
      <c r="N766" s="174">
        <f>T766*(1+((AG766+IF(F766="백어택",8,0))/100)*((AI766/100-1)))</f>
        <v>4077.33091878609</v>
      </c>
      <c r="O766" s="174">
        <f>U766*(1+(($D$57+IF(F766="백어택",8,0))/100)*($D$58/100-1))</f>
        <v>3557.6712841361177</v>
      </c>
      <c r="P766" s="174"/>
      <c r="Q766" s="174"/>
      <c r="R766" s="175"/>
      <c r="S766" s="173">
        <f>SUM(T766:X766)</f>
        <v>5603.0545943326833</v>
      </c>
      <c r="T766" s="174">
        <f>AL766*AV766*IF(F766="백어택",1.2,1)</f>
        <v>2801.7672971663419</v>
      </c>
      <c r="U766" s="174">
        <f>AM766*AX766*AY766*IF(F766="백어택",1.2,1)</f>
        <v>2801.2872971663419</v>
      </c>
      <c r="V766" s="174"/>
      <c r="W766" s="174"/>
      <c r="X766" s="175"/>
      <c r="Y766" s="173">
        <f>SUM(Z766:AD766)</f>
        <v>11206.109188665367</v>
      </c>
      <c r="Z766" s="174">
        <f>T766*$D$58/100</f>
        <v>5603.5345943326838</v>
      </c>
      <c r="AA766" s="174">
        <f>U766*$D$58/100</f>
        <v>5602.5745943326838</v>
      </c>
      <c r="AB766" s="174"/>
      <c r="AC766" s="174"/>
      <c r="AD766" s="175"/>
      <c r="AE766" s="173">
        <f>AO766*(1-$D$17/100)-AR766</f>
        <v>17.957124</v>
      </c>
      <c r="AF766" s="174">
        <f>AP766</f>
        <v>36</v>
      </c>
      <c r="AG766" s="174">
        <f>IF($D$57+AU766&gt;100,100,$D$57+AU766)</f>
        <v>19.001300000000001</v>
      </c>
      <c r="AH766" s="174">
        <f>AQ766*AS766</f>
        <v>153.5</v>
      </c>
      <c r="AI766" s="174">
        <f>$D$58+$D$19</f>
        <v>268.61079999999998</v>
      </c>
      <c r="AJ766" s="174">
        <f>10*IF(AV766=1,1,5/4.5)/IF(AX766=1,5,3.5)</f>
        <v>2</v>
      </c>
      <c r="AK766" s="174">
        <f>SUM(AL766:AN766)</f>
        <v>4669.212161943904</v>
      </c>
      <c r="AL766" s="174">
        <f>(VLOOKUP(C766,$B$36:$AG$39,29,FALSE)+VLOOKUP(C766,$B$40:$AG$43,29,FALSE)*$D$54)*$D$59/100</f>
        <v>2334.8060809719518</v>
      </c>
      <c r="AM766" s="174">
        <f>(VLOOKUP(C766,$B$36:$AG$39,30,FALSE)+VLOOKUP(C766,$B$40:$AG$43,30,FALSE)*$D$54)*$D$59/100</f>
        <v>2334.4060809719517</v>
      </c>
      <c r="AN766" s="174"/>
      <c r="AO766" s="176">
        <v>18</v>
      </c>
      <c r="AP766" s="174">
        <v>36</v>
      </c>
      <c r="AQ766" s="175">
        <f>VLOOKUP(C766,$B$45:$AG$48,29,FALSE)</f>
        <v>307</v>
      </c>
      <c r="AR766" s="31">
        <f>IF(LEFT(E766,1)*1=1,$S$70,$R$70)</f>
        <v>0</v>
      </c>
      <c r="AS766" s="2">
        <f>IF(LEFT(E766,1)*1=2,$U$70,$T$70)</f>
        <v>0.5</v>
      </c>
      <c r="AT766" s="33">
        <f>IF(LEFT(E766,1)*1=3,$W$70,$V$70)</f>
        <v>0</v>
      </c>
      <c r="AU766" s="31">
        <f>IF(MID(E766,3,1)*1=1,$Y$70,$X$70)</f>
        <v>0</v>
      </c>
      <c r="AV766" s="2">
        <f>IF(MID(E766,3,1)*1=2,$AA$70,$Z$70)</f>
        <v>1</v>
      </c>
      <c r="AW766" s="33">
        <f>IF(MID(E766,3,1)*1=3,$AC$70,$AB$70)</f>
        <v>0</v>
      </c>
      <c r="AX766" s="31">
        <f>IF(MID(E766,5,1)*1=1,$AE$70,$AD$70)</f>
        <v>1</v>
      </c>
      <c r="AY766" s="33">
        <f>IF(MID(E766,5,1)*1=2,$AG$70,$AF$70)</f>
        <v>1</v>
      </c>
      <c r="AZ766" s="2"/>
      <c r="BA766" s="101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</row>
    <row r="767" spans="1:71" ht="12" customHeight="1">
      <c r="A767" s="2"/>
      <c r="B767" s="107">
        <v>812</v>
      </c>
      <c r="C767" s="31">
        <v>7</v>
      </c>
      <c r="D767" s="113" t="s">
        <v>9</v>
      </c>
      <c r="E767" s="2" t="s">
        <v>91</v>
      </c>
      <c r="F767" s="2"/>
      <c r="G767" s="2" t="s">
        <v>166</v>
      </c>
      <c r="H767" s="33"/>
      <c r="I767" s="173">
        <f>M767/AE767</f>
        <v>425.13723558452608</v>
      </c>
      <c r="J767" s="174">
        <f>AH767/AE767</f>
        <v>12.752598912832589</v>
      </c>
      <c r="K767" s="207">
        <f>RANK(I767,$I$76:$I$977)</f>
        <v>692</v>
      </c>
      <c r="L767" s="208" t="e">
        <f>RANK(I767,$I$867:$I$977)</f>
        <v>#N/A</v>
      </c>
      <c r="M767" s="173">
        <f>SUM(N767:R767)*(1+$D$22/100)</f>
        <v>15268.484112817096</v>
      </c>
      <c r="N767" s="174">
        <f>T767*(1+((AG767+IF(F767="백어택",8,0))/100)*(AI767/100-1))</f>
        <v>11796.743188918103</v>
      </c>
      <c r="O767" s="174">
        <f>U767*(1+($D$57/100)*(AI767/100-1))</f>
        <v>1960.1747976702225</v>
      </c>
      <c r="P767" s="174"/>
      <c r="Q767" s="174"/>
      <c r="R767" s="175">
        <f>X767*(1+($D$57/100)*(AI767/100-1))</f>
        <v>0</v>
      </c>
      <c r="S767" s="173">
        <f>SUM(T767:X767)</f>
        <v>8237.4991786609771</v>
      </c>
      <c r="T767" s="174">
        <f>AL767*AU767*AY767</f>
        <v>6590.3114608207325</v>
      </c>
      <c r="U767" s="174">
        <f>AM767*AX767</f>
        <v>1647.1877178402442</v>
      </c>
      <c r="V767" s="174"/>
      <c r="W767" s="174"/>
      <c r="X767" s="175">
        <f>AM767*AS767</f>
        <v>0</v>
      </c>
      <c r="Y767" s="173">
        <f>SUM(Z767:AD767)</f>
        <v>16474.998357321954</v>
      </c>
      <c r="Z767" s="174">
        <f>T767*$D$58/100</f>
        <v>13180.622921641465</v>
      </c>
      <c r="AA767" s="174">
        <f>U767*$D$58/100</f>
        <v>3294.3754356804884</v>
      </c>
      <c r="AB767" s="174"/>
      <c r="AC767" s="174"/>
      <c r="AD767" s="175">
        <f>X767*$D$58/100</f>
        <v>0</v>
      </c>
      <c r="AE767" s="173">
        <f>AO767*(1-$D$17/100)</f>
        <v>35.914248000000001</v>
      </c>
      <c r="AF767" s="174">
        <f>AP767</f>
        <v>36</v>
      </c>
      <c r="AG767" s="174">
        <f>IF($D$57+AW767&gt;100,100,$D$57+AW767)</f>
        <v>79.001300000000001</v>
      </c>
      <c r="AH767" s="174">
        <f>AQ767</f>
        <v>458</v>
      </c>
      <c r="AI767" s="174">
        <f>$D$58</f>
        <v>200</v>
      </c>
      <c r="AJ767" s="174">
        <f>10/(6+AT767)</f>
        <v>1.6666666666666667</v>
      </c>
      <c r="AK767" s="174">
        <f>SUM(AL767:AN767)</f>
        <v>8237.4991786609771</v>
      </c>
      <c r="AL767" s="174">
        <f>(VLOOKUP(C767,$B$36:$AG$39,11,FALSE)+VLOOKUP(C767,$B$40:$AG$43,11,FALSE)*$D$54)*$D$59/100</f>
        <v>6590.3114608207325</v>
      </c>
      <c r="AM767" s="174">
        <f>(3*(VLOOKUP(C767,$B$36:$AG$39,12,FALSE)+VLOOKUP(C767,$B$40:$AG$43,12,FALSE)*$D$54))*$D$59/100</f>
        <v>1647.1877178402442</v>
      </c>
      <c r="AN767" s="174"/>
      <c r="AO767" s="176">
        <v>36</v>
      </c>
      <c r="AP767" s="174">
        <v>36</v>
      </c>
      <c r="AQ767" s="175">
        <f>VLOOKUP(C767,$B$45:$AA$48,11,FALSE)</f>
        <v>458</v>
      </c>
      <c r="AR767" s="31">
        <f>IF(LEFT(E767,1)*1=1,$S$59,$R$59)</f>
        <v>0</v>
      </c>
      <c r="AS767" s="2">
        <f>IF(LEFT(E767,1)*1=2,$U$59,$T$59)</f>
        <v>0</v>
      </c>
      <c r="AT767" s="33">
        <f>IF(LEFT(E767,1)*1=3,$W$59,$V$59)</f>
        <v>0</v>
      </c>
      <c r="AU767" s="31">
        <f>IF(MID(E767,3,1)*1=1,$Y$59,$X$59)</f>
        <v>1</v>
      </c>
      <c r="AV767" s="2">
        <f>IF(MID(E767,3,1)*1=2,$AA$59,$Z$59)</f>
        <v>0</v>
      </c>
      <c r="AW767" s="33">
        <f>IF(MID(E767,3,1)*1=3,$AC$59,$AB$59)</f>
        <v>60</v>
      </c>
      <c r="AX767" s="31">
        <f>IF(MID(E767,5,1)*1=1,$AE$59,$AD$59)</f>
        <v>1</v>
      </c>
      <c r="AY767" s="33">
        <f>IF(MID(E767,5,1)*1=2,$AG$59,$AF$59)</f>
        <v>1</v>
      </c>
      <c r="AZ767" s="2"/>
      <c r="BA767" s="101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</row>
    <row r="768" spans="1:71" ht="12" customHeight="1">
      <c r="A768" s="2"/>
      <c r="B768" s="107">
        <v>818</v>
      </c>
      <c r="C768" s="31">
        <v>7</v>
      </c>
      <c r="D768" s="113" t="s">
        <v>9</v>
      </c>
      <c r="E768" s="2" t="s">
        <v>134</v>
      </c>
      <c r="F768" s="2"/>
      <c r="G768" s="2" t="s">
        <v>166</v>
      </c>
      <c r="H768" s="33"/>
      <c r="I768" s="173">
        <f>M768/AE768</f>
        <v>425.13723558452608</v>
      </c>
      <c r="J768" s="174">
        <f>AH768/AE768</f>
        <v>12.752598912832589</v>
      </c>
      <c r="K768" s="207">
        <f>RANK(I768,$I$76:$I$977)</f>
        <v>692</v>
      </c>
      <c r="L768" s="208" t="e">
        <f>RANK(I768,$I$867:$I$977)</f>
        <v>#N/A</v>
      </c>
      <c r="M768" s="173">
        <f>SUM(N768:R768)*(1+$D$22/100)</f>
        <v>15268.484112817096</v>
      </c>
      <c r="N768" s="174">
        <f>T768*(1+((AG768+IF(F768="백어택",8,0))/100)*(AI768/100-1))</f>
        <v>11796.743188918103</v>
      </c>
      <c r="O768" s="174">
        <f>U768*(1+($D$57/100)*(AI768/100-1))</f>
        <v>1960.1747976702225</v>
      </c>
      <c r="P768" s="174"/>
      <c r="Q768" s="174"/>
      <c r="R768" s="175">
        <f>X768*(1+($D$57/100)*(AI768/100-1))</f>
        <v>0</v>
      </c>
      <c r="S768" s="173">
        <f>SUM(T768:X768)</f>
        <v>8237.4991786609771</v>
      </c>
      <c r="T768" s="174">
        <f>AL768*AU768*AY768</f>
        <v>6590.3114608207325</v>
      </c>
      <c r="U768" s="174">
        <f>AM768*AX768</f>
        <v>1647.1877178402442</v>
      </c>
      <c r="V768" s="174"/>
      <c r="W768" s="174"/>
      <c r="X768" s="175">
        <f>AM768*AS768</f>
        <v>0</v>
      </c>
      <c r="Y768" s="173">
        <f>SUM(Z768:AD768)</f>
        <v>16474.998357321954</v>
      </c>
      <c r="Z768" s="174">
        <f>T768*$D$58/100</f>
        <v>13180.622921641465</v>
      </c>
      <c r="AA768" s="174">
        <f>U768*$D$58/100</f>
        <v>3294.3754356804884</v>
      </c>
      <c r="AB768" s="174"/>
      <c r="AC768" s="174"/>
      <c r="AD768" s="175">
        <f>X768*$D$58/100</f>
        <v>0</v>
      </c>
      <c r="AE768" s="173">
        <f>AO768*(1-$D$17/100)</f>
        <v>35.914248000000001</v>
      </c>
      <c r="AF768" s="174">
        <f>AP768</f>
        <v>36</v>
      </c>
      <c r="AG768" s="174">
        <f>IF($D$57+AW768&gt;100,100,$D$57+AW768)</f>
        <v>79.001300000000001</v>
      </c>
      <c r="AH768" s="174">
        <f>AQ768</f>
        <v>458</v>
      </c>
      <c r="AI768" s="174">
        <f>$D$58</f>
        <v>200</v>
      </c>
      <c r="AJ768" s="174">
        <f>10/(6+AT768)</f>
        <v>1.4285714285714286</v>
      </c>
      <c r="AK768" s="174">
        <f>SUM(AL768:AN768)</f>
        <v>8237.4991786609771</v>
      </c>
      <c r="AL768" s="174">
        <f>(VLOOKUP(C768,$B$36:$AG$39,11,FALSE)+VLOOKUP(C768,$B$40:$AG$43,11,FALSE)*$D$54)*$D$59/100</f>
        <v>6590.3114608207325</v>
      </c>
      <c r="AM768" s="174">
        <f>(3*(VLOOKUP(C768,$B$36:$AG$39,12,FALSE)+VLOOKUP(C768,$B$40:$AG$43,12,FALSE)*$D$54))*$D$59/100</f>
        <v>1647.1877178402442</v>
      </c>
      <c r="AN768" s="174"/>
      <c r="AO768" s="176">
        <v>36</v>
      </c>
      <c r="AP768" s="174">
        <v>36</v>
      </c>
      <c r="AQ768" s="175">
        <f>VLOOKUP(C768,$B$45:$AA$48,11,FALSE)</f>
        <v>458</v>
      </c>
      <c r="AR768" s="31">
        <f>IF(LEFT(E768,1)*1=1,$S$59,$R$59)</f>
        <v>0</v>
      </c>
      <c r="AS768" s="2">
        <f>IF(LEFT(E768,1)*1=2,$U$59,$T$59)</f>
        <v>0</v>
      </c>
      <c r="AT768" s="33">
        <f>IF(LEFT(E768,1)*1=3,$W$59,$V$59)</f>
        <v>1</v>
      </c>
      <c r="AU768" s="31">
        <f>IF(MID(E768,3,1)*1=1,$Y$59,$X$59)</f>
        <v>1</v>
      </c>
      <c r="AV768" s="2">
        <f>IF(MID(E768,3,1)*1=2,$AA$59,$Z$59)</f>
        <v>0</v>
      </c>
      <c r="AW768" s="33">
        <f>IF(MID(E768,3,1)*1=3,$AC$59,$AB$59)</f>
        <v>60</v>
      </c>
      <c r="AX768" s="31">
        <f>IF(MID(E768,5,1)*1=1,$AE$59,$AD$59)</f>
        <v>1</v>
      </c>
      <c r="AY768" s="33">
        <f>IF(MID(E768,5,1)*1=2,$AG$59,$AF$59)</f>
        <v>1</v>
      </c>
      <c r="AZ768" s="2"/>
      <c r="BA768" s="101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</row>
    <row r="769" spans="1:71" ht="12" customHeight="1">
      <c r="A769" s="2"/>
      <c r="B769" s="107">
        <v>593</v>
      </c>
      <c r="C769" s="31">
        <v>7</v>
      </c>
      <c r="D769" s="111" t="s">
        <v>14</v>
      </c>
      <c r="E769" s="2" t="s">
        <v>67</v>
      </c>
      <c r="F769" s="2" t="s">
        <v>149</v>
      </c>
      <c r="G769" s="1"/>
      <c r="H769" s="33" t="s">
        <v>80</v>
      </c>
      <c r="I769" s="173">
        <f>M769/AE769</f>
        <v>425.02133554630859</v>
      </c>
      <c r="J769" s="174">
        <f>AH769/AE769</f>
        <v>16.518097441877977</v>
      </c>
      <c r="K769" s="207">
        <f>RANK(I769,$I$76:$I$977)</f>
        <v>694</v>
      </c>
      <c r="L769" s="208">
        <f>RANK(I769,$I$451:$I$866)</f>
        <v>319</v>
      </c>
      <c r="M769" s="173">
        <f>SUM(N769:R769)</f>
        <v>11784.636358100941</v>
      </c>
      <c r="N769" s="174">
        <f>T769*(1+((AG769+IF(F769="백어택",8,0))/100)*(AI769/100-1))</f>
        <v>3517.2060066422109</v>
      </c>
      <c r="O769" s="174">
        <f>U769*(1+((AG769+IF(F769="백어택",8,0))/100)*(AI769/100-1))</f>
        <v>3517.2060066422109</v>
      </c>
      <c r="P769" s="174">
        <f>V769*(1+((AG769+IF(F769="백어택",8,0))/100)*(AI769*IF(AX769=1,AW769,1)/100-1))</f>
        <v>4750.2243448165191</v>
      </c>
      <c r="Q769" s="174">
        <f>W769*(1+((AG769+IF(F769="백어택",8,0))/100)*(AI769*AW769/100-1))</f>
        <v>0</v>
      </c>
      <c r="R769" s="175"/>
      <c r="S769" s="173">
        <f>SUM(T769:X769)</f>
        <v>9279.1462434643909</v>
      </c>
      <c r="T769" s="174">
        <f>AL769*AY769*IF(F769="백어택",1.2,1)</f>
        <v>2769.4252000902438</v>
      </c>
      <c r="U769" s="174">
        <f>AM769*AY769*IF(F769="백어택",1.2,1)</f>
        <v>2769.4252000902438</v>
      </c>
      <c r="V769" s="174">
        <f>AN769*AY769*IF(F769="백어택",1.2,1)</f>
        <v>3740.2958432839023</v>
      </c>
      <c r="W769" s="174">
        <f>(T769+U769+V769)*IF(AX769=1,0,0.6)*IF(F769="백어택",1.2,1)</f>
        <v>0</v>
      </c>
      <c r="X769" s="175"/>
      <c r="Y769" s="173">
        <f>SUM(Z769:AD769)</f>
        <v>18558.292486928778</v>
      </c>
      <c r="Z769" s="174">
        <f>T769*AI769/100</f>
        <v>5538.8504001804868</v>
      </c>
      <c r="AA769" s="174">
        <f>U769*AI769/100</f>
        <v>5538.8504001804868</v>
      </c>
      <c r="AB769" s="174">
        <f>V769*AI769*IF(AX769=1,AW769,1)/100</f>
        <v>7480.5916865678046</v>
      </c>
      <c r="AC769" s="174">
        <f>W769*AI769*AW769/100</f>
        <v>0</v>
      </c>
      <c r="AD769" s="175"/>
      <c r="AE769" s="173">
        <f>AO769*(1-$D$20/100)*(1-$D$17/100)</f>
        <v>27.727164197424003</v>
      </c>
      <c r="AF769" s="174">
        <f>AP769</f>
        <v>36</v>
      </c>
      <c r="AG769" s="174">
        <f>IF($D$57+AU769&gt;100,100,$D$57+AU769)</f>
        <v>19.001300000000001</v>
      </c>
      <c r="AH769" s="174">
        <f>AQ769*AS769</f>
        <v>458</v>
      </c>
      <c r="AI769" s="174">
        <f>$D$58+IF(H769="근접",AR769,0)+IF(AY769=1,0,50)</f>
        <v>200</v>
      </c>
      <c r="AJ769" s="174">
        <f>10/3</f>
        <v>3.3333333333333335</v>
      </c>
      <c r="AK769" s="174">
        <f>SUM(AL769:AN769)</f>
        <v>7732.6218695536591</v>
      </c>
      <c r="AL769" s="174">
        <f>(IF(H769="근접",$D$61*(VLOOKUP(C769,$B$36:$AG$39,19,FALSE)+VLOOKUP(C769,$B$40:$AG$43,19,FALSE)*$D$54),$D$60*(VLOOKUP(C769,$B$36:$AG$39,19,FALSE)+VLOOKUP(C769,$B$40:$AG$43,19,FALSE)*$D$54)))*$D$59/100</f>
        <v>2307.8543334085366</v>
      </c>
      <c r="AM769" s="174">
        <f>(IF(H769="근접",$D$61*(VLOOKUP(C769,$B$36:$AG$39,20,FALSE)+VLOOKUP(C769,$B$40:$AG$43,20,FALSE)*$D$54),$D$60*(VLOOKUP(C769,$B$36:$AG$39,20,FALSE)+VLOOKUP(C769,$B$40:$AG$43,20,FALSE)*$D$54)))*$D$59/100</f>
        <v>2307.8543334085366</v>
      </c>
      <c r="AN769" s="174">
        <f>(IF(H769="근접",$D$61*(VLOOKUP(C769,$B$36:$AG$39,21,FALSE)+VLOOKUP(C769,$B$40:$AG$43,21,FALSE)*$D$54),$D$60*(VLOOKUP(C769,$B$36:$AG$39,21,FALSE)+VLOOKUP(C769,$B$40:$AG$43,21,FALSE)*$D$54)))*$D$59/100</f>
        <v>3116.9132027365854</v>
      </c>
      <c r="AO769" s="176">
        <v>36</v>
      </c>
      <c r="AP769" s="174">
        <v>36</v>
      </c>
      <c r="AQ769" s="175">
        <f>VLOOKUP(C769,$B$45:$AA$48,19,FALSE)</f>
        <v>458</v>
      </c>
      <c r="AR769" s="31">
        <f>IF(LEFT(E769,1)*1=1,$S$64,$R$64)</f>
        <v>0</v>
      </c>
      <c r="AS769" s="2">
        <f>IF(LEFT(E769,1)*1=2,$U$64,$T$64)</f>
        <v>1</v>
      </c>
      <c r="AT769" s="33">
        <f>IF(LEFT(E769,1)*1=3,$W$64,$V$64)</f>
        <v>0</v>
      </c>
      <c r="AU769" s="31">
        <f>IF(MID(E769,3,1)*1=1,$Y$64,$X$64)</f>
        <v>0</v>
      </c>
      <c r="AV769" s="2">
        <f>IF(MID(E769,3,1)*1=2,$AA$64,$Z$64)</f>
        <v>0</v>
      </c>
      <c r="AW769" s="33">
        <f>IF(MID(E769,3,1)*1=3,$AC$64,$AB$64)</f>
        <v>1</v>
      </c>
      <c r="AX769" s="31">
        <f>IF(MID(E769,5,1)*1=1,$AE$64,$AD$64)</f>
        <v>1</v>
      </c>
      <c r="AY769" s="33">
        <f>IF(MID(E769,5,1)*1=2,$AG$64,$AF$64)</f>
        <v>1</v>
      </c>
      <c r="AZ769" s="2"/>
      <c r="BA769" s="101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</row>
    <row r="770" spans="1:71" ht="12" customHeight="1">
      <c r="A770" s="2"/>
      <c r="B770" s="107">
        <v>596</v>
      </c>
      <c r="C770" s="31">
        <v>7</v>
      </c>
      <c r="D770" s="111" t="s">
        <v>14</v>
      </c>
      <c r="E770" s="2" t="s">
        <v>148</v>
      </c>
      <c r="F770" s="2" t="s">
        <v>149</v>
      </c>
      <c r="G770" s="2"/>
      <c r="H770" s="33" t="s">
        <v>80</v>
      </c>
      <c r="I770" s="173">
        <f>M770/AE770</f>
        <v>425.02133554630859</v>
      </c>
      <c r="J770" s="174">
        <f>AH770/AE770</f>
        <v>16.518097441877977</v>
      </c>
      <c r="K770" s="207">
        <f>RANK(I770,$I$76:$I$977)</f>
        <v>694</v>
      </c>
      <c r="L770" s="208">
        <f>RANK(I770,$I$451:$I$866)</f>
        <v>319</v>
      </c>
      <c r="M770" s="173">
        <f>SUM(N770:R770)</f>
        <v>11784.636358100941</v>
      </c>
      <c r="N770" s="174">
        <f>T770*(1+((AG770+IF(F770="백어택",8,0))/100)*(AI770/100-1))</f>
        <v>3517.2060066422109</v>
      </c>
      <c r="O770" s="174">
        <f>U770*(1+((AG770+IF(F770="백어택",8,0))/100)*(AI770/100-1))</f>
        <v>3517.2060066422109</v>
      </c>
      <c r="P770" s="174">
        <f>V770*(1+((AG770+IF(F770="백어택",8,0))/100)*(AI770*IF(AX770=1,AW770,1)/100-1))</f>
        <v>4750.2243448165191</v>
      </c>
      <c r="Q770" s="174">
        <f>W770*(1+((AG770+IF(F770="백어택",8,0))/100)*(AI770*AW770/100-1))</f>
        <v>0</v>
      </c>
      <c r="R770" s="175"/>
      <c r="S770" s="173">
        <f>SUM(T770:X770)</f>
        <v>9279.1462434643909</v>
      </c>
      <c r="T770" s="174">
        <f>AL770*AY770*IF(F770="백어택",1.2,1)</f>
        <v>2769.4252000902438</v>
      </c>
      <c r="U770" s="174">
        <f>AM770*AY770*IF(F770="백어택",1.2,1)</f>
        <v>2769.4252000902438</v>
      </c>
      <c r="V770" s="174">
        <f>AN770*AY770*IF(F770="백어택",1.2,1)</f>
        <v>3740.2958432839023</v>
      </c>
      <c r="W770" s="174">
        <f>(T770+U770+V770)*IF(AX770=1,0,0.6)*IF(F770="백어택",1.2,1)</f>
        <v>0</v>
      </c>
      <c r="X770" s="175"/>
      <c r="Y770" s="173">
        <f>SUM(Z770:AD770)</f>
        <v>18558.292486928778</v>
      </c>
      <c r="Z770" s="174">
        <f>T770*AI770/100</f>
        <v>5538.8504001804868</v>
      </c>
      <c r="AA770" s="174">
        <f>U770*AI770/100</f>
        <v>5538.8504001804868</v>
      </c>
      <c r="AB770" s="174">
        <f>V770*AI770*IF(AX770=1,AW770,1)/100</f>
        <v>7480.5916865678046</v>
      </c>
      <c r="AC770" s="174">
        <f>W770*AI770*AW770/100</f>
        <v>0</v>
      </c>
      <c r="AD770" s="175"/>
      <c r="AE770" s="173">
        <f>AO770*(1-$D$20/100)*(1-$D$17/100)</f>
        <v>27.727164197424003</v>
      </c>
      <c r="AF770" s="174">
        <f>AP770</f>
        <v>36</v>
      </c>
      <c r="AG770" s="174">
        <f>IF($D$57+AU770&gt;100,100,$D$57+AU770)</f>
        <v>19.001300000000001</v>
      </c>
      <c r="AH770" s="174">
        <f>AQ770*AS770</f>
        <v>458</v>
      </c>
      <c r="AI770" s="174">
        <f>$D$58+IF(H770="근접",AR770,0)+IF(AY770=1,0,50)</f>
        <v>200</v>
      </c>
      <c r="AJ770" s="174">
        <f>10/3</f>
        <v>3.3333333333333335</v>
      </c>
      <c r="AK770" s="174">
        <f>SUM(AL770:AN770)</f>
        <v>7732.6218695536591</v>
      </c>
      <c r="AL770" s="174">
        <f>(IF(H770="근접",$D$61*(VLOOKUP(C770,$B$36:$AG$39,19,FALSE)+VLOOKUP(C770,$B$40:$AG$43,19,FALSE)*$D$54),$D$60*(VLOOKUP(C770,$B$36:$AG$39,19,FALSE)+VLOOKUP(C770,$B$40:$AG$43,19,FALSE)*$D$54)))*$D$59/100</f>
        <v>2307.8543334085366</v>
      </c>
      <c r="AM770" s="174">
        <f>(IF(H770="근접",$D$61*(VLOOKUP(C770,$B$36:$AG$39,20,FALSE)+VLOOKUP(C770,$B$40:$AG$43,20,FALSE)*$D$54),$D$60*(VLOOKUP(C770,$B$36:$AG$39,20,FALSE)+VLOOKUP(C770,$B$40:$AG$43,20,FALSE)*$D$54)))*$D$59/100</f>
        <v>2307.8543334085366</v>
      </c>
      <c r="AN770" s="174">
        <f>(IF(H770="근접",$D$61*(VLOOKUP(C770,$B$36:$AG$39,21,FALSE)+VLOOKUP(C770,$B$40:$AG$43,21,FALSE)*$D$54),$D$60*(VLOOKUP(C770,$B$36:$AG$39,21,FALSE)+VLOOKUP(C770,$B$40:$AG$43,21,FALSE)*$D$54)))*$D$59/100</f>
        <v>3116.9132027365854</v>
      </c>
      <c r="AO770" s="176">
        <v>36</v>
      </c>
      <c r="AP770" s="174">
        <v>36</v>
      </c>
      <c r="AQ770" s="175">
        <f>VLOOKUP(C770,$B$45:$AA$48,19,FALSE)</f>
        <v>458</v>
      </c>
      <c r="AR770" s="31">
        <f>IF(LEFT(E770,1)*1=1,$S$64,$R$64)</f>
        <v>50</v>
      </c>
      <c r="AS770" s="2">
        <f>IF(LEFT(E770,1)*1=2,$U$64,$T$64)</f>
        <v>1</v>
      </c>
      <c r="AT770" s="33">
        <f>IF(LEFT(E770,1)*1=3,$W$64,$V$64)</f>
        <v>0</v>
      </c>
      <c r="AU770" s="31">
        <f>IF(MID(E770,3,1)*1=1,$Y$64,$X$64)</f>
        <v>0</v>
      </c>
      <c r="AV770" s="2">
        <f>IF(MID(E770,3,1)*1=2,$AA$64,$Z$64)</f>
        <v>0</v>
      </c>
      <c r="AW770" s="33">
        <f>IF(MID(E770,3,1)*1=3,$AC$64,$AB$64)</f>
        <v>1</v>
      </c>
      <c r="AX770" s="31">
        <f>IF(MID(E770,5,1)*1=1,$AE$64,$AD$64)</f>
        <v>1</v>
      </c>
      <c r="AY770" s="33">
        <f>IF(MID(E770,5,1)*1=2,$AG$64,$AF$64)</f>
        <v>1</v>
      </c>
      <c r="AZ770" s="2"/>
      <c r="BA770" s="101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</row>
    <row r="771" spans="1:71" ht="12" customHeight="1">
      <c r="A771" s="2"/>
      <c r="B771" s="107">
        <v>599</v>
      </c>
      <c r="C771" s="31">
        <v>7</v>
      </c>
      <c r="D771" s="111" t="s">
        <v>14</v>
      </c>
      <c r="E771" s="2" t="s">
        <v>79</v>
      </c>
      <c r="F771" s="2" t="s">
        <v>149</v>
      </c>
      <c r="G771" s="2"/>
      <c r="H771" s="33" t="s">
        <v>80</v>
      </c>
      <c r="I771" s="173">
        <f>M771/AE771</f>
        <v>425.02133554630859</v>
      </c>
      <c r="J771" s="174">
        <f>AH771/AE771</f>
        <v>8.2590487209389885</v>
      </c>
      <c r="K771" s="207">
        <f>RANK(I771,$I$76:$I$977)</f>
        <v>694</v>
      </c>
      <c r="L771" s="208">
        <f>RANK(I771,$I$451:$I$866)</f>
        <v>319</v>
      </c>
      <c r="M771" s="173">
        <f>SUM(N771:R771)</f>
        <v>11784.636358100941</v>
      </c>
      <c r="N771" s="174">
        <f>T771*(1+((AG771+IF(F771="백어택",8,0))/100)*(AI771/100-1))</f>
        <v>3517.2060066422109</v>
      </c>
      <c r="O771" s="174">
        <f>U771*(1+((AG771+IF(F771="백어택",8,0))/100)*(AI771/100-1))</f>
        <v>3517.2060066422109</v>
      </c>
      <c r="P771" s="174">
        <f>V771*(1+((AG771+IF(F771="백어택",8,0))/100)*(AI771*IF(AX771=1,AW771,1)/100-1))</f>
        <v>4750.2243448165191</v>
      </c>
      <c r="Q771" s="174">
        <f>W771*(1+((AG771+IF(F771="백어택",8,0))/100)*(AI771*AW771/100-1))</f>
        <v>0</v>
      </c>
      <c r="R771" s="175"/>
      <c r="S771" s="173">
        <f>SUM(T771:X771)</f>
        <v>9279.1462434643909</v>
      </c>
      <c r="T771" s="174">
        <f>AL771*AY771*IF(F771="백어택",1.2,1)</f>
        <v>2769.4252000902438</v>
      </c>
      <c r="U771" s="174">
        <f>AM771*AY771*IF(F771="백어택",1.2,1)</f>
        <v>2769.4252000902438</v>
      </c>
      <c r="V771" s="174">
        <f>AN771*AY771*IF(F771="백어택",1.2,1)</f>
        <v>3740.2958432839023</v>
      </c>
      <c r="W771" s="174">
        <f>(T771+U771+V771)*IF(AX771=1,0,0.6)*IF(F771="백어택",1.2,1)</f>
        <v>0</v>
      </c>
      <c r="X771" s="175"/>
      <c r="Y771" s="173">
        <f>SUM(Z771:AD771)</f>
        <v>18558.292486928778</v>
      </c>
      <c r="Z771" s="174">
        <f>T771*AI771/100</f>
        <v>5538.8504001804868</v>
      </c>
      <c r="AA771" s="174">
        <f>U771*AI771/100</f>
        <v>5538.8504001804868</v>
      </c>
      <c r="AB771" s="174">
        <f>V771*AI771*IF(AX771=1,AW771,1)/100</f>
        <v>7480.5916865678046</v>
      </c>
      <c r="AC771" s="174">
        <f>W771*AI771*AW771/100</f>
        <v>0</v>
      </c>
      <c r="AD771" s="175"/>
      <c r="AE771" s="173">
        <f>AO771*(1-$D$20/100)*(1-$D$17/100)</f>
        <v>27.727164197424003</v>
      </c>
      <c r="AF771" s="174">
        <f>AP771</f>
        <v>36</v>
      </c>
      <c r="AG771" s="174">
        <f>IF($D$57+AU771&gt;100,100,$D$57+AU771)</f>
        <v>19.001300000000001</v>
      </c>
      <c r="AH771" s="174">
        <f>AQ771*AS771</f>
        <v>229</v>
      </c>
      <c r="AI771" s="174">
        <f>$D$58+IF(H771="근접",AR771,0)+IF(AY771=1,0,50)</f>
        <v>200</v>
      </c>
      <c r="AJ771" s="174">
        <f>10/3</f>
        <v>3.3333333333333335</v>
      </c>
      <c r="AK771" s="174">
        <f>SUM(AL771:AN771)</f>
        <v>7732.6218695536591</v>
      </c>
      <c r="AL771" s="174">
        <f>(IF(H771="근접",$D$61*(VLOOKUP(C771,$B$36:$AG$39,19,FALSE)+VLOOKUP(C771,$B$40:$AG$43,19,FALSE)*$D$54),$D$60*(VLOOKUP(C771,$B$36:$AG$39,19,FALSE)+VLOOKUP(C771,$B$40:$AG$43,19,FALSE)*$D$54)))*$D$59/100</f>
        <v>2307.8543334085366</v>
      </c>
      <c r="AM771" s="174">
        <f>(IF(H771="근접",$D$61*(VLOOKUP(C771,$B$36:$AG$39,20,FALSE)+VLOOKUP(C771,$B$40:$AG$43,20,FALSE)*$D$54),$D$60*(VLOOKUP(C771,$B$36:$AG$39,20,FALSE)+VLOOKUP(C771,$B$40:$AG$43,20,FALSE)*$D$54)))*$D$59/100</f>
        <v>2307.8543334085366</v>
      </c>
      <c r="AN771" s="174">
        <f>(IF(H771="근접",$D$61*(VLOOKUP(C771,$B$36:$AG$39,21,FALSE)+VLOOKUP(C771,$B$40:$AG$43,21,FALSE)*$D$54),$D$60*(VLOOKUP(C771,$B$36:$AG$39,21,FALSE)+VLOOKUP(C771,$B$40:$AG$43,21,FALSE)*$D$54)))*$D$59/100</f>
        <v>3116.9132027365854</v>
      </c>
      <c r="AO771" s="176">
        <v>36</v>
      </c>
      <c r="AP771" s="174">
        <v>36</v>
      </c>
      <c r="AQ771" s="175">
        <f>VLOOKUP(C771,$B$45:$AA$48,19,FALSE)</f>
        <v>458</v>
      </c>
      <c r="AR771" s="31">
        <f>IF(LEFT(E771,1)*1=1,$S$64,$R$64)</f>
        <v>0</v>
      </c>
      <c r="AS771" s="2">
        <f>IF(LEFT(E771,1)*1=2,$U$64,$T$64)</f>
        <v>0.5</v>
      </c>
      <c r="AT771" s="33">
        <f>IF(LEFT(E771,1)*1=3,$W$64,$V$64)</f>
        <v>0</v>
      </c>
      <c r="AU771" s="31">
        <f>IF(MID(E771,3,1)*1=1,$Y$64,$X$64)</f>
        <v>0</v>
      </c>
      <c r="AV771" s="2">
        <f>IF(MID(E771,3,1)*1=2,$AA$64,$Z$64)</f>
        <v>0</v>
      </c>
      <c r="AW771" s="33">
        <f>IF(MID(E771,3,1)*1=3,$AC$64,$AB$64)</f>
        <v>1</v>
      </c>
      <c r="AX771" s="31">
        <f>IF(MID(E771,5,1)*1=1,$AE$64,$AD$64)</f>
        <v>1</v>
      </c>
      <c r="AY771" s="33">
        <f>IF(MID(E771,5,1)*1=2,$AG$64,$AF$64)</f>
        <v>1</v>
      </c>
      <c r="AZ771" s="2"/>
      <c r="BA771" s="101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</row>
    <row r="772" spans="1:71" ht="12" customHeight="1">
      <c r="A772" s="2"/>
      <c r="B772" s="107">
        <v>811</v>
      </c>
      <c r="C772" s="31">
        <v>7</v>
      </c>
      <c r="D772" s="113" t="s">
        <v>9</v>
      </c>
      <c r="E772" s="2" t="s">
        <v>136</v>
      </c>
      <c r="F772" s="2"/>
      <c r="G772" s="2"/>
      <c r="H772" s="33"/>
      <c r="I772" s="173">
        <f>M772/AE772</f>
        <v>424.12024018047282</v>
      </c>
      <c r="J772" s="174">
        <f>AH772/AE772</f>
        <v>12.752598912832589</v>
      </c>
      <c r="K772" s="207">
        <f>RANK(I772,$I$76:$I$977)</f>
        <v>697</v>
      </c>
      <c r="L772" s="208" t="e">
        <f>RANK(I772,$I$867:$I$977)</f>
        <v>#N/A</v>
      </c>
      <c r="M772" s="173">
        <f>SUM(N772:R772)*(1+$D$22/100)</f>
        <v>15231.959487661066</v>
      </c>
      <c r="N772" s="174">
        <f>T772*(1+((AG772+IF(F772="백어택",8,0))/100)*(AI772/100-1))</f>
        <v>11763.834468638493</v>
      </c>
      <c r="O772" s="174">
        <f>U772*(1+($D$57/100)*(AI772/100-1))</f>
        <v>1960.1747976702225</v>
      </c>
      <c r="P772" s="174"/>
      <c r="Q772" s="174"/>
      <c r="R772" s="175">
        <f>X772*(1+($D$57/100)*(AI772/100-1))</f>
        <v>0</v>
      </c>
      <c r="S772" s="173">
        <f>SUM(T772:X772)</f>
        <v>11532.654909071343</v>
      </c>
      <c r="T772" s="174">
        <f>AL772*AU772*AY772</f>
        <v>9885.4671912310987</v>
      </c>
      <c r="U772" s="174">
        <f>AM772*AX772</f>
        <v>1647.1877178402442</v>
      </c>
      <c r="V772" s="174"/>
      <c r="W772" s="174"/>
      <c r="X772" s="175">
        <f>AM772*AS772</f>
        <v>0</v>
      </c>
      <c r="Y772" s="173">
        <f>SUM(Z772:AD772)</f>
        <v>23065.309818142687</v>
      </c>
      <c r="Z772" s="174">
        <f>T772*$D$58/100</f>
        <v>19770.934382462197</v>
      </c>
      <c r="AA772" s="174">
        <f>U772*$D$58/100</f>
        <v>3294.3754356804884</v>
      </c>
      <c r="AB772" s="174"/>
      <c r="AC772" s="174"/>
      <c r="AD772" s="175">
        <f>X772*$D$58/100</f>
        <v>0</v>
      </c>
      <c r="AE772" s="173">
        <f>AO772*(1-$D$17/100)</f>
        <v>35.914248000000001</v>
      </c>
      <c r="AF772" s="174">
        <f>AP772</f>
        <v>36</v>
      </c>
      <c r="AG772" s="174">
        <f>IF($D$57+AW772&gt;100,100,$D$57+AW772)</f>
        <v>19.001300000000001</v>
      </c>
      <c r="AH772" s="174">
        <f>AQ772</f>
        <v>458</v>
      </c>
      <c r="AI772" s="174">
        <f>$D$58</f>
        <v>200</v>
      </c>
      <c r="AJ772" s="174">
        <f>10/(6+AT772)</f>
        <v>1.6666666666666667</v>
      </c>
      <c r="AK772" s="174">
        <f>SUM(AL772:AN772)</f>
        <v>8237.4991786609771</v>
      </c>
      <c r="AL772" s="174">
        <f>(VLOOKUP(C772,$B$36:$AG$39,11,FALSE)+VLOOKUP(C772,$B$40:$AG$43,11,FALSE)*$D$54)*$D$59/100</f>
        <v>6590.3114608207325</v>
      </c>
      <c r="AM772" s="174">
        <f>(3*(VLOOKUP(C772,$B$36:$AG$39,12,FALSE)+VLOOKUP(C772,$B$40:$AG$43,12,FALSE)*$D$54))*$D$59/100</f>
        <v>1647.1877178402442</v>
      </c>
      <c r="AN772" s="174"/>
      <c r="AO772" s="176">
        <v>36</v>
      </c>
      <c r="AP772" s="174">
        <v>36</v>
      </c>
      <c r="AQ772" s="175">
        <f>VLOOKUP(C772,$B$45:$AA$48,11,FALSE)</f>
        <v>458</v>
      </c>
      <c r="AR772" s="31">
        <f>IF(LEFT(E772,1)*1=1,$S$59,$R$59)</f>
        <v>0</v>
      </c>
      <c r="AS772" s="2">
        <f>IF(LEFT(E772,1)*1=2,$U$59,$T$59)</f>
        <v>0</v>
      </c>
      <c r="AT772" s="33">
        <f>IF(LEFT(E772,1)*1=3,$W$59,$V$59)</f>
        <v>0</v>
      </c>
      <c r="AU772" s="31">
        <f>IF(MID(E772,3,1)*1=1,$Y$59,$X$59)</f>
        <v>1.5</v>
      </c>
      <c r="AV772" s="2">
        <f>IF(MID(E772,3,1)*1=2,$AA$59,$Z$59)</f>
        <v>0</v>
      </c>
      <c r="AW772" s="33">
        <f>IF(MID(E772,3,1)*1=3,$AC$59,$AB$59)</f>
        <v>0</v>
      </c>
      <c r="AX772" s="31">
        <f>IF(MID(E772,5,1)*1=1,$AE$59,$AD$59)</f>
        <v>1</v>
      </c>
      <c r="AY772" s="33">
        <f>IF(MID(E772,5,1)*1=2,$AG$59,$AF$59)</f>
        <v>1</v>
      </c>
      <c r="AZ772" s="2"/>
      <c r="BA772" s="101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</row>
    <row r="773" spans="1:71" ht="12" customHeight="1">
      <c r="A773" s="2"/>
      <c r="B773" s="107">
        <v>817</v>
      </c>
      <c r="C773" s="31">
        <v>7</v>
      </c>
      <c r="D773" s="113" t="s">
        <v>9</v>
      </c>
      <c r="E773" s="2" t="s">
        <v>179</v>
      </c>
      <c r="F773" s="2"/>
      <c r="G773" s="2"/>
      <c r="H773" s="33"/>
      <c r="I773" s="173">
        <f>M773/AE773</f>
        <v>424.12024018047282</v>
      </c>
      <c r="J773" s="174">
        <f>AH773/AE773</f>
        <v>12.752598912832589</v>
      </c>
      <c r="K773" s="207">
        <f>RANK(I773,$I$76:$I$977)</f>
        <v>697</v>
      </c>
      <c r="L773" s="208" t="e">
        <f>RANK(I773,$I$867:$I$977)</f>
        <v>#N/A</v>
      </c>
      <c r="M773" s="173">
        <f>SUM(N773:R773)*(1+$D$22/100)</f>
        <v>15231.959487661066</v>
      </c>
      <c r="N773" s="174">
        <f>T773*(1+((AG773+IF(F773="백어택",8,0))/100)*(AI773/100-1))</f>
        <v>11763.834468638493</v>
      </c>
      <c r="O773" s="174">
        <f>U773*(1+($D$57/100)*(AI773/100-1))</f>
        <v>1960.1747976702225</v>
      </c>
      <c r="P773" s="174"/>
      <c r="Q773" s="174"/>
      <c r="R773" s="175">
        <f>X773*(1+($D$57/100)*(AI773/100-1))</f>
        <v>0</v>
      </c>
      <c r="S773" s="173">
        <f>SUM(T773:X773)</f>
        <v>11532.654909071343</v>
      </c>
      <c r="T773" s="174">
        <f>AL773*AU773*AY773</f>
        <v>9885.4671912310987</v>
      </c>
      <c r="U773" s="174">
        <f>AM773*AX773</f>
        <v>1647.1877178402442</v>
      </c>
      <c r="V773" s="174"/>
      <c r="W773" s="174"/>
      <c r="X773" s="175">
        <f>AM773*AS773</f>
        <v>0</v>
      </c>
      <c r="Y773" s="173">
        <f>SUM(Z773:AD773)</f>
        <v>23065.309818142687</v>
      </c>
      <c r="Z773" s="174">
        <f>T773*$D$58/100</f>
        <v>19770.934382462197</v>
      </c>
      <c r="AA773" s="174">
        <f>U773*$D$58/100</f>
        <v>3294.3754356804884</v>
      </c>
      <c r="AB773" s="174"/>
      <c r="AC773" s="174"/>
      <c r="AD773" s="175">
        <f>X773*$D$58/100</f>
        <v>0</v>
      </c>
      <c r="AE773" s="173">
        <f>AO773*(1-$D$17/100)</f>
        <v>35.914248000000001</v>
      </c>
      <c r="AF773" s="174">
        <f>AP773</f>
        <v>36</v>
      </c>
      <c r="AG773" s="174">
        <f>IF($D$57+AW773&gt;100,100,$D$57+AW773)</f>
        <v>19.001300000000001</v>
      </c>
      <c r="AH773" s="174">
        <f>AQ773</f>
        <v>458</v>
      </c>
      <c r="AI773" s="174">
        <f>$D$58</f>
        <v>200</v>
      </c>
      <c r="AJ773" s="174">
        <f>10/(6+AT773)</f>
        <v>1.4285714285714286</v>
      </c>
      <c r="AK773" s="174">
        <f>SUM(AL773:AN773)</f>
        <v>8237.4991786609771</v>
      </c>
      <c r="AL773" s="174">
        <f>(VLOOKUP(C773,$B$36:$AG$39,11,FALSE)+VLOOKUP(C773,$B$40:$AG$43,11,FALSE)*$D$54)*$D$59/100</f>
        <v>6590.3114608207325</v>
      </c>
      <c r="AM773" s="174">
        <f>(3*(VLOOKUP(C773,$B$36:$AG$39,12,FALSE)+VLOOKUP(C773,$B$40:$AG$43,12,FALSE)*$D$54))*$D$59/100</f>
        <v>1647.1877178402442</v>
      </c>
      <c r="AN773" s="174"/>
      <c r="AO773" s="176">
        <v>36</v>
      </c>
      <c r="AP773" s="174">
        <v>36</v>
      </c>
      <c r="AQ773" s="175">
        <f>VLOOKUP(C773,$B$45:$AA$48,11,FALSE)</f>
        <v>458</v>
      </c>
      <c r="AR773" s="31">
        <f>IF(LEFT(E773,1)*1=1,$S$59,$R$59)</f>
        <v>0</v>
      </c>
      <c r="AS773" s="2">
        <f>IF(LEFT(E773,1)*1=2,$U$59,$T$59)</f>
        <v>0</v>
      </c>
      <c r="AT773" s="33">
        <f>IF(LEFT(E773,1)*1=3,$W$59,$V$59)</f>
        <v>1</v>
      </c>
      <c r="AU773" s="31">
        <f>IF(MID(E773,3,1)*1=1,$Y$59,$X$59)</f>
        <v>1.5</v>
      </c>
      <c r="AV773" s="2">
        <f>IF(MID(E773,3,1)*1=2,$AA$59,$Z$59)</f>
        <v>0</v>
      </c>
      <c r="AW773" s="33">
        <f>IF(MID(E773,3,1)*1=3,$AC$59,$AB$59)</f>
        <v>0</v>
      </c>
      <c r="AX773" s="31">
        <f>IF(MID(E773,5,1)*1=1,$AE$59,$AD$59)</f>
        <v>1</v>
      </c>
      <c r="AY773" s="33">
        <f>IF(MID(E773,5,1)*1=2,$AG$59,$AF$59)</f>
        <v>1</v>
      </c>
      <c r="AZ773" s="2"/>
      <c r="BA773" s="101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</row>
    <row r="774" spans="1:71" ht="12" customHeight="1">
      <c r="A774" s="2"/>
      <c r="B774" s="107">
        <v>53</v>
      </c>
      <c r="C774" s="31">
        <v>7</v>
      </c>
      <c r="D774" s="106" t="s">
        <v>4</v>
      </c>
      <c r="E774" s="2" t="s">
        <v>87</v>
      </c>
      <c r="F774" s="2" t="s">
        <v>149</v>
      </c>
      <c r="G774" s="2"/>
      <c r="H774" s="33"/>
      <c r="I774" s="173">
        <f>M774/AE774</f>
        <v>422.61112109060895</v>
      </c>
      <c r="J774" s="174">
        <f>AH774/AE774</f>
        <v>20.298350671299033</v>
      </c>
      <c r="K774" s="207">
        <f>RANK(I774,$I$76:$I$977)</f>
        <v>699</v>
      </c>
      <c r="L774" s="208" t="e">
        <f>RANK(I774,$I$76:$I$450)</f>
        <v>#N/A</v>
      </c>
      <c r="M774" s="173">
        <f>SUM(N774:R774)</f>
        <v>5059.2535368020535</v>
      </c>
      <c r="N774" s="174">
        <f>T774*(1+((AG774+IF(F774="백어택",8,0))/100)*((AI774/100-1)))</f>
        <v>1382.5386144406264</v>
      </c>
      <c r="O774" s="174">
        <f>U774*(1+((AG774+IF(F774="백어택",8,0))/100)*(AI774/100-1))</f>
        <v>3676.7149223614274</v>
      </c>
      <c r="P774" s="174"/>
      <c r="Q774" s="174"/>
      <c r="R774" s="175"/>
      <c r="S774" s="173">
        <f>SUM(T774:X774)</f>
        <v>3476.502493868049</v>
      </c>
      <c r="T774" s="174">
        <f>AT774*AL774*IF(F774="백어택",1.2,1)</f>
        <v>950.02136303487805</v>
      </c>
      <c r="U774" s="174">
        <f>AM774*AW774*AX774*AY774*IF(F774="백어택",1.2,1)</f>
        <v>2526.4811308331709</v>
      </c>
      <c r="V774" s="174"/>
      <c r="W774" s="174"/>
      <c r="X774" s="175"/>
      <c r="Y774" s="173">
        <f>SUM(Z774:AD774)</f>
        <v>6953.004987736098</v>
      </c>
      <c r="Z774" s="174">
        <f>T774*$D$58/100</f>
        <v>1900.0427260697561</v>
      </c>
      <c r="AA774" s="174">
        <f>U774*$D$58/100</f>
        <v>5052.9622616663419</v>
      </c>
      <c r="AB774" s="174"/>
      <c r="AC774" s="174"/>
      <c r="AD774" s="175"/>
      <c r="AE774" s="173">
        <f>AO774*(1-$D$17/100)</f>
        <v>11.971416</v>
      </c>
      <c r="AF774" s="174">
        <f>AP774</f>
        <v>36</v>
      </c>
      <c r="AG774" s="174">
        <f>IF($D$57&gt;100,100,$D$57)</f>
        <v>19.001300000000001</v>
      </c>
      <c r="AH774" s="174">
        <f>AQ774</f>
        <v>243</v>
      </c>
      <c r="AI774" s="174">
        <f>$D$58+$D$19</f>
        <v>268.61079999999998</v>
      </c>
      <c r="AJ774" s="174">
        <f>10/IF(AY774=1,5,4)</f>
        <v>2</v>
      </c>
      <c r="AK774" s="174">
        <f>SUM(AL774:AN774)</f>
        <v>2633.1905884914636</v>
      </c>
      <c r="AL774" s="174">
        <f>(VLOOKUP(C774,$B$36:$AG$39,4,FALSE)+VLOOKUP(C774,$B$40:$AG$43,4,FALSE)*$D$54)*$D$59/100</f>
        <v>527.78964613048777</v>
      </c>
      <c r="AM774" s="174">
        <f>(VLOOKUP(C774,$B$36:$AG$39,5,FALSE)+VLOOKUP(C774,$B$40:$AG$43,5,FALSE)*$D$54)*$D$59/100</f>
        <v>2105.4009423609759</v>
      </c>
      <c r="AN774" s="174"/>
      <c r="AO774" s="176">
        <v>12</v>
      </c>
      <c r="AP774" s="174">
        <v>36</v>
      </c>
      <c r="AQ774" s="175">
        <f>VLOOKUP(C774,$B$45:$AA$48,4,FALSE)</f>
        <v>243</v>
      </c>
      <c r="AR774" s="31">
        <f>IF(LEFT(E774,1)*1=1,$S$54,$R$54)</f>
        <v>0</v>
      </c>
      <c r="AS774" s="2">
        <f>IF(LEFT(E774,1)*1=2,$U$54,$T$54)</f>
        <v>0</v>
      </c>
      <c r="AT774" s="33">
        <f>IF(LEFT(E774,1)*1=3,$W$54,$V$54)</f>
        <v>1.5</v>
      </c>
      <c r="AU774" s="31">
        <f>IF(MID(E774,3,1)*1=1,$Y$54,$X$54)</f>
        <v>0</v>
      </c>
      <c r="AV774" s="2">
        <f>IF(MID(E774,3,1)*1=2,$AA$54,$Z$54)</f>
        <v>0</v>
      </c>
      <c r="AW774" s="33">
        <f>IF(MID(E774,3,1)*1=3,$AC$54,$AB$54)</f>
        <v>1</v>
      </c>
      <c r="AX774" s="31">
        <f>IF(MID(E774,5,1)*1=1,$AE$54,$AD$54)</f>
        <v>1</v>
      </c>
      <c r="AY774" s="33">
        <f>IF(MID(E774,5,1)*1=2,$AG$54,$AF$54)</f>
        <v>1</v>
      </c>
      <c r="AZ774" s="2"/>
      <c r="BA774" s="101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</row>
    <row r="775" spans="1:71" ht="12" customHeight="1">
      <c r="A775" s="2"/>
      <c r="B775" s="107">
        <v>28</v>
      </c>
      <c r="C775" s="31">
        <v>4</v>
      </c>
      <c r="D775" s="106" t="s">
        <v>2</v>
      </c>
      <c r="E775" s="2" t="s">
        <v>67</v>
      </c>
      <c r="F775" s="2"/>
      <c r="G775" s="2"/>
      <c r="H775" s="33"/>
      <c r="I775" s="173">
        <f>M775/AE775</f>
        <v>422.0701918220376</v>
      </c>
      <c r="J775" s="174">
        <f>AH775/AE775</f>
        <v>13.281636858998134</v>
      </c>
      <c r="K775" s="207">
        <f>RANK(I775,$I$76:$I$977)</f>
        <v>700</v>
      </c>
      <c r="L775" s="208" t="e">
        <f>RANK(I775,$I$76:$I$450)</f>
        <v>#N/A</v>
      </c>
      <c r="M775" s="173">
        <f>SUM(N775:R775)</f>
        <v>3368.5185650009403</v>
      </c>
      <c r="N775" s="174">
        <f>T775*(1+((AG775+IF(F775="백어택",8,0))/100)*((AI775/100-1)))</f>
        <v>3368.5185650009403</v>
      </c>
      <c r="O775" s="174"/>
      <c r="P775" s="174"/>
      <c r="Q775" s="174"/>
      <c r="R775" s="175"/>
      <c r="S775" s="173">
        <f>SUM(T775:X775)</f>
        <v>2551.1688617439027</v>
      </c>
      <c r="T775" s="174">
        <f>AL775*AV775*AW775*AY775</f>
        <v>2551.1688617439027</v>
      </c>
      <c r="U775" s="174"/>
      <c r="V775" s="174"/>
      <c r="W775" s="174"/>
      <c r="X775" s="175"/>
      <c r="Y775" s="173">
        <f>SUM(Z775:AD775)</f>
        <v>5102.3377234878053</v>
      </c>
      <c r="Z775" s="174">
        <f>T775*$D$58/100</f>
        <v>5102.3377234878053</v>
      </c>
      <c r="AA775" s="174"/>
      <c r="AB775" s="174"/>
      <c r="AC775" s="174"/>
      <c r="AD775" s="175"/>
      <c r="AE775" s="173">
        <f>AO775*(1-$D$17/100)-AS775</f>
        <v>7.980944</v>
      </c>
      <c r="AF775" s="174"/>
      <c r="AG775" s="174">
        <f>IF($D$57+AT775&gt;100,100,$D$57+AT775)</f>
        <v>19.001300000000001</v>
      </c>
      <c r="AH775" s="174">
        <f>AQ775</f>
        <v>106</v>
      </c>
      <c r="AI775" s="174">
        <f>$D$58+$D$19</f>
        <v>268.61079999999998</v>
      </c>
      <c r="AJ775" s="174">
        <f>10*AY775/12</f>
        <v>0.83333333333333337</v>
      </c>
      <c r="AK775" s="174">
        <f>SUM(AL775:AN775)</f>
        <v>2551.1688617439027</v>
      </c>
      <c r="AL775" s="174">
        <f>(VLOOKUP(C775,$B$36:$AA$39,2,FALSE)+VLOOKUP(C775,$B$40:$AA$43,2,FALSE)*$D$54)*$D$59/100</f>
        <v>2551.1688617439027</v>
      </c>
      <c r="AM775" s="174"/>
      <c r="AN775" s="174"/>
      <c r="AO775" s="176">
        <v>8</v>
      </c>
      <c r="AP775" s="174">
        <v>15</v>
      </c>
      <c r="AQ775" s="175">
        <f>VLOOKUP(C775,$B$45:$AA$48,2,FALSE)</f>
        <v>106</v>
      </c>
      <c r="AR775" s="31">
        <f>IF(LEFT(E775,1)*1=1,$S$52,$R$52)</f>
        <v>0</v>
      </c>
      <c r="AS775" s="2">
        <f>IF(LEFT(E775,1)*1=2,$U$52,$T$52)</f>
        <v>0</v>
      </c>
      <c r="AT775" s="33">
        <f>IF(LEFT(E775,1)*1=3,$W$52,$V$52)</f>
        <v>0</v>
      </c>
      <c r="AU775" s="31">
        <f>IF(MID(E775,3,1)*1=1,$Y$52,$X$52)</f>
        <v>0</v>
      </c>
      <c r="AV775" s="2">
        <f>IF(MID(E775,3,1)*1=2,$AA$52,$Z$52)</f>
        <v>1</v>
      </c>
      <c r="AW775" s="33">
        <f>IF(MID(E775,3,1)*1=3,$AC$52,$AB$52)</f>
        <v>1</v>
      </c>
      <c r="AX775" s="31">
        <f>IF(MID(E775,5,1)*1=1,$AE$52,$AD$52)</f>
        <v>0</v>
      </c>
      <c r="AY775" s="33">
        <f>IF(MID(E775,5,1)*1=2,$AG$52,$AF$52)</f>
        <v>1</v>
      </c>
      <c r="AZ775" s="2"/>
      <c r="BA775" s="101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</row>
    <row r="776" spans="1:71" ht="12" customHeight="1">
      <c r="A776" s="2"/>
      <c r="B776" s="107">
        <v>197</v>
      </c>
      <c r="C776" s="31">
        <v>10</v>
      </c>
      <c r="D776" s="106" t="s">
        <v>10</v>
      </c>
      <c r="E776" s="2" t="s">
        <v>139</v>
      </c>
      <c r="F776" s="2"/>
      <c r="G776" s="2"/>
      <c r="H776" s="33"/>
      <c r="I776" s="173">
        <f>M776/AE776</f>
        <v>418.68642622549334</v>
      </c>
      <c r="J776" s="174">
        <f>AH776/AE776</f>
        <v>25.811482952392598</v>
      </c>
      <c r="K776" s="207">
        <f>RANK(I776,$I$76:$I$977)</f>
        <v>701</v>
      </c>
      <c r="L776" s="208" t="e">
        <f>RANK(I776,$I$76:$I$450)</f>
        <v>#N/A</v>
      </c>
      <c r="M776" s="173">
        <f>SUM(N776:R776)</f>
        <v>6683.0258425315878</v>
      </c>
      <c r="N776" s="174">
        <f>T776*(1+((AG776+IF(F776="백어택",8,0))/100)*((AI776/100-1)))</f>
        <v>6683.0258425315878</v>
      </c>
      <c r="O776" s="174"/>
      <c r="P776" s="174"/>
      <c r="Q776" s="174"/>
      <c r="R776" s="175"/>
      <c r="S776" s="173">
        <f>SUM(T776:X776)</f>
        <v>5061.4319329695127</v>
      </c>
      <c r="T776" s="174">
        <f>AL776*AS776*AU776*AX776*IF(AY776=0,1,0.5)*IF(F776="백어택",1.2,1)</f>
        <v>5061.4319329695127</v>
      </c>
      <c r="U776" s="174"/>
      <c r="V776" s="174"/>
      <c r="W776" s="174"/>
      <c r="X776" s="175"/>
      <c r="Y776" s="173">
        <f>SUM(Z776:AD776)</f>
        <v>13595.55280660487</v>
      </c>
      <c r="Z776" s="174">
        <f>T776*AI776/100</f>
        <v>13595.55280660487</v>
      </c>
      <c r="AA776" s="174"/>
      <c r="AB776" s="174"/>
      <c r="AC776" s="174"/>
      <c r="AD776" s="175"/>
      <c r="AE776" s="173">
        <f>AO776*(1-$D$17/100)</f>
        <v>15.961888</v>
      </c>
      <c r="AF776" s="174">
        <f>AP776</f>
        <v>36</v>
      </c>
      <c r="AG776" s="174">
        <f>IF($D$57+AV776&gt;100,100,$D$57+AV776)</f>
        <v>19.001300000000001</v>
      </c>
      <c r="AH776" s="174">
        <f>AQ776</f>
        <v>412</v>
      </c>
      <c r="AI776" s="174">
        <f>$D$58+$D$19</f>
        <v>268.61079999999998</v>
      </c>
      <c r="AJ776" s="174">
        <f>10*AR776/(7-IF(AX776=1,0,3))</f>
        <v>1.4285714285714286</v>
      </c>
      <c r="AK776" s="174">
        <f>SUM(AL776:AN776)</f>
        <v>8098.2910927512203</v>
      </c>
      <c r="AL776" s="174">
        <f>(VLOOKUP(C776,$B$36:$AG$39,13,FALSE)+VLOOKUP(C776,$B$40:$AG$43,13,FALSE)*$D$54)*$D$59/100</f>
        <v>8098.2910927512203</v>
      </c>
      <c r="AM776" s="174"/>
      <c r="AN776" s="174"/>
      <c r="AO776" s="176">
        <v>16</v>
      </c>
      <c r="AP776" s="174">
        <v>36</v>
      </c>
      <c r="AQ776" s="175">
        <f>VLOOKUP(C776,$B$45:$AA$48,13,FALSE)</f>
        <v>412</v>
      </c>
      <c r="AR776" s="31">
        <f>IF(LEFT(E776,1)*1=1,$S$60,$R$60)</f>
        <v>1</v>
      </c>
      <c r="AS776" s="2">
        <f>IF(LEFT(E776,1)*1=2,$U$60,$T$60)</f>
        <v>1</v>
      </c>
      <c r="AT776" s="33">
        <f>IF(LEFT(E776,1)*1=3,$W$60,$V$60)</f>
        <v>0</v>
      </c>
      <c r="AU776" s="31">
        <f>IF(MID(E776,3,1)*1=1,$Y$60,$X$60)</f>
        <v>1.25</v>
      </c>
      <c r="AV776" s="2">
        <f>IF(MID(E776,3,1)*1=2,$AA$60,$Z$60)</f>
        <v>0</v>
      </c>
      <c r="AW776" s="33">
        <f>IF(MID(E776,3,1)*1=3,$AC$60,$AB$60)</f>
        <v>0</v>
      </c>
      <c r="AX776" s="31">
        <f>IF(MID(E776,5,1)*1=1,$AE$60,$AD$60)</f>
        <v>1</v>
      </c>
      <c r="AY776" s="33">
        <f>IF(MID(E776,5,1)*1=2,$AG$60,$AF$60)</f>
        <v>100</v>
      </c>
      <c r="AZ776" s="2"/>
      <c r="BA776" s="101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</row>
    <row r="777" spans="1:71" ht="12" customHeight="1">
      <c r="A777" s="2"/>
      <c r="B777" s="107">
        <v>200</v>
      </c>
      <c r="C777" s="31">
        <v>10</v>
      </c>
      <c r="D777" s="106" t="s">
        <v>10</v>
      </c>
      <c r="E777" s="2" t="s">
        <v>165</v>
      </c>
      <c r="F777" s="2"/>
      <c r="G777" s="2"/>
      <c r="H777" s="33"/>
      <c r="I777" s="173">
        <f>M777/AE777</f>
        <v>418.68642622549334</v>
      </c>
      <c r="J777" s="174">
        <f>AH777/AE777</f>
        <v>25.811482952392598</v>
      </c>
      <c r="K777" s="207">
        <f>RANK(I777,$I$76:$I$977)</f>
        <v>701</v>
      </c>
      <c r="L777" s="208" t="e">
        <f>RANK(I777,$I$76:$I$450)</f>
        <v>#N/A</v>
      </c>
      <c r="M777" s="173">
        <f>SUM(N777:R777)</f>
        <v>6683.0258425315878</v>
      </c>
      <c r="N777" s="174">
        <f>T777*(1+((AG777+IF(F777="백어택",8,0))/100)*((AI777/100-1)))</f>
        <v>6683.0258425315878</v>
      </c>
      <c r="O777" s="174"/>
      <c r="P777" s="174"/>
      <c r="Q777" s="174"/>
      <c r="R777" s="175"/>
      <c r="S777" s="173">
        <f>SUM(T777:X777)</f>
        <v>5061.4319329695127</v>
      </c>
      <c r="T777" s="174">
        <f>AL777*AS777*AU777*AX777*IF(AY777=0,1,0.5)*IF(F777="백어택",1.2,1)</f>
        <v>5061.4319329695127</v>
      </c>
      <c r="U777" s="174"/>
      <c r="V777" s="174"/>
      <c r="W777" s="174"/>
      <c r="X777" s="175"/>
      <c r="Y777" s="173">
        <f>SUM(Z777:AD777)</f>
        <v>13595.55280660487</v>
      </c>
      <c r="Z777" s="174">
        <f>T777*AI777/100</f>
        <v>13595.55280660487</v>
      </c>
      <c r="AA777" s="174"/>
      <c r="AB777" s="174"/>
      <c r="AC777" s="174"/>
      <c r="AD777" s="175"/>
      <c r="AE777" s="173">
        <f>AO777*(1-$D$17/100)</f>
        <v>15.961888</v>
      </c>
      <c r="AF777" s="174">
        <f>AP777</f>
        <v>36</v>
      </c>
      <c r="AG777" s="174">
        <f>IF($D$57+AV777&gt;100,100,$D$57+AV777)</f>
        <v>19.001300000000001</v>
      </c>
      <c r="AH777" s="174">
        <f>AQ777</f>
        <v>412</v>
      </c>
      <c r="AI777" s="174">
        <f>$D$58+$D$19</f>
        <v>268.61079999999998</v>
      </c>
      <c r="AJ777" s="174">
        <f>10*AR777/(7-IF(AX777=1,0,3))</f>
        <v>1.2142857142857142</v>
      </c>
      <c r="AK777" s="174">
        <f>SUM(AL777:AN777)</f>
        <v>8098.2910927512203</v>
      </c>
      <c r="AL777" s="174">
        <f>(VLOOKUP(C777,$B$36:$AG$39,13,FALSE)+VLOOKUP(C777,$B$40:$AG$43,13,FALSE)*$D$54)*$D$59/100</f>
        <v>8098.2910927512203</v>
      </c>
      <c r="AM777" s="174"/>
      <c r="AN777" s="174"/>
      <c r="AO777" s="176">
        <v>16</v>
      </c>
      <c r="AP777" s="174">
        <v>36</v>
      </c>
      <c r="AQ777" s="175">
        <f>VLOOKUP(C777,$B$45:$AA$48,13,FALSE)</f>
        <v>412</v>
      </c>
      <c r="AR777" s="31">
        <f>IF(LEFT(E777,1)*1=1,$S$60,$R$60)</f>
        <v>0.85</v>
      </c>
      <c r="AS777" s="2">
        <f>IF(LEFT(E777,1)*1=2,$U$60,$T$60)</f>
        <v>1</v>
      </c>
      <c r="AT777" s="33">
        <f>IF(LEFT(E777,1)*1=3,$W$60,$V$60)</f>
        <v>0</v>
      </c>
      <c r="AU777" s="31">
        <f>IF(MID(E777,3,1)*1=1,$Y$60,$X$60)</f>
        <v>1.25</v>
      </c>
      <c r="AV777" s="2">
        <f>IF(MID(E777,3,1)*1=2,$AA$60,$Z$60)</f>
        <v>0</v>
      </c>
      <c r="AW777" s="33">
        <f>IF(MID(E777,3,1)*1=3,$AC$60,$AB$60)</f>
        <v>0</v>
      </c>
      <c r="AX777" s="31">
        <f>IF(MID(E777,5,1)*1=1,$AE$60,$AD$60)</f>
        <v>1</v>
      </c>
      <c r="AY777" s="33">
        <f>IF(MID(E777,5,1)*1=2,$AG$60,$AF$60)</f>
        <v>100</v>
      </c>
      <c r="AZ777" s="2"/>
      <c r="BA777" s="101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</row>
    <row r="778" spans="1:71" ht="12" customHeight="1">
      <c r="A778" s="2"/>
      <c r="B778" s="107">
        <v>118</v>
      </c>
      <c r="C778" s="31">
        <v>7</v>
      </c>
      <c r="D778" s="106" t="s">
        <v>6</v>
      </c>
      <c r="E778" s="2" t="s">
        <v>87</v>
      </c>
      <c r="F778" s="2"/>
      <c r="G778" s="2"/>
      <c r="H778" s="33"/>
      <c r="I778" s="173">
        <f>M778/AE778</f>
        <v>418.38936095124194</v>
      </c>
      <c r="J778" s="174">
        <f>AH778/AE778</f>
        <v>16.338919305786384</v>
      </c>
      <c r="K778" s="207">
        <f>RANK(I778,$I$76:$I$977)</f>
        <v>703</v>
      </c>
      <c r="L778" s="208" t="e">
        <f>RANK(I778,$I$76:$I$450)</f>
        <v>#N/A</v>
      </c>
      <c r="M778" s="173">
        <f>SUM(N778:R778)</f>
        <v>8347.8551498691213</v>
      </c>
      <c r="N778" s="174">
        <f>T778*(1+((AG778+IF(F778="백어택",8,0))/100)*((AI778/100-1)))</f>
        <v>8347.8551498691213</v>
      </c>
      <c r="O778" s="174"/>
      <c r="P778" s="174"/>
      <c r="Q778" s="174"/>
      <c r="R778" s="175"/>
      <c r="S778" s="173">
        <f>SUM(T778:X778)</f>
        <v>6322.300949138049</v>
      </c>
      <c r="T778" s="174">
        <f>AL778*AW778*AT778*AX778*AY778</f>
        <v>6322.300949138049</v>
      </c>
      <c r="U778" s="174"/>
      <c r="V778" s="174"/>
      <c r="W778" s="174"/>
      <c r="X778" s="175"/>
      <c r="Y778" s="173">
        <f>SUM(Z778:AD778)</f>
        <v>12644.601898276098</v>
      </c>
      <c r="Z778" s="174">
        <f>T778*$D$58/100</f>
        <v>12644.601898276098</v>
      </c>
      <c r="AA778" s="174"/>
      <c r="AB778" s="174"/>
      <c r="AC778" s="174"/>
      <c r="AD778" s="175"/>
      <c r="AE778" s="173">
        <f>AO778*(1-$D$17/100)</f>
        <v>19.952359999999999</v>
      </c>
      <c r="AF778" s="174">
        <f>AP778</f>
        <v>36</v>
      </c>
      <c r="AG778" s="174">
        <f>IF($D$57+AV778&gt;100,100,$D$57+AV778)</f>
        <v>19.001300000000001</v>
      </c>
      <c r="AH778" s="174">
        <f>AQ778*AR778</f>
        <v>326</v>
      </c>
      <c r="AI778" s="174">
        <f>$D$58+$D$19</f>
        <v>268.61079999999998</v>
      </c>
      <c r="AJ778" s="174">
        <f>10/IF(AX778=1,IF(AY778=1,5,6),4)</f>
        <v>2</v>
      </c>
      <c r="AK778" s="174">
        <f>SUM(AL778:AN778)</f>
        <v>5268.5841242817078</v>
      </c>
      <c r="AL778" s="174">
        <f>(VLOOKUP(C778,$B$36:$AG$39,7,FALSE)+VLOOKUP(C778,$B$40:$AG$43,7,FALSE)*$D$54)*$D$59/100</f>
        <v>5268.5841242817078</v>
      </c>
      <c r="AM778" s="174"/>
      <c r="AN778" s="174"/>
      <c r="AO778" s="176">
        <v>20</v>
      </c>
      <c r="AP778" s="174">
        <v>36</v>
      </c>
      <c r="AQ778" s="175">
        <f>VLOOKUP(C778,$B$45:$AA$48,7,FALSE)</f>
        <v>326</v>
      </c>
      <c r="AR778" s="31">
        <f>IF(LEFT(E778,1)*1=1,$S$56,$R$56)</f>
        <v>1</v>
      </c>
      <c r="AS778" s="2">
        <f>IF(LEFT(E778,1)*1=2,$U$56,$T$56)</f>
        <v>0</v>
      </c>
      <c r="AT778" s="33">
        <f>IF(LEFT(E778,1)*1=3,$W$56,$V$56)</f>
        <v>1.2</v>
      </c>
      <c r="AU778" s="31">
        <f>IF(MID(E778,3,1)*1=1,$Y$56,$X$56)</f>
        <v>0</v>
      </c>
      <c r="AV778" s="2">
        <f>IF(MID(E778,3,1)*1=2,$AA$56,$Z$56)</f>
        <v>0</v>
      </c>
      <c r="AW778" s="33">
        <f>IF(MID(E778,3,1)*1=3,$AC$56,$AB$56)</f>
        <v>1</v>
      </c>
      <c r="AX778" s="31">
        <f>IF(MID(E778,5,1)*1=1,$AE$56,$AD$56)</f>
        <v>1</v>
      </c>
      <c r="AY778" s="33">
        <f>IF(MID(E778,5,1)*1=2,$AG$56,$AF$56)</f>
        <v>1</v>
      </c>
      <c r="AZ778" s="2"/>
      <c r="BA778" s="101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</row>
    <row r="779" spans="1:71" ht="12" customHeight="1">
      <c r="A779" s="2"/>
      <c r="B779" s="107">
        <v>875</v>
      </c>
      <c r="C779" s="31">
        <v>7</v>
      </c>
      <c r="D779" s="113" t="s">
        <v>19</v>
      </c>
      <c r="E779" s="2" t="s">
        <v>67</v>
      </c>
      <c r="F779" s="2"/>
      <c r="G779" s="2"/>
      <c r="H779" s="33">
        <f>IF(AY779=1,4,6)</f>
        <v>4</v>
      </c>
      <c r="I779" s="173">
        <f>M779/AE779</f>
        <v>416.89844862974667</v>
      </c>
      <c r="J779" s="174">
        <f>AH779/AE779</f>
        <v>15.161113773007305</v>
      </c>
      <c r="K779" s="207">
        <f>RANK(I779,$I$76:$I$977)</f>
        <v>704</v>
      </c>
      <c r="L779" s="208" t="e">
        <f>RANK(I779,$I$867:$I$977)</f>
        <v>#N/A</v>
      </c>
      <c r="M779" s="173">
        <f>SUM(N779:R779)*(1+$D$22/100)</f>
        <v>9981.7295166026543</v>
      </c>
      <c r="N779" s="174">
        <f>T779*(1+($D$57/100)*($D$58/100-1))</f>
        <v>5756.3291236970299</v>
      </c>
      <c r="O779" s="174">
        <f>U779*(1+(AG779/100)*(AI779/100-1))</f>
        <v>3237.2181930886281</v>
      </c>
      <c r="P779" s="174"/>
      <c r="Q779" s="174"/>
      <c r="R779" s="175"/>
      <c r="S779" s="173">
        <f>SUM(T779:X779)</f>
        <v>7557.5202260695123</v>
      </c>
      <c r="T779" s="174">
        <f>AL779*AU779</f>
        <v>4837.1985211060974</v>
      </c>
      <c r="U779" s="174">
        <f>AM779*AU779</f>
        <v>2720.321704963415</v>
      </c>
      <c r="V779" s="174"/>
      <c r="W779" s="174"/>
      <c r="X779" s="175"/>
      <c r="Y779" s="173">
        <f>SUM(Z779:AD779)</f>
        <v>15115.040452139025</v>
      </c>
      <c r="Z779" s="174">
        <f>T779*$D$58/100</f>
        <v>9674.3970422121947</v>
      </c>
      <c r="AA779" s="174">
        <f>U779*$D$58/100</f>
        <v>5440.6434099268299</v>
      </c>
      <c r="AB779" s="174"/>
      <c r="AC779" s="174"/>
      <c r="AD779" s="175"/>
      <c r="AE779" s="173">
        <f>AO779*(1-$D$17/100)</f>
        <v>23.942831999999999</v>
      </c>
      <c r="AF779" s="174">
        <f>AP779</f>
        <v>36</v>
      </c>
      <c r="AG779" s="174">
        <f>IF($D$57+AT779&gt;100,100,$D$57+AT779)</f>
        <v>19.001300000000001</v>
      </c>
      <c r="AH779" s="174">
        <f>AQ779</f>
        <v>363</v>
      </c>
      <c r="AI779" s="174">
        <f>$D$58</f>
        <v>200</v>
      </c>
      <c r="AJ779" s="174">
        <f>10/IF(AY779=1,(2.5+AX779),2)</f>
        <v>4</v>
      </c>
      <c r="AK779" s="174">
        <f>SUM(AL779:AN779)</f>
        <v>7557.5202260695123</v>
      </c>
      <c r="AL779" s="174">
        <f>(H779-1)*(VLOOKUP(C779,$B$36:$AG$39,27,FALSE)+VLOOKUP(C779,$B$40:$AG$43,27,FALSE)*$D$54)*$D$59/100</f>
        <v>4837.1985211060974</v>
      </c>
      <c r="AM779" s="174">
        <f>(VLOOKUP(C779,$B$36:$AG$39,28,FALSE)+VLOOKUP(C779,$B$40:$AG$43,28,FALSE)*$D$54)*$D$59/100</f>
        <v>2720.321704963415</v>
      </c>
      <c r="AN779" s="174"/>
      <c r="AO779" s="176">
        <v>24</v>
      </c>
      <c r="AP779" s="174">
        <v>36</v>
      </c>
      <c r="AQ779" s="175">
        <f>VLOOKUP(C779,$B$45:$AG$48,27,FALSE)</f>
        <v>363</v>
      </c>
      <c r="AR779" s="31">
        <f>IF(LEFT(E779,1)*1=1,$S$69,$R$69)</f>
        <v>0</v>
      </c>
      <c r="AS779" s="2">
        <f>IF(LEFT(E779,1)*1=2,$U$69,$T$69)</f>
        <v>0</v>
      </c>
      <c r="AT779" s="33">
        <f>IF(LEFT(E779,1)*1=3,$W$69,$V$69)</f>
        <v>0</v>
      </c>
      <c r="AU779" s="31">
        <f>IF(MID(E779,3,1)*1=1,$Y$69,$X$69)</f>
        <v>1</v>
      </c>
      <c r="AV779" s="2">
        <f>IF(MID(E779,3,1)*1=2,$AA$69,$Z$69)</f>
        <v>0</v>
      </c>
      <c r="AW779" s="33">
        <f>IF(MID(E779,3,1)*1=3,$AC$69,$AB$69)</f>
        <v>0</v>
      </c>
      <c r="AX779" s="31">
        <f>IF(MID(E779,5,1)*1=1,$AE$69,$AD$69)</f>
        <v>0</v>
      </c>
      <c r="AY779" s="33">
        <f>IF(MID(E779,5,1)*1=2,$AG$69,$AF$69)</f>
        <v>1</v>
      </c>
      <c r="AZ779" s="2"/>
      <c r="BA779" s="101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</row>
    <row r="780" spans="1:71" ht="12" customHeight="1">
      <c r="A780" s="2"/>
      <c r="B780" s="107">
        <v>394</v>
      </c>
      <c r="C780" s="31">
        <v>4</v>
      </c>
      <c r="D780" s="111" t="s">
        <v>8</v>
      </c>
      <c r="E780" s="2" t="s">
        <v>67</v>
      </c>
      <c r="F780" s="2"/>
      <c r="G780" s="2"/>
      <c r="H780" s="33" t="s">
        <v>81</v>
      </c>
      <c r="I780" s="173">
        <f>M780/AE780</f>
        <v>416.48009340673673</v>
      </c>
      <c r="J780" s="174">
        <f>AH780/AE780</f>
        <v>10.765615909171565</v>
      </c>
      <c r="K780" s="207">
        <f>RANK(I780,$I$76:$I$977)</f>
        <v>705</v>
      </c>
      <c r="L780" s="208">
        <f>RANK(I780,$I$451:$I$866)</f>
        <v>330</v>
      </c>
      <c r="M780" s="173">
        <f>SUM(N780:R780)</f>
        <v>7698.5412898980485</v>
      </c>
      <c r="N780" s="174">
        <f>T780*(1+((AG780+IF(F780="백어택",8,0))/100)*(IF(AY780=1,$D$58,$D$58+50)/100-1))</f>
        <v>3383.8549536456726</v>
      </c>
      <c r="O780" s="174">
        <f>U780*(1+((AG780+IF(F780="백어택",8,0))/100)*(AI780/100-1))</f>
        <v>4314.6863362523763</v>
      </c>
      <c r="P780" s="174">
        <f>V780*(1+((AG780+IF(F780="백어택",8,0))/100)*(AI780/100-1))</f>
        <v>0</v>
      </c>
      <c r="Q780" s="174"/>
      <c r="R780" s="175"/>
      <c r="S780" s="173">
        <f>SUM(T780:X780)</f>
        <v>6469.291755550611</v>
      </c>
      <c r="T780" s="174">
        <f>AL780*IF(H780="근접",AR780,1)*AY780*IF(F780="백어택",1.2,1)</f>
        <v>2843.544527367073</v>
      </c>
      <c r="U780" s="174">
        <f>AM780*IF(H780="근접",AR780,1)*AY780*IF(F780="백어택",1.2,1)</f>
        <v>3625.747228183538</v>
      </c>
      <c r="V780" s="174">
        <f>IF(AX780=1,0,AM780*IF(H780="근접",AR780,1)*AY780)*IF(F780="백어택",1.2,1)</f>
        <v>0</v>
      </c>
      <c r="W780" s="174"/>
      <c r="X780" s="175"/>
      <c r="Y780" s="173">
        <f>SUM(Z780:AD780)</f>
        <v>12938.583511101222</v>
      </c>
      <c r="Z780" s="174">
        <f>T780*IF(AY780=1,$D$58,$D$58+50)/100</f>
        <v>5687.089054734146</v>
      </c>
      <c r="AA780" s="174">
        <f>U780*AI780/100</f>
        <v>7251.4944563670761</v>
      </c>
      <c r="AB780" s="174">
        <f>V780*AI780/100</f>
        <v>0</v>
      </c>
      <c r="AC780" s="174"/>
      <c r="AD780" s="175"/>
      <c r="AE780" s="173">
        <f>AO780*(1-$D$20/100)*(1-$D$17/100)</f>
        <v>18.484776131615998</v>
      </c>
      <c r="AF780" s="174">
        <f>AP780</f>
        <v>36</v>
      </c>
      <c r="AG780" s="174">
        <f>IF($D$57+AU780&gt;100,100,$D$57+AU780)</f>
        <v>19.001300000000001</v>
      </c>
      <c r="AH780" s="174">
        <f>IF(AX780=1,AQ780,AQ780*1.4)</f>
        <v>199</v>
      </c>
      <c r="AI780" s="174">
        <f>IF(AY780=1,$D$58,$D$58+50)*AW780</f>
        <v>200</v>
      </c>
      <c r="AJ780" s="174">
        <f>10/6/AX780</f>
        <v>1.6666666666666667</v>
      </c>
      <c r="AK780" s="174">
        <f>SUM(AL780:AN780)</f>
        <v>6469.291755550611</v>
      </c>
      <c r="AL780" s="174">
        <f>(IF(H780="근접",$D$61*(VLOOKUP(C780,$B$36:$AG$39,9,FALSE)+VLOOKUP(C780,$B$40:$AG$43,9,FALSE)*$D$54),$D$60*(VLOOKUP(C780,$B$36:$AG$39,9,FALSE)+VLOOKUP(C780,$B$40:$AG$43,9,FALSE)*$D$54)))*$D$59/100</f>
        <v>2843.544527367073</v>
      </c>
      <c r="AM780" s="174">
        <f>(IF(H780="근접",$D$61*(VLOOKUP(C780,$B$36:$AG$39,10,FALSE)+VLOOKUP(C780,$B$40:$AG$43,10,FALSE)*$D$54),$D$60*(VLOOKUP(C780,$B$36:$AG$39,10,FALSE)+VLOOKUP(C780,$B$40:$AG$43,10,FALSE)*$D$54)))*$D$59/100</f>
        <v>3625.747228183538</v>
      </c>
      <c r="AN780" s="174"/>
      <c r="AO780" s="176">
        <v>24</v>
      </c>
      <c r="AP780" s="174">
        <v>36</v>
      </c>
      <c r="AQ780" s="175">
        <f>VLOOKUP(C780,$B$45:$AA$48,9,FALSE)</f>
        <v>199</v>
      </c>
      <c r="AR780" s="31">
        <f>IF(LEFT(E780,1)*1=1,$S$58,$R$58)</f>
        <v>1</v>
      </c>
      <c r="AS780" s="2">
        <f>IF(LEFT(E780,1)*1=2,$U$58,$T$58)</f>
        <v>0</v>
      </c>
      <c r="AT780" s="33">
        <f>IF(LEFT(E780,1)*1=3,$W$58,$V$58)</f>
        <v>0</v>
      </c>
      <c r="AU780" s="31">
        <f>IF(MID(E780,3,1)*1=1,$Y$58,$X$58)</f>
        <v>0</v>
      </c>
      <c r="AV780" s="2">
        <f>IF(MID(E780,3,1)*1=2,$AA$58,$Z$58)</f>
        <v>0</v>
      </c>
      <c r="AW780" s="33">
        <f>IF(MID(E780,3,1)*1=3,$AC$58,$AB$58)</f>
        <v>1</v>
      </c>
      <c r="AX780" s="31">
        <f>IF(MID(E780,5,1)*1=1,$AE$58,$AD$58)</f>
        <v>1</v>
      </c>
      <c r="AY780" s="33">
        <f>IF(MID(E780,5,1)*1=2,$AG$58,$AF$58)</f>
        <v>1</v>
      </c>
      <c r="AZ780" s="2"/>
      <c r="BA780" s="101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</row>
    <row r="781" spans="1:71" ht="12" customHeight="1">
      <c r="A781" s="2"/>
      <c r="B781" s="107">
        <v>69</v>
      </c>
      <c r="C781" s="31">
        <v>7</v>
      </c>
      <c r="D781" s="106" t="s">
        <v>4</v>
      </c>
      <c r="E781" s="2" t="s">
        <v>134</v>
      </c>
      <c r="F781" s="2"/>
      <c r="G781" s="2" t="s">
        <v>143</v>
      </c>
      <c r="H781" s="33"/>
      <c r="I781" s="173">
        <f>M781/AE781</f>
        <v>412.41858738784231</v>
      </c>
      <c r="J781" s="174">
        <f>AH781/AE781</f>
        <v>20.298350671299033</v>
      </c>
      <c r="K781" s="207">
        <f>RANK(I781,$I$76:$I$977)</f>
        <v>706</v>
      </c>
      <c r="L781" s="208" t="e">
        <f>RANK(I781,$I$76:$I$450)</f>
        <v>#N/A</v>
      </c>
      <c r="M781" s="173">
        <f>SUM(N781:R781)</f>
        <v>4937.2344757522133</v>
      </c>
      <c r="N781" s="174">
        <f>T781*(1+((AG781+IF(F781="백어택",8,0))/100)*((AI781/100-1)))</f>
        <v>1045.326270674921</v>
      </c>
      <c r="O781" s="174">
        <f>U781*(1+((AG781+IF(F781="백어택",8,0))/100)*(AI781/100-1))</f>
        <v>3891.9082050772918</v>
      </c>
      <c r="P781" s="174"/>
      <c r="Q781" s="174"/>
      <c r="R781" s="175"/>
      <c r="S781" s="173">
        <f>SUM(T781:X781)</f>
        <v>3739.2457885010976</v>
      </c>
      <c r="T781" s="174">
        <f>AT781*AL781*IF(F781="백어택",1.2,1)</f>
        <v>791.68446919573171</v>
      </c>
      <c r="U781" s="174">
        <f>AM781*AW781*AX781*AY781*IF(F781="백어택",1.2,1)</f>
        <v>2947.5613193053659</v>
      </c>
      <c r="V781" s="174"/>
      <c r="W781" s="174"/>
      <c r="X781" s="175"/>
      <c r="Y781" s="173">
        <f>SUM(Z781:AD781)</f>
        <v>7478.4915770021953</v>
      </c>
      <c r="Z781" s="174">
        <f>T781*$D$58/100</f>
        <v>1583.3689383914634</v>
      </c>
      <c r="AA781" s="174">
        <f>U781*$D$58/100</f>
        <v>5895.1226386107319</v>
      </c>
      <c r="AB781" s="174"/>
      <c r="AC781" s="174"/>
      <c r="AD781" s="175"/>
      <c r="AE781" s="173">
        <f>AO781*(1-$D$17/100)</f>
        <v>11.971416</v>
      </c>
      <c r="AF781" s="174">
        <f>AP781</f>
        <v>36</v>
      </c>
      <c r="AG781" s="174">
        <f>IF($D$57&gt;100,100,$D$57)</f>
        <v>19.001300000000001</v>
      </c>
      <c r="AH781" s="174">
        <f>AQ781</f>
        <v>243</v>
      </c>
      <c r="AI781" s="174">
        <f>$D$58+$D$19</f>
        <v>268.61079999999998</v>
      </c>
      <c r="AJ781" s="174">
        <f>10/IF(AY781=1,5,4)</f>
        <v>2</v>
      </c>
      <c r="AK781" s="174">
        <f>SUM(AL781:AN781)</f>
        <v>2633.1905884914636</v>
      </c>
      <c r="AL781" s="174">
        <f>(VLOOKUP(C781,$B$36:$AG$39,4,FALSE)+VLOOKUP(C781,$B$40:$AG$43,4,FALSE)*$D$54)*$D$59/100</f>
        <v>527.78964613048777</v>
      </c>
      <c r="AM781" s="174">
        <f>(VLOOKUP(C781,$B$36:$AG$39,5,FALSE)+VLOOKUP(C781,$B$40:$AG$43,5,FALSE)*$D$54)*$D$59/100</f>
        <v>2105.4009423609759</v>
      </c>
      <c r="AN781" s="174"/>
      <c r="AO781" s="176">
        <v>12</v>
      </c>
      <c r="AP781" s="174">
        <v>36</v>
      </c>
      <c r="AQ781" s="175">
        <f>VLOOKUP(C781,$B$45:$AA$48,4,FALSE)</f>
        <v>243</v>
      </c>
      <c r="AR781" s="31">
        <f>IF(LEFT(E781,1)*1=1,$S$54,$R$54)</f>
        <v>0</v>
      </c>
      <c r="AS781" s="2">
        <f>IF(LEFT(E781,1)*1=2,$U$54,$T$54)</f>
        <v>0</v>
      </c>
      <c r="AT781" s="33">
        <f>IF(LEFT(E781,1)*1=3,$W$54,$V$54)</f>
        <v>1.5</v>
      </c>
      <c r="AU781" s="31">
        <f>IF(MID(E781,3,1)*1=1,$Y$54,$X$54)</f>
        <v>0</v>
      </c>
      <c r="AV781" s="2">
        <f>IF(MID(E781,3,1)*1=2,$AA$54,$Z$54)</f>
        <v>0</v>
      </c>
      <c r="AW781" s="33">
        <f>IF(MID(E781,3,1)*1=3,$AC$54,$AB$54)</f>
        <v>1.4</v>
      </c>
      <c r="AX781" s="31">
        <f>IF(MID(E781,5,1)*1=1,$AE$54,$AD$54)</f>
        <v>1</v>
      </c>
      <c r="AY781" s="33">
        <f>IF(MID(E781,5,1)*1=2,$AG$54,$AF$54)</f>
        <v>1</v>
      </c>
      <c r="AZ781" s="2"/>
      <c r="BA781" s="101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</row>
    <row r="782" spans="1:71" ht="12" customHeight="1">
      <c r="A782" s="2"/>
      <c r="B782" s="107">
        <v>365</v>
      </c>
      <c r="C782" s="31">
        <v>7</v>
      </c>
      <c r="D782" s="106" t="s">
        <v>20</v>
      </c>
      <c r="E782" s="2" t="s">
        <v>89</v>
      </c>
      <c r="F782" s="2"/>
      <c r="G782" s="2"/>
      <c r="H782" s="33"/>
      <c r="I782" s="173">
        <f>M782/AE782</f>
        <v>412.21684534389993</v>
      </c>
      <c r="J782" s="174">
        <f>AH782/AE782</f>
        <v>17.096278891876004</v>
      </c>
      <c r="K782" s="207">
        <f>RANK(I782,$I$76:$I$977)</f>
        <v>707</v>
      </c>
      <c r="L782" s="208" t="e">
        <f>RANK(I782,$I$76:$I$450)</f>
        <v>#N/A</v>
      </c>
      <c r="M782" s="173">
        <f>SUM(N782:R782)</f>
        <v>7402.2290067292342</v>
      </c>
      <c r="N782" s="174">
        <f>T782*(1+((AG782+IF(F782="백어택",8,0))/100)*((AI782/100-1)))</f>
        <v>4624.2554230935584</v>
      </c>
      <c r="O782" s="174">
        <f>U782*(1+(($D$57+IF(F782="백어택",8,0))/100)*($D$58/100-1))</f>
        <v>2777.9735836356754</v>
      </c>
      <c r="P782" s="174"/>
      <c r="Q782" s="174"/>
      <c r="R782" s="175"/>
      <c r="S782" s="173">
        <f>SUM(T782:X782)</f>
        <v>5836.615202429879</v>
      </c>
      <c r="T782" s="174">
        <f>AL782*AV782*IF(F782="백어택",1.2,1)</f>
        <v>3502.2091214579277</v>
      </c>
      <c r="U782" s="174">
        <f>AM782*AX782*AY782*IF(F782="백어택",1.2,1)</f>
        <v>2334.4060809719517</v>
      </c>
      <c r="V782" s="174"/>
      <c r="W782" s="174"/>
      <c r="X782" s="175"/>
      <c r="Y782" s="173">
        <f>SUM(Z782:AD782)</f>
        <v>11673.23040485976</v>
      </c>
      <c r="Z782" s="174">
        <f>T782*$D$58/100</f>
        <v>7004.4182429158564</v>
      </c>
      <c r="AA782" s="174">
        <f>U782*$D$58/100</f>
        <v>4668.8121619439034</v>
      </c>
      <c r="AB782" s="174"/>
      <c r="AC782" s="174"/>
      <c r="AD782" s="175"/>
      <c r="AE782" s="173">
        <f>AO782*(1-$D$17/100)-AR782</f>
        <v>17.957124</v>
      </c>
      <c r="AF782" s="174">
        <f>AP782</f>
        <v>36</v>
      </c>
      <c r="AG782" s="174">
        <f>IF($D$57+AU782&gt;100,100,$D$57+AU782)</f>
        <v>19.001300000000001</v>
      </c>
      <c r="AH782" s="174">
        <f>AQ782*AS782</f>
        <v>307</v>
      </c>
      <c r="AI782" s="174">
        <f>$D$58+$D$19</f>
        <v>268.61079999999998</v>
      </c>
      <c r="AJ782" s="174">
        <f>10*IF(AV782=1,1,5/4.5)/IF(AX782=1,5,3.5)</f>
        <v>2.2222222222222223</v>
      </c>
      <c r="AK782" s="174">
        <f>SUM(AL782:AN782)</f>
        <v>4669.212161943904</v>
      </c>
      <c r="AL782" s="174">
        <f>(VLOOKUP(C782,$B$36:$AG$39,29,FALSE)+VLOOKUP(C782,$B$40:$AG$43,29,FALSE)*$D$54)*$D$59/100</f>
        <v>2334.8060809719518</v>
      </c>
      <c r="AM782" s="174">
        <f>(VLOOKUP(C782,$B$36:$AG$39,30,FALSE)+VLOOKUP(C782,$B$40:$AG$43,30,FALSE)*$D$54)*$D$59/100</f>
        <v>2334.4060809719517</v>
      </c>
      <c r="AN782" s="174"/>
      <c r="AO782" s="176">
        <v>18</v>
      </c>
      <c r="AP782" s="174">
        <v>36</v>
      </c>
      <c r="AQ782" s="175">
        <f>VLOOKUP(C782,$B$45:$AG$48,29,FALSE)</f>
        <v>307</v>
      </c>
      <c r="AR782" s="31">
        <f>IF(LEFT(E782,1)*1=1,$S$70,$R$70)</f>
        <v>0</v>
      </c>
      <c r="AS782" s="2">
        <f>IF(LEFT(E782,1)*1=2,$U$70,$T$70)</f>
        <v>1</v>
      </c>
      <c r="AT782" s="33">
        <f>IF(LEFT(E782,1)*1=3,$W$70,$V$70)</f>
        <v>0</v>
      </c>
      <c r="AU782" s="31">
        <f>IF(MID(E782,3,1)*1=1,$Y$70,$X$70)</f>
        <v>0</v>
      </c>
      <c r="AV782" s="2">
        <f>IF(MID(E782,3,1)*1=2,$AA$70,$Z$70)</f>
        <v>1.5</v>
      </c>
      <c r="AW782" s="33">
        <f>IF(MID(E782,3,1)*1=3,$AC$70,$AB$70)</f>
        <v>0</v>
      </c>
      <c r="AX782" s="31">
        <f>IF(MID(E782,5,1)*1=1,$AE$70,$AD$70)</f>
        <v>1</v>
      </c>
      <c r="AY782" s="33">
        <f>IF(MID(E782,5,1)*1=2,$AG$70,$AF$70)</f>
        <v>1</v>
      </c>
      <c r="AZ782" s="2"/>
      <c r="BA782" s="101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</row>
    <row r="783" spans="1:71" ht="12" customHeight="1">
      <c r="A783" s="2"/>
      <c r="B783" s="107">
        <v>371</v>
      </c>
      <c r="C783" s="31">
        <v>7</v>
      </c>
      <c r="D783" s="106" t="s">
        <v>20</v>
      </c>
      <c r="E783" s="2" t="s">
        <v>101</v>
      </c>
      <c r="F783" s="2"/>
      <c r="G783" s="2"/>
      <c r="H783" s="33"/>
      <c r="I783" s="173">
        <f>M783/AE783</f>
        <v>412.21684534389993</v>
      </c>
      <c r="J783" s="174">
        <f>AH783/AE783</f>
        <v>8.548139445938002</v>
      </c>
      <c r="K783" s="207">
        <f>RANK(I783,$I$76:$I$977)</f>
        <v>707</v>
      </c>
      <c r="L783" s="208" t="e">
        <f>RANK(I783,$I$76:$I$450)</f>
        <v>#N/A</v>
      </c>
      <c r="M783" s="173">
        <f>SUM(N783:R783)</f>
        <v>7402.2290067292342</v>
      </c>
      <c r="N783" s="174">
        <f>T783*(1+((AG783+IF(F783="백어택",8,0))/100)*((AI783/100-1)))</f>
        <v>4624.2554230935584</v>
      </c>
      <c r="O783" s="174">
        <f>U783*(1+(($D$57+IF(F783="백어택",8,0))/100)*($D$58/100-1))</f>
        <v>2777.9735836356754</v>
      </c>
      <c r="P783" s="174"/>
      <c r="Q783" s="174"/>
      <c r="R783" s="175"/>
      <c r="S783" s="173">
        <f>SUM(T783:X783)</f>
        <v>5836.615202429879</v>
      </c>
      <c r="T783" s="174">
        <f>AL783*AV783*IF(F783="백어택",1.2,1)</f>
        <v>3502.2091214579277</v>
      </c>
      <c r="U783" s="174">
        <f>AM783*AX783*AY783*IF(F783="백어택",1.2,1)</f>
        <v>2334.4060809719517</v>
      </c>
      <c r="V783" s="174"/>
      <c r="W783" s="174"/>
      <c r="X783" s="175"/>
      <c r="Y783" s="173">
        <f>SUM(Z783:AD783)</f>
        <v>11673.23040485976</v>
      </c>
      <c r="Z783" s="174">
        <f>T783*$D$58/100</f>
        <v>7004.4182429158564</v>
      </c>
      <c r="AA783" s="174">
        <f>U783*$D$58/100</f>
        <v>4668.8121619439034</v>
      </c>
      <c r="AB783" s="174"/>
      <c r="AC783" s="174"/>
      <c r="AD783" s="175"/>
      <c r="AE783" s="173">
        <f>AO783*(1-$D$17/100)-AR783</f>
        <v>17.957124</v>
      </c>
      <c r="AF783" s="174">
        <f>AP783</f>
        <v>36</v>
      </c>
      <c r="AG783" s="174">
        <f>IF($D$57+AU783&gt;100,100,$D$57+AU783)</f>
        <v>19.001300000000001</v>
      </c>
      <c r="AH783" s="174">
        <f>AQ783*AS783</f>
        <v>153.5</v>
      </c>
      <c r="AI783" s="174">
        <f>$D$58+$D$19</f>
        <v>268.61079999999998</v>
      </c>
      <c r="AJ783" s="174">
        <f>10*IF(AV783=1,1,5/4.5)/IF(AX783=1,5,3.5)</f>
        <v>2.2222222222222223</v>
      </c>
      <c r="AK783" s="174">
        <f>SUM(AL783:AN783)</f>
        <v>4669.212161943904</v>
      </c>
      <c r="AL783" s="174">
        <f>(VLOOKUP(C783,$B$36:$AG$39,29,FALSE)+VLOOKUP(C783,$B$40:$AG$43,29,FALSE)*$D$54)*$D$59/100</f>
        <v>2334.8060809719518</v>
      </c>
      <c r="AM783" s="174">
        <f>(VLOOKUP(C783,$B$36:$AG$39,30,FALSE)+VLOOKUP(C783,$B$40:$AG$43,30,FALSE)*$D$54)*$D$59/100</f>
        <v>2334.4060809719517</v>
      </c>
      <c r="AN783" s="174"/>
      <c r="AO783" s="176">
        <v>18</v>
      </c>
      <c r="AP783" s="174">
        <v>36</v>
      </c>
      <c r="AQ783" s="175">
        <f>VLOOKUP(C783,$B$45:$AG$48,29,FALSE)</f>
        <v>307</v>
      </c>
      <c r="AR783" s="31">
        <f>IF(LEFT(E783,1)*1=1,$S$70,$R$70)</f>
        <v>0</v>
      </c>
      <c r="AS783" s="2">
        <f>IF(LEFT(E783,1)*1=2,$U$70,$T$70)</f>
        <v>0.5</v>
      </c>
      <c r="AT783" s="33">
        <f>IF(LEFT(E783,1)*1=3,$W$70,$V$70)</f>
        <v>0</v>
      </c>
      <c r="AU783" s="31">
        <f>IF(MID(E783,3,1)*1=1,$Y$70,$X$70)</f>
        <v>0</v>
      </c>
      <c r="AV783" s="2">
        <f>IF(MID(E783,3,1)*1=2,$AA$70,$Z$70)</f>
        <v>1.5</v>
      </c>
      <c r="AW783" s="33">
        <f>IF(MID(E783,3,1)*1=3,$AC$70,$AB$70)</f>
        <v>0</v>
      </c>
      <c r="AX783" s="31">
        <f>IF(MID(E783,5,1)*1=1,$AE$70,$AD$70)</f>
        <v>1</v>
      </c>
      <c r="AY783" s="33">
        <f>IF(MID(E783,5,1)*1=2,$AG$70,$AF$70)</f>
        <v>1</v>
      </c>
      <c r="AZ783" s="2"/>
      <c r="BA783" s="101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</row>
    <row r="784" spans="1:71" ht="12" customHeight="1">
      <c r="A784" s="2"/>
      <c r="B784" s="107">
        <v>312</v>
      </c>
      <c r="C784" s="31">
        <v>4</v>
      </c>
      <c r="D784" s="106" t="s">
        <v>17</v>
      </c>
      <c r="E784" s="2" t="s">
        <v>87</v>
      </c>
      <c r="F784" s="2"/>
      <c r="G784" s="2"/>
      <c r="H784" s="33">
        <f>IF(AT784=1,3,IF(AY784=1,3,2))</f>
        <v>3</v>
      </c>
      <c r="I784" s="173">
        <f>M784/AE784</f>
        <v>411.67587155946933</v>
      </c>
      <c r="J784" s="174">
        <f>AH784/AE784</f>
        <v>13.281636858998134</v>
      </c>
      <c r="K784" s="207">
        <f>RANK(I784,$I$76:$I$977)</f>
        <v>709</v>
      </c>
      <c r="L784" s="208" t="e">
        <f>RANK(I784,$I$76:$I$450)</f>
        <v>#N/A</v>
      </c>
      <c r="M784" s="173">
        <f>SUM(N784:R784)</f>
        <v>3285.5620770673172</v>
      </c>
      <c r="N784" s="174">
        <f>T784*(1+((AG784+IF(F784="백어택",8,0))/100)*((AI784/100-1)))</f>
        <v>1095.1873590224391</v>
      </c>
      <c r="O784" s="174">
        <f>U784*(1+(AG784/100)*(AI784/100-1))</f>
        <v>1095.1873590224391</v>
      </c>
      <c r="P784" s="174">
        <f>V784*(1+(AG784/100)*(AI784/100-1))</f>
        <v>1095.1873590224391</v>
      </c>
      <c r="Q784" s="174"/>
      <c r="R784" s="175"/>
      <c r="S784" s="173">
        <f>SUM(T784:X784)</f>
        <v>2488.3412403987804</v>
      </c>
      <c r="T784" s="174">
        <f>AL784*AV784</f>
        <v>829.44708013292689</v>
      </c>
      <c r="U784" s="174">
        <f>AL784*AW784</f>
        <v>829.44708013292689</v>
      </c>
      <c r="V784" s="174">
        <f>IF(H784=3,AL784,0)*(1+AW784-1+AW784-1)</f>
        <v>829.44708013292689</v>
      </c>
      <c r="W784" s="174"/>
      <c r="X784" s="175"/>
      <c r="Y784" s="173">
        <f>SUM(Z784:AD784)</f>
        <v>6683.9533125650869</v>
      </c>
      <c r="Z784" s="174">
        <f>T784*AI784/100</f>
        <v>2227.9844375216958</v>
      </c>
      <c r="AA784" s="174">
        <f>U784*AI784/100</f>
        <v>2227.9844375216958</v>
      </c>
      <c r="AB784" s="174">
        <f>V784*AI784/100</f>
        <v>2227.9844375216958</v>
      </c>
      <c r="AC784" s="174"/>
      <c r="AD784" s="175"/>
      <c r="AE784" s="173">
        <f>AO784*(1-$D$17/100)</f>
        <v>7.980944</v>
      </c>
      <c r="AF784" s="174">
        <f>AP784</f>
        <v>36</v>
      </c>
      <c r="AG784" s="174">
        <f>IF($D$57&gt;100,100,$D$57)</f>
        <v>19.001300000000001</v>
      </c>
      <c r="AH784" s="174">
        <f>AQ784</f>
        <v>106</v>
      </c>
      <c r="AI784" s="174">
        <f>$D$58+$D$19</f>
        <v>268.61079999999998</v>
      </c>
      <c r="AJ784" s="174">
        <f>10*AR784/IF(AT784=0,IF(AY784=0,8,5),5)</f>
        <v>2</v>
      </c>
      <c r="AK784" s="174">
        <f>H784*SUM(AL784:AN784)</f>
        <v>2488.3412403987804</v>
      </c>
      <c r="AL784" s="174">
        <f>((VLOOKUP(C784,$B$36:$AG$39,24,FALSE)+VLOOKUP(C784,$B$40:$AG$43,24,FALSE)*$D$54))*$D$59/100</f>
        <v>829.44708013292689</v>
      </c>
      <c r="AM784" s="174"/>
      <c r="AN784" s="174"/>
      <c r="AO784" s="176">
        <v>8</v>
      </c>
      <c r="AP784" s="174">
        <v>36</v>
      </c>
      <c r="AQ784" s="175">
        <f>VLOOKUP(C784,$B$45:$AA$48,24,FALSE)</f>
        <v>106</v>
      </c>
      <c r="AR784" s="31">
        <f>IF(LEFT(E784,1)*1=1,$S$67,$R$67)</f>
        <v>1</v>
      </c>
      <c r="AS784" s="2">
        <f>IF(LEFT(E784,1)*1=2,$U$67,$T$67)</f>
        <v>0</v>
      </c>
      <c r="AT784" s="33">
        <f>IF(LEFT(E784,1)*1=3,$W$67,$V$67)</f>
        <v>1</v>
      </c>
      <c r="AU784" s="31">
        <f>IF(MID(E784,3,1)*1=1,$Y$67,$X$67)</f>
        <v>0</v>
      </c>
      <c r="AV784" s="2">
        <f>IF(MID(E784,3,1)*1=2,$AA$67,$Z$67)</f>
        <v>1</v>
      </c>
      <c r="AW784" s="33">
        <f>IF(MID(E784,3,1)*1=3,$AC$67,$AB$67)</f>
        <v>1</v>
      </c>
      <c r="AX784" s="31">
        <f>IF(MID(E784,5,1)*1=1,$AE$67,$AD$67)</f>
        <v>0</v>
      </c>
      <c r="AY784" s="33">
        <f>IF(MID(E784,5,1)*1=2,$AG$67,$AF$67)</f>
        <v>0</v>
      </c>
      <c r="AZ784" s="2"/>
      <c r="BA784" s="101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</row>
    <row r="785" spans="1:71" ht="12" customHeight="1">
      <c r="A785" s="2"/>
      <c r="B785" s="107">
        <v>748</v>
      </c>
      <c r="C785" s="31">
        <v>7</v>
      </c>
      <c r="D785" s="111" t="s">
        <v>21</v>
      </c>
      <c r="E785" s="2" t="s">
        <v>67</v>
      </c>
      <c r="F785" s="2"/>
      <c r="G785" s="2"/>
      <c r="H785" s="33"/>
      <c r="I785" s="173">
        <f>M785/AE785</f>
        <v>407.61974084795605</v>
      </c>
      <c r="J785" s="174">
        <f>AH785/AE785</f>
        <v>16.518097441877977</v>
      </c>
      <c r="K785" s="207">
        <f>RANK(I785,$I$76:$I$977)</f>
        <v>710</v>
      </c>
      <c r="L785" s="208">
        <f>RANK(I785,$I$451:$I$866)</f>
        <v>335</v>
      </c>
      <c r="M785" s="173">
        <f>SUM(N785:R785)</f>
        <v>11302.139484602698</v>
      </c>
      <c r="N785" s="174">
        <f>T785*(1+((AG785+IF(F785="백어택",8,0))/100)*(AI785/100-1))</f>
        <v>11302.139484602698</v>
      </c>
      <c r="O785" s="174"/>
      <c r="P785" s="174"/>
      <c r="Q785" s="174"/>
      <c r="R785" s="175">
        <f>X785*(1+(AG785/100)*(AI785/100-1))</f>
        <v>0</v>
      </c>
      <c r="S785" s="173">
        <f>SUM(T785:X785)</f>
        <v>9497.4924514292688</v>
      </c>
      <c r="T785" s="174">
        <f>AL785*AW785*AX785*AY785*IF(F785="백어택",1.2,1)</f>
        <v>9497.4924514292688</v>
      </c>
      <c r="U785" s="174"/>
      <c r="V785" s="174"/>
      <c r="W785" s="174"/>
      <c r="X785" s="175">
        <f>AL785*AS785+IF(AX785=1,AL785*AU785,AL785*AU785*2)</f>
        <v>0</v>
      </c>
      <c r="Y785" s="173">
        <f>SUM(Z785:AD785)</f>
        <v>18994.984902858538</v>
      </c>
      <c r="Z785" s="174">
        <f>T785*$D$58/100</f>
        <v>18994.984902858538</v>
      </c>
      <c r="AA785" s="174"/>
      <c r="AB785" s="174"/>
      <c r="AC785" s="174"/>
      <c r="AD785" s="175">
        <f>X785*$D$58/100</f>
        <v>0</v>
      </c>
      <c r="AE785" s="173">
        <f>AO785*(1-$D$20/100)*(1-$D$17/100)-AR785</f>
        <v>27.727164197424003</v>
      </c>
      <c r="AF785" s="174">
        <f>AP785</f>
        <v>36</v>
      </c>
      <c r="AG785" s="174">
        <f>IF($D$57&gt;100,100,$D$57)</f>
        <v>19.001300000000001</v>
      </c>
      <c r="AH785" s="174">
        <f>AQ785</f>
        <v>458</v>
      </c>
      <c r="AI785" s="174">
        <f>$D$58</f>
        <v>200</v>
      </c>
      <c r="AJ785" s="174">
        <f>10/6</f>
        <v>1.6666666666666667</v>
      </c>
      <c r="AK785" s="174">
        <f>SUM(AL785:AN785)</f>
        <v>9497.4924514292688</v>
      </c>
      <c r="AL785" s="174">
        <f>(VLOOKUP(C785,$B$36:$AG$39,31,FALSE)+VLOOKUP(C785,$B$40:$AG$43,31,FALSE)*$D$54)*$D$59/100</f>
        <v>9497.4924514292688</v>
      </c>
      <c r="AM785" s="174"/>
      <c r="AN785" s="174"/>
      <c r="AO785" s="176">
        <v>36</v>
      </c>
      <c r="AP785" s="174">
        <v>36</v>
      </c>
      <c r="AQ785" s="175">
        <f>VLOOKUP(C785,$B$45:$AG$48,31,FALSE)</f>
        <v>458</v>
      </c>
      <c r="AR785" s="31">
        <f>IF(LEFT(E785,1)*1=1,$S$71,$R$71)</f>
        <v>0</v>
      </c>
      <c r="AS785" s="2">
        <f>IF(LEFT(E785,1)*1=2,$U$71,$T$71)</f>
        <v>0</v>
      </c>
      <c r="AT785" s="33">
        <f>IF(LEFT(E785,1)*1=3,$W$71,$V$71)</f>
        <v>0</v>
      </c>
      <c r="AU785" s="31">
        <f>IF(MID(E785,3,1)*1=1,$Y$71,$X$71)</f>
        <v>0</v>
      </c>
      <c r="AV785" s="2">
        <f>IF(MID(E785,3,1)*1=2,$AA$71,$Z$71)</f>
        <v>0</v>
      </c>
      <c r="AW785" s="33">
        <f>IF(MID(E785,3,1)*1=3,$AC$71,$AB$71)</f>
        <v>1</v>
      </c>
      <c r="AX785" s="31">
        <f>IF(MID(E785,5,1)*1=1,$AE$71,$AD$71)</f>
        <v>1</v>
      </c>
      <c r="AY785" s="33">
        <f>IF(MID(E785,5,1)*1=2,$AG$71,$AF$71)</f>
        <v>1</v>
      </c>
      <c r="AZ785" s="2"/>
      <c r="BA785" s="101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</row>
    <row r="786" spans="1:71" ht="12" customHeight="1">
      <c r="A786" s="2"/>
      <c r="B786" s="107">
        <v>900</v>
      </c>
      <c r="C786" s="31">
        <v>4</v>
      </c>
      <c r="D786" s="113" t="s">
        <v>22</v>
      </c>
      <c r="E786" s="2" t="s">
        <v>67</v>
      </c>
      <c r="F786" s="2"/>
      <c r="G786" s="2"/>
      <c r="H786" s="33"/>
      <c r="I786" s="173">
        <f>M786/AE786</f>
        <v>406.38103117838324</v>
      </c>
      <c r="J786" s="174">
        <f>AH786/AE786</f>
        <v>7.5847335018681159</v>
      </c>
      <c r="K786" s="207">
        <f>RANK(I786,$I$76:$I$977)</f>
        <v>711</v>
      </c>
      <c r="L786" s="208" t="e">
        <f>RANK(I786,$I$867:$I$977)</f>
        <v>#N/A</v>
      </c>
      <c r="M786" s="173">
        <f>SUM(N786:R786)*(1+$D$22/100)</f>
        <v>12162.39094686349</v>
      </c>
      <c r="N786" s="174">
        <f>T786*(1+((AG786+IF(F786="백어택",8,0))/100)*(AI786/100-1))</f>
        <v>10958.325236515881</v>
      </c>
      <c r="O786" s="174"/>
      <c r="P786" s="174"/>
      <c r="Q786" s="174"/>
      <c r="R786" s="175">
        <f>X786*(1+($D$57/100)*(AI786/100-1))</f>
        <v>0</v>
      </c>
      <c r="S786" s="173">
        <f>SUM(T786:X786)</f>
        <v>9208.5760714512198</v>
      </c>
      <c r="T786" s="174">
        <f>AL786*AU786</f>
        <v>9208.5760714512198</v>
      </c>
      <c r="U786" s="174"/>
      <c r="V786" s="174"/>
      <c r="W786" s="174"/>
      <c r="X786" s="175">
        <f>AL786*AW786</f>
        <v>0</v>
      </c>
      <c r="Y786" s="173">
        <f>SUM(Z786:AD786)</f>
        <v>18417.15214290244</v>
      </c>
      <c r="Z786" s="174">
        <f>T786*$D$58/100</f>
        <v>18417.15214290244</v>
      </c>
      <c r="AA786" s="174"/>
      <c r="AB786" s="174"/>
      <c r="AC786" s="174"/>
      <c r="AD786" s="175"/>
      <c r="AE786" s="173">
        <f>AO786*(1-$D$17/100)</f>
        <v>29.928540000000002</v>
      </c>
      <c r="AF786" s="174">
        <f>AP786+AV786</f>
        <v>36</v>
      </c>
      <c r="AG786" s="174">
        <f>IF($D$57+AY786&gt;100,100,$D$57+AY786)</f>
        <v>19.001300000000001</v>
      </c>
      <c r="AH786" s="174">
        <f>AQ786*AR786</f>
        <v>227</v>
      </c>
      <c r="AI786" s="174">
        <f>$D$58</f>
        <v>200</v>
      </c>
      <c r="AJ786" s="174">
        <f>10/5</f>
        <v>2</v>
      </c>
      <c r="AK786" s="174">
        <f>SUM(AL786:AN786)</f>
        <v>9208.5760714512198</v>
      </c>
      <c r="AL786" s="174">
        <f>(VLOOKUP(C786,$B$36:$AG$39,32,FALSE)+VLOOKUP(C786,$B$40:$AG$43,32,FALSE)*$D$54)*$D$59/100</f>
        <v>9208.5760714512198</v>
      </c>
      <c r="AM786" s="174"/>
      <c r="AN786" s="174"/>
      <c r="AO786" s="176">
        <v>30</v>
      </c>
      <c r="AP786" s="174">
        <v>36</v>
      </c>
      <c r="AQ786" s="175">
        <f>VLOOKUP(C786,$B$45:$AG$48,32,FALSE)</f>
        <v>227</v>
      </c>
      <c r="AR786" s="31">
        <f>IF(LEFT(E786,1)*1=1,$S$72,$R$72)</f>
        <v>1</v>
      </c>
      <c r="AS786" s="2">
        <f>IF(LEFT(E786,1)*1=2,$U$72,$T$72)</f>
        <v>0</v>
      </c>
      <c r="AT786" s="33">
        <f>IF(LEFT(E786,1)*1=3,$W$72,$V$72)</f>
        <v>0</v>
      </c>
      <c r="AU786" s="31">
        <f>IF(MID(E786,3,1)*1=1,$Y$72,$X$72)</f>
        <v>1</v>
      </c>
      <c r="AV786" s="2">
        <f>IF(MID(E786,3,1)*1=2,$AA$72,$Z$72)</f>
        <v>0</v>
      </c>
      <c r="AW786" s="33">
        <f>IF(MID(E786,3,1)*1=3,$AC$72,$AB$72)</f>
        <v>0</v>
      </c>
      <c r="AX786" s="31">
        <f>IF(MID(E786,5,1)*1=1,$AE$72,$AD$72)</f>
        <v>0</v>
      </c>
      <c r="AY786" s="33">
        <f>IF(MID(E786,5,1)*1=2,$AG$72,$AF$72)</f>
        <v>0</v>
      </c>
      <c r="AZ786" s="2"/>
      <c r="BA786" s="101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</row>
    <row r="787" spans="1:71" ht="12" customHeight="1">
      <c r="A787" s="2"/>
      <c r="B787" s="107">
        <v>901</v>
      </c>
      <c r="C787" s="31">
        <v>4</v>
      </c>
      <c r="D787" s="113" t="s">
        <v>22</v>
      </c>
      <c r="E787" s="2" t="s">
        <v>148</v>
      </c>
      <c r="F787" s="2"/>
      <c r="G787" s="2"/>
      <c r="H787" s="33"/>
      <c r="I787" s="173">
        <f>M787/AE787</f>
        <v>406.38103117838324</v>
      </c>
      <c r="J787" s="174">
        <f>AH787/AE787</f>
        <v>3.792366750934058</v>
      </c>
      <c r="K787" s="207">
        <f>RANK(I787,$I$76:$I$977)</f>
        <v>711</v>
      </c>
      <c r="L787" s="208" t="e">
        <f>RANK(I787,$I$867:$I$977)</f>
        <v>#N/A</v>
      </c>
      <c r="M787" s="173">
        <f>SUM(N787:R787)*(1+$D$22/100)</f>
        <v>12162.39094686349</v>
      </c>
      <c r="N787" s="174">
        <f>T787*(1+((AG787+IF(F787="백어택",8,0))/100)*(AI787/100-1))</f>
        <v>10958.325236515881</v>
      </c>
      <c r="O787" s="174"/>
      <c r="P787" s="174"/>
      <c r="Q787" s="174"/>
      <c r="R787" s="175">
        <f>X787*(1+($D$57/100)*(AI787/100-1))</f>
        <v>0</v>
      </c>
      <c r="S787" s="173">
        <f>SUM(T787:X787)</f>
        <v>9208.5760714512198</v>
      </c>
      <c r="T787" s="174">
        <f>AL787*AU787</f>
        <v>9208.5760714512198</v>
      </c>
      <c r="U787" s="174"/>
      <c r="V787" s="174"/>
      <c r="W787" s="174"/>
      <c r="X787" s="175">
        <f>AL787*AW787</f>
        <v>0</v>
      </c>
      <c r="Y787" s="173">
        <f>SUM(Z787:AD787)</f>
        <v>18417.15214290244</v>
      </c>
      <c r="Z787" s="174">
        <f>T787*$D$58/100</f>
        <v>18417.15214290244</v>
      </c>
      <c r="AA787" s="174"/>
      <c r="AB787" s="174"/>
      <c r="AC787" s="174"/>
      <c r="AD787" s="175"/>
      <c r="AE787" s="173">
        <f>AO787*(1-$D$17/100)</f>
        <v>29.928540000000002</v>
      </c>
      <c r="AF787" s="174">
        <f>AP787+AV787</f>
        <v>36</v>
      </c>
      <c r="AG787" s="174">
        <f>IF($D$57+AY787&gt;100,100,$D$57+AY787)</f>
        <v>19.001300000000001</v>
      </c>
      <c r="AH787" s="174">
        <f>AQ787*AR787</f>
        <v>113.5</v>
      </c>
      <c r="AI787" s="174">
        <f>$D$58</f>
        <v>200</v>
      </c>
      <c r="AJ787" s="174">
        <f>10/5</f>
        <v>2</v>
      </c>
      <c r="AK787" s="174">
        <f>SUM(AL787:AN787)</f>
        <v>9208.5760714512198</v>
      </c>
      <c r="AL787" s="174">
        <f>(VLOOKUP(C787,$B$36:$AG$39,32,FALSE)+VLOOKUP(C787,$B$40:$AG$43,32,FALSE)*$D$54)*$D$59/100</f>
        <v>9208.5760714512198</v>
      </c>
      <c r="AM787" s="174"/>
      <c r="AN787" s="174"/>
      <c r="AO787" s="176">
        <v>30</v>
      </c>
      <c r="AP787" s="174">
        <v>36</v>
      </c>
      <c r="AQ787" s="175">
        <f>VLOOKUP(C787,$B$45:$AG$48,32,FALSE)</f>
        <v>227</v>
      </c>
      <c r="AR787" s="31">
        <f>IF(LEFT(E787,1)*1=1,$S$72,$R$72)</f>
        <v>0.5</v>
      </c>
      <c r="AS787" s="2">
        <f>IF(LEFT(E787,1)*1=2,$U$72,$T$72)</f>
        <v>0</v>
      </c>
      <c r="AT787" s="33">
        <f>IF(LEFT(E787,1)*1=3,$W$72,$V$72)</f>
        <v>0</v>
      </c>
      <c r="AU787" s="31">
        <f>IF(MID(E787,3,1)*1=1,$Y$72,$X$72)</f>
        <v>1</v>
      </c>
      <c r="AV787" s="2">
        <f>IF(MID(E787,3,1)*1=2,$AA$72,$Z$72)</f>
        <v>0</v>
      </c>
      <c r="AW787" s="33">
        <f>IF(MID(E787,3,1)*1=3,$AC$72,$AB$72)</f>
        <v>0</v>
      </c>
      <c r="AX787" s="31">
        <f>IF(MID(E787,5,1)*1=1,$AE$72,$AD$72)</f>
        <v>0</v>
      </c>
      <c r="AY787" s="33">
        <f>IF(MID(E787,5,1)*1=2,$AG$72,$AF$72)</f>
        <v>0</v>
      </c>
      <c r="AZ787" s="2"/>
      <c r="BA787" s="101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</row>
    <row r="788" spans="1:71" ht="12" customHeight="1">
      <c r="A788" s="2"/>
      <c r="B788" s="107">
        <v>453</v>
      </c>
      <c r="C788" s="31">
        <v>7</v>
      </c>
      <c r="D788" s="111" t="s">
        <v>8</v>
      </c>
      <c r="E788" s="2" t="s">
        <v>91</v>
      </c>
      <c r="F788" s="2" t="s">
        <v>149</v>
      </c>
      <c r="G788" s="2"/>
      <c r="H788" s="33" t="s">
        <v>80</v>
      </c>
      <c r="I788" s="173">
        <f>M788/AE788</f>
        <v>405.78895317347821</v>
      </c>
      <c r="J788" s="174">
        <f>AH788/AE788</f>
        <v>19.637781784066725</v>
      </c>
      <c r="K788" s="207">
        <f>RANK(I788,$I$76:$I$977)</f>
        <v>713</v>
      </c>
      <c r="L788" s="208">
        <f>RANK(I788,$I$451:$I$866)</f>
        <v>338</v>
      </c>
      <c r="M788" s="173">
        <f>SUM(N788:R788)</f>
        <v>7500.9179560945522</v>
      </c>
      <c r="N788" s="174">
        <f>T788*(1+((AG788+IF(F788="백어택",8,0))/100)*(IF(AY788=1,$D$58,$D$58+50)/100-1))</f>
        <v>3115.3009515124718</v>
      </c>
      <c r="O788" s="174">
        <f>U788*(1+((AG788+IF(F788="백어택",8,0))/100)*(AI788/100-1))</f>
        <v>4385.6170045820809</v>
      </c>
      <c r="P788" s="174">
        <f>V788*(1+((AG788+IF(F788="백어택",8,0))/100)*(AI788/100-1))</f>
        <v>0</v>
      </c>
      <c r="Q788" s="174"/>
      <c r="R788" s="175"/>
      <c r="S788" s="173">
        <f>SUM(T788:X788)</f>
        <v>5586.4035457946347</v>
      </c>
      <c r="T788" s="174">
        <f>AL788*IF(H788="근접",AR788,1)*AY788*IF(F788="백어택",1.2,1)</f>
        <v>2452.9677660878051</v>
      </c>
      <c r="U788" s="174">
        <f>AM788*IF(H788="근접",AR788,1)*AY788*IF(F788="백어택",1.2,1)</f>
        <v>3133.4357797068296</v>
      </c>
      <c r="V788" s="174">
        <f>IF(AX788=1,0,AM788*IF(H788="근접",AR788,1)*AY788)*IF(F788="백어택",1.2,1)</f>
        <v>0</v>
      </c>
      <c r="W788" s="174"/>
      <c r="X788" s="175"/>
      <c r="Y788" s="173">
        <f>SUM(Z788:AD788)</f>
        <v>12676.856265848546</v>
      </c>
      <c r="Z788" s="174">
        <f>T788*IF(AY788=1,$D$58,$D$58+50)/100</f>
        <v>4905.9355321756102</v>
      </c>
      <c r="AA788" s="174">
        <f>U788*AI788/100</f>
        <v>7770.9207336729369</v>
      </c>
      <c r="AB788" s="174">
        <f>V788*AI788/100</f>
        <v>0</v>
      </c>
      <c r="AC788" s="174"/>
      <c r="AD788" s="175"/>
      <c r="AE788" s="173">
        <f>AO788*(1-$D$20/100)*(1-$D$17/100)</f>
        <v>18.484776131615998</v>
      </c>
      <c r="AF788" s="174">
        <f>AP788</f>
        <v>36</v>
      </c>
      <c r="AG788" s="174">
        <f>IF($D$57+AU788&gt;100,100,$D$57+AU788)</f>
        <v>19.001300000000001</v>
      </c>
      <c r="AH788" s="174">
        <f>IF(AX788=1,AQ788,AQ788*1.4)</f>
        <v>363</v>
      </c>
      <c r="AI788" s="174">
        <f>IF(AY788=1,$D$58,$D$58+50)*AW788</f>
        <v>248</v>
      </c>
      <c r="AJ788" s="174">
        <f>10/6/AX788</f>
        <v>1.6666666666666667</v>
      </c>
      <c r="AK788" s="174">
        <f>SUM(AL788:AN788)</f>
        <v>4655.3362881621961</v>
      </c>
      <c r="AL788" s="174">
        <f>(IF(H788="근접",$D$61*(VLOOKUP(C788,$B$36:$AG$39,9,FALSE)+VLOOKUP(C788,$B$40:$AG$43,9,FALSE)*$D$54),$D$60*(VLOOKUP(C788,$B$36:$AG$39,9,FALSE)+VLOOKUP(C788,$B$40:$AG$43,9,FALSE)*$D$54)))*$D$59/100</f>
        <v>2044.1398050731711</v>
      </c>
      <c r="AM788" s="174">
        <f>(IF(H788="근접",$D$61*(VLOOKUP(C788,$B$36:$AG$39,10,FALSE)+VLOOKUP(C788,$B$40:$AG$43,10,FALSE)*$D$54),$D$60*(VLOOKUP(C788,$B$36:$AG$39,10,FALSE)+VLOOKUP(C788,$B$40:$AG$43,10,FALSE)*$D$54)))*$D$59/100</f>
        <v>2611.1964830890247</v>
      </c>
      <c r="AN788" s="174"/>
      <c r="AO788" s="176">
        <v>24</v>
      </c>
      <c r="AP788" s="174">
        <v>36</v>
      </c>
      <c r="AQ788" s="175">
        <f>VLOOKUP(C788,$B$45:$AA$48,9,FALSE)</f>
        <v>363</v>
      </c>
      <c r="AR788" s="31">
        <f>IF(LEFT(E788,1)*1=1,$S$58,$R$58)</f>
        <v>1</v>
      </c>
      <c r="AS788" s="2">
        <f>IF(LEFT(E788,1)*1=2,$U$58,$T$58)</f>
        <v>0</v>
      </c>
      <c r="AT788" s="33">
        <f>IF(LEFT(E788,1)*1=3,$W$58,$V$58)</f>
        <v>0</v>
      </c>
      <c r="AU788" s="31">
        <f>IF(MID(E788,3,1)*1=1,$Y$58,$X$58)</f>
        <v>0</v>
      </c>
      <c r="AV788" s="2">
        <f>IF(MID(E788,3,1)*1=2,$AA$58,$Z$58)</f>
        <v>0</v>
      </c>
      <c r="AW788" s="33">
        <f>IF(MID(E788,3,1)*1=3,$AC$58,$AB$58)</f>
        <v>1.24</v>
      </c>
      <c r="AX788" s="31">
        <f>IF(MID(E788,5,1)*1=1,$AE$58,$AD$58)</f>
        <v>1</v>
      </c>
      <c r="AY788" s="33">
        <f>IF(MID(E788,5,1)*1=2,$AG$58,$AF$58)</f>
        <v>1</v>
      </c>
      <c r="AZ788" s="2"/>
      <c r="BA788" s="101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</row>
    <row r="789" spans="1:71" ht="12" customHeight="1">
      <c r="A789" s="2"/>
      <c r="B789" s="107">
        <v>456</v>
      </c>
      <c r="C789" s="31">
        <v>7</v>
      </c>
      <c r="D789" s="111" t="s">
        <v>8</v>
      </c>
      <c r="E789" s="2" t="s">
        <v>155</v>
      </c>
      <c r="F789" s="2" t="s">
        <v>149</v>
      </c>
      <c r="G789" s="2"/>
      <c r="H789" s="33" t="s">
        <v>80</v>
      </c>
      <c r="I789" s="173">
        <f>M789/AE789</f>
        <v>405.78895317347821</v>
      </c>
      <c r="J789" s="174">
        <f>AH789/AE789</f>
        <v>19.637781784066725</v>
      </c>
      <c r="K789" s="207">
        <f>RANK(I789,$I$76:$I$977)</f>
        <v>713</v>
      </c>
      <c r="L789" s="208">
        <f>RANK(I789,$I$451:$I$866)</f>
        <v>338</v>
      </c>
      <c r="M789" s="173">
        <f>SUM(N789:R789)</f>
        <v>7500.9179560945522</v>
      </c>
      <c r="N789" s="174">
        <f>T789*(1+((AG789+IF(F789="백어택",8,0))/100)*(IF(AY789=1,$D$58,$D$58+50)/100-1))</f>
        <v>3115.3009515124718</v>
      </c>
      <c r="O789" s="174">
        <f>U789*(1+((AG789+IF(F789="백어택",8,0))/100)*(AI789/100-1))</f>
        <v>4385.6170045820809</v>
      </c>
      <c r="P789" s="174">
        <f>V789*(1+((AG789+IF(F789="백어택",8,0))/100)*(AI789/100-1))</f>
        <v>0</v>
      </c>
      <c r="Q789" s="174"/>
      <c r="R789" s="175"/>
      <c r="S789" s="173">
        <f>SUM(T789:X789)</f>
        <v>5586.4035457946347</v>
      </c>
      <c r="T789" s="174">
        <f>AL789*IF(H789="근접",AR789,1)*AY789*IF(F789="백어택",1.2,1)</f>
        <v>2452.9677660878051</v>
      </c>
      <c r="U789" s="174">
        <f>AM789*IF(H789="근접",AR789,1)*AY789*IF(F789="백어택",1.2,1)</f>
        <v>3133.4357797068296</v>
      </c>
      <c r="V789" s="174">
        <f>IF(AX789=1,0,AM789*IF(H789="근접",AR789,1)*AY789)*IF(F789="백어택",1.2,1)</f>
        <v>0</v>
      </c>
      <c r="W789" s="174"/>
      <c r="X789" s="175"/>
      <c r="Y789" s="173">
        <f>SUM(Z789:AD789)</f>
        <v>12676.856265848546</v>
      </c>
      <c r="Z789" s="174">
        <f>T789*IF(AY789=1,$D$58,$D$58+50)/100</f>
        <v>4905.9355321756102</v>
      </c>
      <c r="AA789" s="174">
        <f>U789*AI789/100</f>
        <v>7770.9207336729369</v>
      </c>
      <c r="AB789" s="174">
        <f>V789*AI789/100</f>
        <v>0</v>
      </c>
      <c r="AC789" s="174"/>
      <c r="AD789" s="175"/>
      <c r="AE789" s="173">
        <f>AO789*(1-$D$20/100)*(1-$D$17/100)</f>
        <v>18.484776131615998</v>
      </c>
      <c r="AF789" s="174">
        <f>AP789</f>
        <v>36</v>
      </c>
      <c r="AG789" s="174">
        <f>IF($D$57+AU789&gt;100,100,$D$57+AU789)</f>
        <v>19.001300000000001</v>
      </c>
      <c r="AH789" s="174">
        <f>IF(AX789=1,AQ789,AQ789*1.4)</f>
        <v>363</v>
      </c>
      <c r="AI789" s="174">
        <f>IF(AY789=1,$D$58,$D$58+50)*AW789</f>
        <v>248</v>
      </c>
      <c r="AJ789" s="174">
        <f>10/6/AX789</f>
        <v>1.6666666666666667</v>
      </c>
      <c r="AK789" s="174">
        <f>SUM(AL789:AN789)</f>
        <v>4655.3362881621961</v>
      </c>
      <c r="AL789" s="174">
        <f>(IF(H789="근접",$D$61*(VLOOKUP(C789,$B$36:$AG$39,9,FALSE)+VLOOKUP(C789,$B$40:$AG$43,9,FALSE)*$D$54),$D$60*(VLOOKUP(C789,$B$36:$AG$39,9,FALSE)+VLOOKUP(C789,$B$40:$AG$43,9,FALSE)*$D$54)))*$D$59/100</f>
        <v>2044.1398050731711</v>
      </c>
      <c r="AM789" s="174">
        <f>(IF(H789="근접",$D$61*(VLOOKUP(C789,$B$36:$AG$39,10,FALSE)+VLOOKUP(C789,$B$40:$AG$43,10,FALSE)*$D$54),$D$60*(VLOOKUP(C789,$B$36:$AG$39,10,FALSE)+VLOOKUP(C789,$B$40:$AG$43,10,FALSE)*$D$54)))*$D$59/100</f>
        <v>2611.1964830890247</v>
      </c>
      <c r="AN789" s="174"/>
      <c r="AO789" s="176">
        <v>24</v>
      </c>
      <c r="AP789" s="174">
        <v>36</v>
      </c>
      <c r="AQ789" s="175">
        <f>VLOOKUP(C789,$B$45:$AA$48,9,FALSE)</f>
        <v>363</v>
      </c>
      <c r="AR789" s="31">
        <f>IF(LEFT(E789,1)*1=1,$S$58,$R$58)</f>
        <v>1.2</v>
      </c>
      <c r="AS789" s="2">
        <f>IF(LEFT(E789,1)*1=2,$U$58,$T$58)</f>
        <v>0</v>
      </c>
      <c r="AT789" s="33">
        <f>IF(LEFT(E789,1)*1=3,$W$58,$V$58)</f>
        <v>0</v>
      </c>
      <c r="AU789" s="31">
        <f>IF(MID(E789,3,1)*1=1,$Y$58,$X$58)</f>
        <v>0</v>
      </c>
      <c r="AV789" s="2">
        <f>IF(MID(E789,3,1)*1=2,$AA$58,$Z$58)</f>
        <v>0</v>
      </c>
      <c r="AW789" s="33">
        <f>IF(MID(E789,3,1)*1=3,$AC$58,$AB$58)</f>
        <v>1.24</v>
      </c>
      <c r="AX789" s="31">
        <f>IF(MID(E789,5,1)*1=1,$AE$58,$AD$58)</f>
        <v>1</v>
      </c>
      <c r="AY789" s="33">
        <f>IF(MID(E789,5,1)*1=2,$AG$58,$AF$58)</f>
        <v>1</v>
      </c>
      <c r="AZ789" s="2"/>
      <c r="BA789" s="101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</row>
    <row r="790" spans="1:71" ht="12" customHeight="1">
      <c r="A790" s="2"/>
      <c r="B790" s="107">
        <v>403</v>
      </c>
      <c r="C790" s="31">
        <v>10</v>
      </c>
      <c r="D790" s="111" t="s">
        <v>8</v>
      </c>
      <c r="E790" s="2" t="s">
        <v>92</v>
      </c>
      <c r="F790" s="2"/>
      <c r="G790" s="2"/>
      <c r="H790" s="33" t="s">
        <v>80</v>
      </c>
      <c r="I790" s="173">
        <f>M790/AE790</f>
        <v>405.68479913838132</v>
      </c>
      <c r="J790" s="174">
        <f>AH790/AE790</f>
        <v>28.185356224514496</v>
      </c>
      <c r="K790" s="207">
        <f>RANK(I790,$I$76:$I$977)</f>
        <v>715</v>
      </c>
      <c r="L790" s="208">
        <f>RANK(I790,$I$451:$I$866)</f>
        <v>340</v>
      </c>
      <c r="M790" s="173">
        <f>SUM(N790:R790)</f>
        <v>7498.9926920725811</v>
      </c>
      <c r="N790" s="174">
        <f>T790*(1+((AG790+IF(F790="백어택",8,0))/100)*(IF(AY790=1,$D$58,$D$58+50)/100-1))</f>
        <v>3294.4364720742519</v>
      </c>
      <c r="O790" s="174">
        <f>U790*(1+((AG790+IF(F790="백어택",8,0))/100)*(AI790/100-1))</f>
        <v>4204.5562199983287</v>
      </c>
      <c r="P790" s="174">
        <f>V790*(1+((AG790+IF(F790="백어택",8,0))/100)*(AI790/100-1))</f>
        <v>0</v>
      </c>
      <c r="Q790" s="174"/>
      <c r="R790" s="175"/>
      <c r="S790" s="173">
        <f>SUM(T790:X790)</f>
        <v>5835.7034208995119</v>
      </c>
      <c r="T790" s="174">
        <f>AL790*IF(H790="근접",AR790,1)*AY790*IF(F790="백어택",1.2,1)</f>
        <v>2563.7248867229268</v>
      </c>
      <c r="U790" s="174">
        <f>AM790*IF(H790="근접",AR790,1)*AY790*IF(F790="백어택",1.2,1)</f>
        <v>3271.9785341765855</v>
      </c>
      <c r="V790" s="174">
        <f>IF(AX790=1,0,AM790*IF(H790="근접",AR790,1)*AY790)*IF(F790="백어택",1.2,1)</f>
        <v>0</v>
      </c>
      <c r="W790" s="174"/>
      <c r="X790" s="175"/>
      <c r="Y790" s="173">
        <f>SUM(Z790:AD790)</f>
        <v>14589.258552248783</v>
      </c>
      <c r="Z790" s="174">
        <f>T790*IF(AY790=1,$D$58,$D$58+50)/100</f>
        <v>6409.3122168073178</v>
      </c>
      <c r="AA790" s="174">
        <f>U790*AI790/100</f>
        <v>8179.9463354414647</v>
      </c>
      <c r="AB790" s="174">
        <f>V790*AI790/100</f>
        <v>0</v>
      </c>
      <c r="AC790" s="174"/>
      <c r="AD790" s="175"/>
      <c r="AE790" s="173">
        <f>AO790*(1-$D$20/100)*(1-$D$17/100)</f>
        <v>18.484776131615998</v>
      </c>
      <c r="AF790" s="174">
        <f>AP790</f>
        <v>36</v>
      </c>
      <c r="AG790" s="174">
        <f>IF($D$57+AU790&gt;100,100,$D$57+AU790)</f>
        <v>19.001300000000001</v>
      </c>
      <c r="AH790" s="174">
        <f>IF(AX790=1,AQ790,AQ790*1.4)</f>
        <v>521</v>
      </c>
      <c r="AI790" s="174">
        <f>IF(AY790=1,$D$58,$D$58+50)*AW790</f>
        <v>250</v>
      </c>
      <c r="AJ790" s="174">
        <f>10/6/AX790</f>
        <v>1.6666666666666667</v>
      </c>
      <c r="AK790" s="174">
        <f>SUM(AL790:AN790)</f>
        <v>4863.0861840829275</v>
      </c>
      <c r="AL790" s="174">
        <f>(IF(H790="근접",$D$61*(VLOOKUP(C790,$B$36:$AG$39,9,FALSE)+VLOOKUP(C790,$B$40:$AG$43,9,FALSE)*$D$54),$D$60*(VLOOKUP(C790,$B$36:$AG$39,9,FALSE)+VLOOKUP(C790,$B$40:$AG$43,9,FALSE)*$D$54)))*$D$59/100</f>
        <v>2136.437405602439</v>
      </c>
      <c r="AM790" s="174">
        <f>(IF(H790="근접",$D$61*(VLOOKUP(C790,$B$36:$AG$39,10,FALSE)+VLOOKUP(C790,$B$40:$AG$43,10,FALSE)*$D$54),$D$60*(VLOOKUP(C790,$B$36:$AG$39,10,FALSE)+VLOOKUP(C790,$B$40:$AG$43,10,FALSE)*$D$54)))*$D$59/100</f>
        <v>2726.6487784804881</v>
      </c>
      <c r="AN790" s="174"/>
      <c r="AO790" s="176">
        <v>24</v>
      </c>
      <c r="AP790" s="174">
        <v>36</v>
      </c>
      <c r="AQ790" s="175">
        <f>VLOOKUP(C790,$B$45:$AA$48,9,FALSE)</f>
        <v>521</v>
      </c>
      <c r="AR790" s="31">
        <f>IF(LEFT(E790,1)*1=1,$S$58,$R$58)</f>
        <v>1</v>
      </c>
      <c r="AS790" s="2">
        <f>IF(LEFT(E790,1)*1=2,$U$58,$T$58)</f>
        <v>0</v>
      </c>
      <c r="AT790" s="33">
        <f>IF(LEFT(E790,1)*1=3,$W$58,$V$58)</f>
        <v>0</v>
      </c>
      <c r="AU790" s="31">
        <f>IF(MID(E790,3,1)*1=1,$Y$58,$X$58)</f>
        <v>0</v>
      </c>
      <c r="AV790" s="2">
        <f>IF(MID(E790,3,1)*1=2,$AA$58,$Z$58)</f>
        <v>0</v>
      </c>
      <c r="AW790" s="33">
        <f>IF(MID(E790,3,1)*1=3,$AC$58,$AB$58)</f>
        <v>1</v>
      </c>
      <c r="AX790" s="31">
        <f>IF(MID(E790,5,1)*1=1,$AE$58,$AD$58)</f>
        <v>1</v>
      </c>
      <c r="AY790" s="33">
        <f>IF(MID(E790,5,1)*1=2,$AG$58,$AF$58)</f>
        <v>1.2</v>
      </c>
      <c r="AZ790" s="2"/>
      <c r="BA790" s="101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</row>
    <row r="791" spans="1:71" ht="12" customHeight="1">
      <c r="A791" s="2"/>
      <c r="B791" s="107">
        <v>406</v>
      </c>
      <c r="C791" s="31">
        <v>10</v>
      </c>
      <c r="D791" s="111" t="s">
        <v>8</v>
      </c>
      <c r="E791" s="2" t="s">
        <v>151</v>
      </c>
      <c r="F791" s="2"/>
      <c r="G791" s="2"/>
      <c r="H791" s="33" t="s">
        <v>80</v>
      </c>
      <c r="I791" s="173">
        <f>M791/AE791</f>
        <v>405.68479913838132</v>
      </c>
      <c r="J791" s="174">
        <f>AH791/AE791</f>
        <v>28.185356224514496</v>
      </c>
      <c r="K791" s="207">
        <f>RANK(I791,$I$76:$I$977)</f>
        <v>715</v>
      </c>
      <c r="L791" s="208">
        <f>RANK(I791,$I$451:$I$866)</f>
        <v>340</v>
      </c>
      <c r="M791" s="173">
        <f>SUM(N791:R791)</f>
        <v>7498.9926920725811</v>
      </c>
      <c r="N791" s="174">
        <f>T791*(1+((AG791+IF(F791="백어택",8,0))/100)*(IF(AY791=1,$D$58,$D$58+50)/100-1))</f>
        <v>3294.4364720742519</v>
      </c>
      <c r="O791" s="174">
        <f>U791*(1+((AG791+IF(F791="백어택",8,0))/100)*(AI791/100-1))</f>
        <v>4204.5562199983287</v>
      </c>
      <c r="P791" s="174">
        <f>V791*(1+((AG791+IF(F791="백어택",8,0))/100)*(AI791/100-1))</f>
        <v>0</v>
      </c>
      <c r="Q791" s="174"/>
      <c r="R791" s="175"/>
      <c r="S791" s="173">
        <f>SUM(T791:X791)</f>
        <v>5835.7034208995119</v>
      </c>
      <c r="T791" s="174">
        <f>AL791*IF(H791="근접",AR791,1)*AY791*IF(F791="백어택",1.2,1)</f>
        <v>2563.7248867229268</v>
      </c>
      <c r="U791" s="174">
        <f>AM791*IF(H791="근접",AR791,1)*AY791*IF(F791="백어택",1.2,1)</f>
        <v>3271.9785341765855</v>
      </c>
      <c r="V791" s="174">
        <f>IF(AX791=1,0,AM791*IF(H791="근접",AR791,1)*AY791)*IF(F791="백어택",1.2,1)</f>
        <v>0</v>
      </c>
      <c r="W791" s="174"/>
      <c r="X791" s="175"/>
      <c r="Y791" s="173">
        <f>SUM(Z791:AD791)</f>
        <v>14589.258552248783</v>
      </c>
      <c r="Z791" s="174">
        <f>T791*IF(AY791=1,$D$58,$D$58+50)/100</f>
        <v>6409.3122168073178</v>
      </c>
      <c r="AA791" s="174">
        <f>U791*AI791/100</f>
        <v>8179.9463354414647</v>
      </c>
      <c r="AB791" s="174">
        <f>V791*AI791/100</f>
        <v>0</v>
      </c>
      <c r="AC791" s="174"/>
      <c r="AD791" s="175"/>
      <c r="AE791" s="173">
        <f>AO791*(1-$D$20/100)*(1-$D$17/100)</f>
        <v>18.484776131615998</v>
      </c>
      <c r="AF791" s="174">
        <f>AP791</f>
        <v>36</v>
      </c>
      <c r="AG791" s="174">
        <f>IF($D$57+AU791&gt;100,100,$D$57+AU791)</f>
        <v>19.001300000000001</v>
      </c>
      <c r="AH791" s="174">
        <f>IF(AX791=1,AQ791,AQ791*1.4)</f>
        <v>521</v>
      </c>
      <c r="AI791" s="174">
        <f>IF(AY791=1,$D$58,$D$58+50)*AW791</f>
        <v>250</v>
      </c>
      <c r="AJ791" s="174">
        <f>10/6/AX791</f>
        <v>1.6666666666666667</v>
      </c>
      <c r="AK791" s="174">
        <f>SUM(AL791:AN791)</f>
        <v>4863.0861840829275</v>
      </c>
      <c r="AL791" s="174">
        <f>(IF(H791="근접",$D$61*(VLOOKUP(C791,$B$36:$AG$39,9,FALSE)+VLOOKUP(C791,$B$40:$AG$43,9,FALSE)*$D$54),$D$60*(VLOOKUP(C791,$B$36:$AG$39,9,FALSE)+VLOOKUP(C791,$B$40:$AG$43,9,FALSE)*$D$54)))*$D$59/100</f>
        <v>2136.437405602439</v>
      </c>
      <c r="AM791" s="174">
        <f>(IF(H791="근접",$D$61*(VLOOKUP(C791,$B$36:$AG$39,10,FALSE)+VLOOKUP(C791,$B$40:$AG$43,10,FALSE)*$D$54),$D$60*(VLOOKUP(C791,$B$36:$AG$39,10,FALSE)+VLOOKUP(C791,$B$40:$AG$43,10,FALSE)*$D$54)))*$D$59/100</f>
        <v>2726.6487784804881</v>
      </c>
      <c r="AN791" s="174"/>
      <c r="AO791" s="176">
        <v>24</v>
      </c>
      <c r="AP791" s="174">
        <v>36</v>
      </c>
      <c r="AQ791" s="175">
        <f>VLOOKUP(C791,$B$45:$AA$48,9,FALSE)</f>
        <v>521</v>
      </c>
      <c r="AR791" s="31">
        <f>IF(LEFT(E791,1)*1=1,$S$58,$R$58)</f>
        <v>1.2</v>
      </c>
      <c r="AS791" s="2">
        <f>IF(LEFT(E791,1)*1=2,$U$58,$T$58)</f>
        <v>0</v>
      </c>
      <c r="AT791" s="33">
        <f>IF(LEFT(E791,1)*1=3,$W$58,$V$58)</f>
        <v>0</v>
      </c>
      <c r="AU791" s="31">
        <f>IF(MID(E791,3,1)*1=1,$Y$58,$X$58)</f>
        <v>0</v>
      </c>
      <c r="AV791" s="2">
        <f>IF(MID(E791,3,1)*1=2,$AA$58,$Z$58)</f>
        <v>0</v>
      </c>
      <c r="AW791" s="33">
        <f>IF(MID(E791,3,1)*1=3,$AC$58,$AB$58)</f>
        <v>1</v>
      </c>
      <c r="AX791" s="31">
        <f>IF(MID(E791,5,1)*1=1,$AE$58,$AD$58)</f>
        <v>1</v>
      </c>
      <c r="AY791" s="33">
        <f>IF(MID(E791,5,1)*1=2,$AG$58,$AF$58)</f>
        <v>1.2</v>
      </c>
      <c r="AZ791" s="2"/>
      <c r="BA791" s="101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</row>
    <row r="792" spans="1:71" ht="12" customHeight="1">
      <c r="A792" s="2"/>
      <c r="B792" s="107">
        <v>658</v>
      </c>
      <c r="C792" s="31">
        <v>7</v>
      </c>
      <c r="D792" s="111" t="s">
        <v>18</v>
      </c>
      <c r="E792" s="2" t="s">
        <v>168</v>
      </c>
      <c r="F792" s="2"/>
      <c r="G792" s="2"/>
      <c r="H792" s="33" t="s">
        <v>80</v>
      </c>
      <c r="I792" s="173">
        <f>M792/AE792</f>
        <v>404.20115050487692</v>
      </c>
      <c r="J792" s="174">
        <f>AH792/AE792</f>
        <v>19.637781784066725</v>
      </c>
      <c r="K792" s="207">
        <f>RANK(I792,$I$76:$I$977)</f>
        <v>717</v>
      </c>
      <c r="L792" s="208">
        <f>RANK(I792,$I$451:$I$866)</f>
        <v>342</v>
      </c>
      <c r="M792" s="173">
        <f>SUM(N792:R792)</f>
        <v>7471.567779224275</v>
      </c>
      <c r="N792" s="174">
        <f>T792*(1+((AG792+IF(F792="백어택",8,0))/100)*(AI792/100-1))</f>
        <v>4963.1165592367815</v>
      </c>
      <c r="O792" s="174">
        <f>U792*(1+(($D$57+IF(F792="백어택",8,0))/100)*(AI792/100-1))</f>
        <v>2508.4512199874939</v>
      </c>
      <c r="P792" s="174"/>
      <c r="Q792" s="174"/>
      <c r="R792" s="175"/>
      <c r="S792" s="173">
        <f>SUM(T792:X792)</f>
        <v>5229.3506083390257</v>
      </c>
      <c r="T792" s="174">
        <f>AL792*IF(H792="근접",AT792,IF(AV792=1,AT792,1))*AX792*IF(F792="백어택",1.2,1)</f>
        <v>3121.4314343573178</v>
      </c>
      <c r="U792" s="174">
        <f>IF(AX792=1,AM792*IF(H792="근접",AT792,IF(AV792=1,AT792,1)),0)*AY792*IF(AX792=1,1,0)*IF(F792="백어택",1.2,1)</f>
        <v>2107.9191739817079</v>
      </c>
      <c r="V792" s="174"/>
      <c r="W792" s="174"/>
      <c r="X792" s="175"/>
      <c r="Y792" s="173">
        <f>SUM(Z792:AD792)</f>
        <v>10458.701216678051</v>
      </c>
      <c r="Z792" s="174">
        <f>T792*$D$58/100</f>
        <v>6242.8628687146356</v>
      </c>
      <c r="AA792" s="174">
        <f>U792*$D$58/100</f>
        <v>4215.8383479634158</v>
      </c>
      <c r="AB792" s="174"/>
      <c r="AC792" s="174"/>
      <c r="AD792" s="175"/>
      <c r="AE792" s="173">
        <f>(AO792*(1-$D$20/100)*(1-$D$17/100)-AR792)*IF(AW792="보스대상",1,POWER(0.85,AW792))</f>
        <v>18.484776131615998</v>
      </c>
      <c r="AF792" s="174">
        <f>AP792</f>
        <v>36</v>
      </c>
      <c r="AG792" s="174">
        <f>IF($D$57+AU792&gt;100,100,$D$57+AU792)</f>
        <v>59.001300000000001</v>
      </c>
      <c r="AH792" s="174">
        <f>AQ792</f>
        <v>363</v>
      </c>
      <c r="AI792" s="174">
        <f>$D$58</f>
        <v>200</v>
      </c>
      <c r="AJ792" s="174">
        <f>10*AS792/IF(AX792=1,IF(AY792=1,4.5,4),4)</f>
        <v>1.7777777777777777</v>
      </c>
      <c r="AK792" s="174">
        <f>SUM(AL792:AN792)</f>
        <v>5229.3506083390257</v>
      </c>
      <c r="AL792" s="174">
        <f>IF(AV792=1,$D$61*(VLOOKUP(C792,$B$36:$AG$39,25,FALSE)+VLOOKUP(C792,$B$40:$AG$43,25,FALSE)*$D$54),(IF(H792="근접",$D$61*(VLOOKUP(C792,$B$36:$AG$39,25,FALSE)+VLOOKUP(C792,$B$40:$AG$43,25,FALSE)*$D$54),$D$60*(VLOOKUP(C792,$B$36:$AG$39,25,FALSE)+VLOOKUP(C792,$B$40:$AG$43,25,FALSE)*$D$54))))*$D$59/100</f>
        <v>3121.4314343573178</v>
      </c>
      <c r="AM792" s="174">
        <f>(IF(AV792=1,$D$61*(VLOOKUP(C792,$B$36:$AG$39,26,FALSE)+VLOOKUP(C792,$B$40:$AG$43,26,FALSE)*$D$54),IF(H792="근접",$D$61*(VLOOKUP(C792,$B$36:$AG$39,26,FALSE)+VLOOKUP(C792,$B$40:$AG$43,26,FALSE)*$D$54),$D$60*(VLOOKUP(C792,$B$36:$AG$39,26,FALSE)+VLOOKUP(C792,$B$40:$AG$43,26,FALSE)*$D$54))))*$D$59/100</f>
        <v>2107.9191739817079</v>
      </c>
      <c r="AN792" s="174"/>
      <c r="AO792" s="176">
        <v>24</v>
      </c>
      <c r="AP792" s="174">
        <v>36</v>
      </c>
      <c r="AQ792" s="175">
        <f>VLOOKUP(C792,$B$45:$AA$48,25,FALSE)</f>
        <v>363</v>
      </c>
      <c r="AR792" s="31">
        <f>IF(LEFT(E792,1)*1=1,$S$68,$R$68)</f>
        <v>0</v>
      </c>
      <c r="AS792" s="2">
        <f>IF(LEFT(E792,1)*1=2,$U$68,$T$68)</f>
        <v>0.8</v>
      </c>
      <c r="AT792" s="33">
        <f>IF(LEFT(E792,1)*1=3,$W$68,$V$68)</f>
        <v>1</v>
      </c>
      <c r="AU792" s="31">
        <f>IF(MID(E792,3,1)*1=1,$Y$68,$X$68)</f>
        <v>40</v>
      </c>
      <c r="AV792" s="2">
        <f>IF(MID(E792,3,1)*1=2,$AA$68,$Z$68)</f>
        <v>0</v>
      </c>
      <c r="AW792" s="33" t="str">
        <f>IF(MID(E792,3,1)*1=3,$AC$68,$AB$68)</f>
        <v>보스대상</v>
      </c>
      <c r="AX792" s="31">
        <f>IF(MID(E792,5,1)*1=1,$AE$68,$AD$68)</f>
        <v>1</v>
      </c>
      <c r="AY792" s="33">
        <f>IF(MID(E792,5,1)*1=2,$AG$68,$AF$68)</f>
        <v>1</v>
      </c>
      <c r="AZ792" s="2"/>
      <c r="BA792" s="101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</row>
    <row r="793" spans="1:71" ht="12" customHeight="1">
      <c r="A793" s="2"/>
      <c r="B793" s="107">
        <v>661</v>
      </c>
      <c r="C793" s="31">
        <v>7</v>
      </c>
      <c r="D793" s="111" t="s">
        <v>18</v>
      </c>
      <c r="E793" s="2" t="s">
        <v>179</v>
      </c>
      <c r="F793" s="2"/>
      <c r="G793" s="2"/>
      <c r="H793" s="33" t="s">
        <v>80</v>
      </c>
      <c r="I793" s="173">
        <f>M793/AE793</f>
        <v>404.20115050487692</v>
      </c>
      <c r="J793" s="174">
        <f>AH793/AE793</f>
        <v>19.637781784066725</v>
      </c>
      <c r="K793" s="207">
        <f>RANK(I793,$I$76:$I$977)</f>
        <v>717</v>
      </c>
      <c r="L793" s="208">
        <f>RANK(I793,$I$451:$I$866)</f>
        <v>342</v>
      </c>
      <c r="M793" s="173">
        <f>SUM(N793:R793)</f>
        <v>7471.567779224275</v>
      </c>
      <c r="N793" s="174">
        <f>T793*(1+((AG793+IF(F793="백어택",8,0))/100)*(AI793/100-1))</f>
        <v>4963.1165592367815</v>
      </c>
      <c r="O793" s="174">
        <f>U793*(1+(($D$57+IF(F793="백어택",8,0))/100)*(AI793/100-1))</f>
        <v>2508.4512199874939</v>
      </c>
      <c r="P793" s="174"/>
      <c r="Q793" s="174"/>
      <c r="R793" s="175"/>
      <c r="S793" s="173">
        <f>SUM(T793:X793)</f>
        <v>5229.3506083390257</v>
      </c>
      <c r="T793" s="174">
        <f>AL793*IF(H793="근접",AT793,IF(AV793=1,AT793,1))*AX793*IF(F793="백어택",1.2,1)</f>
        <v>3121.4314343573178</v>
      </c>
      <c r="U793" s="174">
        <f>IF(AX793=1,AM793*IF(H793="근접",AT793,IF(AV793=1,AT793,1)),0)*AY793*IF(AX793=1,1,0)*IF(F793="백어택",1.2,1)</f>
        <v>2107.9191739817079</v>
      </c>
      <c r="V793" s="174"/>
      <c r="W793" s="174"/>
      <c r="X793" s="175"/>
      <c r="Y793" s="173">
        <f>SUM(Z793:AD793)</f>
        <v>10458.701216678051</v>
      </c>
      <c r="Z793" s="174">
        <f>T793*$D$58/100</f>
        <v>6242.8628687146356</v>
      </c>
      <c r="AA793" s="174">
        <f>U793*$D$58/100</f>
        <v>4215.8383479634158</v>
      </c>
      <c r="AB793" s="174"/>
      <c r="AC793" s="174"/>
      <c r="AD793" s="175"/>
      <c r="AE793" s="173">
        <f>(AO793*(1-$D$20/100)*(1-$D$17/100)-AR793)*IF(AW793="보스대상",1,POWER(0.85,AW793))</f>
        <v>18.484776131615998</v>
      </c>
      <c r="AF793" s="174">
        <f>AP793</f>
        <v>36</v>
      </c>
      <c r="AG793" s="174">
        <f>IF($D$57+AU793&gt;100,100,$D$57+AU793)</f>
        <v>59.001300000000001</v>
      </c>
      <c r="AH793" s="174">
        <f>AQ793</f>
        <v>363</v>
      </c>
      <c r="AI793" s="174">
        <f>$D$58</f>
        <v>200</v>
      </c>
      <c r="AJ793" s="174">
        <f>10*AS793/IF(AX793=1,IF(AY793=1,4.5,4),4)</f>
        <v>2.2222222222222223</v>
      </c>
      <c r="AK793" s="174">
        <f>SUM(AL793:AN793)</f>
        <v>5229.3506083390257</v>
      </c>
      <c r="AL793" s="174">
        <f>IF(AV793=1,$D$61*(VLOOKUP(C793,$B$36:$AG$39,25,FALSE)+VLOOKUP(C793,$B$40:$AG$43,25,FALSE)*$D$54),(IF(H793="근접",$D$61*(VLOOKUP(C793,$B$36:$AG$39,25,FALSE)+VLOOKUP(C793,$B$40:$AG$43,25,FALSE)*$D$54),$D$60*(VLOOKUP(C793,$B$36:$AG$39,25,FALSE)+VLOOKUP(C793,$B$40:$AG$43,25,FALSE)*$D$54))))*$D$59/100</f>
        <v>3121.4314343573178</v>
      </c>
      <c r="AM793" s="174">
        <f>(IF(AV793=1,$D$61*(VLOOKUP(C793,$B$36:$AG$39,26,FALSE)+VLOOKUP(C793,$B$40:$AG$43,26,FALSE)*$D$54),IF(H793="근접",$D$61*(VLOOKUP(C793,$B$36:$AG$39,26,FALSE)+VLOOKUP(C793,$B$40:$AG$43,26,FALSE)*$D$54),$D$60*(VLOOKUP(C793,$B$36:$AG$39,26,FALSE)+VLOOKUP(C793,$B$40:$AG$43,26,FALSE)*$D$54))))*$D$59/100</f>
        <v>2107.9191739817079</v>
      </c>
      <c r="AN793" s="174"/>
      <c r="AO793" s="176">
        <v>24</v>
      </c>
      <c r="AP793" s="174">
        <v>36</v>
      </c>
      <c r="AQ793" s="175">
        <f>VLOOKUP(C793,$B$45:$AA$48,25,FALSE)</f>
        <v>363</v>
      </c>
      <c r="AR793" s="31">
        <f>IF(LEFT(E793,1)*1=1,$S$68,$R$68)</f>
        <v>0</v>
      </c>
      <c r="AS793" s="2">
        <f>IF(LEFT(E793,1)*1=2,$U$68,$T$68)</f>
        <v>1</v>
      </c>
      <c r="AT793" s="33">
        <f>IF(LEFT(E793,1)*1=3,$W$68,$V$68)</f>
        <v>1.2</v>
      </c>
      <c r="AU793" s="31">
        <f>IF(MID(E793,3,1)*1=1,$Y$68,$X$68)</f>
        <v>40</v>
      </c>
      <c r="AV793" s="2">
        <f>IF(MID(E793,3,1)*1=2,$AA$68,$Z$68)</f>
        <v>0</v>
      </c>
      <c r="AW793" s="33" t="str">
        <f>IF(MID(E793,3,1)*1=3,$AC$68,$AB$68)</f>
        <v>보스대상</v>
      </c>
      <c r="AX793" s="31">
        <f>IF(MID(E793,5,1)*1=1,$AE$68,$AD$68)</f>
        <v>1</v>
      </c>
      <c r="AY793" s="33">
        <f>IF(MID(E793,5,1)*1=2,$AG$68,$AF$68)</f>
        <v>1</v>
      </c>
      <c r="AZ793" s="2"/>
      <c r="BA793" s="101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</row>
    <row r="794" spans="1:71" ht="12" customHeight="1">
      <c r="A794" s="2"/>
      <c r="B794" s="107">
        <v>478</v>
      </c>
      <c r="C794" s="31">
        <v>4</v>
      </c>
      <c r="D794" s="111" t="s">
        <v>11</v>
      </c>
      <c r="E794" s="2" t="s">
        <v>67</v>
      </c>
      <c r="F794" s="2"/>
      <c r="G794" s="2"/>
      <c r="H794" s="33">
        <f>IF(AX794=1,5,1)</f>
        <v>5</v>
      </c>
      <c r="I794" s="173">
        <f>M794/AE794</f>
        <v>402.09734883787075</v>
      </c>
      <c r="J794" s="174">
        <f>AH794/AE794</f>
        <v>9.8243007492741512</v>
      </c>
      <c r="K794" s="207">
        <f>RANK(I794,$I$76:$I$977)</f>
        <v>719</v>
      </c>
      <c r="L794" s="208">
        <f>RANK(I794,$I$451:$I$866)</f>
        <v>344</v>
      </c>
      <c r="M794" s="173">
        <f>SUM(N794:R794)</f>
        <v>9290.849345480432</v>
      </c>
      <c r="N794" s="174">
        <f>T794*(1+(AG794/100)*(AI794/100-1))</f>
        <v>8602.6295978420239</v>
      </c>
      <c r="O794" s="174">
        <f>U794*(1+(AG794/100)*(AI794/100-1))</f>
        <v>688.21974763840728</v>
      </c>
      <c r="P794" s="174"/>
      <c r="Q794" s="174"/>
      <c r="R794" s="175"/>
      <c r="S794" s="173">
        <f>T794</f>
        <v>7229.0215298841476</v>
      </c>
      <c r="T794" s="174">
        <f>H794*AL794*AX794</f>
        <v>7229.0215298841476</v>
      </c>
      <c r="U794" s="174">
        <f>AM794*AV794</f>
        <v>578.32960449878055</v>
      </c>
      <c r="V794" s="174"/>
      <c r="W794" s="174"/>
      <c r="X794" s="175"/>
      <c r="Y794" s="173">
        <f>SUM(Z794:AD794)</f>
        <v>15614.702268765857</v>
      </c>
      <c r="Z794" s="174">
        <f>T794*$D$58/100</f>
        <v>14458.043059768295</v>
      </c>
      <c r="AA794" s="174">
        <f>U794*$D$58/100</f>
        <v>1156.6592089975611</v>
      </c>
      <c r="AB794" s="174"/>
      <c r="AC794" s="174"/>
      <c r="AD794" s="175"/>
      <c r="AE794" s="173">
        <f>AO794*(1-$D$20/100)*(1-$D$17/100)-AR794</f>
        <v>23.105970164519999</v>
      </c>
      <c r="AF794" s="174">
        <f>AP794</f>
        <v>36</v>
      </c>
      <c r="AG794" s="174">
        <f>IF($D$57+AS794&gt;100,100,$D$57+AS794)</f>
        <v>19.001300000000001</v>
      </c>
      <c r="AH794" s="174">
        <f>AQ794</f>
        <v>227</v>
      </c>
      <c r="AI794" s="174">
        <f>$D$58</f>
        <v>200</v>
      </c>
      <c r="AJ794" s="174">
        <f>10/IF(AX794=1,7,6)</f>
        <v>1.4285714285714286</v>
      </c>
      <c r="AK794" s="174">
        <f>SUM(AL794:AN794)</f>
        <v>2024.13391047561</v>
      </c>
      <c r="AL794" s="174">
        <f>(VLOOKUP(C794,$B$36:$AG$39,14,FALSE)+VLOOKUP(C794,$B$40:$AG$43,14,FALSE)*$D$54)*$D$59/100</f>
        <v>1445.8043059768295</v>
      </c>
      <c r="AM794" s="174">
        <f>(VLOOKUP(C794,$B$36:$AG$39,15,FALSE)+VLOOKUP(C794,$B$40:$AG$43,15,FALSE)*$D$54)*$D$59/100</f>
        <v>578.32960449878055</v>
      </c>
      <c r="AN794" s="174"/>
      <c r="AO794" s="176">
        <v>30</v>
      </c>
      <c r="AP794" s="174">
        <v>36</v>
      </c>
      <c r="AQ794" s="175">
        <f>VLOOKUP(C794,$B$45:$AA$48,14,FALSE)</f>
        <v>227</v>
      </c>
      <c r="AR794" s="31">
        <f>IF(LEFT(E794,1)*1=1,$S$61,$R$61)</f>
        <v>0</v>
      </c>
      <c r="AS794" s="2">
        <f>IF(LEFT(E794,1)*1=2,$U$61,$T$61)</f>
        <v>0</v>
      </c>
      <c r="AT794" s="33">
        <f>IF(LEFT(E794,1)*1=3,$W$61,$V$61)</f>
        <v>0</v>
      </c>
      <c r="AU794" s="31">
        <f>IF(MID(E794,3,1)*1=1,$Y$61,$X$61)</f>
        <v>0</v>
      </c>
      <c r="AV794" s="2">
        <f>IF(MID(E794,3,1)*1=2,$AA$61,$Z$61)</f>
        <v>1</v>
      </c>
      <c r="AW794" s="33">
        <f>IF(MID(E794,3,1)*1=3,$AC$61,$AB$61)</f>
        <v>0</v>
      </c>
      <c r="AX794" s="31">
        <f>IF(MID(E794,5,1)*1=1,$AE$61,$AD$61)</f>
        <v>1</v>
      </c>
      <c r="AY794" s="33">
        <f>IF(MID(E794,5,1)*1=2,$AG$61,$AF$61)</f>
        <v>0</v>
      </c>
      <c r="AZ794" s="2"/>
      <c r="BA794" s="101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</row>
    <row r="795" spans="1:71" ht="12" customHeight="1">
      <c r="A795" s="2"/>
      <c r="B795" s="107">
        <v>532</v>
      </c>
      <c r="C795" s="31">
        <v>7</v>
      </c>
      <c r="D795" s="111" t="s">
        <v>14</v>
      </c>
      <c r="E795" s="2" t="s">
        <v>136</v>
      </c>
      <c r="F795" s="2"/>
      <c r="G795" s="2"/>
      <c r="H795" s="33" t="s">
        <v>80</v>
      </c>
      <c r="I795" s="173">
        <f>M795/AE795</f>
        <v>401.5944774213902</v>
      </c>
      <c r="J795" s="174">
        <f>AH795/AE795</f>
        <v>16.518097441877977</v>
      </c>
      <c r="K795" s="207">
        <f>RANK(I795,$I$76:$I$977)</f>
        <v>720</v>
      </c>
      <c r="L795" s="208">
        <f>RANK(I795,$I$451:$I$866)</f>
        <v>345</v>
      </c>
      <c r="M795" s="173">
        <f>SUM(N795:R795)</f>
        <v>11135.076016241572</v>
      </c>
      <c r="N795" s="174">
        <f>T795*(1+((AG795+IF(F795="백어택",8,0))/100)*(AI795/100-1))</f>
        <v>3323.3402422146269</v>
      </c>
      <c r="O795" s="174">
        <f>U795*(1+((AG795+IF(F795="백어택",8,0))/100)*(AI795/100-1))</f>
        <v>3323.3402422146269</v>
      </c>
      <c r="P795" s="174">
        <f>V795*(1+((AG795+IF(F795="백어택",8,0))/100)*(AI795*IF(AX795=1,AW795,1)/100-1))</f>
        <v>4488.3955318123189</v>
      </c>
      <c r="Q795" s="174">
        <f>W795*(1+((AG795+IF(F795="백어택",8,0))/100)*(AI795*AW795/100-1))</f>
        <v>0</v>
      </c>
      <c r="R795" s="175"/>
      <c r="S795" s="173">
        <f>SUM(T795:X795)</f>
        <v>7732.6218695536591</v>
      </c>
      <c r="T795" s="174">
        <f>AL795*AY795*IF(F795="백어택",1.2,1)</f>
        <v>2307.8543334085366</v>
      </c>
      <c r="U795" s="174">
        <f>AM795*AY795*IF(F795="백어택",1.2,1)</f>
        <v>2307.8543334085366</v>
      </c>
      <c r="V795" s="174">
        <f>AN795*AY795*IF(F795="백어택",1.2,1)</f>
        <v>3116.9132027365854</v>
      </c>
      <c r="W795" s="174">
        <f>(T795+U795+V795)*IF(AX795=1,0,0.6)*IF(F795="백어택",1.2,1)</f>
        <v>0</v>
      </c>
      <c r="X795" s="175"/>
      <c r="Y795" s="173">
        <f>SUM(Z795:AD795)</f>
        <v>15465.243739107318</v>
      </c>
      <c r="Z795" s="174">
        <f>T795*AI795/100</f>
        <v>4615.7086668170732</v>
      </c>
      <c r="AA795" s="174">
        <f>U795*AI795/100</f>
        <v>4615.7086668170732</v>
      </c>
      <c r="AB795" s="174">
        <f>V795*AI795*IF(AX795=1,AW795,1)/100</f>
        <v>6233.8264054731708</v>
      </c>
      <c r="AC795" s="174">
        <f>W795*AI795*AW795/100</f>
        <v>0</v>
      </c>
      <c r="AD795" s="175"/>
      <c r="AE795" s="173">
        <f>AO795*(1-$D$20/100)*(1-$D$17/100)</f>
        <v>27.727164197424003</v>
      </c>
      <c r="AF795" s="174">
        <f>AP795</f>
        <v>36</v>
      </c>
      <c r="AG795" s="174">
        <f>IF($D$57+AU795&gt;100,100,$D$57+AU795)</f>
        <v>44.001300000000001</v>
      </c>
      <c r="AH795" s="174">
        <f>AQ795*AS795</f>
        <v>458</v>
      </c>
      <c r="AI795" s="174">
        <f>$D$58+IF(H795="근접",AR795,0)+IF(AY795=1,0,50)</f>
        <v>200</v>
      </c>
      <c r="AJ795" s="174">
        <f>10/3</f>
        <v>3.3333333333333335</v>
      </c>
      <c r="AK795" s="174">
        <f>SUM(AL795:AN795)</f>
        <v>7732.6218695536591</v>
      </c>
      <c r="AL795" s="174">
        <f>(IF(H795="근접",$D$61*(VLOOKUP(C795,$B$36:$AG$39,19,FALSE)+VLOOKUP(C795,$B$40:$AG$43,19,FALSE)*$D$54),$D$60*(VLOOKUP(C795,$B$36:$AG$39,19,FALSE)+VLOOKUP(C795,$B$40:$AG$43,19,FALSE)*$D$54)))*$D$59/100</f>
        <v>2307.8543334085366</v>
      </c>
      <c r="AM795" s="174">
        <f>(IF(H795="근접",$D$61*(VLOOKUP(C795,$B$36:$AG$39,20,FALSE)+VLOOKUP(C795,$B$40:$AG$43,20,FALSE)*$D$54),$D$60*(VLOOKUP(C795,$B$36:$AG$39,20,FALSE)+VLOOKUP(C795,$B$40:$AG$43,20,FALSE)*$D$54)))*$D$59/100</f>
        <v>2307.8543334085366</v>
      </c>
      <c r="AN795" s="174">
        <f>(IF(H795="근접",$D$61*(VLOOKUP(C795,$B$36:$AG$39,21,FALSE)+VLOOKUP(C795,$B$40:$AG$43,21,FALSE)*$D$54),$D$60*(VLOOKUP(C795,$B$36:$AG$39,21,FALSE)+VLOOKUP(C795,$B$40:$AG$43,21,FALSE)*$D$54)))*$D$59/100</f>
        <v>3116.9132027365854</v>
      </c>
      <c r="AO795" s="176">
        <v>36</v>
      </c>
      <c r="AP795" s="174">
        <v>36</v>
      </c>
      <c r="AQ795" s="175">
        <f>VLOOKUP(C795,$B$45:$AA$48,19,FALSE)</f>
        <v>458</v>
      </c>
      <c r="AR795" s="31">
        <f>IF(LEFT(E795,1)*1=1,$S$64,$R$64)</f>
        <v>0</v>
      </c>
      <c r="AS795" s="2">
        <f>IF(LEFT(E795,1)*1=2,$U$64,$T$64)</f>
        <v>1</v>
      </c>
      <c r="AT795" s="33">
        <f>IF(LEFT(E795,1)*1=3,$W$64,$V$64)</f>
        <v>0</v>
      </c>
      <c r="AU795" s="31">
        <f>IF(MID(E795,3,1)*1=1,$Y$64,$X$64)</f>
        <v>25</v>
      </c>
      <c r="AV795" s="2">
        <f>IF(MID(E795,3,1)*1=2,$AA$64,$Z$64)</f>
        <v>0</v>
      </c>
      <c r="AW795" s="33">
        <f>IF(MID(E795,3,1)*1=3,$AC$64,$AB$64)</f>
        <v>1</v>
      </c>
      <c r="AX795" s="31">
        <f>IF(MID(E795,5,1)*1=1,$AE$64,$AD$64)</f>
        <v>1</v>
      </c>
      <c r="AY795" s="33">
        <f>IF(MID(E795,5,1)*1=2,$AG$64,$AF$64)</f>
        <v>1</v>
      </c>
      <c r="AZ795" s="2"/>
      <c r="BA795" s="101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</row>
    <row r="796" spans="1:71" ht="12" customHeight="1">
      <c r="A796" s="2"/>
      <c r="B796" s="107">
        <v>535</v>
      </c>
      <c r="C796" s="31">
        <v>7</v>
      </c>
      <c r="D796" s="111" t="s">
        <v>14</v>
      </c>
      <c r="E796" s="2" t="s">
        <v>163</v>
      </c>
      <c r="F796" s="2"/>
      <c r="G796" s="2"/>
      <c r="H796" s="33" t="s">
        <v>80</v>
      </c>
      <c r="I796" s="173">
        <f>M796/AE796</f>
        <v>401.5944774213902</v>
      </c>
      <c r="J796" s="174">
        <f>AH796/AE796</f>
        <v>16.518097441877977</v>
      </c>
      <c r="K796" s="207">
        <f>RANK(I796,$I$76:$I$977)</f>
        <v>720</v>
      </c>
      <c r="L796" s="208">
        <f>RANK(I796,$I$451:$I$866)</f>
        <v>345</v>
      </c>
      <c r="M796" s="173">
        <f>SUM(N796:R796)</f>
        <v>11135.076016241572</v>
      </c>
      <c r="N796" s="174">
        <f>T796*(1+((AG796+IF(F796="백어택",8,0))/100)*(AI796/100-1))</f>
        <v>3323.3402422146269</v>
      </c>
      <c r="O796" s="174">
        <f>U796*(1+((AG796+IF(F796="백어택",8,0))/100)*(AI796/100-1))</f>
        <v>3323.3402422146269</v>
      </c>
      <c r="P796" s="174">
        <f>V796*(1+((AG796+IF(F796="백어택",8,0))/100)*(AI796*IF(AX796=1,AW796,1)/100-1))</f>
        <v>4488.3955318123189</v>
      </c>
      <c r="Q796" s="174">
        <f>W796*(1+((AG796+IF(F796="백어택",8,0))/100)*(AI796*AW796/100-1))</f>
        <v>0</v>
      </c>
      <c r="R796" s="175"/>
      <c r="S796" s="173">
        <f>SUM(T796:X796)</f>
        <v>7732.6218695536591</v>
      </c>
      <c r="T796" s="174">
        <f>AL796*AY796*IF(F796="백어택",1.2,1)</f>
        <v>2307.8543334085366</v>
      </c>
      <c r="U796" s="174">
        <f>AM796*AY796*IF(F796="백어택",1.2,1)</f>
        <v>2307.8543334085366</v>
      </c>
      <c r="V796" s="174">
        <f>AN796*AY796*IF(F796="백어택",1.2,1)</f>
        <v>3116.9132027365854</v>
      </c>
      <c r="W796" s="174">
        <f>(T796+U796+V796)*IF(AX796=1,0,0.6)*IF(F796="백어택",1.2,1)</f>
        <v>0</v>
      </c>
      <c r="X796" s="175"/>
      <c r="Y796" s="173">
        <f>SUM(Z796:AD796)</f>
        <v>15465.243739107318</v>
      </c>
      <c r="Z796" s="174">
        <f>T796*AI796/100</f>
        <v>4615.7086668170732</v>
      </c>
      <c r="AA796" s="174">
        <f>U796*AI796/100</f>
        <v>4615.7086668170732</v>
      </c>
      <c r="AB796" s="174">
        <f>V796*AI796*IF(AX796=1,AW796,1)/100</f>
        <v>6233.8264054731708</v>
      </c>
      <c r="AC796" s="174">
        <f>W796*AI796*AW796/100</f>
        <v>0</v>
      </c>
      <c r="AD796" s="175"/>
      <c r="AE796" s="173">
        <f>AO796*(1-$D$20/100)*(1-$D$17/100)</f>
        <v>27.727164197424003</v>
      </c>
      <c r="AF796" s="174">
        <f>AP796</f>
        <v>36</v>
      </c>
      <c r="AG796" s="174">
        <f>IF($D$57+AU796&gt;100,100,$D$57+AU796)</f>
        <v>44.001300000000001</v>
      </c>
      <c r="AH796" s="174">
        <f>AQ796*AS796</f>
        <v>458</v>
      </c>
      <c r="AI796" s="174">
        <f>$D$58+IF(H796="근접",AR796,0)+IF(AY796=1,0,50)</f>
        <v>200</v>
      </c>
      <c r="AJ796" s="174">
        <f>10/3</f>
        <v>3.3333333333333335</v>
      </c>
      <c r="AK796" s="174">
        <f>SUM(AL796:AN796)</f>
        <v>7732.6218695536591</v>
      </c>
      <c r="AL796" s="174">
        <f>(IF(H796="근접",$D$61*(VLOOKUP(C796,$B$36:$AG$39,19,FALSE)+VLOOKUP(C796,$B$40:$AG$43,19,FALSE)*$D$54),$D$60*(VLOOKUP(C796,$B$36:$AG$39,19,FALSE)+VLOOKUP(C796,$B$40:$AG$43,19,FALSE)*$D$54)))*$D$59/100</f>
        <v>2307.8543334085366</v>
      </c>
      <c r="AM796" s="174">
        <f>(IF(H796="근접",$D$61*(VLOOKUP(C796,$B$36:$AG$39,20,FALSE)+VLOOKUP(C796,$B$40:$AG$43,20,FALSE)*$D$54),$D$60*(VLOOKUP(C796,$B$36:$AG$39,20,FALSE)+VLOOKUP(C796,$B$40:$AG$43,20,FALSE)*$D$54)))*$D$59/100</f>
        <v>2307.8543334085366</v>
      </c>
      <c r="AN796" s="174">
        <f>(IF(H796="근접",$D$61*(VLOOKUP(C796,$B$36:$AG$39,21,FALSE)+VLOOKUP(C796,$B$40:$AG$43,21,FALSE)*$D$54),$D$60*(VLOOKUP(C796,$B$36:$AG$39,21,FALSE)+VLOOKUP(C796,$B$40:$AG$43,21,FALSE)*$D$54)))*$D$59/100</f>
        <v>3116.9132027365854</v>
      </c>
      <c r="AO796" s="176">
        <v>36</v>
      </c>
      <c r="AP796" s="174">
        <v>36</v>
      </c>
      <c r="AQ796" s="175">
        <f>VLOOKUP(C796,$B$45:$AA$48,19,FALSE)</f>
        <v>458</v>
      </c>
      <c r="AR796" s="31">
        <f>IF(LEFT(E796,1)*1=1,$S$64,$R$64)</f>
        <v>50</v>
      </c>
      <c r="AS796" s="2">
        <f>IF(LEFT(E796,1)*1=2,$U$64,$T$64)</f>
        <v>1</v>
      </c>
      <c r="AT796" s="33">
        <f>IF(LEFT(E796,1)*1=3,$W$64,$V$64)</f>
        <v>0</v>
      </c>
      <c r="AU796" s="31">
        <f>IF(MID(E796,3,1)*1=1,$Y$64,$X$64)</f>
        <v>25</v>
      </c>
      <c r="AV796" s="2">
        <f>IF(MID(E796,3,1)*1=2,$AA$64,$Z$64)</f>
        <v>0</v>
      </c>
      <c r="AW796" s="33">
        <f>IF(MID(E796,3,1)*1=3,$AC$64,$AB$64)</f>
        <v>1</v>
      </c>
      <c r="AX796" s="31">
        <f>IF(MID(E796,5,1)*1=1,$AE$64,$AD$64)</f>
        <v>1</v>
      </c>
      <c r="AY796" s="33">
        <f>IF(MID(E796,5,1)*1=2,$AG$64,$AF$64)</f>
        <v>1</v>
      </c>
      <c r="AZ796" s="2"/>
      <c r="BA796" s="101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</row>
    <row r="797" spans="1:71" ht="12" customHeight="1">
      <c r="A797" s="2"/>
      <c r="B797" s="107">
        <v>538</v>
      </c>
      <c r="C797" s="31">
        <v>7</v>
      </c>
      <c r="D797" s="111" t="s">
        <v>14</v>
      </c>
      <c r="E797" s="2" t="s">
        <v>168</v>
      </c>
      <c r="F797" s="2"/>
      <c r="G797" s="2"/>
      <c r="H797" s="33" t="s">
        <v>80</v>
      </c>
      <c r="I797" s="173">
        <f>M797/AE797</f>
        <v>401.5944774213902</v>
      </c>
      <c r="J797" s="174">
        <f>AH797/AE797</f>
        <v>8.2590487209389885</v>
      </c>
      <c r="K797" s="207">
        <f>RANK(I797,$I$76:$I$977)</f>
        <v>720</v>
      </c>
      <c r="L797" s="208">
        <f>RANK(I797,$I$451:$I$866)</f>
        <v>345</v>
      </c>
      <c r="M797" s="173">
        <f>SUM(N797:R797)</f>
        <v>11135.076016241572</v>
      </c>
      <c r="N797" s="174">
        <f>T797*(1+((AG797+IF(F797="백어택",8,0))/100)*(AI797/100-1))</f>
        <v>3323.3402422146269</v>
      </c>
      <c r="O797" s="174">
        <f>U797*(1+((AG797+IF(F797="백어택",8,0))/100)*(AI797/100-1))</f>
        <v>3323.3402422146269</v>
      </c>
      <c r="P797" s="174">
        <f>V797*(1+((AG797+IF(F797="백어택",8,0))/100)*(AI797*IF(AX797=1,AW797,1)/100-1))</f>
        <v>4488.3955318123189</v>
      </c>
      <c r="Q797" s="174">
        <f>W797*(1+((AG797+IF(F797="백어택",8,0))/100)*(AI797*AW797/100-1))</f>
        <v>0</v>
      </c>
      <c r="R797" s="175"/>
      <c r="S797" s="173">
        <f>SUM(T797:X797)</f>
        <v>7732.6218695536591</v>
      </c>
      <c r="T797" s="174">
        <f>AL797*AY797*IF(F797="백어택",1.2,1)</f>
        <v>2307.8543334085366</v>
      </c>
      <c r="U797" s="174">
        <f>AM797*AY797*IF(F797="백어택",1.2,1)</f>
        <v>2307.8543334085366</v>
      </c>
      <c r="V797" s="174">
        <f>AN797*AY797*IF(F797="백어택",1.2,1)</f>
        <v>3116.9132027365854</v>
      </c>
      <c r="W797" s="174">
        <f>(T797+U797+V797)*IF(AX797=1,0,0.6)*IF(F797="백어택",1.2,1)</f>
        <v>0</v>
      </c>
      <c r="X797" s="175"/>
      <c r="Y797" s="173">
        <f>SUM(Z797:AD797)</f>
        <v>15465.243739107318</v>
      </c>
      <c r="Z797" s="174">
        <f>T797*AI797/100</f>
        <v>4615.7086668170732</v>
      </c>
      <c r="AA797" s="174">
        <f>U797*AI797/100</f>
        <v>4615.7086668170732</v>
      </c>
      <c r="AB797" s="174">
        <f>V797*AI797*IF(AX797=1,AW797,1)/100</f>
        <v>6233.8264054731708</v>
      </c>
      <c r="AC797" s="174">
        <f>W797*AI797*AW797/100</f>
        <v>0</v>
      </c>
      <c r="AD797" s="175"/>
      <c r="AE797" s="173">
        <f>AO797*(1-$D$20/100)*(1-$D$17/100)</f>
        <v>27.727164197424003</v>
      </c>
      <c r="AF797" s="174">
        <f>AP797</f>
        <v>36</v>
      </c>
      <c r="AG797" s="174">
        <f>IF($D$57+AU797&gt;100,100,$D$57+AU797)</f>
        <v>44.001300000000001</v>
      </c>
      <c r="AH797" s="174">
        <f>AQ797*AS797</f>
        <v>229</v>
      </c>
      <c r="AI797" s="174">
        <f>$D$58+IF(H797="근접",AR797,0)+IF(AY797=1,0,50)</f>
        <v>200</v>
      </c>
      <c r="AJ797" s="174">
        <f>10/3</f>
        <v>3.3333333333333335</v>
      </c>
      <c r="AK797" s="174">
        <f>SUM(AL797:AN797)</f>
        <v>7732.6218695536591</v>
      </c>
      <c r="AL797" s="174">
        <f>(IF(H797="근접",$D$61*(VLOOKUP(C797,$B$36:$AG$39,19,FALSE)+VLOOKUP(C797,$B$40:$AG$43,19,FALSE)*$D$54),$D$60*(VLOOKUP(C797,$B$36:$AG$39,19,FALSE)+VLOOKUP(C797,$B$40:$AG$43,19,FALSE)*$D$54)))*$D$59/100</f>
        <v>2307.8543334085366</v>
      </c>
      <c r="AM797" s="174">
        <f>(IF(H797="근접",$D$61*(VLOOKUP(C797,$B$36:$AG$39,20,FALSE)+VLOOKUP(C797,$B$40:$AG$43,20,FALSE)*$D$54),$D$60*(VLOOKUP(C797,$B$36:$AG$39,20,FALSE)+VLOOKUP(C797,$B$40:$AG$43,20,FALSE)*$D$54)))*$D$59/100</f>
        <v>2307.8543334085366</v>
      </c>
      <c r="AN797" s="174">
        <f>(IF(H797="근접",$D$61*(VLOOKUP(C797,$B$36:$AG$39,21,FALSE)+VLOOKUP(C797,$B$40:$AG$43,21,FALSE)*$D$54),$D$60*(VLOOKUP(C797,$B$36:$AG$39,21,FALSE)+VLOOKUP(C797,$B$40:$AG$43,21,FALSE)*$D$54)))*$D$59/100</f>
        <v>3116.9132027365854</v>
      </c>
      <c r="AO797" s="176">
        <v>36</v>
      </c>
      <c r="AP797" s="174">
        <v>36</v>
      </c>
      <c r="AQ797" s="175">
        <f>VLOOKUP(C797,$B$45:$AA$48,19,FALSE)</f>
        <v>458</v>
      </c>
      <c r="AR797" s="31">
        <f>IF(LEFT(E797,1)*1=1,$S$64,$R$64)</f>
        <v>0</v>
      </c>
      <c r="AS797" s="2">
        <f>IF(LEFT(E797,1)*1=2,$U$64,$T$64)</f>
        <v>0.5</v>
      </c>
      <c r="AT797" s="33">
        <f>IF(LEFT(E797,1)*1=3,$W$64,$V$64)</f>
        <v>0</v>
      </c>
      <c r="AU797" s="31">
        <f>IF(MID(E797,3,1)*1=1,$Y$64,$X$64)</f>
        <v>25</v>
      </c>
      <c r="AV797" s="2">
        <f>IF(MID(E797,3,1)*1=2,$AA$64,$Z$64)</f>
        <v>0</v>
      </c>
      <c r="AW797" s="33">
        <f>IF(MID(E797,3,1)*1=3,$AC$64,$AB$64)</f>
        <v>1</v>
      </c>
      <c r="AX797" s="31">
        <f>IF(MID(E797,5,1)*1=1,$AE$64,$AD$64)</f>
        <v>1</v>
      </c>
      <c r="AY797" s="33">
        <f>IF(MID(E797,5,1)*1=2,$AG$64,$AF$64)</f>
        <v>1</v>
      </c>
      <c r="AZ797" s="2"/>
      <c r="BA797" s="101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</row>
    <row r="798" spans="1:71" ht="12" customHeight="1">
      <c r="A798" s="2"/>
      <c r="B798" s="107">
        <v>123</v>
      </c>
      <c r="C798" s="31">
        <v>4</v>
      </c>
      <c r="D798" s="106" t="s">
        <v>6</v>
      </c>
      <c r="E798" s="2" t="s">
        <v>87</v>
      </c>
      <c r="F798" s="2"/>
      <c r="G798" s="2"/>
      <c r="H798" s="33"/>
      <c r="I798" s="173">
        <f>M798/AE798</f>
        <v>399.68940484231229</v>
      </c>
      <c r="J798" s="174">
        <f>AH798/AE798</f>
        <v>8.9713698028704378</v>
      </c>
      <c r="K798" s="207">
        <f>RANK(I798,$I$76:$I$977)</f>
        <v>723</v>
      </c>
      <c r="L798" s="208" t="e">
        <f>RANK(I798,$I$76:$I$450)</f>
        <v>#N/A</v>
      </c>
      <c r="M798" s="173">
        <f>SUM(N798:R798)</f>
        <v>7974.7468935995576</v>
      </c>
      <c r="N798" s="174">
        <f>T798*(1+((AG798+IF(F798="백어택",8,0))/100)*((AI798/100-1)))</f>
        <v>7974.7468935995576</v>
      </c>
      <c r="O798" s="174"/>
      <c r="P798" s="174"/>
      <c r="Q798" s="174"/>
      <c r="R798" s="175"/>
      <c r="S798" s="173">
        <f>SUM(T798:X798)</f>
        <v>6039.7250490541464</v>
      </c>
      <c r="T798" s="174">
        <f>AL798*AW798*AT798*AX798*AY798</f>
        <v>6039.7250490541464</v>
      </c>
      <c r="U798" s="174"/>
      <c r="V798" s="174"/>
      <c r="W798" s="174"/>
      <c r="X798" s="175"/>
      <c r="Y798" s="173">
        <f>SUM(Z798:AD798)</f>
        <v>12079.450098108293</v>
      </c>
      <c r="Z798" s="174">
        <f>T798*$D$58/100</f>
        <v>12079.450098108293</v>
      </c>
      <c r="AA798" s="174"/>
      <c r="AB798" s="174"/>
      <c r="AC798" s="174"/>
      <c r="AD798" s="175"/>
      <c r="AE798" s="173">
        <f>AO798*(1-$D$17/100)</f>
        <v>19.952359999999999</v>
      </c>
      <c r="AF798" s="174">
        <f>AP798</f>
        <v>36</v>
      </c>
      <c r="AG798" s="174">
        <f>IF($D$57+AV798&gt;100,100,$D$57+AV798)</f>
        <v>19.001300000000001</v>
      </c>
      <c r="AH798" s="174">
        <f>AQ798*AR798</f>
        <v>179</v>
      </c>
      <c r="AI798" s="174">
        <f>$D$58+$D$19</f>
        <v>268.61079999999998</v>
      </c>
      <c r="AJ798" s="174">
        <f>10/IF(AX798=1,IF(AY798=1,5,6),4)</f>
        <v>2</v>
      </c>
      <c r="AK798" s="174">
        <f>SUM(AL798:AN798)</f>
        <v>5033.1042075451223</v>
      </c>
      <c r="AL798" s="174">
        <f>(VLOOKUP(C798,$B$36:$AG$39,7,FALSE)+VLOOKUP(C798,$B$40:$AG$43,7,FALSE)*$D$54)*$D$59/100</f>
        <v>5033.1042075451223</v>
      </c>
      <c r="AM798" s="174"/>
      <c r="AN798" s="174"/>
      <c r="AO798" s="176">
        <v>20</v>
      </c>
      <c r="AP798" s="174">
        <v>36</v>
      </c>
      <c r="AQ798" s="175">
        <f>VLOOKUP(C798,$B$45:$AA$48,7,FALSE)</f>
        <v>179</v>
      </c>
      <c r="AR798" s="31">
        <f>IF(LEFT(E798,1)*1=1,$S$56,$R$56)</f>
        <v>1</v>
      </c>
      <c r="AS798" s="2">
        <f>IF(LEFT(E798,1)*1=2,$U$56,$T$56)</f>
        <v>0</v>
      </c>
      <c r="AT798" s="33">
        <f>IF(LEFT(E798,1)*1=3,$W$56,$V$56)</f>
        <v>1.2</v>
      </c>
      <c r="AU798" s="31">
        <f>IF(MID(E798,3,1)*1=1,$Y$56,$X$56)</f>
        <v>0</v>
      </c>
      <c r="AV798" s="2">
        <f>IF(MID(E798,3,1)*1=2,$AA$56,$Z$56)</f>
        <v>0</v>
      </c>
      <c r="AW798" s="33">
        <f>IF(MID(E798,3,1)*1=3,$AC$56,$AB$56)</f>
        <v>1</v>
      </c>
      <c r="AX798" s="31">
        <f>IF(MID(E798,5,1)*1=1,$AE$56,$AD$56)</f>
        <v>1</v>
      </c>
      <c r="AY798" s="33">
        <f>IF(MID(E798,5,1)*1=2,$AG$56,$AF$56)</f>
        <v>1</v>
      </c>
      <c r="AZ798" s="2"/>
      <c r="BA798" s="101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</row>
    <row r="799" spans="1:71" ht="12" customHeight="1">
      <c r="A799" s="2"/>
      <c r="B799" s="107">
        <v>265</v>
      </c>
      <c r="C799" s="31">
        <v>10</v>
      </c>
      <c r="D799" s="106" t="s">
        <v>16</v>
      </c>
      <c r="E799" s="2" t="s">
        <v>146</v>
      </c>
      <c r="F799" s="2"/>
      <c r="G799" s="2"/>
      <c r="H799" s="33">
        <f>AX799*2</f>
        <v>3</v>
      </c>
      <c r="I799" s="173">
        <f>M799/AE799</f>
        <v>399.64012975872879</v>
      </c>
      <c r="J799" s="174">
        <f>AH799/AE799</f>
        <v>39.260184425969328</v>
      </c>
      <c r="K799" s="207">
        <f>RANK(I799,$I$76:$I$977)</f>
        <v>724</v>
      </c>
      <c r="L799" s="208" t="e">
        <f>RANK(I799,$I$76:$I$450)</f>
        <v>#N/A</v>
      </c>
      <c r="M799" s="173">
        <f>SUM(N799:R799)</f>
        <v>2392.1291218178608</v>
      </c>
      <c r="N799" s="174">
        <f>T799*(1+((AG799+IF(F799="백어택",8,0))/100)*((AI799/100-1)))</f>
        <v>2392.1291218178608</v>
      </c>
      <c r="O799" s="174"/>
      <c r="P799" s="174"/>
      <c r="Q799" s="174"/>
      <c r="R799" s="175"/>
      <c r="S799" s="173">
        <f>SUM(T799:X799)*H799</f>
        <v>4561.3637396725617</v>
      </c>
      <c r="T799" s="174">
        <f>AL799*AU799*AX799*IF(F799="백어택",1.2,1)</f>
        <v>1520.4545798908539</v>
      </c>
      <c r="U799" s="174"/>
      <c r="V799" s="174"/>
      <c r="W799" s="174"/>
      <c r="X799" s="175"/>
      <c r="Y799" s="173">
        <f>SUM(Z799:AD799)</f>
        <v>3040.9091597817078</v>
      </c>
      <c r="Z799" s="174">
        <f>T799*$D$58/100</f>
        <v>3040.9091597817078</v>
      </c>
      <c r="AA799" s="174"/>
      <c r="AB799" s="174"/>
      <c r="AC799" s="174"/>
      <c r="AD799" s="175"/>
      <c r="AE799" s="173">
        <f>AO799*(1-$D$17/100)</f>
        <v>5.9857079999999998</v>
      </c>
      <c r="AF799" s="174">
        <f>AP799</f>
        <v>36</v>
      </c>
      <c r="AG799" s="174">
        <f>IF($D$57+AT799&gt;100,100,$D$57+AT799)</f>
        <v>34.001300000000001</v>
      </c>
      <c r="AH799" s="174">
        <f>AQ799*AR799</f>
        <v>235</v>
      </c>
      <c r="AI799" s="174">
        <f>$D$58+$D$19</f>
        <v>268.61079999999998</v>
      </c>
      <c r="AJ799" s="174">
        <f>10*AS799/IF(AX799=1,5,3.5)</f>
        <v>2.8571428571428572</v>
      </c>
      <c r="AK799" s="174">
        <f>SUM(AL799:AN799)</f>
        <v>1013.6363865939026</v>
      </c>
      <c r="AL799" s="174">
        <f>((VLOOKUP(C799,$B$36:$AG$39,23,FALSE)+VLOOKUP(C799,$B$40:$AG$43,23,FALSE)*$D$54))*$D$59/100</f>
        <v>1013.6363865939026</v>
      </c>
      <c r="AM799" s="174"/>
      <c r="AN799" s="174"/>
      <c r="AO799" s="176">
        <v>6</v>
      </c>
      <c r="AP799" s="174">
        <v>36</v>
      </c>
      <c r="AQ799" s="175">
        <f>VLOOKUP(C799,$B$45:$AA$48,23,FALSE)</f>
        <v>235</v>
      </c>
      <c r="AR799" s="31">
        <f>IF(LEFT(E799,1)*1=1,$S$66,$R$66)</f>
        <v>1</v>
      </c>
      <c r="AS799" s="2">
        <f>IF(LEFT(E799,1)*1=2,$U$66,$T$66)</f>
        <v>1</v>
      </c>
      <c r="AT799" s="33">
        <f>IF(LEFT(E799,1)*1=3,$W$66,$V$66)</f>
        <v>15</v>
      </c>
      <c r="AU799" s="31">
        <f>IF(MID(E799,3,1)*1=1,$Y$66,$X$66)</f>
        <v>1</v>
      </c>
      <c r="AV799" s="2">
        <f>IF(MID(E799,3,1)*1=2,$AA$66,$Z$66)</f>
        <v>0</v>
      </c>
      <c r="AW799" s="33">
        <f>IF(MID(E799,3,1)*1=3,$AC$66,$AB$66)</f>
        <v>0</v>
      </c>
      <c r="AX799" s="31">
        <f>IF(MID(E799,5,1)*1=1,$AE$66,$AD$66)</f>
        <v>1.5</v>
      </c>
      <c r="AY799" s="33">
        <f>IF(MID(E799,5,1)*1=2,$AG$66,$AF$66)</f>
        <v>1</v>
      </c>
      <c r="AZ799" s="2"/>
      <c r="BA799" s="101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</row>
    <row r="800" spans="1:71" ht="12" customHeight="1">
      <c r="A800" s="2"/>
      <c r="B800" s="107">
        <v>271</v>
      </c>
      <c r="C800" s="31">
        <v>10</v>
      </c>
      <c r="D800" s="106" t="s">
        <v>16</v>
      </c>
      <c r="E800" s="2" t="s">
        <v>111</v>
      </c>
      <c r="F800" s="2"/>
      <c r="G800" s="2"/>
      <c r="H800" s="33">
        <f>AX800*2</f>
        <v>2</v>
      </c>
      <c r="I800" s="173">
        <f>M800/AE800</f>
        <v>399.64012975872879</v>
      </c>
      <c r="J800" s="174">
        <f>AH800/AE800</f>
        <v>39.260184425969328</v>
      </c>
      <c r="K800" s="207">
        <f>RANK(I800,$I$76:$I$977)</f>
        <v>724</v>
      </c>
      <c r="L800" s="208" t="e">
        <f>RANK(I800,$I$76:$I$450)</f>
        <v>#N/A</v>
      </c>
      <c r="M800" s="173">
        <f>SUM(N800:R800)</f>
        <v>2392.1291218178608</v>
      </c>
      <c r="N800" s="174">
        <f>T800*(1+((AG800+IF(F800="백어택",8,0))/100)*((AI800/100-1)))</f>
        <v>2392.1291218178608</v>
      </c>
      <c r="O800" s="174"/>
      <c r="P800" s="174"/>
      <c r="Q800" s="174"/>
      <c r="R800" s="175"/>
      <c r="S800" s="173">
        <f>SUM(T800:X800)*H800</f>
        <v>3040.9091597817078</v>
      </c>
      <c r="T800" s="174">
        <f>AL800*AU800*AY800*IF(F800="백어택",1.2,1)</f>
        <v>1520.4545798908539</v>
      </c>
      <c r="U800" s="174"/>
      <c r="V800" s="174"/>
      <c r="W800" s="174"/>
      <c r="X800" s="175"/>
      <c r="Y800" s="173">
        <f>SUM(Z800:AD800)</f>
        <v>3040.9091597817078</v>
      </c>
      <c r="Z800" s="174">
        <f>T800*$D$58/100</f>
        <v>3040.9091597817078</v>
      </c>
      <c r="AA800" s="174"/>
      <c r="AB800" s="174"/>
      <c r="AC800" s="174"/>
      <c r="AD800" s="175"/>
      <c r="AE800" s="173">
        <f>AO800*(1-$D$17/100)</f>
        <v>5.9857079999999998</v>
      </c>
      <c r="AF800" s="174">
        <f>AP800</f>
        <v>36</v>
      </c>
      <c r="AG800" s="174">
        <f>IF($D$57+AT800&gt;100,100,$D$57+AT800)</f>
        <v>34.001300000000001</v>
      </c>
      <c r="AH800" s="174">
        <f>AQ800*AR800</f>
        <v>235</v>
      </c>
      <c r="AI800" s="174">
        <f>$D$58+$D$19</f>
        <v>268.61079999999998</v>
      </c>
      <c r="AJ800" s="174">
        <f>10*AS800/IF(AX800=1,5,3.5)</f>
        <v>2</v>
      </c>
      <c r="AK800" s="174">
        <f>SUM(AL800:AN800)</f>
        <v>1013.6363865939026</v>
      </c>
      <c r="AL800" s="174">
        <f>((VLOOKUP(C800,$B$36:$AG$39,23,FALSE)+VLOOKUP(C800,$B$40:$AG$43,23,FALSE)*$D$54))*$D$59/100</f>
        <v>1013.6363865939026</v>
      </c>
      <c r="AM800" s="174"/>
      <c r="AN800" s="174"/>
      <c r="AO800" s="176">
        <v>6</v>
      </c>
      <c r="AP800" s="174">
        <v>36</v>
      </c>
      <c r="AQ800" s="175">
        <f>VLOOKUP(C800,$B$45:$AA$48,23,FALSE)</f>
        <v>235</v>
      </c>
      <c r="AR800" s="31">
        <f>IF(LEFT(E800,1)*1=1,$S$66,$R$66)</f>
        <v>1</v>
      </c>
      <c r="AS800" s="2">
        <f>IF(LEFT(E800,1)*1=2,$U$66,$T$66)</f>
        <v>1</v>
      </c>
      <c r="AT800" s="33">
        <f>IF(LEFT(E800,1)*1=3,$W$66,$V$66)</f>
        <v>15</v>
      </c>
      <c r="AU800" s="31">
        <f>IF(MID(E800,3,1)*1=1,$Y$66,$X$66)</f>
        <v>1</v>
      </c>
      <c r="AV800" s="2">
        <f>IF(MID(E800,3,1)*1=2,$AA$66,$Z$66)</f>
        <v>0</v>
      </c>
      <c r="AW800" s="33">
        <f>IF(MID(E800,3,1)*1=3,$AC$66,$AB$66)</f>
        <v>0</v>
      </c>
      <c r="AX800" s="31">
        <f>IF(MID(E800,5,1)*1=1,$AE$66,$AD$66)</f>
        <v>1</v>
      </c>
      <c r="AY800" s="33">
        <f>IF(MID(E800,5,1)*1=2,$AG$66,$AF$66)</f>
        <v>1.5</v>
      </c>
      <c r="AZ800" s="2"/>
      <c r="BA800" s="101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</row>
    <row r="801" spans="1:71" ht="12" customHeight="1">
      <c r="A801" s="2"/>
      <c r="B801" s="107">
        <v>727</v>
      </c>
      <c r="C801" s="31">
        <v>4</v>
      </c>
      <c r="D801" s="111" t="s">
        <v>18</v>
      </c>
      <c r="E801" s="2" t="s">
        <v>79</v>
      </c>
      <c r="F801" s="2" t="s">
        <v>149</v>
      </c>
      <c r="G801" s="2"/>
      <c r="H801" s="33" t="s">
        <v>80</v>
      </c>
      <c r="I801" s="173">
        <f>M801/AE801</f>
        <v>399.35431448229036</v>
      </c>
      <c r="J801" s="174">
        <f>AH801/AE801</f>
        <v>10.765615909171565</v>
      </c>
      <c r="K801" s="207">
        <f>RANK(I801,$I$76:$I$977)</f>
        <v>726</v>
      </c>
      <c r="L801" s="208">
        <f>RANK(I801,$I$451:$I$866)</f>
        <v>351</v>
      </c>
      <c r="M801" s="173">
        <f>SUM(N801:R801)</f>
        <v>7381.97510040011</v>
      </c>
      <c r="N801" s="174">
        <f>T801*(1+((AG801+IF(F801="백어택",8,0))/100)*(AI801/100-1))</f>
        <v>4406.2470274717225</v>
      </c>
      <c r="O801" s="174">
        <f>U801*(1+(($D$57+IF(F801="백어택",8,0))/100)*(AI801/100-1))</f>
        <v>2975.7280729283875</v>
      </c>
      <c r="P801" s="174"/>
      <c r="Q801" s="174"/>
      <c r="R801" s="175"/>
      <c r="S801" s="173">
        <f>SUM(T801:X801)</f>
        <v>5812.5193209834151</v>
      </c>
      <c r="T801" s="174">
        <f>AL801*IF(H801="근접",AT801,IF(AV801=1,AT801,1))*AX801*IF(F801="백어택",1.2,1)</f>
        <v>3469.4503343443907</v>
      </c>
      <c r="U801" s="174">
        <f>IF(AX801=1,AM801*IF(H801="근접",AT801,IF(AV801=1,AT801,1)),0)*AY801*IF(AX801=1,1,0)*IF(F801="백어택",1.2,1)</f>
        <v>2343.0689866390244</v>
      </c>
      <c r="V801" s="174"/>
      <c r="W801" s="174"/>
      <c r="X801" s="175"/>
      <c r="Y801" s="173">
        <f>SUM(Z801:AD801)</f>
        <v>11625.038641966832</v>
      </c>
      <c r="Z801" s="174">
        <f>T801*$D$58/100</f>
        <v>6938.9006686887824</v>
      </c>
      <c r="AA801" s="174">
        <f>U801*$D$58/100</f>
        <v>4686.1379732780488</v>
      </c>
      <c r="AB801" s="174"/>
      <c r="AC801" s="174"/>
      <c r="AD801" s="175"/>
      <c r="AE801" s="173">
        <f>(AO801*(1-$D$20/100)*(1-$D$17/100)-AR801)*IF(AW801="보스대상",1,POWER(0.85,AW801))</f>
        <v>18.484776131615998</v>
      </c>
      <c r="AF801" s="174">
        <f>AP801</f>
        <v>36</v>
      </c>
      <c r="AG801" s="174">
        <f>IF($D$57+AU801&gt;100,100,$D$57+AU801)</f>
        <v>19.001300000000001</v>
      </c>
      <c r="AH801" s="174">
        <f>AQ801</f>
        <v>199</v>
      </c>
      <c r="AI801" s="174">
        <f>$D$58</f>
        <v>200</v>
      </c>
      <c r="AJ801" s="174">
        <f>10*AS801/IF(AX801=1,IF(AY801=1,4.5,4),4)</f>
        <v>1.7777777777777777</v>
      </c>
      <c r="AK801" s="174">
        <f>SUM(AL801:AN801)</f>
        <v>4843.7661008195128</v>
      </c>
      <c r="AL801" s="174">
        <f>IF(AV801=1,$D$61*(VLOOKUP(C801,$B$36:$AG$39,25,FALSE)+VLOOKUP(C801,$B$40:$AG$43,25,FALSE)*$D$54),(IF(H801="근접",$D$61*(VLOOKUP(C801,$B$36:$AG$39,25,FALSE)+VLOOKUP(C801,$B$40:$AG$43,25,FALSE)*$D$54),$D$60*(VLOOKUP(C801,$B$36:$AG$39,25,FALSE)+VLOOKUP(C801,$B$40:$AG$43,25,FALSE)*$D$54))))*$D$59/100</f>
        <v>2891.2086119536589</v>
      </c>
      <c r="AM801" s="174">
        <f>(IF(AV801=1,$D$61*(VLOOKUP(C801,$B$36:$AG$39,26,FALSE)+VLOOKUP(C801,$B$40:$AG$43,26,FALSE)*$D$54),IF(H801="근접",$D$61*(VLOOKUP(C801,$B$36:$AG$39,26,FALSE)+VLOOKUP(C801,$B$40:$AG$43,26,FALSE)*$D$54),$D$60*(VLOOKUP(C801,$B$36:$AG$39,26,FALSE)+VLOOKUP(C801,$B$40:$AG$43,26,FALSE)*$D$54))))*$D$59/100</f>
        <v>1952.5574888658539</v>
      </c>
      <c r="AN801" s="174"/>
      <c r="AO801" s="176">
        <v>24</v>
      </c>
      <c r="AP801" s="174">
        <v>36</v>
      </c>
      <c r="AQ801" s="175">
        <f>VLOOKUP(C801,$B$45:$AA$48,25,FALSE)</f>
        <v>199</v>
      </c>
      <c r="AR801" s="31">
        <f>IF(LEFT(E801,1)*1=1,$S$68,$R$68)</f>
        <v>0</v>
      </c>
      <c r="AS801" s="2">
        <f>IF(LEFT(E801,1)*1=2,$U$68,$T$68)</f>
        <v>0.8</v>
      </c>
      <c r="AT801" s="33">
        <f>IF(LEFT(E801,1)*1=3,$W$68,$V$68)</f>
        <v>1</v>
      </c>
      <c r="AU801" s="31">
        <f>IF(MID(E801,3,1)*1=1,$Y$68,$X$68)</f>
        <v>0</v>
      </c>
      <c r="AV801" s="2">
        <f>IF(MID(E801,3,1)*1=2,$AA$68,$Z$68)</f>
        <v>0</v>
      </c>
      <c r="AW801" s="33" t="str">
        <f>IF(MID(E801,3,1)*1=3,$AC$68,$AB$68)</f>
        <v>보스대상</v>
      </c>
      <c r="AX801" s="31">
        <f>IF(MID(E801,5,1)*1=1,$AE$68,$AD$68)</f>
        <v>1</v>
      </c>
      <c r="AY801" s="33">
        <f>IF(MID(E801,5,1)*1=2,$AG$68,$AF$68)</f>
        <v>1</v>
      </c>
      <c r="AZ801" s="2"/>
      <c r="BA801" s="101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</row>
    <row r="802" spans="1:71" ht="12" customHeight="1">
      <c r="A802" s="2"/>
      <c r="B802" s="107">
        <v>728</v>
      </c>
      <c r="C802" s="31">
        <v>4</v>
      </c>
      <c r="D802" s="111" t="s">
        <v>18</v>
      </c>
      <c r="E802" s="2" t="s">
        <v>87</v>
      </c>
      <c r="F802" s="2" t="s">
        <v>149</v>
      </c>
      <c r="G802" s="2"/>
      <c r="H802" s="33" t="s">
        <v>80</v>
      </c>
      <c r="I802" s="173">
        <f>M802/AE802</f>
        <v>399.35431448229036</v>
      </c>
      <c r="J802" s="174">
        <f>AH802/AE802</f>
        <v>10.765615909171565</v>
      </c>
      <c r="K802" s="207">
        <f>RANK(I802,$I$76:$I$977)</f>
        <v>726</v>
      </c>
      <c r="L802" s="208">
        <f>RANK(I802,$I$451:$I$866)</f>
        <v>351</v>
      </c>
      <c r="M802" s="173">
        <f>SUM(N802:R802)</f>
        <v>7381.97510040011</v>
      </c>
      <c r="N802" s="174">
        <f>T802*(1+((AG802+IF(F802="백어택",8,0))/100)*(AI802/100-1))</f>
        <v>4406.2470274717225</v>
      </c>
      <c r="O802" s="174">
        <f>U802*(1+(($D$57+IF(F802="백어택",8,0))/100)*(AI802/100-1))</f>
        <v>2975.7280729283875</v>
      </c>
      <c r="P802" s="174"/>
      <c r="Q802" s="174"/>
      <c r="R802" s="175"/>
      <c r="S802" s="173">
        <f>SUM(T802:X802)</f>
        <v>5812.5193209834151</v>
      </c>
      <c r="T802" s="174">
        <f>AL802*IF(H802="근접",AT802,IF(AV802=1,AT802,1))*AX802*IF(F802="백어택",1.2,1)</f>
        <v>3469.4503343443907</v>
      </c>
      <c r="U802" s="174">
        <f>IF(AX802=1,AM802*IF(H802="근접",AT802,IF(AV802=1,AT802,1)),0)*AY802*IF(AX802=1,1,0)*IF(F802="백어택",1.2,1)</f>
        <v>2343.0689866390244</v>
      </c>
      <c r="V802" s="174"/>
      <c r="W802" s="174"/>
      <c r="X802" s="175"/>
      <c r="Y802" s="173">
        <f>SUM(Z802:AD802)</f>
        <v>11625.038641966832</v>
      </c>
      <c r="Z802" s="174">
        <f>T802*$D$58/100</f>
        <v>6938.9006686887824</v>
      </c>
      <c r="AA802" s="174">
        <f>U802*$D$58/100</f>
        <v>4686.1379732780488</v>
      </c>
      <c r="AB802" s="174"/>
      <c r="AC802" s="174"/>
      <c r="AD802" s="175"/>
      <c r="AE802" s="173">
        <f>(AO802*(1-$D$20/100)*(1-$D$17/100)-AR802)*IF(AW802="보스대상",1,POWER(0.85,AW802))</f>
        <v>18.484776131615998</v>
      </c>
      <c r="AF802" s="174">
        <f>AP802</f>
        <v>36</v>
      </c>
      <c r="AG802" s="174">
        <f>IF($D$57+AU802&gt;100,100,$D$57+AU802)</f>
        <v>19.001300000000001</v>
      </c>
      <c r="AH802" s="174">
        <f>AQ802</f>
        <v>199</v>
      </c>
      <c r="AI802" s="174">
        <f>$D$58</f>
        <v>200</v>
      </c>
      <c r="AJ802" s="174">
        <f>10*AS802/IF(AX802=1,IF(AY802=1,4.5,4),4)</f>
        <v>2.2222222222222223</v>
      </c>
      <c r="AK802" s="174">
        <f>SUM(AL802:AN802)</f>
        <v>4843.7661008195128</v>
      </c>
      <c r="AL802" s="174">
        <f>IF(AV802=1,$D$61*(VLOOKUP(C802,$B$36:$AG$39,25,FALSE)+VLOOKUP(C802,$B$40:$AG$43,25,FALSE)*$D$54),(IF(H802="근접",$D$61*(VLOOKUP(C802,$B$36:$AG$39,25,FALSE)+VLOOKUP(C802,$B$40:$AG$43,25,FALSE)*$D$54),$D$60*(VLOOKUP(C802,$B$36:$AG$39,25,FALSE)+VLOOKUP(C802,$B$40:$AG$43,25,FALSE)*$D$54))))*$D$59/100</f>
        <v>2891.2086119536589</v>
      </c>
      <c r="AM802" s="174">
        <f>(IF(AV802=1,$D$61*(VLOOKUP(C802,$B$36:$AG$39,26,FALSE)+VLOOKUP(C802,$B$40:$AG$43,26,FALSE)*$D$54),IF(H802="근접",$D$61*(VLOOKUP(C802,$B$36:$AG$39,26,FALSE)+VLOOKUP(C802,$B$40:$AG$43,26,FALSE)*$D$54),$D$60*(VLOOKUP(C802,$B$36:$AG$39,26,FALSE)+VLOOKUP(C802,$B$40:$AG$43,26,FALSE)*$D$54))))*$D$59/100</f>
        <v>1952.5574888658539</v>
      </c>
      <c r="AN802" s="174"/>
      <c r="AO802" s="176">
        <v>24</v>
      </c>
      <c r="AP802" s="174">
        <v>36</v>
      </c>
      <c r="AQ802" s="175">
        <f>VLOOKUP(C802,$B$45:$AA$48,25,FALSE)</f>
        <v>199</v>
      </c>
      <c r="AR802" s="31">
        <f>IF(LEFT(E802,1)*1=1,$S$68,$R$68)</f>
        <v>0</v>
      </c>
      <c r="AS802" s="2">
        <f>IF(LEFT(E802,1)*1=2,$U$68,$T$68)</f>
        <v>1</v>
      </c>
      <c r="AT802" s="33">
        <f>IF(LEFT(E802,1)*1=3,$W$68,$V$68)</f>
        <v>1.2</v>
      </c>
      <c r="AU802" s="31">
        <f>IF(MID(E802,3,1)*1=1,$Y$68,$X$68)</f>
        <v>0</v>
      </c>
      <c r="AV802" s="2">
        <f>IF(MID(E802,3,1)*1=2,$AA$68,$Z$68)</f>
        <v>0</v>
      </c>
      <c r="AW802" s="33" t="str">
        <f>IF(MID(E802,3,1)*1=3,$AC$68,$AB$68)</f>
        <v>보스대상</v>
      </c>
      <c r="AX802" s="31">
        <f>IF(MID(E802,5,1)*1=1,$AE$68,$AD$68)</f>
        <v>1</v>
      </c>
      <c r="AY802" s="33">
        <f>IF(MID(E802,5,1)*1=2,$AG$68,$AF$68)</f>
        <v>1</v>
      </c>
      <c r="AZ802" s="2"/>
      <c r="BA802" s="101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</row>
    <row r="803" spans="1:71" ht="12" customHeight="1">
      <c r="A803" s="2"/>
      <c r="B803" s="107">
        <v>664</v>
      </c>
      <c r="C803" s="31">
        <v>4</v>
      </c>
      <c r="D803" s="111" t="s">
        <v>18</v>
      </c>
      <c r="E803" s="2" t="s">
        <v>148</v>
      </c>
      <c r="F803" s="2"/>
      <c r="G803" s="2"/>
      <c r="H803" s="33" t="s">
        <v>80</v>
      </c>
      <c r="I803" s="173">
        <f>M803/AE803</f>
        <v>397.94502701033133</v>
      </c>
      <c r="J803" s="174">
        <f>AH803/AE803</f>
        <v>13.738562349309744</v>
      </c>
      <c r="K803" s="207">
        <f>RANK(I803,$I$76:$I$977)</f>
        <v>728</v>
      </c>
      <c r="L803" s="208">
        <f>RANK(I803,$I$451:$I$866)</f>
        <v>353</v>
      </c>
      <c r="M803" s="173">
        <f>SUM(N803:R803)</f>
        <v>5764.1446289345313</v>
      </c>
      <c r="N803" s="174">
        <f>T803*(1+((AG803+IF(F803="백어택",8,0))/100)*(AI803/100-1))</f>
        <v>3440.5758339368094</v>
      </c>
      <c r="O803" s="174">
        <f>U803*(1+(($D$57+IF(F803="백어택",8,0))/100)*(AI803/100-1))</f>
        <v>2323.5687949977214</v>
      </c>
      <c r="P803" s="174"/>
      <c r="Q803" s="174"/>
      <c r="R803" s="175"/>
      <c r="S803" s="173">
        <f>SUM(T803:X803)</f>
        <v>4843.7661008195128</v>
      </c>
      <c r="T803" s="174">
        <f>AL803*IF(H803="근접",AT803,IF(AV803=1,AT803,1))*AX803*IF(F803="백어택",1.2,1)</f>
        <v>2891.2086119536589</v>
      </c>
      <c r="U803" s="174">
        <f>IF(AX803=1,AM803*IF(H803="근접",AT803,IF(AV803=1,AT803,1)),0)*AY803*IF(AX803=1,1,0)*IF(F803="백어택",1.2,1)</f>
        <v>1952.5574888658539</v>
      </c>
      <c r="V803" s="174"/>
      <c r="W803" s="174"/>
      <c r="X803" s="175"/>
      <c r="Y803" s="173">
        <f>SUM(Z803:AD803)</f>
        <v>9687.5322016390255</v>
      </c>
      <c r="Z803" s="174">
        <f>T803*$D$58/100</f>
        <v>5782.4172239073177</v>
      </c>
      <c r="AA803" s="174">
        <f>U803*$D$58/100</f>
        <v>3905.1149777317078</v>
      </c>
      <c r="AB803" s="174"/>
      <c r="AC803" s="174"/>
      <c r="AD803" s="175"/>
      <c r="AE803" s="173">
        <f>(AO803*(1-$D$20/100)*(1-$D$17/100)-AR803)*IF(AW803="보스대상",1,POWER(0.85,AW803))</f>
        <v>14.484776131615998</v>
      </c>
      <c r="AF803" s="174">
        <f>AP803</f>
        <v>36</v>
      </c>
      <c r="AG803" s="174">
        <f>IF($D$57+AU803&gt;100,100,$D$57+AU803)</f>
        <v>19.001300000000001</v>
      </c>
      <c r="AH803" s="174">
        <f>AQ803</f>
        <v>199</v>
      </c>
      <c r="AI803" s="174">
        <f>$D$58</f>
        <v>200</v>
      </c>
      <c r="AJ803" s="174">
        <f>10*AS803/IF(AX803=1,IF(AY803=1,4.5,4),4)</f>
        <v>2.2222222222222223</v>
      </c>
      <c r="AK803" s="174">
        <f>SUM(AL803:AN803)</f>
        <v>4843.7661008195128</v>
      </c>
      <c r="AL803" s="174">
        <f>IF(AV803=1,$D$61*(VLOOKUP(C803,$B$36:$AG$39,25,FALSE)+VLOOKUP(C803,$B$40:$AG$43,25,FALSE)*$D$54),(IF(H803="근접",$D$61*(VLOOKUP(C803,$B$36:$AG$39,25,FALSE)+VLOOKUP(C803,$B$40:$AG$43,25,FALSE)*$D$54),$D$60*(VLOOKUP(C803,$B$36:$AG$39,25,FALSE)+VLOOKUP(C803,$B$40:$AG$43,25,FALSE)*$D$54))))*$D$59/100</f>
        <v>2891.2086119536589</v>
      </c>
      <c r="AM803" s="174">
        <f>(IF(AV803=1,$D$61*(VLOOKUP(C803,$B$36:$AG$39,26,FALSE)+VLOOKUP(C803,$B$40:$AG$43,26,FALSE)*$D$54),IF(H803="근접",$D$61*(VLOOKUP(C803,$B$36:$AG$39,26,FALSE)+VLOOKUP(C803,$B$40:$AG$43,26,FALSE)*$D$54),$D$60*(VLOOKUP(C803,$B$36:$AG$39,26,FALSE)+VLOOKUP(C803,$B$40:$AG$43,26,FALSE)*$D$54))))*$D$59/100</f>
        <v>1952.5574888658539</v>
      </c>
      <c r="AN803" s="174"/>
      <c r="AO803" s="176">
        <v>24</v>
      </c>
      <c r="AP803" s="174">
        <v>36</v>
      </c>
      <c r="AQ803" s="175">
        <f>VLOOKUP(C803,$B$45:$AA$48,25,FALSE)</f>
        <v>199</v>
      </c>
      <c r="AR803" s="31">
        <f>IF(LEFT(E803,1)*1=1,$S$68,$R$68)</f>
        <v>4</v>
      </c>
      <c r="AS803" s="2">
        <f>IF(LEFT(E803,1)*1=2,$U$68,$T$68)</f>
        <v>1</v>
      </c>
      <c r="AT803" s="33">
        <f>IF(LEFT(E803,1)*1=3,$W$68,$V$68)</f>
        <v>1</v>
      </c>
      <c r="AU803" s="31">
        <f>IF(MID(E803,3,1)*1=1,$Y$68,$X$68)</f>
        <v>0</v>
      </c>
      <c r="AV803" s="2">
        <f>IF(MID(E803,3,1)*1=2,$AA$68,$Z$68)</f>
        <v>0</v>
      </c>
      <c r="AW803" s="33" t="str">
        <f>IF(MID(E803,3,1)*1=3,$AC$68,$AB$68)</f>
        <v>보스대상</v>
      </c>
      <c r="AX803" s="31">
        <f>IF(MID(E803,5,1)*1=1,$AE$68,$AD$68)</f>
        <v>1</v>
      </c>
      <c r="AY803" s="33">
        <f>IF(MID(E803,5,1)*1=2,$AG$68,$AF$68)</f>
        <v>1</v>
      </c>
      <c r="AZ803" s="2"/>
      <c r="BA803" s="101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</row>
    <row r="804" spans="1:71" ht="12" customHeight="1">
      <c r="A804" s="2"/>
      <c r="B804" s="107">
        <v>236</v>
      </c>
      <c r="C804" s="31">
        <v>4</v>
      </c>
      <c r="D804" s="106" t="s">
        <v>13</v>
      </c>
      <c r="E804" s="2" t="s">
        <v>67</v>
      </c>
      <c r="F804" s="2"/>
      <c r="G804" s="2"/>
      <c r="H804" s="33"/>
      <c r="I804" s="173">
        <f>M804/AE804</f>
        <v>397.06455926696367</v>
      </c>
      <c r="J804" s="174">
        <f>AH804/AE804</f>
        <v>8.3114645752849956</v>
      </c>
      <c r="K804" s="207">
        <f>RANK(I804,$I$76:$I$977)</f>
        <v>729</v>
      </c>
      <c r="L804" s="208" t="e">
        <f>RANK(I804,$I$76:$I$450)</f>
        <v>#N/A</v>
      </c>
      <c r="M804" s="173">
        <f>SUM(N804:R804)</f>
        <v>9506.8500356829536</v>
      </c>
      <c r="N804" s="174">
        <f>T804*(1+((AG804+IF(F804="백어택",8,0))/100)*((AI804/100-1)))</f>
        <v>6310.6222034972798</v>
      </c>
      <c r="O804" s="174">
        <f>U804*(1+($D$57/100)*($D$58/100-1))</f>
        <v>3196.2278321856734</v>
      </c>
      <c r="P804" s="174"/>
      <c r="Q804" s="174"/>
      <c r="R804" s="175">
        <f>X804*(1+($D$57/100)*($D$58/100-1))</f>
        <v>0</v>
      </c>
      <c r="S804" s="173">
        <f>SUM(T804:X804)</f>
        <v>7465.2660790353666</v>
      </c>
      <c r="T804" s="174">
        <f>AL804*AY804</f>
        <v>4779.3896792097567</v>
      </c>
      <c r="U804" s="174">
        <f>AM804*AU804*AW804</f>
        <v>2685.87639982561</v>
      </c>
      <c r="V804" s="174"/>
      <c r="W804" s="174"/>
      <c r="X804" s="175">
        <f>IF(AU804=1,0,U804*0.625)</f>
        <v>0</v>
      </c>
      <c r="Y804" s="173">
        <f>SUM(Z804:AD804)</f>
        <v>14930.532158070733</v>
      </c>
      <c r="Z804" s="174">
        <f>T804*$D$58/100</f>
        <v>9558.7793584195133</v>
      </c>
      <c r="AA804" s="174">
        <f>U804*$D$58/100</f>
        <v>5371.7527996512199</v>
      </c>
      <c r="AB804" s="174"/>
      <c r="AC804" s="174"/>
      <c r="AD804" s="175">
        <f>X804*$D$58/100</f>
        <v>0</v>
      </c>
      <c r="AE804" s="173">
        <f>AO804*(1-$D$17/100)</f>
        <v>23.942831999999999</v>
      </c>
      <c r="AF804" s="174">
        <f>AP804</f>
        <v>36</v>
      </c>
      <c r="AG804" s="174">
        <f>IF($D$57+AT804&gt;100,100,$D$57+AT804)</f>
        <v>19.001300000000001</v>
      </c>
      <c r="AH804" s="174">
        <f>AQ804</f>
        <v>199</v>
      </c>
      <c r="AI804" s="174">
        <f>$D$58+$D$19</f>
        <v>268.61079999999998</v>
      </c>
      <c r="AJ804" s="174">
        <f>10/IF(AY804=1,2.5,2)</f>
        <v>4</v>
      </c>
      <c r="AK804" s="174">
        <f>SUM(AL804:AN804)</f>
        <v>7465.2660790353666</v>
      </c>
      <c r="AL804" s="174">
        <f>(VLOOKUP(C804,$B$36:$AG$39,17,FALSE)+VLOOKUP(C804,$B$40:$AG$43,17,FALSE)*$D$54)*$D$59/100</f>
        <v>4779.3896792097567</v>
      </c>
      <c r="AM804" s="174">
        <f>(VLOOKUP(C804,$B$36:$AG$39,18,FALSE)+VLOOKUP(C804,$B$40:$AG$43,18,FALSE)*$D$54)*$D$59/100</f>
        <v>2685.87639982561</v>
      </c>
      <c r="AN804" s="174"/>
      <c r="AO804" s="176">
        <v>24</v>
      </c>
      <c r="AP804" s="174">
        <v>36</v>
      </c>
      <c r="AQ804" s="175">
        <f>VLOOKUP(C804,$B$45:$AA$48,17,FALSE)</f>
        <v>199</v>
      </c>
      <c r="AR804" s="31">
        <f>IF(LEFT(E804,1)*1=1,$S$63,$R$63)</f>
        <v>0</v>
      </c>
      <c r="AS804" s="2">
        <f>IF(LEFT(E804,1)*1=2,$U$63,$T$63)</f>
        <v>0</v>
      </c>
      <c r="AT804" s="33">
        <f>IF(LEFT(E804,1)*1=3,$W$63,$V$63)</f>
        <v>0</v>
      </c>
      <c r="AU804" s="31">
        <f>IF(MID(E804,3,1)*1=1,$Y$63,$X$63)</f>
        <v>1</v>
      </c>
      <c r="AV804" s="2">
        <f>IF(MID(E804,3,1)*1=2,$AA$63,$Z$63)</f>
        <v>0</v>
      </c>
      <c r="AW804" s="33">
        <f>IF(MID(E804,3,1)*1=3,$AC$63,$AB$63)</f>
        <v>1</v>
      </c>
      <c r="AX804" s="31">
        <f>IF(MID(E804,5,1)*1=1,$AE$63,$AD$63)</f>
        <v>0</v>
      </c>
      <c r="AY804" s="33">
        <f>IF(MID(E804,5,1)*1=2,$AG$63,$AF$63)</f>
        <v>1</v>
      </c>
      <c r="AZ804" s="2"/>
      <c r="BA804" s="101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</row>
    <row r="805" spans="1:71" ht="12" customHeight="1">
      <c r="A805" s="2"/>
      <c r="B805" s="107">
        <v>252</v>
      </c>
      <c r="C805" s="31">
        <v>7</v>
      </c>
      <c r="D805" s="106" t="s">
        <v>16</v>
      </c>
      <c r="E805" s="2" t="s">
        <v>163</v>
      </c>
      <c r="F805" s="2" t="s">
        <v>149</v>
      </c>
      <c r="G805" s="2"/>
      <c r="H805" s="33">
        <f>AX805*2</f>
        <v>2</v>
      </c>
      <c r="I805" s="173">
        <f>M805/AE805</f>
        <v>396.91684955476757</v>
      </c>
      <c r="J805" s="174">
        <f>AH805/AE805</f>
        <v>13.61576608815532</v>
      </c>
      <c r="K805" s="207">
        <f>RANK(I805,$I$76:$I$977)</f>
        <v>730</v>
      </c>
      <c r="L805" s="208" t="e">
        <f>RANK(I805,$I$76:$I$450)</f>
        <v>#N/A</v>
      </c>
      <c r="M805" s="173">
        <f>SUM(N805:R805)</f>
        <v>2375.8283617147686</v>
      </c>
      <c r="N805" s="174">
        <f>T805*(1+((AG805+IF(F805="백어택",8,0))/100)*((AI805/100-1)))</f>
        <v>2375.8283617147686</v>
      </c>
      <c r="O805" s="174"/>
      <c r="P805" s="174"/>
      <c r="Q805" s="174"/>
      <c r="R805" s="175"/>
      <c r="S805" s="173">
        <f>SUM(T805:X805)*H805</f>
        <v>3265.1351288967808</v>
      </c>
      <c r="T805" s="174">
        <f>AL805*AU805*AY805*IF(F805="백어택",1.2,1)</f>
        <v>1632.5675644483904</v>
      </c>
      <c r="U805" s="174"/>
      <c r="V805" s="174"/>
      <c r="W805" s="174"/>
      <c r="X805" s="175"/>
      <c r="Y805" s="173">
        <f>SUM(Z805:AD805)</f>
        <v>3265.1351288967808</v>
      </c>
      <c r="Z805" s="174">
        <f>T805*$D$58/100</f>
        <v>3265.1351288967808</v>
      </c>
      <c r="AA805" s="174"/>
      <c r="AB805" s="174"/>
      <c r="AC805" s="174"/>
      <c r="AD805" s="175"/>
      <c r="AE805" s="173">
        <f>AO805*(1-$D$17/100)</f>
        <v>5.9857079999999998</v>
      </c>
      <c r="AF805" s="174">
        <f>AP805</f>
        <v>36</v>
      </c>
      <c r="AG805" s="174">
        <f>IF($D$57+AT805&gt;100,100,$D$57+AT805)</f>
        <v>19.001300000000001</v>
      </c>
      <c r="AH805" s="174">
        <f>AQ805*AR805</f>
        <v>81.5</v>
      </c>
      <c r="AI805" s="174">
        <f>$D$58+$D$19</f>
        <v>268.61079999999998</v>
      </c>
      <c r="AJ805" s="174">
        <f>10*AS805/IF(AX805=1,5,3.5)</f>
        <v>2</v>
      </c>
      <c r="AK805" s="174">
        <f>SUM(AL805:AN805)</f>
        <v>971.7664074097562</v>
      </c>
      <c r="AL805" s="174">
        <f>((VLOOKUP(C805,$B$36:$AG$39,23,FALSE)+VLOOKUP(C805,$B$40:$AG$43,23,FALSE)*$D$54))*$D$59/100</f>
        <v>971.7664074097562</v>
      </c>
      <c r="AM805" s="174"/>
      <c r="AN805" s="174"/>
      <c r="AO805" s="176">
        <v>6</v>
      </c>
      <c r="AP805" s="174">
        <v>36</v>
      </c>
      <c r="AQ805" s="175">
        <f>VLOOKUP(C805,$B$45:$AA$48,23,FALSE)</f>
        <v>163</v>
      </c>
      <c r="AR805" s="31">
        <f>IF(LEFT(E805,1)*1=1,$S$66,$R$66)</f>
        <v>0.5</v>
      </c>
      <c r="AS805" s="2">
        <f>IF(LEFT(E805,1)*1=2,$U$66,$T$66)</f>
        <v>1</v>
      </c>
      <c r="AT805" s="33">
        <f>IF(LEFT(E805,1)*1=3,$W$66,$V$66)</f>
        <v>0</v>
      </c>
      <c r="AU805" s="31">
        <f>IF(MID(E805,3,1)*1=1,$Y$66,$X$66)</f>
        <v>1.4</v>
      </c>
      <c r="AV805" s="2">
        <f>IF(MID(E805,3,1)*1=2,$AA$66,$Z$66)</f>
        <v>0</v>
      </c>
      <c r="AW805" s="33">
        <f>IF(MID(E805,3,1)*1=3,$AC$66,$AB$66)</f>
        <v>0</v>
      </c>
      <c r="AX805" s="31">
        <f>IF(MID(E805,5,1)*1=1,$AE$66,$AD$66)</f>
        <v>1</v>
      </c>
      <c r="AY805" s="33">
        <f>IF(MID(E805,5,1)*1=2,$AG$66,$AF$66)</f>
        <v>1</v>
      </c>
      <c r="AZ805" s="2"/>
      <c r="BA805" s="101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</row>
    <row r="806" spans="1:71" ht="12" customHeight="1">
      <c r="A806" s="2"/>
      <c r="B806" s="107">
        <v>254</v>
      </c>
      <c r="C806" s="31">
        <v>7</v>
      </c>
      <c r="D806" s="106" t="s">
        <v>16</v>
      </c>
      <c r="E806" s="2" t="s">
        <v>168</v>
      </c>
      <c r="F806" s="2" t="s">
        <v>149</v>
      </c>
      <c r="G806" s="2"/>
      <c r="H806" s="33">
        <f>AX806*2</f>
        <v>2</v>
      </c>
      <c r="I806" s="173">
        <f>M806/AE806</f>
        <v>396.91684955476757</v>
      </c>
      <c r="J806" s="174">
        <f>AH806/AE806</f>
        <v>27.23153217631064</v>
      </c>
      <c r="K806" s="207">
        <f>RANK(I806,$I$76:$I$977)</f>
        <v>730</v>
      </c>
      <c r="L806" s="208" t="e">
        <f>RANK(I806,$I$76:$I$450)</f>
        <v>#N/A</v>
      </c>
      <c r="M806" s="173">
        <f>SUM(N806:R806)</f>
        <v>2375.8283617147686</v>
      </c>
      <c r="N806" s="174">
        <f>T806*(1+((AG806+IF(F806="백어택",8,0))/100)*((AI806/100-1)))</f>
        <v>2375.8283617147686</v>
      </c>
      <c r="O806" s="174"/>
      <c r="P806" s="174"/>
      <c r="Q806" s="174"/>
      <c r="R806" s="175"/>
      <c r="S806" s="173">
        <f>SUM(T806:X806)*H806</f>
        <v>3265.1351288967808</v>
      </c>
      <c r="T806" s="174">
        <f>AL806*AU806*AY806*IF(F806="백어택",1.2,1)</f>
        <v>1632.5675644483904</v>
      </c>
      <c r="U806" s="174"/>
      <c r="V806" s="174"/>
      <c r="W806" s="174"/>
      <c r="X806" s="175"/>
      <c r="Y806" s="173">
        <f>SUM(Z806:AD806)</f>
        <v>3265.1351288967808</v>
      </c>
      <c r="Z806" s="174">
        <f>T806*$D$58/100</f>
        <v>3265.1351288967808</v>
      </c>
      <c r="AA806" s="174"/>
      <c r="AB806" s="174"/>
      <c r="AC806" s="174"/>
      <c r="AD806" s="175"/>
      <c r="AE806" s="173">
        <f>AO806*(1-$D$17/100)</f>
        <v>5.9857079999999998</v>
      </c>
      <c r="AF806" s="174">
        <f>AP806</f>
        <v>36</v>
      </c>
      <c r="AG806" s="174">
        <f>IF($D$57+AT806&gt;100,100,$D$57+AT806)</f>
        <v>19.001300000000001</v>
      </c>
      <c r="AH806" s="174">
        <f>AQ806*AR806</f>
        <v>163</v>
      </c>
      <c r="AI806" s="174">
        <f>$D$58+$D$19</f>
        <v>268.61079999999998</v>
      </c>
      <c r="AJ806" s="174">
        <f>10*AS806/IF(AX806=1,5,3.5)</f>
        <v>1.8</v>
      </c>
      <c r="AK806" s="174">
        <f>SUM(AL806:AN806)</f>
        <v>971.7664074097562</v>
      </c>
      <c r="AL806" s="174">
        <f>((VLOOKUP(C806,$B$36:$AG$39,23,FALSE)+VLOOKUP(C806,$B$40:$AG$43,23,FALSE)*$D$54))*$D$59/100</f>
        <v>971.7664074097562</v>
      </c>
      <c r="AM806" s="174"/>
      <c r="AN806" s="174"/>
      <c r="AO806" s="176">
        <v>6</v>
      </c>
      <c r="AP806" s="174">
        <v>36</v>
      </c>
      <c r="AQ806" s="175">
        <f>VLOOKUP(C806,$B$45:$AA$48,23,FALSE)</f>
        <v>163</v>
      </c>
      <c r="AR806" s="31">
        <f>IF(LEFT(E806,1)*1=1,$S$66,$R$66)</f>
        <v>1</v>
      </c>
      <c r="AS806" s="2">
        <f>IF(LEFT(E806,1)*1=2,$U$66,$T$66)</f>
        <v>0.9</v>
      </c>
      <c r="AT806" s="33">
        <f>IF(LEFT(E806,1)*1=3,$W$66,$V$66)</f>
        <v>0</v>
      </c>
      <c r="AU806" s="31">
        <f>IF(MID(E806,3,1)*1=1,$Y$66,$X$66)</f>
        <v>1.4</v>
      </c>
      <c r="AV806" s="2">
        <f>IF(MID(E806,3,1)*1=2,$AA$66,$Z$66)</f>
        <v>0</v>
      </c>
      <c r="AW806" s="33">
        <f>IF(MID(E806,3,1)*1=3,$AC$66,$AB$66)</f>
        <v>0</v>
      </c>
      <c r="AX806" s="31">
        <f>IF(MID(E806,5,1)*1=1,$AE$66,$AD$66)</f>
        <v>1</v>
      </c>
      <c r="AY806" s="33">
        <f>IF(MID(E806,5,1)*1=2,$AG$66,$AF$66)</f>
        <v>1</v>
      </c>
      <c r="AZ806" s="2"/>
      <c r="BA806" s="101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</row>
    <row r="807" spans="1:71" ht="12" hidden="1" customHeight="1">
      <c r="A807" s="2"/>
      <c r="B807" s="107">
        <v>202</v>
      </c>
      <c r="C807" s="31">
        <v>10</v>
      </c>
      <c r="D807" s="106" t="s">
        <v>10</v>
      </c>
      <c r="E807" s="2" t="s">
        <v>99</v>
      </c>
      <c r="F807" s="2"/>
      <c r="G807" s="2" t="s">
        <v>184</v>
      </c>
      <c r="H807" s="33"/>
      <c r="I807" s="173">
        <f>M807/AE807</f>
        <v>395.23998635686581</v>
      </c>
      <c r="J807" s="174">
        <f>AH807/AE807</f>
        <v>25.811482952392598</v>
      </c>
      <c r="K807" s="207">
        <f>RANK(I807,$I$76:$I$977)</f>
        <v>732</v>
      </c>
      <c r="L807" s="208" t="e">
        <f>RANK(I807,$I$76:$I$450)</f>
        <v>#N/A</v>
      </c>
      <c r="M807" s="173">
        <f>SUM(N807:R807)</f>
        <v>6308.7763953498197</v>
      </c>
      <c r="N807" s="174">
        <f>T807*(1+((AG807+IF(F807="백어택",8,0))/100)*((AI807/100-1)))</f>
        <v>6308.7763953498197</v>
      </c>
      <c r="O807" s="174"/>
      <c r="P807" s="174"/>
      <c r="Q807" s="174"/>
      <c r="R807" s="175"/>
      <c r="S807" s="173">
        <f>SUM(T807:X807)</f>
        <v>4777.9917447232201</v>
      </c>
      <c r="T807" s="174">
        <f>AL807*AS807*AU807*AX807*IF(AY807=0,1,0.5)*IF(F807="백어택",1.2,1)</f>
        <v>4777.9917447232201</v>
      </c>
      <c r="U807" s="174"/>
      <c r="V807" s="174"/>
      <c r="W807" s="174"/>
      <c r="X807" s="175"/>
      <c r="Y807" s="173">
        <f>SUM(Z807:AD807)</f>
        <v>12834.201849434998</v>
      </c>
      <c r="Z807" s="174">
        <f>T807*AI807/100</f>
        <v>12834.201849434998</v>
      </c>
      <c r="AA807" s="174"/>
      <c r="AB807" s="174"/>
      <c r="AC807" s="174"/>
      <c r="AD807" s="175"/>
      <c r="AE807" s="173">
        <f>AO807*(1-$D$17/100)</f>
        <v>15.961888</v>
      </c>
      <c r="AF807" s="174">
        <f>AP807</f>
        <v>36</v>
      </c>
      <c r="AG807" s="174">
        <f>IF($D$57+AV807&gt;100,100,$D$57+AV807)</f>
        <v>19.001300000000001</v>
      </c>
      <c r="AH807" s="174">
        <f>AQ807</f>
        <v>412</v>
      </c>
      <c r="AI807" s="174">
        <f>$D$58+$D$19</f>
        <v>268.61079999999998</v>
      </c>
      <c r="AJ807" s="174">
        <f>10*AR807/(7-IF(AX807=1,0,3))</f>
        <v>1.4285714285714286</v>
      </c>
      <c r="AK807" s="174">
        <f>SUM(AL807:AN807)</f>
        <v>8098.2910927512203</v>
      </c>
      <c r="AL807" s="174">
        <f>(VLOOKUP(C807,$B$36:$AG$39,13,FALSE)+VLOOKUP(C807,$B$40:$AG$43,13,FALSE)*$D$54)*$D$59/100</f>
        <v>8098.2910927512203</v>
      </c>
      <c r="AM807" s="174"/>
      <c r="AN807" s="174"/>
      <c r="AO807" s="176">
        <v>16</v>
      </c>
      <c r="AP807" s="174">
        <v>36</v>
      </c>
      <c r="AQ807" s="175">
        <f>VLOOKUP(C807,$B$45:$AA$48,13,FALSE)</f>
        <v>412</v>
      </c>
      <c r="AR807" s="31">
        <f>IF(LEFT(E807,1)*1=1,$S$60,$R$60)</f>
        <v>1</v>
      </c>
      <c r="AS807" s="2">
        <f>IF(LEFT(E807,1)*1=2,$U$60,$T$60)</f>
        <v>1.18</v>
      </c>
      <c r="AT807" s="33">
        <f>IF(LEFT(E807,1)*1=3,$W$60,$V$60)</f>
        <v>0</v>
      </c>
      <c r="AU807" s="31">
        <f>IF(MID(E807,3,1)*1=1,$Y$60,$X$60)</f>
        <v>1</v>
      </c>
      <c r="AV807" s="2">
        <f>IF(MID(E807,3,1)*1=2,$AA$60,$Z$60)</f>
        <v>0</v>
      </c>
      <c r="AW807" s="33">
        <f>IF(MID(E807,3,1)*1=3,$AC$60,$AB$60)</f>
        <v>0</v>
      </c>
      <c r="AX807" s="31">
        <f>IF(MID(E807,5,1)*1=1,$AE$60,$AD$60)</f>
        <v>1</v>
      </c>
      <c r="AY807" s="33">
        <f>IF(MID(E807,5,1)*1=2,$AG$60,$AF$60)</f>
        <v>100</v>
      </c>
      <c r="AZ807" s="2"/>
      <c r="BA807" s="101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</row>
    <row r="808" spans="1:71" ht="12" customHeight="1">
      <c r="A808" s="2"/>
      <c r="B808" s="107">
        <v>341</v>
      </c>
      <c r="C808" s="31">
        <v>4</v>
      </c>
      <c r="D808" s="106" t="s">
        <v>20</v>
      </c>
      <c r="E808" s="2" t="s">
        <v>67</v>
      </c>
      <c r="F808" s="2" t="s">
        <v>149</v>
      </c>
      <c r="G808" s="2"/>
      <c r="H808" s="33"/>
      <c r="I808" s="173">
        <f>M808/AE808</f>
        <v>393.95993506592561</v>
      </c>
      <c r="J808" s="174">
        <f>AH808/AE808</f>
        <v>9.4113066212607315</v>
      </c>
      <c r="K808" s="207">
        <f>RANK(I808,$I$76:$I$977)</f>
        <v>733</v>
      </c>
      <c r="L808" s="208" t="e">
        <f>RANK(I808,$I$76:$I$450)</f>
        <v>#N/A</v>
      </c>
      <c r="M808" s="173">
        <f>SUM(N808:R808)</f>
        <v>7074.3874050107743</v>
      </c>
      <c r="N808" s="174">
        <f>T808*(1+((AG808+IF(F808="백어택",8,0))/100)*((AI808/100-1)))</f>
        <v>3778.2944381804582</v>
      </c>
      <c r="O808" s="174">
        <f>U808*(1+(($D$57+IF(F808="백어택",8,0))/100)*($D$58/100-1))</f>
        <v>3296.0929668303161</v>
      </c>
      <c r="P808" s="174"/>
      <c r="Q808" s="174"/>
      <c r="R808" s="175"/>
      <c r="S808" s="173">
        <f>SUM(T808:X808)</f>
        <v>5191.6044529785377</v>
      </c>
      <c r="T808" s="174">
        <f>AL808*AV808*IF(F808="백어택",1.2,1)</f>
        <v>2596.2822264892684</v>
      </c>
      <c r="U808" s="174">
        <f>AM808*AX808*AY808*IF(F808="백어택",1.2,1)</f>
        <v>2595.3222264892688</v>
      </c>
      <c r="V808" s="174"/>
      <c r="W808" s="174"/>
      <c r="X808" s="175"/>
      <c r="Y808" s="173">
        <f>SUM(Z808:AD808)</f>
        <v>10383.208905957075</v>
      </c>
      <c r="Z808" s="174">
        <f>T808*$D$58/100</f>
        <v>5192.5644529785368</v>
      </c>
      <c r="AA808" s="174">
        <f>U808*$D$58/100</f>
        <v>5190.6444529785376</v>
      </c>
      <c r="AB808" s="174"/>
      <c r="AC808" s="174"/>
      <c r="AD808" s="175"/>
      <c r="AE808" s="173">
        <f>AO808*(1-$D$17/100)-AR808</f>
        <v>17.957124</v>
      </c>
      <c r="AF808" s="174">
        <f>AP808</f>
        <v>36</v>
      </c>
      <c r="AG808" s="174">
        <f>IF($D$57+AU808&gt;100,100,$D$57+AU808)</f>
        <v>19.001300000000001</v>
      </c>
      <c r="AH808" s="174">
        <f>AQ808*AS808</f>
        <v>169</v>
      </c>
      <c r="AI808" s="174">
        <f>$D$58+$D$19</f>
        <v>268.61079999999998</v>
      </c>
      <c r="AJ808" s="174">
        <f>10*IF(AV808=1,1,5/4.5)/IF(AX808=1,5,3.5)</f>
        <v>2</v>
      </c>
      <c r="AK808" s="174">
        <f>SUM(AL808:AN808)</f>
        <v>4326.3370441487805</v>
      </c>
      <c r="AL808" s="174">
        <f>(VLOOKUP(C808,$B$36:$AG$39,29,FALSE)+VLOOKUP(C808,$B$40:$AG$43,29,FALSE)*$D$54)*$D$59/100</f>
        <v>2163.5685220743903</v>
      </c>
      <c r="AM808" s="174">
        <f>(VLOOKUP(C808,$B$36:$AG$39,30,FALSE)+VLOOKUP(C808,$B$40:$AG$43,30,FALSE)*$D$54)*$D$59/100</f>
        <v>2162.7685220743906</v>
      </c>
      <c r="AN808" s="174"/>
      <c r="AO808" s="176">
        <v>18</v>
      </c>
      <c r="AP808" s="174">
        <v>36</v>
      </c>
      <c r="AQ808" s="175">
        <f>VLOOKUP(C808,$B$45:$AG$48,29,FALSE)</f>
        <v>169</v>
      </c>
      <c r="AR808" s="31">
        <f>IF(LEFT(E808,1)*1=1,$S$70,$R$70)</f>
        <v>0</v>
      </c>
      <c r="AS808" s="2">
        <f>IF(LEFT(E808,1)*1=2,$U$70,$T$70)</f>
        <v>1</v>
      </c>
      <c r="AT808" s="33">
        <f>IF(LEFT(E808,1)*1=3,$W$70,$V$70)</f>
        <v>0</v>
      </c>
      <c r="AU808" s="31">
        <f>IF(MID(E808,3,1)*1=1,$Y$70,$X$70)</f>
        <v>0</v>
      </c>
      <c r="AV808" s="2">
        <f>IF(MID(E808,3,1)*1=2,$AA$70,$Z$70)</f>
        <v>1</v>
      </c>
      <c r="AW808" s="33">
        <f>IF(MID(E808,3,1)*1=3,$AC$70,$AB$70)</f>
        <v>0</v>
      </c>
      <c r="AX808" s="31">
        <f>IF(MID(E808,5,1)*1=1,$AE$70,$AD$70)</f>
        <v>1</v>
      </c>
      <c r="AY808" s="33">
        <f>IF(MID(E808,5,1)*1=2,$AG$70,$AF$70)</f>
        <v>1</v>
      </c>
      <c r="AZ808" s="2"/>
      <c r="BA808" s="101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</row>
    <row r="809" spans="1:71" ht="12" customHeight="1">
      <c r="A809" s="2"/>
      <c r="B809" s="107">
        <v>343</v>
      </c>
      <c r="C809" s="31">
        <v>4</v>
      </c>
      <c r="D809" s="106" t="s">
        <v>20</v>
      </c>
      <c r="E809" s="2" t="s">
        <v>79</v>
      </c>
      <c r="F809" s="2" t="s">
        <v>149</v>
      </c>
      <c r="G809" s="2"/>
      <c r="H809" s="33"/>
      <c r="I809" s="173">
        <f>M809/AE809</f>
        <v>393.95993506592561</v>
      </c>
      <c r="J809" s="174">
        <f>AH809/AE809</f>
        <v>4.7056533106303657</v>
      </c>
      <c r="K809" s="207">
        <f>RANK(I809,$I$76:$I$977)</f>
        <v>733</v>
      </c>
      <c r="L809" s="208" t="e">
        <f>RANK(I809,$I$76:$I$450)</f>
        <v>#N/A</v>
      </c>
      <c r="M809" s="173">
        <f>SUM(N809:R809)</f>
        <v>7074.3874050107743</v>
      </c>
      <c r="N809" s="174">
        <f>T809*(1+((AG809+IF(F809="백어택",8,0))/100)*((AI809/100-1)))</f>
        <v>3778.2944381804582</v>
      </c>
      <c r="O809" s="174">
        <f>U809*(1+(($D$57+IF(F809="백어택",8,0))/100)*($D$58/100-1))</f>
        <v>3296.0929668303161</v>
      </c>
      <c r="P809" s="174"/>
      <c r="Q809" s="174"/>
      <c r="R809" s="175"/>
      <c r="S809" s="173">
        <f>SUM(T809:X809)</f>
        <v>5191.6044529785377</v>
      </c>
      <c r="T809" s="174">
        <f>AL809*AV809*IF(F809="백어택",1.2,1)</f>
        <v>2596.2822264892684</v>
      </c>
      <c r="U809" s="174">
        <f>AM809*AX809*AY809*IF(F809="백어택",1.2,1)</f>
        <v>2595.3222264892688</v>
      </c>
      <c r="V809" s="174"/>
      <c r="W809" s="174"/>
      <c r="X809" s="175"/>
      <c r="Y809" s="173">
        <f>SUM(Z809:AD809)</f>
        <v>10383.208905957075</v>
      </c>
      <c r="Z809" s="174">
        <f>T809*$D$58/100</f>
        <v>5192.5644529785368</v>
      </c>
      <c r="AA809" s="174">
        <f>U809*$D$58/100</f>
        <v>5190.6444529785376</v>
      </c>
      <c r="AB809" s="174"/>
      <c r="AC809" s="174"/>
      <c r="AD809" s="175"/>
      <c r="AE809" s="173">
        <f>AO809*(1-$D$17/100)-AR809</f>
        <v>17.957124</v>
      </c>
      <c r="AF809" s="174">
        <f>AP809</f>
        <v>36</v>
      </c>
      <c r="AG809" s="174">
        <f>IF($D$57+AU809&gt;100,100,$D$57+AU809)</f>
        <v>19.001300000000001</v>
      </c>
      <c r="AH809" s="174">
        <f>AQ809*AS809</f>
        <v>84.5</v>
      </c>
      <c r="AI809" s="174">
        <f>$D$58+$D$19</f>
        <v>268.61079999999998</v>
      </c>
      <c r="AJ809" s="174">
        <f>10*IF(AV809=1,1,5/4.5)/IF(AX809=1,5,3.5)</f>
        <v>2</v>
      </c>
      <c r="AK809" s="174">
        <f>SUM(AL809:AN809)</f>
        <v>4326.3370441487805</v>
      </c>
      <c r="AL809" s="174">
        <f>(VLOOKUP(C809,$B$36:$AG$39,29,FALSE)+VLOOKUP(C809,$B$40:$AG$43,29,FALSE)*$D$54)*$D$59/100</f>
        <v>2163.5685220743903</v>
      </c>
      <c r="AM809" s="174">
        <f>(VLOOKUP(C809,$B$36:$AG$39,30,FALSE)+VLOOKUP(C809,$B$40:$AG$43,30,FALSE)*$D$54)*$D$59/100</f>
        <v>2162.7685220743906</v>
      </c>
      <c r="AN809" s="174"/>
      <c r="AO809" s="176">
        <v>18</v>
      </c>
      <c r="AP809" s="174">
        <v>36</v>
      </c>
      <c r="AQ809" s="175">
        <f>VLOOKUP(C809,$B$45:$AG$48,29,FALSE)</f>
        <v>169</v>
      </c>
      <c r="AR809" s="31">
        <f>IF(LEFT(E809,1)*1=1,$S$70,$R$70)</f>
        <v>0</v>
      </c>
      <c r="AS809" s="2">
        <f>IF(LEFT(E809,1)*1=2,$U$70,$T$70)</f>
        <v>0.5</v>
      </c>
      <c r="AT809" s="33">
        <f>IF(LEFT(E809,1)*1=3,$W$70,$V$70)</f>
        <v>0</v>
      </c>
      <c r="AU809" s="31">
        <f>IF(MID(E809,3,1)*1=1,$Y$70,$X$70)</f>
        <v>0</v>
      </c>
      <c r="AV809" s="2">
        <f>IF(MID(E809,3,1)*1=2,$AA$70,$Z$70)</f>
        <v>1</v>
      </c>
      <c r="AW809" s="33">
        <f>IF(MID(E809,3,1)*1=3,$AC$70,$AB$70)</f>
        <v>0</v>
      </c>
      <c r="AX809" s="31">
        <f>IF(MID(E809,5,1)*1=1,$AE$70,$AD$70)</f>
        <v>1</v>
      </c>
      <c r="AY809" s="33">
        <f>IF(MID(E809,5,1)*1=2,$AG$70,$AF$70)</f>
        <v>1</v>
      </c>
      <c r="AZ809" s="2"/>
      <c r="BA809" s="101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</row>
    <row r="810" spans="1:71" ht="12" customHeight="1">
      <c r="A810" s="2"/>
      <c r="B810" s="107">
        <v>602</v>
      </c>
      <c r="C810" s="31">
        <v>4</v>
      </c>
      <c r="D810" s="111" t="s">
        <v>14</v>
      </c>
      <c r="E810" s="2" t="s">
        <v>67</v>
      </c>
      <c r="F810" s="2" t="s">
        <v>149</v>
      </c>
      <c r="G810" s="1"/>
      <c r="H810" s="33" t="s">
        <v>80</v>
      </c>
      <c r="I810" s="173">
        <f>M810/AE810</f>
        <v>393.85745904585218</v>
      </c>
      <c r="J810" s="174">
        <f>AH810/AE810</f>
        <v>9.0885601645267471</v>
      </c>
      <c r="K810" s="207">
        <f>RANK(I810,$I$76:$I$977)</f>
        <v>735</v>
      </c>
      <c r="L810" s="208">
        <f>RANK(I810,$I$451:$I$866)</f>
        <v>360</v>
      </c>
      <c r="M810" s="173">
        <f>SUM(N810:R810)</f>
        <v>10920.550437344544</v>
      </c>
      <c r="N810" s="174">
        <f>T810*(1+((AG810+IF(F810="백어택",8,0))/100)*(AI810/100-1))</f>
        <v>3259.3453890545461</v>
      </c>
      <c r="O810" s="174">
        <f>U810*(1+((AG810+IF(F810="백어택",8,0))/100)*(AI810/100-1))</f>
        <v>3259.3453890545461</v>
      </c>
      <c r="P810" s="174">
        <f>V810*(1+((AG810+IF(F810="백어택",8,0))/100)*(AI810*IF(AX810=1,AW810,1)/100-1))</f>
        <v>4401.8596592354506</v>
      </c>
      <c r="Q810" s="174">
        <f>W810*(1+((AG810+IF(F810="백어택",8,0))/100)*(AI810*AW810/100-1))</f>
        <v>0</v>
      </c>
      <c r="R810" s="175"/>
      <c r="S810" s="173">
        <f>SUM(T810:X810)</f>
        <v>8598.7705931707333</v>
      </c>
      <c r="T810" s="174">
        <f>AL810*AY810*IF(F810="백어택",1.2,1)</f>
        <v>2566.3874220614639</v>
      </c>
      <c r="U810" s="174">
        <f>AM810*AY810*IF(F810="백어택",1.2,1)</f>
        <v>2566.3874220614639</v>
      </c>
      <c r="V810" s="174">
        <f>AN810*AY810*IF(F810="백어택",1.2,1)</f>
        <v>3465.995749047805</v>
      </c>
      <c r="W810" s="174">
        <f>(T810+U810+V810)*IF(AX810=1,0,0.6)*IF(F810="백어택",1.2,1)</f>
        <v>0</v>
      </c>
      <c r="X810" s="175"/>
      <c r="Y810" s="173">
        <f>SUM(Z810:AD810)</f>
        <v>17197.541186341467</v>
      </c>
      <c r="Z810" s="174">
        <f>T810*AI810/100</f>
        <v>5132.7748441229278</v>
      </c>
      <c r="AA810" s="174">
        <f>U810*AI810/100</f>
        <v>5132.7748441229278</v>
      </c>
      <c r="AB810" s="174">
        <f>V810*AI810*IF(AX810=1,AW810,1)/100</f>
        <v>6931.99149809561</v>
      </c>
      <c r="AC810" s="174">
        <f>W810*AI810*AW810/100</f>
        <v>0</v>
      </c>
      <c r="AD810" s="175"/>
      <c r="AE810" s="173">
        <f>AO810*(1-$D$20/100)*(1-$D$17/100)</f>
        <v>27.727164197424003</v>
      </c>
      <c r="AF810" s="174">
        <f>AP810</f>
        <v>36</v>
      </c>
      <c r="AG810" s="174">
        <f>IF($D$57+AU810&gt;100,100,$D$57+AU810)</f>
        <v>19.001300000000001</v>
      </c>
      <c r="AH810" s="174">
        <f>AQ810*AS810</f>
        <v>252</v>
      </c>
      <c r="AI810" s="174">
        <f>$D$58+IF(H810="근접",AR810,0)+IF(AY810=1,0,50)</f>
        <v>200</v>
      </c>
      <c r="AJ810" s="174">
        <f>10/3</f>
        <v>3.3333333333333335</v>
      </c>
      <c r="AK810" s="174">
        <f>SUM(AL810:AN810)</f>
        <v>7165.6421609756108</v>
      </c>
      <c r="AL810" s="174">
        <f>(IF(H810="근접",$D$61*(VLOOKUP(C810,$B$36:$AG$39,19,FALSE)+VLOOKUP(C810,$B$40:$AG$43,19,FALSE)*$D$54),$D$60*(VLOOKUP(C810,$B$36:$AG$39,19,FALSE)+VLOOKUP(C810,$B$40:$AG$43,19,FALSE)*$D$54)))*$D$59/100</f>
        <v>2138.6561850512198</v>
      </c>
      <c r="AM810" s="174">
        <f>(IF(H810="근접",$D$61*(VLOOKUP(C810,$B$36:$AG$39,20,FALSE)+VLOOKUP(C810,$B$40:$AG$43,20,FALSE)*$D$54),$D$60*(VLOOKUP(C810,$B$36:$AG$39,20,FALSE)+VLOOKUP(C810,$B$40:$AG$43,20,FALSE)*$D$54)))*$D$59/100</f>
        <v>2138.6561850512198</v>
      </c>
      <c r="AN810" s="174">
        <f>(IF(H810="근접",$D$61*(VLOOKUP(C810,$B$36:$AG$39,21,FALSE)+VLOOKUP(C810,$B$40:$AG$43,21,FALSE)*$D$54),$D$60*(VLOOKUP(C810,$B$36:$AG$39,21,FALSE)+VLOOKUP(C810,$B$40:$AG$43,21,FALSE)*$D$54)))*$D$59/100</f>
        <v>2888.3297908731711</v>
      </c>
      <c r="AO810" s="176">
        <v>36</v>
      </c>
      <c r="AP810" s="174">
        <v>36</v>
      </c>
      <c r="AQ810" s="175">
        <f>VLOOKUP(C810,$B$45:$AA$48,19,FALSE)</f>
        <v>252</v>
      </c>
      <c r="AR810" s="31">
        <f>IF(LEFT(E810,1)*1=1,$S$64,$R$64)</f>
        <v>0</v>
      </c>
      <c r="AS810" s="2">
        <f>IF(LEFT(E810,1)*1=2,$U$64,$T$64)</f>
        <v>1</v>
      </c>
      <c r="AT810" s="33">
        <f>IF(LEFT(E810,1)*1=3,$W$64,$V$64)</f>
        <v>0</v>
      </c>
      <c r="AU810" s="31">
        <f>IF(MID(E810,3,1)*1=1,$Y$64,$X$64)</f>
        <v>0</v>
      </c>
      <c r="AV810" s="2">
        <f>IF(MID(E810,3,1)*1=2,$AA$64,$Z$64)</f>
        <v>0</v>
      </c>
      <c r="AW810" s="33">
        <f>IF(MID(E810,3,1)*1=3,$AC$64,$AB$64)</f>
        <v>1</v>
      </c>
      <c r="AX810" s="31">
        <f>IF(MID(E810,5,1)*1=1,$AE$64,$AD$64)</f>
        <v>1</v>
      </c>
      <c r="AY810" s="33">
        <f>IF(MID(E810,5,1)*1=2,$AG$64,$AF$64)</f>
        <v>1</v>
      </c>
      <c r="AZ810" s="2"/>
      <c r="BA810" s="101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</row>
    <row r="811" spans="1:71" ht="12" customHeight="1">
      <c r="A811" s="2"/>
      <c r="B811" s="107">
        <v>603</v>
      </c>
      <c r="C811" s="31">
        <v>4</v>
      </c>
      <c r="D811" s="111" t="s">
        <v>14</v>
      </c>
      <c r="E811" s="2" t="s">
        <v>148</v>
      </c>
      <c r="F811" s="2" t="s">
        <v>149</v>
      </c>
      <c r="G811" s="2"/>
      <c r="H811" s="33" t="s">
        <v>80</v>
      </c>
      <c r="I811" s="173">
        <f>M811/AE811</f>
        <v>393.85745904585218</v>
      </c>
      <c r="J811" s="174">
        <f>AH811/AE811</f>
        <v>9.0885601645267471</v>
      </c>
      <c r="K811" s="207">
        <f>RANK(I811,$I$76:$I$977)</f>
        <v>735</v>
      </c>
      <c r="L811" s="208">
        <f>RANK(I811,$I$451:$I$866)</f>
        <v>360</v>
      </c>
      <c r="M811" s="173">
        <f>SUM(N811:R811)</f>
        <v>10920.550437344544</v>
      </c>
      <c r="N811" s="174">
        <f>T811*(1+((AG811+IF(F811="백어택",8,0))/100)*(AI811/100-1))</f>
        <v>3259.3453890545461</v>
      </c>
      <c r="O811" s="174">
        <f>U811*(1+((AG811+IF(F811="백어택",8,0))/100)*(AI811/100-1))</f>
        <v>3259.3453890545461</v>
      </c>
      <c r="P811" s="174">
        <f>V811*(1+((AG811+IF(F811="백어택",8,0))/100)*(AI811*IF(AX811=1,AW811,1)/100-1))</f>
        <v>4401.8596592354506</v>
      </c>
      <c r="Q811" s="174">
        <f>W811*(1+((AG811+IF(F811="백어택",8,0))/100)*(AI811*AW811/100-1))</f>
        <v>0</v>
      </c>
      <c r="R811" s="175"/>
      <c r="S811" s="173">
        <f>SUM(T811:X811)</f>
        <v>8598.7705931707333</v>
      </c>
      <c r="T811" s="174">
        <f>AL811*AY811*IF(F811="백어택",1.2,1)</f>
        <v>2566.3874220614639</v>
      </c>
      <c r="U811" s="174">
        <f>AM811*AY811*IF(F811="백어택",1.2,1)</f>
        <v>2566.3874220614639</v>
      </c>
      <c r="V811" s="174">
        <f>AN811*AY811*IF(F811="백어택",1.2,1)</f>
        <v>3465.995749047805</v>
      </c>
      <c r="W811" s="174">
        <f>(T811+U811+V811)*IF(AX811=1,0,0.6)*IF(F811="백어택",1.2,1)</f>
        <v>0</v>
      </c>
      <c r="X811" s="175"/>
      <c r="Y811" s="173">
        <f>SUM(Z811:AD811)</f>
        <v>17197.541186341467</v>
      </c>
      <c r="Z811" s="174">
        <f>T811*AI811/100</f>
        <v>5132.7748441229278</v>
      </c>
      <c r="AA811" s="174">
        <f>U811*AI811/100</f>
        <v>5132.7748441229278</v>
      </c>
      <c r="AB811" s="174">
        <f>V811*AI811*IF(AX811=1,AW811,1)/100</f>
        <v>6931.99149809561</v>
      </c>
      <c r="AC811" s="174">
        <f>W811*AI811*AW811/100</f>
        <v>0</v>
      </c>
      <c r="AD811" s="175"/>
      <c r="AE811" s="173">
        <f>AO811*(1-$D$20/100)*(1-$D$17/100)</f>
        <v>27.727164197424003</v>
      </c>
      <c r="AF811" s="174">
        <f>AP811</f>
        <v>36</v>
      </c>
      <c r="AG811" s="174">
        <f>IF($D$57+AU811&gt;100,100,$D$57+AU811)</f>
        <v>19.001300000000001</v>
      </c>
      <c r="AH811" s="174">
        <f>AQ811*AS811</f>
        <v>252</v>
      </c>
      <c r="AI811" s="174">
        <f>$D$58+IF(H811="근접",AR811,0)+IF(AY811=1,0,50)</f>
        <v>200</v>
      </c>
      <c r="AJ811" s="174">
        <f>10/3</f>
        <v>3.3333333333333335</v>
      </c>
      <c r="AK811" s="174">
        <f>SUM(AL811:AN811)</f>
        <v>7165.6421609756108</v>
      </c>
      <c r="AL811" s="174">
        <f>(IF(H811="근접",$D$61*(VLOOKUP(C811,$B$36:$AG$39,19,FALSE)+VLOOKUP(C811,$B$40:$AG$43,19,FALSE)*$D$54),$D$60*(VLOOKUP(C811,$B$36:$AG$39,19,FALSE)+VLOOKUP(C811,$B$40:$AG$43,19,FALSE)*$D$54)))*$D$59/100</f>
        <v>2138.6561850512198</v>
      </c>
      <c r="AM811" s="174">
        <f>(IF(H811="근접",$D$61*(VLOOKUP(C811,$B$36:$AG$39,20,FALSE)+VLOOKUP(C811,$B$40:$AG$43,20,FALSE)*$D$54),$D$60*(VLOOKUP(C811,$B$36:$AG$39,20,FALSE)+VLOOKUP(C811,$B$40:$AG$43,20,FALSE)*$D$54)))*$D$59/100</f>
        <v>2138.6561850512198</v>
      </c>
      <c r="AN811" s="174">
        <f>(IF(H811="근접",$D$61*(VLOOKUP(C811,$B$36:$AG$39,21,FALSE)+VLOOKUP(C811,$B$40:$AG$43,21,FALSE)*$D$54),$D$60*(VLOOKUP(C811,$B$36:$AG$39,21,FALSE)+VLOOKUP(C811,$B$40:$AG$43,21,FALSE)*$D$54)))*$D$59/100</f>
        <v>2888.3297908731711</v>
      </c>
      <c r="AO811" s="176">
        <v>36</v>
      </c>
      <c r="AP811" s="174">
        <v>36</v>
      </c>
      <c r="AQ811" s="175">
        <f>VLOOKUP(C811,$B$45:$AA$48,19,FALSE)</f>
        <v>252</v>
      </c>
      <c r="AR811" s="31">
        <f>IF(LEFT(E811,1)*1=1,$S$64,$R$64)</f>
        <v>50</v>
      </c>
      <c r="AS811" s="2">
        <f>IF(LEFT(E811,1)*1=2,$U$64,$T$64)</f>
        <v>1</v>
      </c>
      <c r="AT811" s="33">
        <f>IF(LEFT(E811,1)*1=3,$W$64,$V$64)</f>
        <v>0</v>
      </c>
      <c r="AU811" s="31">
        <f>IF(MID(E811,3,1)*1=1,$Y$64,$X$64)</f>
        <v>0</v>
      </c>
      <c r="AV811" s="2">
        <f>IF(MID(E811,3,1)*1=2,$AA$64,$Z$64)</f>
        <v>0</v>
      </c>
      <c r="AW811" s="33">
        <f>IF(MID(E811,3,1)*1=3,$AC$64,$AB$64)</f>
        <v>1</v>
      </c>
      <c r="AX811" s="31">
        <f>IF(MID(E811,5,1)*1=1,$AE$64,$AD$64)</f>
        <v>1</v>
      </c>
      <c r="AY811" s="33">
        <f>IF(MID(E811,5,1)*1=2,$AG$64,$AF$64)</f>
        <v>1</v>
      </c>
      <c r="AZ811" s="2"/>
      <c r="BA811" s="101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</row>
    <row r="812" spans="1:71" ht="12" customHeight="1">
      <c r="A812" s="2"/>
      <c r="B812" s="107">
        <v>604</v>
      </c>
      <c r="C812" s="31">
        <v>4</v>
      </c>
      <c r="D812" s="111" t="s">
        <v>14</v>
      </c>
      <c r="E812" s="2" t="s">
        <v>79</v>
      </c>
      <c r="F812" s="2" t="s">
        <v>149</v>
      </c>
      <c r="G812" s="2"/>
      <c r="H812" s="33" t="s">
        <v>80</v>
      </c>
      <c r="I812" s="173">
        <f>M812/AE812</f>
        <v>393.85745904585218</v>
      </c>
      <c r="J812" s="174">
        <f>AH812/AE812</f>
        <v>4.5442800822633735</v>
      </c>
      <c r="K812" s="207">
        <f>RANK(I812,$I$76:$I$977)</f>
        <v>735</v>
      </c>
      <c r="L812" s="208">
        <f>RANK(I812,$I$451:$I$866)</f>
        <v>360</v>
      </c>
      <c r="M812" s="173">
        <f>SUM(N812:R812)</f>
        <v>10920.550437344544</v>
      </c>
      <c r="N812" s="174">
        <f>T812*(1+((AG812+IF(F812="백어택",8,0))/100)*(AI812/100-1))</f>
        <v>3259.3453890545461</v>
      </c>
      <c r="O812" s="174">
        <f>U812*(1+((AG812+IF(F812="백어택",8,0))/100)*(AI812/100-1))</f>
        <v>3259.3453890545461</v>
      </c>
      <c r="P812" s="174">
        <f>V812*(1+((AG812+IF(F812="백어택",8,0))/100)*(AI812*IF(AX812=1,AW812,1)/100-1))</f>
        <v>4401.8596592354506</v>
      </c>
      <c r="Q812" s="174">
        <f>W812*(1+((AG812+IF(F812="백어택",8,0))/100)*(AI812*AW812/100-1))</f>
        <v>0</v>
      </c>
      <c r="R812" s="175"/>
      <c r="S812" s="173">
        <f>SUM(T812:X812)</f>
        <v>8598.7705931707333</v>
      </c>
      <c r="T812" s="174">
        <f>AL812*AY812*IF(F812="백어택",1.2,1)</f>
        <v>2566.3874220614639</v>
      </c>
      <c r="U812" s="174">
        <f>AM812*AY812*IF(F812="백어택",1.2,1)</f>
        <v>2566.3874220614639</v>
      </c>
      <c r="V812" s="174">
        <f>AN812*AY812*IF(F812="백어택",1.2,1)</f>
        <v>3465.995749047805</v>
      </c>
      <c r="W812" s="174">
        <f>(T812+U812+V812)*IF(AX812=1,0,0.6)*IF(F812="백어택",1.2,1)</f>
        <v>0</v>
      </c>
      <c r="X812" s="175"/>
      <c r="Y812" s="173">
        <f>SUM(Z812:AD812)</f>
        <v>17197.541186341467</v>
      </c>
      <c r="Z812" s="174">
        <f>T812*AI812/100</f>
        <v>5132.7748441229278</v>
      </c>
      <c r="AA812" s="174">
        <f>U812*AI812/100</f>
        <v>5132.7748441229278</v>
      </c>
      <c r="AB812" s="174">
        <f>V812*AI812*IF(AX812=1,AW812,1)/100</f>
        <v>6931.99149809561</v>
      </c>
      <c r="AC812" s="174">
        <f>W812*AI812*AW812/100</f>
        <v>0</v>
      </c>
      <c r="AD812" s="175"/>
      <c r="AE812" s="173">
        <f>AO812*(1-$D$20/100)*(1-$D$17/100)</f>
        <v>27.727164197424003</v>
      </c>
      <c r="AF812" s="174">
        <f>AP812</f>
        <v>36</v>
      </c>
      <c r="AG812" s="174">
        <f>IF($D$57+AU812&gt;100,100,$D$57+AU812)</f>
        <v>19.001300000000001</v>
      </c>
      <c r="AH812" s="174">
        <f>AQ812*AS812</f>
        <v>126</v>
      </c>
      <c r="AI812" s="174">
        <f>$D$58+IF(H812="근접",AR812,0)+IF(AY812=1,0,50)</f>
        <v>200</v>
      </c>
      <c r="AJ812" s="174">
        <f>10/3</f>
        <v>3.3333333333333335</v>
      </c>
      <c r="AK812" s="174">
        <f>SUM(AL812:AN812)</f>
        <v>7165.6421609756108</v>
      </c>
      <c r="AL812" s="174">
        <f>(IF(H812="근접",$D$61*(VLOOKUP(C812,$B$36:$AG$39,19,FALSE)+VLOOKUP(C812,$B$40:$AG$43,19,FALSE)*$D$54),$D$60*(VLOOKUP(C812,$B$36:$AG$39,19,FALSE)+VLOOKUP(C812,$B$40:$AG$43,19,FALSE)*$D$54)))*$D$59/100</f>
        <v>2138.6561850512198</v>
      </c>
      <c r="AM812" s="174">
        <f>(IF(H812="근접",$D$61*(VLOOKUP(C812,$B$36:$AG$39,20,FALSE)+VLOOKUP(C812,$B$40:$AG$43,20,FALSE)*$D$54),$D$60*(VLOOKUP(C812,$B$36:$AG$39,20,FALSE)+VLOOKUP(C812,$B$40:$AG$43,20,FALSE)*$D$54)))*$D$59/100</f>
        <v>2138.6561850512198</v>
      </c>
      <c r="AN812" s="174">
        <f>(IF(H812="근접",$D$61*(VLOOKUP(C812,$B$36:$AG$39,21,FALSE)+VLOOKUP(C812,$B$40:$AG$43,21,FALSE)*$D$54),$D$60*(VLOOKUP(C812,$B$36:$AG$39,21,FALSE)+VLOOKUP(C812,$B$40:$AG$43,21,FALSE)*$D$54)))*$D$59/100</f>
        <v>2888.3297908731711</v>
      </c>
      <c r="AO812" s="176">
        <v>36</v>
      </c>
      <c r="AP812" s="174">
        <v>36</v>
      </c>
      <c r="AQ812" s="175">
        <f>VLOOKUP(C812,$B$45:$AA$48,19,FALSE)</f>
        <v>252</v>
      </c>
      <c r="AR812" s="31">
        <f>IF(LEFT(E812,1)*1=1,$S$64,$R$64)</f>
        <v>0</v>
      </c>
      <c r="AS812" s="2">
        <f>IF(LEFT(E812,1)*1=2,$U$64,$T$64)</f>
        <v>0.5</v>
      </c>
      <c r="AT812" s="33">
        <f>IF(LEFT(E812,1)*1=3,$W$64,$V$64)</f>
        <v>0</v>
      </c>
      <c r="AU812" s="31">
        <f>IF(MID(E812,3,1)*1=1,$Y$64,$X$64)</f>
        <v>0</v>
      </c>
      <c r="AV812" s="2">
        <f>IF(MID(E812,3,1)*1=2,$AA$64,$Z$64)</f>
        <v>0</v>
      </c>
      <c r="AW812" s="33">
        <f>IF(MID(E812,3,1)*1=3,$AC$64,$AB$64)</f>
        <v>1</v>
      </c>
      <c r="AX812" s="31">
        <f>IF(MID(E812,5,1)*1=1,$AE$64,$AD$64)</f>
        <v>1</v>
      </c>
      <c r="AY812" s="33">
        <f>IF(MID(E812,5,1)*1=2,$AG$64,$AF$64)</f>
        <v>1</v>
      </c>
      <c r="AZ812" s="2"/>
      <c r="BA812" s="101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</row>
    <row r="813" spans="1:71" ht="12" customHeight="1">
      <c r="A813" s="2"/>
      <c r="B813" s="107">
        <v>801</v>
      </c>
      <c r="C813" s="31">
        <v>10</v>
      </c>
      <c r="D813" s="113" t="s">
        <v>9</v>
      </c>
      <c r="E813" s="2" t="s">
        <v>92</v>
      </c>
      <c r="F813" s="2"/>
      <c r="G813" s="2"/>
      <c r="H813" s="33"/>
      <c r="I813" s="173">
        <f>M813/AE813</f>
        <v>392.32403552706319</v>
      </c>
      <c r="J813" s="174">
        <f>AH813/AE813</f>
        <v>18.293575296355918</v>
      </c>
      <c r="K813" s="207">
        <f>RANK(I813,$I$76:$I$977)</f>
        <v>738</v>
      </c>
      <c r="L813" s="208" t="e">
        <f>RANK(I813,$I$867:$I$977)</f>
        <v>#N/A</v>
      </c>
      <c r="M813" s="173">
        <f>SUM(N813:R813)*(1+$D$22/100)</f>
        <v>14090.022708279757</v>
      </c>
      <c r="N813" s="174">
        <f>T813*(1+((AG813+IF(F813="백어택",8,0))/100)*(AI813/100-1))</f>
        <v>10650.71652178061</v>
      </c>
      <c r="O813" s="174">
        <f>U813*(1+($D$57/100)*(AI813/100-1))</f>
        <v>2044.4066741270403</v>
      </c>
      <c r="P813" s="174"/>
      <c r="Q813" s="174"/>
      <c r="R813" s="175">
        <f>X813*(1+($D$57/100)*(AI813/100-1))</f>
        <v>0</v>
      </c>
      <c r="S813" s="173">
        <f>SUM(T813:X813)</f>
        <v>10668.054211094879</v>
      </c>
      <c r="T813" s="174">
        <f>AL813*AU813*AY813</f>
        <v>8950.084177047318</v>
      </c>
      <c r="U813" s="174">
        <f>AM813*AX813</f>
        <v>1717.9700340475611</v>
      </c>
      <c r="V813" s="174"/>
      <c r="W813" s="174"/>
      <c r="X813" s="175">
        <f>AM813*AS813</f>
        <v>0</v>
      </c>
      <c r="Y813" s="173">
        <f>SUM(Z813:AD813)</f>
        <v>21336.108422189758</v>
      </c>
      <c r="Z813" s="174">
        <f>T813*$D$58/100</f>
        <v>17900.168354094636</v>
      </c>
      <c r="AA813" s="174">
        <f>U813*$D$58/100</f>
        <v>3435.9400680951221</v>
      </c>
      <c r="AB813" s="174"/>
      <c r="AC813" s="174"/>
      <c r="AD813" s="175">
        <f>X813*$D$58/100</f>
        <v>0</v>
      </c>
      <c r="AE813" s="173">
        <f>AO813*(1-$D$17/100)</f>
        <v>35.914248000000001</v>
      </c>
      <c r="AF813" s="174">
        <f>AP813</f>
        <v>36</v>
      </c>
      <c r="AG813" s="174">
        <f>IF($D$57+AW813&gt;100,100,$D$57+AW813)</f>
        <v>19.001300000000001</v>
      </c>
      <c r="AH813" s="174">
        <f>AQ813</f>
        <v>657</v>
      </c>
      <c r="AI813" s="174">
        <f>$D$58</f>
        <v>200</v>
      </c>
      <c r="AJ813" s="174">
        <f>10/(6+AT813)</f>
        <v>1.6666666666666667</v>
      </c>
      <c r="AK813" s="174">
        <f>SUM(AL813:AN813)</f>
        <v>8602.6501702378046</v>
      </c>
      <c r="AL813" s="174">
        <f>(VLOOKUP(C813,$B$36:$AG$39,11,FALSE)+VLOOKUP(C813,$B$40:$AG$43,11,FALSE)*$D$54)*$D$59/100</f>
        <v>6884.6801361902444</v>
      </c>
      <c r="AM813" s="174">
        <f>(3*(VLOOKUP(C813,$B$36:$AG$39,12,FALSE)+VLOOKUP(C813,$B$40:$AG$43,12,FALSE)*$D$54))*$D$59/100</f>
        <v>1717.9700340475611</v>
      </c>
      <c r="AN813" s="174"/>
      <c r="AO813" s="176">
        <v>36</v>
      </c>
      <c r="AP813" s="174">
        <v>36</v>
      </c>
      <c r="AQ813" s="175">
        <f>VLOOKUP(C813,$B$45:$AA$48,11,FALSE)</f>
        <v>657</v>
      </c>
      <c r="AR813" s="31">
        <f>IF(LEFT(E813,1)*1=1,$S$59,$R$59)</f>
        <v>0</v>
      </c>
      <c r="AS813" s="2">
        <f>IF(LEFT(E813,1)*1=2,$U$59,$T$59)</f>
        <v>0</v>
      </c>
      <c r="AT813" s="33">
        <f>IF(LEFT(E813,1)*1=3,$W$59,$V$59)</f>
        <v>0</v>
      </c>
      <c r="AU813" s="31">
        <f>IF(MID(E813,3,1)*1=1,$Y$59,$X$59)</f>
        <v>1</v>
      </c>
      <c r="AV813" s="2">
        <f>IF(MID(E813,3,1)*1=2,$AA$59,$Z$59)</f>
        <v>0</v>
      </c>
      <c r="AW813" s="33">
        <f>IF(MID(E813,3,1)*1=3,$AC$59,$AB$59)</f>
        <v>0</v>
      </c>
      <c r="AX813" s="31">
        <f>IF(MID(E813,5,1)*1=1,$AE$59,$AD$59)</f>
        <v>1</v>
      </c>
      <c r="AY813" s="33">
        <f>IF(MID(E813,5,1)*1=2,$AG$59,$AF$59)</f>
        <v>1.3</v>
      </c>
      <c r="AZ813" s="2"/>
      <c r="BA813" s="101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</row>
    <row r="814" spans="1:71" ht="12" customHeight="1">
      <c r="A814" s="2"/>
      <c r="B814" s="107">
        <v>807</v>
      </c>
      <c r="C814" s="31">
        <v>10</v>
      </c>
      <c r="D814" s="113" t="s">
        <v>9</v>
      </c>
      <c r="E814" s="2" t="s">
        <v>111</v>
      </c>
      <c r="F814" s="2"/>
      <c r="G814" s="2"/>
      <c r="H814" s="33"/>
      <c r="I814" s="173">
        <f>M814/AE814</f>
        <v>392.32403552706319</v>
      </c>
      <c r="J814" s="174">
        <f>AH814/AE814</f>
        <v>18.293575296355918</v>
      </c>
      <c r="K814" s="207">
        <f>RANK(I814,$I$76:$I$977)</f>
        <v>738</v>
      </c>
      <c r="L814" s="208" t="e">
        <f>RANK(I814,$I$867:$I$977)</f>
        <v>#N/A</v>
      </c>
      <c r="M814" s="173">
        <f>SUM(N814:R814)*(1+$D$22/100)</f>
        <v>14090.022708279757</v>
      </c>
      <c r="N814" s="174">
        <f>T814*(1+((AG814+IF(F814="백어택",8,0))/100)*(AI814/100-1))</f>
        <v>10650.71652178061</v>
      </c>
      <c r="O814" s="174">
        <f>U814*(1+($D$57/100)*(AI814/100-1))</f>
        <v>2044.4066741270403</v>
      </c>
      <c r="P814" s="174"/>
      <c r="Q814" s="174"/>
      <c r="R814" s="175">
        <f>X814*(1+($D$57/100)*(AI814/100-1))</f>
        <v>0</v>
      </c>
      <c r="S814" s="173">
        <f>SUM(T814:X814)</f>
        <v>10668.054211094879</v>
      </c>
      <c r="T814" s="174">
        <f>AL814*AU814*AY814</f>
        <v>8950.084177047318</v>
      </c>
      <c r="U814" s="174">
        <f>AM814*AX814</f>
        <v>1717.9700340475611</v>
      </c>
      <c r="V814" s="174"/>
      <c r="W814" s="174"/>
      <c r="X814" s="175">
        <f>AM814*AS814</f>
        <v>0</v>
      </c>
      <c r="Y814" s="173">
        <f>SUM(Z814:AD814)</f>
        <v>21336.108422189758</v>
      </c>
      <c r="Z814" s="174">
        <f>T814*$D$58/100</f>
        <v>17900.168354094636</v>
      </c>
      <c r="AA814" s="174">
        <f>U814*$D$58/100</f>
        <v>3435.9400680951221</v>
      </c>
      <c r="AB814" s="174"/>
      <c r="AC814" s="174"/>
      <c r="AD814" s="175">
        <f>X814*$D$58/100</f>
        <v>0</v>
      </c>
      <c r="AE814" s="173">
        <f>AO814*(1-$D$17/100)</f>
        <v>35.914248000000001</v>
      </c>
      <c r="AF814" s="174">
        <f>AP814</f>
        <v>36</v>
      </c>
      <c r="AG814" s="174">
        <f>IF($D$57+AW814&gt;100,100,$D$57+AW814)</f>
        <v>19.001300000000001</v>
      </c>
      <c r="AH814" s="174">
        <f>AQ814</f>
        <v>657</v>
      </c>
      <c r="AI814" s="174">
        <f>$D$58</f>
        <v>200</v>
      </c>
      <c r="AJ814" s="174">
        <f>10/(6+AT814)</f>
        <v>1.4285714285714286</v>
      </c>
      <c r="AK814" s="174">
        <f>SUM(AL814:AN814)</f>
        <v>8602.6501702378046</v>
      </c>
      <c r="AL814" s="174">
        <f>(VLOOKUP(C814,$B$36:$AG$39,11,FALSE)+VLOOKUP(C814,$B$40:$AG$43,11,FALSE)*$D$54)*$D$59/100</f>
        <v>6884.6801361902444</v>
      </c>
      <c r="AM814" s="174">
        <f>(3*(VLOOKUP(C814,$B$36:$AG$39,12,FALSE)+VLOOKUP(C814,$B$40:$AG$43,12,FALSE)*$D$54))*$D$59/100</f>
        <v>1717.9700340475611</v>
      </c>
      <c r="AN814" s="174"/>
      <c r="AO814" s="176">
        <v>36</v>
      </c>
      <c r="AP814" s="174">
        <v>36</v>
      </c>
      <c r="AQ814" s="175">
        <f>VLOOKUP(C814,$B$45:$AA$48,11,FALSE)</f>
        <v>657</v>
      </c>
      <c r="AR814" s="31">
        <f>IF(LEFT(E814,1)*1=1,$S$59,$R$59)</f>
        <v>0</v>
      </c>
      <c r="AS814" s="2">
        <f>IF(LEFT(E814,1)*1=2,$U$59,$T$59)</f>
        <v>0</v>
      </c>
      <c r="AT814" s="33">
        <f>IF(LEFT(E814,1)*1=3,$W$59,$V$59)</f>
        <v>1</v>
      </c>
      <c r="AU814" s="31">
        <f>IF(MID(E814,3,1)*1=1,$Y$59,$X$59)</f>
        <v>1</v>
      </c>
      <c r="AV814" s="2">
        <f>IF(MID(E814,3,1)*1=2,$AA$59,$Z$59)</f>
        <v>0</v>
      </c>
      <c r="AW814" s="33">
        <f>IF(MID(E814,3,1)*1=3,$AC$59,$AB$59)</f>
        <v>0</v>
      </c>
      <c r="AX814" s="31">
        <f>IF(MID(E814,5,1)*1=1,$AE$59,$AD$59)</f>
        <v>1</v>
      </c>
      <c r="AY814" s="33">
        <f>IF(MID(E814,5,1)*1=2,$AG$59,$AF$59)</f>
        <v>1.3</v>
      </c>
      <c r="AZ814" s="2"/>
      <c r="BA814" s="101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</row>
    <row r="815" spans="1:71" ht="12" customHeight="1">
      <c r="A815" s="2"/>
      <c r="B815" s="107">
        <v>366</v>
      </c>
      <c r="C815" s="31">
        <v>7</v>
      </c>
      <c r="D815" s="106" t="s">
        <v>20</v>
      </c>
      <c r="E815" s="2" t="s">
        <v>148</v>
      </c>
      <c r="F815" s="2"/>
      <c r="G815" s="2"/>
      <c r="H815" s="33"/>
      <c r="I815" s="173">
        <f>M815/AE815</f>
        <v>391.84073972808636</v>
      </c>
      <c r="J815" s="174">
        <f>AH815/AE815</f>
        <v>20.525336287912033</v>
      </c>
      <c r="K815" s="207">
        <f>RANK(I815,$I$76:$I$977)</f>
        <v>740</v>
      </c>
      <c r="L815" s="208" t="e">
        <f>RANK(I815,$I$76:$I$450)</f>
        <v>#N/A</v>
      </c>
      <c r="M815" s="173">
        <f>SUM(N815:R815)</f>
        <v>5860.8105323647142</v>
      </c>
      <c r="N815" s="174">
        <f>T815*(1+((AG815+IF(F815="백어택",8,0))/100)*((AI815/100-1)))</f>
        <v>3082.8369487290388</v>
      </c>
      <c r="O815" s="174">
        <f>U815*(1+(($D$57+IF(F815="백어택",8,0))/100)*($D$58/100-1))</f>
        <v>2777.9735836356754</v>
      </c>
      <c r="P815" s="174"/>
      <c r="Q815" s="174"/>
      <c r="R815" s="175"/>
      <c r="S815" s="173">
        <f>SUM(T815:X815)</f>
        <v>4669.212161943904</v>
      </c>
      <c r="T815" s="174">
        <f>AL815*AV815*IF(F815="백어택",1.2,1)</f>
        <v>2334.8060809719518</v>
      </c>
      <c r="U815" s="174">
        <f>AM815*AX815*AY815*IF(F815="백어택",1.2,1)</f>
        <v>2334.4060809719517</v>
      </c>
      <c r="V815" s="174"/>
      <c r="W815" s="174"/>
      <c r="X815" s="175"/>
      <c r="Y815" s="173">
        <f>SUM(Z815:AD815)</f>
        <v>9338.424323887808</v>
      </c>
      <c r="Z815" s="174">
        <f>T815*$D$58/100</f>
        <v>4669.6121619439036</v>
      </c>
      <c r="AA815" s="174">
        <f>U815*$D$58/100</f>
        <v>4668.8121619439034</v>
      </c>
      <c r="AB815" s="174"/>
      <c r="AC815" s="174"/>
      <c r="AD815" s="175"/>
      <c r="AE815" s="173">
        <f>AO815*(1-$D$17/100)-AR815</f>
        <v>14.957124</v>
      </c>
      <c r="AF815" s="174">
        <f>AP815</f>
        <v>36</v>
      </c>
      <c r="AG815" s="174">
        <f>IF($D$57+AU815&gt;100,100,$D$57+AU815)</f>
        <v>19.001300000000001</v>
      </c>
      <c r="AH815" s="174">
        <f>AQ815*AS815</f>
        <v>307</v>
      </c>
      <c r="AI815" s="174">
        <f>$D$58+$D$19</f>
        <v>268.61079999999998</v>
      </c>
      <c r="AJ815" s="174">
        <f>10*IF(AV815=1,1,5/4.5)/IF(AX815=1,5,3.5)</f>
        <v>2</v>
      </c>
      <c r="AK815" s="174">
        <f>SUM(AL815:AN815)</f>
        <v>4669.212161943904</v>
      </c>
      <c r="AL815" s="174">
        <f>(VLOOKUP(C815,$B$36:$AG$39,29,FALSE)+VLOOKUP(C815,$B$40:$AG$43,29,FALSE)*$D$54)*$D$59/100</f>
        <v>2334.8060809719518</v>
      </c>
      <c r="AM815" s="174">
        <f>(VLOOKUP(C815,$B$36:$AG$39,30,FALSE)+VLOOKUP(C815,$B$40:$AG$43,30,FALSE)*$D$54)*$D$59/100</f>
        <v>2334.4060809719517</v>
      </c>
      <c r="AN815" s="174"/>
      <c r="AO815" s="176">
        <v>18</v>
      </c>
      <c r="AP815" s="174">
        <v>36</v>
      </c>
      <c r="AQ815" s="175">
        <f>VLOOKUP(C815,$B$45:$AG$48,29,FALSE)</f>
        <v>307</v>
      </c>
      <c r="AR815" s="31">
        <f>IF(LEFT(E815,1)*1=1,$S$70,$R$70)</f>
        <v>3</v>
      </c>
      <c r="AS815" s="2">
        <f>IF(LEFT(E815,1)*1=2,$U$70,$T$70)</f>
        <v>1</v>
      </c>
      <c r="AT815" s="33">
        <f>IF(LEFT(E815,1)*1=3,$W$70,$V$70)</f>
        <v>0</v>
      </c>
      <c r="AU815" s="31">
        <f>IF(MID(E815,3,1)*1=1,$Y$70,$X$70)</f>
        <v>0</v>
      </c>
      <c r="AV815" s="2">
        <f>IF(MID(E815,3,1)*1=2,$AA$70,$Z$70)</f>
        <v>1</v>
      </c>
      <c r="AW815" s="33">
        <f>IF(MID(E815,3,1)*1=3,$AC$70,$AB$70)</f>
        <v>0</v>
      </c>
      <c r="AX815" s="31">
        <f>IF(MID(E815,5,1)*1=1,$AE$70,$AD$70)</f>
        <v>1</v>
      </c>
      <c r="AY815" s="33">
        <f>IF(MID(E815,5,1)*1=2,$AG$70,$AF$70)</f>
        <v>1</v>
      </c>
      <c r="AZ815" s="2"/>
      <c r="BA815" s="101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</row>
    <row r="816" spans="1:71" ht="12" customHeight="1">
      <c r="A816" s="2"/>
      <c r="B816" s="107">
        <v>56</v>
      </c>
      <c r="C816" s="31">
        <v>4</v>
      </c>
      <c r="D816" s="106" t="s">
        <v>4</v>
      </c>
      <c r="E816" s="2" t="s">
        <v>87</v>
      </c>
      <c r="F816" s="2" t="s">
        <v>149</v>
      </c>
      <c r="G816" s="2"/>
      <c r="H816" s="33"/>
      <c r="I816" s="173">
        <f>M816/AE816</f>
        <v>391.79822046216339</v>
      </c>
      <c r="J816" s="174">
        <f>AH816/AE816</f>
        <v>11.193329176765722</v>
      </c>
      <c r="K816" s="207">
        <f>RANK(I816,$I$76:$I$977)</f>
        <v>741</v>
      </c>
      <c r="L816" s="208" t="e">
        <f>RANK(I816,$I$76:$I$450)</f>
        <v>#N/A</v>
      </c>
      <c r="M816" s="173">
        <f>SUM(N816:R816)</f>
        <v>4690.3794852122701</v>
      </c>
      <c r="N816" s="174">
        <f>T816*(1+((AG816+IF(F816="백어택",8,0))/100)*((AI816/100-1)))</f>
        <v>1281.3463056495025</v>
      </c>
      <c r="O816" s="174">
        <f>U816*(1+((AG816+IF(F816="백어택",8,0))/100)*(AI816/100-1))</f>
        <v>3409.0331795627671</v>
      </c>
      <c r="P816" s="174"/>
      <c r="Q816" s="174"/>
      <c r="R816" s="175"/>
      <c r="S816" s="173">
        <f>SUM(T816:X816)</f>
        <v>3223.0280334665854</v>
      </c>
      <c r="T816" s="174">
        <f>AT816*AL816*IF(F816="백어택",1.2,1)</f>
        <v>880.4863394758537</v>
      </c>
      <c r="U816" s="174">
        <f>AM816*AW816*AX816*AY816*IF(F816="백어택",1.2,1)</f>
        <v>2342.5416939907318</v>
      </c>
      <c r="V816" s="174"/>
      <c r="W816" s="174"/>
      <c r="X816" s="175"/>
      <c r="Y816" s="173">
        <f>SUM(Z816:AD816)</f>
        <v>6446.0560669331708</v>
      </c>
      <c r="Z816" s="174">
        <f>T816*$D$58/100</f>
        <v>1760.9726789517074</v>
      </c>
      <c r="AA816" s="174">
        <f>U816*$D$58/100</f>
        <v>4685.0833879814636</v>
      </c>
      <c r="AB816" s="174"/>
      <c r="AC816" s="174"/>
      <c r="AD816" s="175"/>
      <c r="AE816" s="173">
        <f>AO816*(1-$D$17/100)</f>
        <v>11.971416</v>
      </c>
      <c r="AF816" s="174">
        <f>AP816</f>
        <v>36</v>
      </c>
      <c r="AG816" s="174">
        <f>IF($D$57&gt;100,100,$D$57)</f>
        <v>19.001300000000001</v>
      </c>
      <c r="AH816" s="174">
        <f>AQ816</f>
        <v>134</v>
      </c>
      <c r="AI816" s="174">
        <f>$D$58+$D$19</f>
        <v>268.61079999999998</v>
      </c>
      <c r="AJ816" s="174">
        <f>10/IF(AY816=1,5,4)</f>
        <v>2</v>
      </c>
      <c r="AK816" s="174">
        <f>SUM(AL816:AN816)</f>
        <v>2441.2771558121954</v>
      </c>
      <c r="AL816" s="174">
        <f>(VLOOKUP(C816,$B$36:$AG$39,4,FALSE)+VLOOKUP(C816,$B$40:$AG$43,4,FALSE)*$D$54)*$D$59/100</f>
        <v>489.15907748658537</v>
      </c>
      <c r="AM816" s="174">
        <f>(VLOOKUP(C816,$B$36:$AG$39,5,FALSE)+VLOOKUP(C816,$B$40:$AG$43,5,FALSE)*$D$54)*$D$59/100</f>
        <v>1952.11807832561</v>
      </c>
      <c r="AN816" s="174"/>
      <c r="AO816" s="176">
        <v>12</v>
      </c>
      <c r="AP816" s="174">
        <v>36</v>
      </c>
      <c r="AQ816" s="175">
        <f>VLOOKUP(C816,$B$45:$AA$48,4,FALSE)</f>
        <v>134</v>
      </c>
      <c r="AR816" s="31">
        <f>IF(LEFT(E816,1)*1=1,$S$54,$R$54)</f>
        <v>0</v>
      </c>
      <c r="AS816" s="2">
        <f>IF(LEFT(E816,1)*1=2,$U$54,$T$54)</f>
        <v>0</v>
      </c>
      <c r="AT816" s="33">
        <f>IF(LEFT(E816,1)*1=3,$W$54,$V$54)</f>
        <v>1.5</v>
      </c>
      <c r="AU816" s="31">
        <f>IF(MID(E816,3,1)*1=1,$Y$54,$X$54)</f>
        <v>0</v>
      </c>
      <c r="AV816" s="2">
        <f>IF(MID(E816,3,1)*1=2,$AA$54,$Z$54)</f>
        <v>0</v>
      </c>
      <c r="AW816" s="33">
        <f>IF(MID(E816,3,1)*1=3,$AC$54,$AB$54)</f>
        <v>1</v>
      </c>
      <c r="AX816" s="31">
        <f>IF(MID(E816,5,1)*1=1,$AE$54,$AD$54)</f>
        <v>1</v>
      </c>
      <c r="AY816" s="33">
        <f>IF(MID(E816,5,1)*1=2,$AG$54,$AF$54)</f>
        <v>1</v>
      </c>
      <c r="AZ816" s="2"/>
      <c r="BA816" s="101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</row>
    <row r="817" spans="1:71" ht="12" customHeight="1">
      <c r="A817" s="2"/>
      <c r="B817" s="107">
        <v>845</v>
      </c>
      <c r="C817" s="31">
        <v>10</v>
      </c>
      <c r="D817" s="113" t="s">
        <v>15</v>
      </c>
      <c r="E817" s="2" t="s">
        <v>92</v>
      </c>
      <c r="F817" s="2"/>
      <c r="G817" s="2"/>
      <c r="H817" s="33">
        <f>IF(AX817=AT817,3,4)</f>
        <v>3</v>
      </c>
      <c r="I817" s="173">
        <f>M817/AE817</f>
        <v>388.66493650085334</v>
      </c>
      <c r="J817" s="174">
        <f>AH817/AE817</f>
        <v>19.780450366105395</v>
      </c>
      <c r="K817" s="207">
        <f>RANK(I817,$I$76:$I$977)</f>
        <v>742</v>
      </c>
      <c r="L817" s="208" t="e">
        <f>RANK(I817,$I$867:$I$977)</f>
        <v>#N/A</v>
      </c>
      <c r="M817" s="173">
        <f>SUM(N817:R817)*(1+$D$22/100)</f>
        <v>11632.17409866325</v>
      </c>
      <c r="N817" s="174">
        <f>T817*(1+((AG817+IF(F817="백어택",8,0))/100)*(AI817/100-1))</f>
        <v>3493.5331256776276</v>
      </c>
      <c r="O817" s="174">
        <f>U817*(1+(AG817/100)*(AI817/100-1))</f>
        <v>3493.5331256776276</v>
      </c>
      <c r="P817" s="174">
        <f>V817*(1+(AG817/100)*(AI817/100-1))</f>
        <v>3493.5331256776276</v>
      </c>
      <c r="Q817" s="174">
        <f>W817*(1+(AG817/100)*(AI817/100-1))</f>
        <v>0</v>
      </c>
      <c r="R817" s="175">
        <f>X817*(1+(AG817/100)*(AI817/100-1))</f>
        <v>0</v>
      </c>
      <c r="S817" s="173">
        <f>SUM(T817:X817)</f>
        <v>8807.1301549082928</v>
      </c>
      <c r="T817" s="174">
        <f>AL817*AS817*AY817</f>
        <v>2935.7100516360979</v>
      </c>
      <c r="U817" s="174">
        <f>AL817*AS817*AY817</f>
        <v>2935.7100516360979</v>
      </c>
      <c r="V817" s="174">
        <f>AL817*AS817*AY817</f>
        <v>2935.7100516360979</v>
      </c>
      <c r="W817" s="174">
        <f>IF(H817=4,AL817*AS817*IF(AT817=0,AY817,1),0)</f>
        <v>0</v>
      </c>
      <c r="X817" s="175">
        <f>AL817*IF(H817=3,11,IF(AT817=1,15,13))*IF(AW817=1,0,AW817)</f>
        <v>0</v>
      </c>
      <c r="Y817" s="173">
        <f>SUM(Z817:AD817)</f>
        <v>17614.260309816586</v>
      </c>
      <c r="Z817" s="174">
        <f>T817*AI817/100</f>
        <v>5871.4201032721958</v>
      </c>
      <c r="AA817" s="174">
        <f>U817*AI817/100</f>
        <v>5871.4201032721958</v>
      </c>
      <c r="AB817" s="174">
        <f>V817*AI817/100</f>
        <v>5871.4201032721958</v>
      </c>
      <c r="AC817" s="174">
        <f>W817*AI817/100</f>
        <v>0</v>
      </c>
      <c r="AD817" s="175">
        <f>X817*AI817/100</f>
        <v>0</v>
      </c>
      <c r="AE817" s="173">
        <f>AO817*(1-$D$17/100)</f>
        <v>29.928540000000002</v>
      </c>
      <c r="AF817" s="174">
        <f>AP817</f>
        <v>36</v>
      </c>
      <c r="AG817" s="174">
        <f>IF($D$57+AX817&gt;100,100,$D$57+AX817)</f>
        <v>19.001300000000001</v>
      </c>
      <c r="AH817" s="174">
        <f>AQ817</f>
        <v>592</v>
      </c>
      <c r="AI817" s="174">
        <f>$D$58</f>
        <v>200</v>
      </c>
      <c r="AJ817" s="174">
        <f>10*AU817/IF(AT817=1,2.5,(IF(AY817=1,3,2.5)))</f>
        <v>4</v>
      </c>
      <c r="AK817" s="174">
        <f>SUM(AL817:AN817)</f>
        <v>2258.2385012585369</v>
      </c>
      <c r="AL817" s="174">
        <f>((VLOOKUP(C817,$B$36:$AG$39,22,FALSE)+VLOOKUP(C817,$B$40:$AG$43,22,FALSE)*$D$54))*$D$59/100</f>
        <v>2258.2385012585369</v>
      </c>
      <c r="AM817" s="174"/>
      <c r="AN817" s="174"/>
      <c r="AO817" s="176">
        <v>30</v>
      </c>
      <c r="AP817" s="174">
        <v>36</v>
      </c>
      <c r="AQ817" s="175">
        <f>VLOOKUP(C817,$B$45:$AA$48,22,FALSE)</f>
        <v>592</v>
      </c>
      <c r="AR817" s="31">
        <f>IF(LEFT(E817,1)*1=1,$S$65,$R$65)</f>
        <v>0</v>
      </c>
      <c r="AS817" s="2">
        <f>IF(LEFT(E817,1)*1=2,$U$65,$T$65)</f>
        <v>1</v>
      </c>
      <c r="AT817" s="33">
        <f>IF(LEFT(E817,1)*1=3,$W$65,$V$65)</f>
        <v>0</v>
      </c>
      <c r="AU817" s="31">
        <f>IF(MID(E817,3,1)*1=1,$Y$65,$X$65)</f>
        <v>1</v>
      </c>
      <c r="AV817" s="2">
        <f>IF(MID(E817,3,1)*1=2,$AA$65,$Z$65)</f>
        <v>0</v>
      </c>
      <c r="AW817" s="33">
        <f>IF(MID(E817,3,1)*1=3,$AC$65,$AB$65)</f>
        <v>1</v>
      </c>
      <c r="AX817" s="31">
        <f>IF(MID(E817,5,1)*1=1,$AE$65,$AD$65)</f>
        <v>0</v>
      </c>
      <c r="AY817" s="33">
        <f>IF(MID(E817,5,1)*1=2,$AG$65,$AF$65)</f>
        <v>1.3</v>
      </c>
      <c r="AZ817" s="2"/>
      <c r="BA817" s="101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</row>
    <row r="818" spans="1:71" ht="12" customHeight="1">
      <c r="A818" s="2"/>
      <c r="B818" s="107">
        <v>846</v>
      </c>
      <c r="C818" s="31">
        <v>10</v>
      </c>
      <c r="D818" s="113" t="s">
        <v>15</v>
      </c>
      <c r="E818" s="2" t="s">
        <v>139</v>
      </c>
      <c r="F818" s="2"/>
      <c r="G818" s="2"/>
      <c r="H818" s="33">
        <f>IF(AX818=AT818,3,4)</f>
        <v>3</v>
      </c>
      <c r="I818" s="173">
        <f>M818/AE818</f>
        <v>388.66493650085334</v>
      </c>
      <c r="J818" s="174">
        <f>AH818/AE818</f>
        <v>19.780450366105395</v>
      </c>
      <c r="K818" s="207">
        <f>RANK(I818,$I$76:$I$977)</f>
        <v>742</v>
      </c>
      <c r="L818" s="208" t="e">
        <f>RANK(I818,$I$867:$I$977)</f>
        <v>#N/A</v>
      </c>
      <c r="M818" s="173">
        <f>SUM(N818:R818)*(1+$D$22/100)</f>
        <v>11632.17409866325</v>
      </c>
      <c r="N818" s="174">
        <f>T818*(1+((AG818+IF(F818="백어택",8,0))/100)*(AI818/100-1))</f>
        <v>3493.5331256776276</v>
      </c>
      <c r="O818" s="174">
        <f>U818*(1+(AG818/100)*(AI818/100-1))</f>
        <v>3493.5331256776276</v>
      </c>
      <c r="P818" s="174">
        <f>V818*(1+(AG818/100)*(AI818/100-1))</f>
        <v>3493.5331256776276</v>
      </c>
      <c r="Q818" s="174">
        <f>W818*(1+(AG818/100)*(AI818/100-1))</f>
        <v>0</v>
      </c>
      <c r="R818" s="175">
        <f>X818*(1+(AG818/100)*(AI818/100-1))</f>
        <v>0</v>
      </c>
      <c r="S818" s="173">
        <f>SUM(T818:X818)</f>
        <v>8807.1301549082928</v>
      </c>
      <c r="T818" s="174">
        <f>AL818*AS818*AY818</f>
        <v>2935.7100516360979</v>
      </c>
      <c r="U818" s="174">
        <f>AL818*AS818*AY818</f>
        <v>2935.7100516360979</v>
      </c>
      <c r="V818" s="174">
        <f>AL818*AS818*AY818</f>
        <v>2935.7100516360979</v>
      </c>
      <c r="W818" s="174">
        <f>IF(H818=4,AL818*AS818*IF(AT818=0,AY818,1),0)</f>
        <v>0</v>
      </c>
      <c r="X818" s="175">
        <f>AL818*IF(H818=3,11,IF(AT818=1,15,13))*IF(AW818=1,0,AW818)</f>
        <v>0</v>
      </c>
      <c r="Y818" s="173">
        <f>SUM(Z818:AD818)</f>
        <v>17614.260309816586</v>
      </c>
      <c r="Z818" s="174">
        <f>T818*AI818/100</f>
        <v>5871.4201032721958</v>
      </c>
      <c r="AA818" s="174">
        <f>U818*AI818/100</f>
        <v>5871.4201032721958</v>
      </c>
      <c r="AB818" s="174">
        <f>V818*AI818/100</f>
        <v>5871.4201032721958</v>
      </c>
      <c r="AC818" s="174">
        <f>W818*AI818/100</f>
        <v>0</v>
      </c>
      <c r="AD818" s="175">
        <f>X818*AI818/100</f>
        <v>0</v>
      </c>
      <c r="AE818" s="173">
        <f>AO818*(1-$D$17/100)</f>
        <v>29.928540000000002</v>
      </c>
      <c r="AF818" s="174">
        <f>AP818</f>
        <v>36</v>
      </c>
      <c r="AG818" s="174">
        <f>IF($D$57+AX818&gt;100,100,$D$57+AX818)</f>
        <v>19.001300000000001</v>
      </c>
      <c r="AH818" s="174">
        <f>AQ818</f>
        <v>592</v>
      </c>
      <c r="AI818" s="174">
        <f>$D$58</f>
        <v>200</v>
      </c>
      <c r="AJ818" s="174">
        <f>10*AU818/IF(AT818=1,2.5,(IF(AY818=1,3,2.5)))</f>
        <v>3.2</v>
      </c>
      <c r="AK818" s="174">
        <f>SUM(AL818:AN818)</f>
        <v>2258.2385012585369</v>
      </c>
      <c r="AL818" s="174">
        <f>((VLOOKUP(C818,$B$36:$AG$39,22,FALSE)+VLOOKUP(C818,$B$40:$AG$43,22,FALSE)*$D$54))*$D$59/100</f>
        <v>2258.2385012585369</v>
      </c>
      <c r="AM818" s="174"/>
      <c r="AN818" s="174"/>
      <c r="AO818" s="176">
        <v>30</v>
      </c>
      <c r="AP818" s="174">
        <v>36</v>
      </c>
      <c r="AQ818" s="175">
        <f>VLOOKUP(C818,$B$45:$AA$48,22,FALSE)</f>
        <v>592</v>
      </c>
      <c r="AR818" s="31">
        <f>IF(LEFT(E818,1)*1=1,$S$65,$R$65)</f>
        <v>0</v>
      </c>
      <c r="AS818" s="2">
        <f>IF(LEFT(E818,1)*1=2,$U$65,$T$65)</f>
        <v>1</v>
      </c>
      <c r="AT818" s="33">
        <f>IF(LEFT(E818,1)*1=3,$W$65,$V$65)</f>
        <v>0</v>
      </c>
      <c r="AU818" s="31">
        <f>IF(MID(E818,3,1)*1=1,$Y$65,$X$65)</f>
        <v>0.8</v>
      </c>
      <c r="AV818" s="2">
        <f>IF(MID(E818,3,1)*1=2,$AA$65,$Z$65)</f>
        <v>0</v>
      </c>
      <c r="AW818" s="33">
        <f>IF(MID(E818,3,1)*1=3,$AC$65,$AB$65)</f>
        <v>1</v>
      </c>
      <c r="AX818" s="31">
        <f>IF(MID(E818,5,1)*1=1,$AE$65,$AD$65)</f>
        <v>0</v>
      </c>
      <c r="AY818" s="33">
        <f>IF(MID(E818,5,1)*1=2,$AG$65,$AF$65)</f>
        <v>1.3</v>
      </c>
      <c r="AZ818" s="2"/>
      <c r="BA818" s="101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</row>
    <row r="819" spans="1:71" ht="12" customHeight="1">
      <c r="A819" s="2"/>
      <c r="B819" s="107">
        <v>791</v>
      </c>
      <c r="C819" s="31">
        <v>1</v>
      </c>
      <c r="D819" s="111" t="s">
        <v>21</v>
      </c>
      <c r="E819" s="2" t="s">
        <v>67</v>
      </c>
      <c r="F819" s="2" t="s">
        <v>149</v>
      </c>
      <c r="G819" s="2"/>
      <c r="H819" s="33"/>
      <c r="I819" s="173">
        <f>M819/AE819</f>
        <v>388.19388594853285</v>
      </c>
      <c r="J819" s="174">
        <f>AH819/AE819</f>
        <v>4.5803457972019714</v>
      </c>
      <c r="K819" s="207">
        <f>RANK(I819,$I$76:$I$977)</f>
        <v>744</v>
      </c>
      <c r="L819" s="208">
        <f>RANK(I819,$I$451:$I$866)</f>
        <v>369</v>
      </c>
      <c r="M819" s="173">
        <f>SUM(N819:R819)</f>
        <v>10763.515616131057</v>
      </c>
      <c r="N819" s="174">
        <f>T819*(1+((AG819+IF(F819="백어택",8,0))/100)*(AI819/100-1))</f>
        <v>10763.515616131057</v>
      </c>
      <c r="O819" s="174"/>
      <c r="P819" s="174"/>
      <c r="Q819" s="174"/>
      <c r="R819" s="175">
        <f>X819*(1+(AG819/100)*(AI819/100-1))</f>
        <v>0</v>
      </c>
      <c r="S819" s="173">
        <f>SUM(T819:X819)</f>
        <v>8475.1223933385372</v>
      </c>
      <c r="T819" s="174">
        <f>AL819*AW819*AX819*AY819*IF(F819="백어택",1.2,1)</f>
        <v>8475.1223933385372</v>
      </c>
      <c r="U819" s="174"/>
      <c r="V819" s="174"/>
      <c r="W819" s="174"/>
      <c r="X819" s="175">
        <f>AL819*AS819+IF(AX819=1,AL819*AU819,AL819*AU819*2)</f>
        <v>0</v>
      </c>
      <c r="Y819" s="173">
        <f>SUM(Z819:AD819)</f>
        <v>16950.244786677074</v>
      </c>
      <c r="Z819" s="174">
        <f>T819*$D$58/100</f>
        <v>16950.244786677074</v>
      </c>
      <c r="AA819" s="174"/>
      <c r="AB819" s="174"/>
      <c r="AC819" s="174"/>
      <c r="AD819" s="175">
        <f>X819*$D$58/100</f>
        <v>0</v>
      </c>
      <c r="AE819" s="173">
        <f>AO819*(1-$D$20/100)*(1-$D$17/100)-AR819</f>
        <v>27.727164197424003</v>
      </c>
      <c r="AF819" s="174">
        <f>AP819</f>
        <v>36</v>
      </c>
      <c r="AG819" s="174">
        <f>IF($D$57&gt;100,100,$D$57)</f>
        <v>19.001300000000001</v>
      </c>
      <c r="AH819" s="174">
        <f>AQ819</f>
        <v>127</v>
      </c>
      <c r="AI819" s="174">
        <f>$D$58</f>
        <v>200</v>
      </c>
      <c r="AJ819" s="174">
        <f>10/6</f>
        <v>1.6666666666666667</v>
      </c>
      <c r="AK819" s="174">
        <f>SUM(AL819:AN819)</f>
        <v>7062.6019944487816</v>
      </c>
      <c r="AL819" s="174">
        <f>(VLOOKUP(C819,$B$36:$AG$39,31,FALSE)+VLOOKUP(C819,$B$40:$AG$43,31,FALSE)*$D$54)*$D$59/100</f>
        <v>7062.6019944487816</v>
      </c>
      <c r="AM819" s="174"/>
      <c r="AN819" s="174"/>
      <c r="AO819" s="176">
        <v>36</v>
      </c>
      <c r="AP819" s="174">
        <v>36</v>
      </c>
      <c r="AQ819" s="175">
        <f>VLOOKUP(C819,$B$45:$AG$48,31,FALSE)</f>
        <v>127</v>
      </c>
      <c r="AR819" s="31">
        <f>IF(LEFT(E819,1)*1=1,$S$71,$R$71)</f>
        <v>0</v>
      </c>
      <c r="AS819" s="2">
        <f>IF(LEFT(E819,1)*1=2,$U$71,$T$71)</f>
        <v>0</v>
      </c>
      <c r="AT819" s="33">
        <f>IF(LEFT(E819,1)*1=3,$W$71,$V$71)</f>
        <v>0</v>
      </c>
      <c r="AU819" s="31">
        <f>IF(MID(E819,3,1)*1=1,$Y$71,$X$71)</f>
        <v>0</v>
      </c>
      <c r="AV819" s="2">
        <f>IF(MID(E819,3,1)*1=2,$AA$71,$Z$71)</f>
        <v>0</v>
      </c>
      <c r="AW819" s="33">
        <f>IF(MID(E819,3,1)*1=3,$AC$71,$AB$71)</f>
        <v>1</v>
      </c>
      <c r="AX819" s="31">
        <f>IF(MID(E819,5,1)*1=1,$AE$71,$AD$71)</f>
        <v>1</v>
      </c>
      <c r="AY819" s="33">
        <f>IF(MID(E819,5,1)*1=2,$AG$71,$AF$71)</f>
        <v>1</v>
      </c>
      <c r="AZ819" s="2"/>
      <c r="BA819" s="101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</row>
    <row r="820" spans="1:71" ht="12" customHeight="1">
      <c r="A820" s="2"/>
      <c r="B820" s="107">
        <v>284</v>
      </c>
      <c r="C820" s="31">
        <v>10</v>
      </c>
      <c r="D820" s="106" t="s">
        <v>17</v>
      </c>
      <c r="E820" s="2" t="s">
        <v>140</v>
      </c>
      <c r="F820" s="2"/>
      <c r="G820" s="2"/>
      <c r="H820" s="33">
        <f>IF(AT820=1,3,IF(AY820=1,3,2))</f>
        <v>2</v>
      </c>
      <c r="I820" s="173">
        <f>M820/AE820</f>
        <v>386.4481498477333</v>
      </c>
      <c r="J820" s="174">
        <f>AH820/AE820</f>
        <v>34.707673678702669</v>
      </c>
      <c r="K820" s="207">
        <f>RANK(I820,$I$76:$I$977)</f>
        <v>745</v>
      </c>
      <c r="L820" s="208" t="e">
        <f>RANK(I820,$I$76:$I$450)</f>
        <v>#N/A</v>
      </c>
      <c r="M820" s="173">
        <f>SUM(N820:R820)</f>
        <v>3084.2210428383682</v>
      </c>
      <c r="N820" s="174">
        <f>T820*(1+((AG820+IF(F820="백어택",8,0))/100)*((AI820/100-1)))</f>
        <v>1850.532625703021</v>
      </c>
      <c r="O820" s="174">
        <f>U820*(1+(AG820/100)*(AI820/100-1))</f>
        <v>1233.6884171353472</v>
      </c>
      <c r="P820" s="174">
        <f>V820*(1+(AG820/100)*(AI820/100-1))</f>
        <v>0</v>
      </c>
      <c r="Q820" s="174"/>
      <c r="R820" s="175"/>
      <c r="S820" s="173">
        <f>SUM(T820:X820)</f>
        <v>2335.8543334085371</v>
      </c>
      <c r="T820" s="174">
        <f>AL820*AV820</f>
        <v>1401.5126000451221</v>
      </c>
      <c r="U820" s="174">
        <f>AL820*AW820</f>
        <v>934.34173336341473</v>
      </c>
      <c r="V820" s="174">
        <f>IF(H820=3,AL820,0)*(1+AW820-1+AW820-1)</f>
        <v>0</v>
      </c>
      <c r="W820" s="174"/>
      <c r="X820" s="175"/>
      <c r="Y820" s="173">
        <f>SUM(Z820:AD820)</f>
        <v>6274.3570118033376</v>
      </c>
      <c r="Z820" s="174">
        <f>T820*AI820/100</f>
        <v>3764.6142070820024</v>
      </c>
      <c r="AA820" s="174">
        <f>U820*AI820/100</f>
        <v>2509.7428047213352</v>
      </c>
      <c r="AB820" s="174">
        <f>V820*AI820/100</f>
        <v>0</v>
      </c>
      <c r="AC820" s="174"/>
      <c r="AD820" s="175"/>
      <c r="AE820" s="173">
        <f>AO820*(1-$D$17/100)</f>
        <v>7.980944</v>
      </c>
      <c r="AF820" s="174">
        <f>AP820</f>
        <v>36</v>
      </c>
      <c r="AG820" s="174">
        <f>IF($D$57&gt;100,100,$D$57)</f>
        <v>19.001300000000001</v>
      </c>
      <c r="AH820" s="174">
        <f>AQ820</f>
        <v>277</v>
      </c>
      <c r="AI820" s="174">
        <f>$D$58+$D$19</f>
        <v>268.61079999999998</v>
      </c>
      <c r="AJ820" s="174">
        <f>10*AR820/IF(AT820=0,IF(AY820=0,8,5),5)</f>
        <v>1.25</v>
      </c>
      <c r="AK820" s="174">
        <f>H820*SUM(AL820:AN820)</f>
        <v>1868.6834667268295</v>
      </c>
      <c r="AL820" s="174">
        <f>((VLOOKUP(C820,$B$36:$AG$39,24,FALSE)+VLOOKUP(C820,$B$40:$AG$43,24,FALSE)*$D$54))*$D$59/100</f>
        <v>934.34173336341473</v>
      </c>
      <c r="AM820" s="174"/>
      <c r="AN820" s="174"/>
      <c r="AO820" s="176">
        <v>8</v>
      </c>
      <c r="AP820" s="174">
        <v>36</v>
      </c>
      <c r="AQ820" s="175">
        <f>VLOOKUP(C820,$B$45:$AA$48,24,FALSE)</f>
        <v>277</v>
      </c>
      <c r="AR820" s="31">
        <f>IF(LEFT(E820,1)*1=1,$S$67,$R$67)</f>
        <v>1</v>
      </c>
      <c r="AS820" s="2">
        <f>IF(LEFT(E820,1)*1=2,$U$67,$T$67)</f>
        <v>0</v>
      </c>
      <c r="AT820" s="33">
        <f>IF(LEFT(E820,1)*1=3,$W$67,$V$67)</f>
        <v>0</v>
      </c>
      <c r="AU820" s="31">
        <f>IF(MID(E820,3,1)*1=1,$Y$67,$X$67)</f>
        <v>0</v>
      </c>
      <c r="AV820" s="2">
        <f>IF(MID(E820,3,1)*1=2,$AA$67,$Z$67)</f>
        <v>1.5</v>
      </c>
      <c r="AW820" s="33">
        <f>IF(MID(E820,3,1)*1=3,$AC$67,$AB$67)</f>
        <v>1</v>
      </c>
      <c r="AX820" s="31">
        <f>IF(MID(E820,5,1)*1=1,$AE$67,$AD$67)</f>
        <v>150</v>
      </c>
      <c r="AY820" s="33">
        <f>IF(MID(E820,5,1)*1=2,$AG$67,$AF$67)</f>
        <v>0</v>
      </c>
      <c r="AZ820" s="2"/>
      <c r="BA820" s="101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</row>
    <row r="821" spans="1:71" ht="12" customHeight="1">
      <c r="A821" s="2"/>
      <c r="B821" s="107">
        <v>287</v>
      </c>
      <c r="C821" s="31">
        <v>10</v>
      </c>
      <c r="D821" s="106" t="s">
        <v>17</v>
      </c>
      <c r="E821" s="2" t="s">
        <v>153</v>
      </c>
      <c r="F821" s="2"/>
      <c r="G821" s="2"/>
      <c r="H821" s="33">
        <f>IF(AT821=1,3,IF(AY821=1,3,2))</f>
        <v>2</v>
      </c>
      <c r="I821" s="173">
        <f>M821/AE821</f>
        <v>386.4481498477333</v>
      </c>
      <c r="J821" s="174">
        <f>AH821/AE821</f>
        <v>34.707673678702669</v>
      </c>
      <c r="K821" s="207">
        <f>RANK(I821,$I$76:$I$977)</f>
        <v>745</v>
      </c>
      <c r="L821" s="208" t="e">
        <f>RANK(I821,$I$76:$I$450)</f>
        <v>#N/A</v>
      </c>
      <c r="M821" s="173">
        <f>SUM(N821:R821)</f>
        <v>3084.2210428383682</v>
      </c>
      <c r="N821" s="174">
        <f>T821*(1+((AG821+IF(F821="백어택",8,0))/100)*((AI821/100-1)))</f>
        <v>1850.532625703021</v>
      </c>
      <c r="O821" s="174">
        <f>U821*(1+(AG821/100)*(AI821/100-1))</f>
        <v>1233.6884171353472</v>
      </c>
      <c r="P821" s="174">
        <f>V821*(1+(AG821/100)*(AI821/100-1))</f>
        <v>0</v>
      </c>
      <c r="Q821" s="174"/>
      <c r="R821" s="175"/>
      <c r="S821" s="173">
        <f>SUM(T821:X821)</f>
        <v>2335.8543334085371</v>
      </c>
      <c r="T821" s="174">
        <f>AL821*AV821</f>
        <v>1401.5126000451221</v>
      </c>
      <c r="U821" s="174">
        <f>AL821*AW821</f>
        <v>934.34173336341473</v>
      </c>
      <c r="V821" s="174">
        <f>IF(H821=3,AL821,0)*(1+AW821-1+AW821-1)</f>
        <v>0</v>
      </c>
      <c r="W821" s="174"/>
      <c r="X821" s="175"/>
      <c r="Y821" s="173">
        <f>SUM(Z821:AD821)</f>
        <v>6274.3570118033376</v>
      </c>
      <c r="Z821" s="174">
        <f>T821*AI821/100</f>
        <v>3764.6142070820024</v>
      </c>
      <c r="AA821" s="174">
        <f>U821*AI821/100</f>
        <v>2509.7428047213352</v>
      </c>
      <c r="AB821" s="174">
        <f>V821*AI821/100</f>
        <v>0</v>
      </c>
      <c r="AC821" s="174"/>
      <c r="AD821" s="175"/>
      <c r="AE821" s="173">
        <f>AO821*(1-$D$17/100)</f>
        <v>7.980944</v>
      </c>
      <c r="AF821" s="174">
        <f>AP821</f>
        <v>36</v>
      </c>
      <c r="AG821" s="174">
        <f>IF($D$57&gt;100,100,$D$57)</f>
        <v>19.001300000000001</v>
      </c>
      <c r="AH821" s="174">
        <f>AQ821</f>
        <v>277</v>
      </c>
      <c r="AI821" s="174">
        <f>$D$58+$D$19</f>
        <v>268.61079999999998</v>
      </c>
      <c r="AJ821" s="174">
        <f>10*AR821/IF(AT821=0,IF(AY821=0,8,5),5)</f>
        <v>1</v>
      </c>
      <c r="AK821" s="174">
        <f>H821*SUM(AL821:AN821)</f>
        <v>1868.6834667268295</v>
      </c>
      <c r="AL821" s="174">
        <f>((VLOOKUP(C821,$B$36:$AG$39,24,FALSE)+VLOOKUP(C821,$B$40:$AG$43,24,FALSE)*$D$54))*$D$59/100</f>
        <v>934.34173336341473</v>
      </c>
      <c r="AM821" s="174"/>
      <c r="AN821" s="174"/>
      <c r="AO821" s="176">
        <v>8</v>
      </c>
      <c r="AP821" s="174">
        <v>36</v>
      </c>
      <c r="AQ821" s="175">
        <f>VLOOKUP(C821,$B$45:$AA$48,24,FALSE)</f>
        <v>277</v>
      </c>
      <c r="AR821" s="31">
        <f>IF(LEFT(E821,1)*1=1,$S$67,$R$67)</f>
        <v>0.8</v>
      </c>
      <c r="AS821" s="2">
        <f>IF(LEFT(E821,1)*1=2,$U$67,$T$67)</f>
        <v>0</v>
      </c>
      <c r="AT821" s="33">
        <f>IF(LEFT(E821,1)*1=3,$W$67,$V$67)</f>
        <v>0</v>
      </c>
      <c r="AU821" s="31">
        <f>IF(MID(E821,3,1)*1=1,$Y$67,$X$67)</f>
        <v>0</v>
      </c>
      <c r="AV821" s="2">
        <f>IF(MID(E821,3,1)*1=2,$AA$67,$Z$67)</f>
        <v>1.5</v>
      </c>
      <c r="AW821" s="33">
        <f>IF(MID(E821,3,1)*1=3,$AC$67,$AB$67)</f>
        <v>1</v>
      </c>
      <c r="AX821" s="31">
        <f>IF(MID(E821,5,1)*1=1,$AE$67,$AD$67)</f>
        <v>150</v>
      </c>
      <c r="AY821" s="33">
        <f>IF(MID(E821,5,1)*1=2,$AG$67,$AF$67)</f>
        <v>0</v>
      </c>
      <c r="AZ821" s="2"/>
      <c r="BA821" s="101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</row>
    <row r="822" spans="1:71" ht="12" customHeight="1">
      <c r="A822" s="2"/>
      <c r="B822" s="107">
        <v>879</v>
      </c>
      <c r="C822" s="31">
        <v>4</v>
      </c>
      <c r="D822" s="113" t="s">
        <v>19</v>
      </c>
      <c r="E822" s="2" t="s">
        <v>67</v>
      </c>
      <c r="F822" s="2"/>
      <c r="G822" s="2"/>
      <c r="H822" s="33">
        <f>IF(AY822=1,4,6)</f>
        <v>4</v>
      </c>
      <c r="I822" s="173">
        <f>M822/AE822</f>
        <v>386.38953915050786</v>
      </c>
      <c r="J822" s="174">
        <f>AH822/AE822</f>
        <v>8.3114645752849956</v>
      </c>
      <c r="K822" s="207">
        <f>RANK(I822,$I$76:$I$977)</f>
        <v>747</v>
      </c>
      <c r="L822" s="208" t="e">
        <f>RANK(I822,$I$867:$I$977)</f>
        <v>#N/A</v>
      </c>
      <c r="M822" s="173">
        <f>SUM(N822:R822)*(1+$D$22/100)</f>
        <v>9251.2598224380326</v>
      </c>
      <c r="N822" s="174">
        <f>T822*(1+($D$57/100)*($D$58/100-1))</f>
        <v>5335.3104385786228</v>
      </c>
      <c r="O822" s="174">
        <f>U822*(1+(AG822/100)*(AI822/100-1))</f>
        <v>3000.0830235047652</v>
      </c>
      <c r="P822" s="174"/>
      <c r="Q822" s="174"/>
      <c r="R822" s="175"/>
      <c r="S822" s="173">
        <f>SUM(T822:X822)</f>
        <v>7004.4558018134157</v>
      </c>
      <c r="T822" s="174">
        <f>AL822*AU822</f>
        <v>4483.4051716902441</v>
      </c>
      <c r="U822" s="174">
        <f>AM822*AU822</f>
        <v>2521.0506301231712</v>
      </c>
      <c r="V822" s="174"/>
      <c r="W822" s="174"/>
      <c r="X822" s="175"/>
      <c r="Y822" s="173">
        <f>SUM(Z822:AD822)</f>
        <v>14008.911603626831</v>
      </c>
      <c r="Z822" s="174">
        <f>T822*$D$58/100</f>
        <v>8966.8103433804881</v>
      </c>
      <c r="AA822" s="174">
        <f>U822*$D$58/100</f>
        <v>5042.1012602463425</v>
      </c>
      <c r="AB822" s="174"/>
      <c r="AC822" s="174"/>
      <c r="AD822" s="175"/>
      <c r="AE822" s="173">
        <f>AO822*(1-$D$17/100)</f>
        <v>23.942831999999999</v>
      </c>
      <c r="AF822" s="174">
        <f>AP822</f>
        <v>36</v>
      </c>
      <c r="AG822" s="174">
        <f>IF($D$57+AT822&gt;100,100,$D$57+AT822)</f>
        <v>19.001300000000001</v>
      </c>
      <c r="AH822" s="174">
        <f>AQ822</f>
        <v>199</v>
      </c>
      <c r="AI822" s="174">
        <f>$D$58</f>
        <v>200</v>
      </c>
      <c r="AJ822" s="174">
        <f>10/IF(AY822=1,(2.5+AX822),2)</f>
        <v>4</v>
      </c>
      <c r="AK822" s="174">
        <f>SUM(AL822:AN822)</f>
        <v>7004.4558018134157</v>
      </c>
      <c r="AL822" s="174">
        <f>(H822-1)*(VLOOKUP(C822,$B$36:$AG$39,27,FALSE)+VLOOKUP(C822,$B$40:$AG$43,27,FALSE)*$D$54)*$D$59/100</f>
        <v>4483.4051716902441</v>
      </c>
      <c r="AM822" s="174">
        <f>(VLOOKUP(C822,$B$36:$AG$39,28,FALSE)+VLOOKUP(C822,$B$40:$AG$43,28,FALSE)*$D$54)*$D$59/100</f>
        <v>2521.0506301231712</v>
      </c>
      <c r="AN822" s="174"/>
      <c r="AO822" s="176">
        <v>24</v>
      </c>
      <c r="AP822" s="174">
        <v>36</v>
      </c>
      <c r="AQ822" s="175">
        <f>VLOOKUP(C822,$B$45:$AG$48,27,FALSE)</f>
        <v>199</v>
      </c>
      <c r="AR822" s="31">
        <f>IF(LEFT(E822,1)*1=1,$S$69,$R$69)</f>
        <v>0</v>
      </c>
      <c r="AS822" s="2">
        <f>IF(LEFT(E822,1)*1=2,$U$69,$T$69)</f>
        <v>0</v>
      </c>
      <c r="AT822" s="33">
        <f>IF(LEFT(E822,1)*1=3,$W$69,$V$69)</f>
        <v>0</v>
      </c>
      <c r="AU822" s="31">
        <f>IF(MID(E822,3,1)*1=1,$Y$69,$X$69)</f>
        <v>1</v>
      </c>
      <c r="AV822" s="2">
        <f>IF(MID(E822,3,1)*1=2,$AA$69,$Z$69)</f>
        <v>0</v>
      </c>
      <c r="AW822" s="33">
        <f>IF(MID(E822,3,1)*1=3,$AC$69,$AB$69)</f>
        <v>0</v>
      </c>
      <c r="AX822" s="31">
        <f>IF(MID(E822,5,1)*1=1,$AE$69,$AD$69)</f>
        <v>0</v>
      </c>
      <c r="AY822" s="33">
        <f>IF(MID(E822,5,1)*1=2,$AG$69,$AF$69)</f>
        <v>1</v>
      </c>
      <c r="AZ822" s="2"/>
      <c r="BA822" s="101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</row>
    <row r="823" spans="1:71" ht="12" customHeight="1">
      <c r="A823" s="2"/>
      <c r="B823" s="107">
        <v>51</v>
      </c>
      <c r="C823" s="31">
        <v>7</v>
      </c>
      <c r="D823" s="106" t="s">
        <v>4</v>
      </c>
      <c r="E823" s="2" t="s">
        <v>67</v>
      </c>
      <c r="F823" s="2" t="s">
        <v>149</v>
      </c>
      <c r="G823" s="2"/>
      <c r="H823" s="33"/>
      <c r="I823" s="173">
        <f>M823/AE823</f>
        <v>384.11557429701816</v>
      </c>
      <c r="J823" s="174">
        <f>AH823/AE823</f>
        <v>20.298350671299033</v>
      </c>
      <c r="K823" s="207">
        <f>RANK(I823,$I$76:$I$977)</f>
        <v>748</v>
      </c>
      <c r="L823" s="208" t="e">
        <f>RANK(I823,$I$76:$I$450)</f>
        <v>#N/A</v>
      </c>
      <c r="M823" s="173">
        <f>SUM(N823:R823)</f>
        <v>4598.4073319885119</v>
      </c>
      <c r="N823" s="174">
        <f>T823*(1+((AG823+IF(F823="백어택",8,0))/100)*((AI823/100-1)))</f>
        <v>921.69240962708409</v>
      </c>
      <c r="O823" s="174">
        <f>U823*(1+((AG823+IF(F823="백어택",8,0))/100)*(AI823/100-1))</f>
        <v>3676.7149223614274</v>
      </c>
      <c r="P823" s="174"/>
      <c r="Q823" s="174"/>
      <c r="R823" s="175"/>
      <c r="S823" s="173">
        <f>SUM(T823:X823)</f>
        <v>3159.8287061897563</v>
      </c>
      <c r="T823" s="174">
        <f>AT823*AL823*IF(F823="백어택",1.2,1)</f>
        <v>633.34757535658525</v>
      </c>
      <c r="U823" s="174">
        <f>AM823*AW823*AX823*AY823*IF(F823="백어택",1.2,1)</f>
        <v>2526.4811308331709</v>
      </c>
      <c r="V823" s="174"/>
      <c r="W823" s="174"/>
      <c r="X823" s="175"/>
      <c r="Y823" s="173">
        <f>SUM(Z823:AD823)</f>
        <v>6319.6574123795126</v>
      </c>
      <c r="Z823" s="174">
        <f>T823*$D$58/100</f>
        <v>1266.6951507131705</v>
      </c>
      <c r="AA823" s="174">
        <f>U823*$D$58/100</f>
        <v>5052.9622616663419</v>
      </c>
      <c r="AB823" s="174"/>
      <c r="AC823" s="174"/>
      <c r="AD823" s="175"/>
      <c r="AE823" s="173">
        <f>AO823*(1-$D$17/100)</f>
        <v>11.971416</v>
      </c>
      <c r="AF823" s="174">
        <f>AP823</f>
        <v>36</v>
      </c>
      <c r="AG823" s="174">
        <f>IF($D$57&gt;100,100,$D$57)</f>
        <v>19.001300000000001</v>
      </c>
      <c r="AH823" s="174">
        <f>AQ823</f>
        <v>243</v>
      </c>
      <c r="AI823" s="174">
        <f>$D$58+$D$19</f>
        <v>268.61079999999998</v>
      </c>
      <c r="AJ823" s="174">
        <f>10/IF(AY823=1,5,4)</f>
        <v>2</v>
      </c>
      <c r="AK823" s="174">
        <f>SUM(AL823:AN823)</f>
        <v>2633.1905884914636</v>
      </c>
      <c r="AL823" s="174">
        <f>(VLOOKUP(C823,$B$36:$AG$39,4,FALSE)+VLOOKUP(C823,$B$40:$AG$43,4,FALSE)*$D$54)*$D$59/100</f>
        <v>527.78964613048777</v>
      </c>
      <c r="AM823" s="174">
        <f>(VLOOKUP(C823,$B$36:$AG$39,5,FALSE)+VLOOKUP(C823,$B$40:$AG$43,5,FALSE)*$D$54)*$D$59/100</f>
        <v>2105.4009423609759</v>
      </c>
      <c r="AN823" s="174"/>
      <c r="AO823" s="176">
        <v>12</v>
      </c>
      <c r="AP823" s="174">
        <v>36</v>
      </c>
      <c r="AQ823" s="175">
        <f>VLOOKUP(C823,$B$45:$AA$48,4,FALSE)</f>
        <v>243</v>
      </c>
      <c r="AR823" s="31">
        <f>IF(LEFT(E823,1)*1=1,$S$54,$R$54)</f>
        <v>0</v>
      </c>
      <c r="AS823" s="2">
        <f>IF(LEFT(E823,1)*1=2,$U$54,$T$54)</f>
        <v>0</v>
      </c>
      <c r="AT823" s="33">
        <f>IF(LEFT(E823,1)*1=3,$W$54,$V$54)</f>
        <v>1</v>
      </c>
      <c r="AU823" s="31">
        <f>IF(MID(E823,3,1)*1=1,$Y$54,$X$54)</f>
        <v>0</v>
      </c>
      <c r="AV823" s="2">
        <f>IF(MID(E823,3,1)*1=2,$AA$54,$Z$54)</f>
        <v>0</v>
      </c>
      <c r="AW823" s="33">
        <f>IF(MID(E823,3,1)*1=3,$AC$54,$AB$54)</f>
        <v>1</v>
      </c>
      <c r="AX823" s="31">
        <f>IF(MID(E823,5,1)*1=1,$AE$54,$AD$54)</f>
        <v>1</v>
      </c>
      <c r="AY823" s="33">
        <f>IF(MID(E823,5,1)*1=2,$AG$54,$AF$54)</f>
        <v>1</v>
      </c>
      <c r="AZ823" s="2"/>
      <c r="BA823" s="101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</row>
    <row r="824" spans="1:71" ht="12" customHeight="1">
      <c r="A824" s="2"/>
      <c r="B824" s="107">
        <v>451</v>
      </c>
      <c r="C824" s="31">
        <v>7</v>
      </c>
      <c r="D824" s="111" t="s">
        <v>8</v>
      </c>
      <c r="E824" s="2" t="s">
        <v>67</v>
      </c>
      <c r="F824" s="2" t="s">
        <v>149</v>
      </c>
      <c r="G824" s="2"/>
      <c r="H824" s="33" t="s">
        <v>80</v>
      </c>
      <c r="I824" s="173">
        <f>M824/AE824</f>
        <v>383.81882885075714</v>
      </c>
      <c r="J824" s="174">
        <f>AH824/AE824</f>
        <v>19.637781784066725</v>
      </c>
      <c r="K824" s="207">
        <f>RANK(I824,$I$76:$I$977)</f>
        <v>749</v>
      </c>
      <c r="L824" s="208">
        <f>RANK(I824,$I$451:$I$866)</f>
        <v>374</v>
      </c>
      <c r="M824" s="173">
        <f>SUM(N824:R824)</f>
        <v>7094.805126405282</v>
      </c>
      <c r="N824" s="174">
        <f>T824*(1+((AG824+IF(F824="백어택",8,0))/100)*(IF(AY824=1,$D$58,$D$58+50)/100-1))</f>
        <v>3115.3009515124718</v>
      </c>
      <c r="O824" s="174">
        <f>U824*(1+((AG824+IF(F824="백어택",8,0))/100)*(AI824/100-1))</f>
        <v>3979.5041748928102</v>
      </c>
      <c r="P824" s="174">
        <f>V824*(1+((AG824+IF(F824="백어택",8,0))/100)*(AI824/100-1))</f>
        <v>0</v>
      </c>
      <c r="Q824" s="174"/>
      <c r="R824" s="175"/>
      <c r="S824" s="173">
        <f>SUM(T824:X824)</f>
        <v>5586.4035457946347</v>
      </c>
      <c r="T824" s="174">
        <f>AL824*IF(H824="근접",AR824,1)*AY824*IF(F824="백어택",1.2,1)</f>
        <v>2452.9677660878051</v>
      </c>
      <c r="U824" s="174">
        <f>AM824*IF(H824="근접",AR824,1)*AY824*IF(F824="백어택",1.2,1)</f>
        <v>3133.4357797068296</v>
      </c>
      <c r="V824" s="174">
        <f>IF(AX824=1,0,AM824*IF(H824="근접",AR824,1)*AY824)*IF(F824="백어택",1.2,1)</f>
        <v>0</v>
      </c>
      <c r="W824" s="174"/>
      <c r="X824" s="175"/>
      <c r="Y824" s="173">
        <f>SUM(Z824:AD824)</f>
        <v>11172.807091589271</v>
      </c>
      <c r="Z824" s="174">
        <f>T824*IF(AY824=1,$D$58,$D$58+50)/100</f>
        <v>4905.9355321756102</v>
      </c>
      <c r="AA824" s="174">
        <f>U824*AI824/100</f>
        <v>6266.8715594136602</v>
      </c>
      <c r="AB824" s="174">
        <f>V824*AI824/100</f>
        <v>0</v>
      </c>
      <c r="AC824" s="174"/>
      <c r="AD824" s="175"/>
      <c r="AE824" s="173">
        <f>AO824*(1-$D$20/100)*(1-$D$17/100)</f>
        <v>18.484776131615998</v>
      </c>
      <c r="AF824" s="174">
        <f>AP824</f>
        <v>36</v>
      </c>
      <c r="AG824" s="174">
        <f>IF($D$57+AU824&gt;100,100,$D$57+AU824)</f>
        <v>19.001300000000001</v>
      </c>
      <c r="AH824" s="174">
        <f>IF(AX824=1,AQ824,AQ824*1.4)</f>
        <v>363</v>
      </c>
      <c r="AI824" s="174">
        <f>IF(AY824=1,$D$58,$D$58+50)*AW824</f>
        <v>200</v>
      </c>
      <c r="AJ824" s="174">
        <f>10/6/AX824</f>
        <v>1.6666666666666667</v>
      </c>
      <c r="AK824" s="174">
        <f>SUM(AL824:AN824)</f>
        <v>4655.3362881621961</v>
      </c>
      <c r="AL824" s="174">
        <f>(IF(H824="근접",$D$61*(VLOOKUP(C824,$B$36:$AG$39,9,FALSE)+VLOOKUP(C824,$B$40:$AG$43,9,FALSE)*$D$54),$D$60*(VLOOKUP(C824,$B$36:$AG$39,9,FALSE)+VLOOKUP(C824,$B$40:$AG$43,9,FALSE)*$D$54)))*$D$59/100</f>
        <v>2044.1398050731711</v>
      </c>
      <c r="AM824" s="174">
        <f>(IF(H824="근접",$D$61*(VLOOKUP(C824,$B$36:$AG$39,10,FALSE)+VLOOKUP(C824,$B$40:$AG$43,10,FALSE)*$D$54),$D$60*(VLOOKUP(C824,$B$36:$AG$39,10,FALSE)+VLOOKUP(C824,$B$40:$AG$43,10,FALSE)*$D$54)))*$D$59/100</f>
        <v>2611.1964830890247</v>
      </c>
      <c r="AN824" s="174"/>
      <c r="AO824" s="176">
        <v>24</v>
      </c>
      <c r="AP824" s="174">
        <v>36</v>
      </c>
      <c r="AQ824" s="175">
        <f>VLOOKUP(C824,$B$45:$AA$48,9,FALSE)</f>
        <v>363</v>
      </c>
      <c r="AR824" s="31">
        <f>IF(LEFT(E824,1)*1=1,$S$58,$R$58)</f>
        <v>1</v>
      </c>
      <c r="AS824" s="2">
        <f>IF(LEFT(E824,1)*1=2,$U$58,$T$58)</f>
        <v>0</v>
      </c>
      <c r="AT824" s="33">
        <f>IF(LEFT(E824,1)*1=3,$W$58,$V$58)</f>
        <v>0</v>
      </c>
      <c r="AU824" s="31">
        <f>IF(MID(E824,3,1)*1=1,$Y$58,$X$58)</f>
        <v>0</v>
      </c>
      <c r="AV824" s="2">
        <f>IF(MID(E824,3,1)*1=2,$AA$58,$Z$58)</f>
        <v>0</v>
      </c>
      <c r="AW824" s="33">
        <f>IF(MID(E824,3,1)*1=3,$AC$58,$AB$58)</f>
        <v>1</v>
      </c>
      <c r="AX824" s="31">
        <f>IF(MID(E824,5,1)*1=1,$AE$58,$AD$58)</f>
        <v>1</v>
      </c>
      <c r="AY824" s="33">
        <f>IF(MID(E824,5,1)*1=2,$AG$58,$AF$58)</f>
        <v>1</v>
      </c>
      <c r="AZ824" s="2"/>
      <c r="BA824" s="101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</row>
    <row r="825" spans="1:71" ht="12" customHeight="1">
      <c r="A825" s="2"/>
      <c r="B825" s="107">
        <v>454</v>
      </c>
      <c r="C825" s="31">
        <v>7</v>
      </c>
      <c r="D825" s="111" t="s">
        <v>8</v>
      </c>
      <c r="E825" s="2" t="s">
        <v>148</v>
      </c>
      <c r="F825" s="2" t="s">
        <v>149</v>
      </c>
      <c r="G825" s="2"/>
      <c r="H825" s="33" t="s">
        <v>80</v>
      </c>
      <c r="I825" s="173">
        <f>M825/AE825</f>
        <v>383.81882885075714</v>
      </c>
      <c r="J825" s="174">
        <f>AH825/AE825</f>
        <v>19.637781784066725</v>
      </c>
      <c r="K825" s="207">
        <f>RANK(I825,$I$76:$I$977)</f>
        <v>749</v>
      </c>
      <c r="L825" s="208">
        <f>RANK(I825,$I$451:$I$866)</f>
        <v>374</v>
      </c>
      <c r="M825" s="173">
        <f>SUM(N825:R825)</f>
        <v>7094.805126405282</v>
      </c>
      <c r="N825" s="174">
        <f>T825*(1+((AG825+IF(F825="백어택",8,0))/100)*(IF(AY825=1,$D$58,$D$58+50)/100-1))</f>
        <v>3115.3009515124718</v>
      </c>
      <c r="O825" s="174">
        <f>U825*(1+((AG825+IF(F825="백어택",8,0))/100)*(AI825/100-1))</f>
        <v>3979.5041748928102</v>
      </c>
      <c r="P825" s="174">
        <f>V825*(1+((AG825+IF(F825="백어택",8,0))/100)*(AI825/100-1))</f>
        <v>0</v>
      </c>
      <c r="Q825" s="174"/>
      <c r="R825" s="175"/>
      <c r="S825" s="173">
        <f>SUM(T825:X825)</f>
        <v>5586.4035457946347</v>
      </c>
      <c r="T825" s="174">
        <f>AL825*IF(H825="근접",AR825,1)*AY825*IF(F825="백어택",1.2,1)</f>
        <v>2452.9677660878051</v>
      </c>
      <c r="U825" s="174">
        <f>AM825*IF(H825="근접",AR825,1)*AY825*IF(F825="백어택",1.2,1)</f>
        <v>3133.4357797068296</v>
      </c>
      <c r="V825" s="174">
        <f>IF(AX825=1,0,AM825*IF(H825="근접",AR825,1)*AY825)*IF(F825="백어택",1.2,1)</f>
        <v>0</v>
      </c>
      <c r="W825" s="174"/>
      <c r="X825" s="175"/>
      <c r="Y825" s="173">
        <f>SUM(Z825:AD825)</f>
        <v>11172.807091589271</v>
      </c>
      <c r="Z825" s="174">
        <f>T825*IF(AY825=1,$D$58,$D$58+50)/100</f>
        <v>4905.9355321756102</v>
      </c>
      <c r="AA825" s="174">
        <f>U825*AI825/100</f>
        <v>6266.8715594136602</v>
      </c>
      <c r="AB825" s="174">
        <f>V825*AI825/100</f>
        <v>0</v>
      </c>
      <c r="AC825" s="174"/>
      <c r="AD825" s="175"/>
      <c r="AE825" s="173">
        <f>AO825*(1-$D$20/100)*(1-$D$17/100)</f>
        <v>18.484776131615998</v>
      </c>
      <c r="AF825" s="174">
        <f>AP825</f>
        <v>36</v>
      </c>
      <c r="AG825" s="174">
        <f>IF($D$57+AU825&gt;100,100,$D$57+AU825)</f>
        <v>19.001300000000001</v>
      </c>
      <c r="AH825" s="174">
        <f>IF(AX825=1,AQ825,AQ825*1.4)</f>
        <v>363</v>
      </c>
      <c r="AI825" s="174">
        <f>IF(AY825=1,$D$58,$D$58+50)*AW825</f>
        <v>200</v>
      </c>
      <c r="AJ825" s="174">
        <f>10/6/AX825</f>
        <v>1.6666666666666667</v>
      </c>
      <c r="AK825" s="174">
        <f>SUM(AL825:AN825)</f>
        <v>4655.3362881621961</v>
      </c>
      <c r="AL825" s="174">
        <f>(IF(H825="근접",$D$61*(VLOOKUP(C825,$B$36:$AG$39,9,FALSE)+VLOOKUP(C825,$B$40:$AG$43,9,FALSE)*$D$54),$D$60*(VLOOKUP(C825,$B$36:$AG$39,9,FALSE)+VLOOKUP(C825,$B$40:$AG$43,9,FALSE)*$D$54)))*$D$59/100</f>
        <v>2044.1398050731711</v>
      </c>
      <c r="AM825" s="174">
        <f>(IF(H825="근접",$D$61*(VLOOKUP(C825,$B$36:$AG$39,10,FALSE)+VLOOKUP(C825,$B$40:$AG$43,10,FALSE)*$D$54),$D$60*(VLOOKUP(C825,$B$36:$AG$39,10,FALSE)+VLOOKUP(C825,$B$40:$AG$43,10,FALSE)*$D$54)))*$D$59/100</f>
        <v>2611.1964830890247</v>
      </c>
      <c r="AN825" s="174"/>
      <c r="AO825" s="176">
        <v>24</v>
      </c>
      <c r="AP825" s="174">
        <v>36</v>
      </c>
      <c r="AQ825" s="175">
        <f>VLOOKUP(C825,$B$45:$AA$48,9,FALSE)</f>
        <v>363</v>
      </c>
      <c r="AR825" s="31">
        <f>IF(LEFT(E825,1)*1=1,$S$58,$R$58)</f>
        <v>1.2</v>
      </c>
      <c r="AS825" s="2">
        <f>IF(LEFT(E825,1)*1=2,$U$58,$T$58)</f>
        <v>0</v>
      </c>
      <c r="AT825" s="33">
        <f>IF(LEFT(E825,1)*1=3,$W$58,$V$58)</f>
        <v>0</v>
      </c>
      <c r="AU825" s="31">
        <f>IF(MID(E825,3,1)*1=1,$Y$58,$X$58)</f>
        <v>0</v>
      </c>
      <c r="AV825" s="2">
        <f>IF(MID(E825,3,1)*1=2,$AA$58,$Z$58)</f>
        <v>0</v>
      </c>
      <c r="AW825" s="33">
        <f>IF(MID(E825,3,1)*1=3,$AC$58,$AB$58)</f>
        <v>1</v>
      </c>
      <c r="AX825" s="31">
        <f>IF(MID(E825,5,1)*1=1,$AE$58,$AD$58)</f>
        <v>1</v>
      </c>
      <c r="AY825" s="33">
        <f>IF(MID(E825,5,1)*1=2,$AG$58,$AF$58)</f>
        <v>1</v>
      </c>
      <c r="AZ825" s="2"/>
      <c r="BA825" s="101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</row>
    <row r="826" spans="1:71" ht="12" customHeight="1">
      <c r="A826" s="2"/>
      <c r="B826" s="107">
        <v>67</v>
      </c>
      <c r="C826" s="31">
        <v>7</v>
      </c>
      <c r="D826" s="106" t="s">
        <v>4</v>
      </c>
      <c r="E826" s="2" t="s">
        <v>91</v>
      </c>
      <c r="F826" s="2"/>
      <c r="G826" s="2" t="s">
        <v>143</v>
      </c>
      <c r="H826" s="33"/>
      <c r="I826" s="173">
        <f>M826/AE826</f>
        <v>383.31241563464499</v>
      </c>
      <c r="J826" s="174">
        <f>AH826/AE826</f>
        <v>20.298350671299033</v>
      </c>
      <c r="K826" s="207">
        <f>RANK(I826,$I$76:$I$977)</f>
        <v>751</v>
      </c>
      <c r="L826" s="208" t="e">
        <f>RANK(I826,$I$76:$I$450)</f>
        <v>#N/A</v>
      </c>
      <c r="M826" s="173">
        <f>SUM(N826:R826)</f>
        <v>4588.7923855272393</v>
      </c>
      <c r="N826" s="174">
        <f>T826*(1+((AG826+IF(F826="백어택",8,0))/100)*((AI826/100-1)))</f>
        <v>696.88418044994739</v>
      </c>
      <c r="O826" s="174">
        <f>U826*(1+((AG826+IF(F826="백어택",8,0))/100)*(AI826/100-1))</f>
        <v>3891.9082050772918</v>
      </c>
      <c r="P826" s="174"/>
      <c r="Q826" s="174"/>
      <c r="R826" s="175"/>
      <c r="S826" s="173">
        <f>SUM(T826:X826)</f>
        <v>3475.3509654358536</v>
      </c>
      <c r="T826" s="174">
        <f>AT826*AL826*IF(F826="백어택",1.2,1)</f>
        <v>527.78964613048777</v>
      </c>
      <c r="U826" s="174">
        <f>AM826*AW826*AX826*AY826*IF(F826="백어택",1.2,1)</f>
        <v>2947.5613193053659</v>
      </c>
      <c r="V826" s="174"/>
      <c r="W826" s="174"/>
      <c r="X826" s="175"/>
      <c r="Y826" s="173">
        <f>SUM(Z826:AD826)</f>
        <v>6950.7019308717072</v>
      </c>
      <c r="Z826" s="174">
        <f>T826*$D$58/100</f>
        <v>1055.5792922609755</v>
      </c>
      <c r="AA826" s="174">
        <f>U826*$D$58/100</f>
        <v>5895.1226386107319</v>
      </c>
      <c r="AB826" s="174"/>
      <c r="AC826" s="174"/>
      <c r="AD826" s="175"/>
      <c r="AE826" s="173">
        <f>AO826*(1-$D$17/100)</f>
        <v>11.971416</v>
      </c>
      <c r="AF826" s="174">
        <f>AP826</f>
        <v>36</v>
      </c>
      <c r="AG826" s="174">
        <f>IF($D$57&gt;100,100,$D$57)</f>
        <v>19.001300000000001</v>
      </c>
      <c r="AH826" s="174">
        <f>AQ826</f>
        <v>243</v>
      </c>
      <c r="AI826" s="174">
        <f>$D$58+$D$19</f>
        <v>268.61079999999998</v>
      </c>
      <c r="AJ826" s="174">
        <f>10/IF(AY826=1,5,4)</f>
        <v>2</v>
      </c>
      <c r="AK826" s="174">
        <f>SUM(AL826:AN826)</f>
        <v>2633.1905884914636</v>
      </c>
      <c r="AL826" s="174">
        <f>(VLOOKUP(C826,$B$36:$AG$39,4,FALSE)+VLOOKUP(C826,$B$40:$AG$43,4,FALSE)*$D$54)*$D$59/100</f>
        <v>527.78964613048777</v>
      </c>
      <c r="AM826" s="174">
        <f>(VLOOKUP(C826,$B$36:$AG$39,5,FALSE)+VLOOKUP(C826,$B$40:$AG$43,5,FALSE)*$D$54)*$D$59/100</f>
        <v>2105.4009423609759</v>
      </c>
      <c r="AN826" s="174"/>
      <c r="AO826" s="176">
        <v>12</v>
      </c>
      <c r="AP826" s="174">
        <v>36</v>
      </c>
      <c r="AQ826" s="175">
        <f>VLOOKUP(C826,$B$45:$AA$48,4,FALSE)</f>
        <v>243</v>
      </c>
      <c r="AR826" s="31">
        <f>IF(LEFT(E826,1)*1=1,$S$54,$R$54)</f>
        <v>0</v>
      </c>
      <c r="AS826" s="2">
        <f>IF(LEFT(E826,1)*1=2,$U$54,$T$54)</f>
        <v>0</v>
      </c>
      <c r="AT826" s="33">
        <f>IF(LEFT(E826,1)*1=3,$W$54,$V$54)</f>
        <v>1</v>
      </c>
      <c r="AU826" s="31">
        <f>IF(MID(E826,3,1)*1=1,$Y$54,$X$54)</f>
        <v>0</v>
      </c>
      <c r="AV826" s="2">
        <f>IF(MID(E826,3,1)*1=2,$AA$54,$Z$54)</f>
        <v>0</v>
      </c>
      <c r="AW826" s="33">
        <f>IF(MID(E826,3,1)*1=3,$AC$54,$AB$54)</f>
        <v>1.4</v>
      </c>
      <c r="AX826" s="31">
        <f>IF(MID(E826,5,1)*1=1,$AE$54,$AD$54)</f>
        <v>1</v>
      </c>
      <c r="AY826" s="33">
        <f>IF(MID(E826,5,1)*1=2,$AG$54,$AF$54)</f>
        <v>1</v>
      </c>
      <c r="AZ826" s="2"/>
      <c r="BA826" s="101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</row>
    <row r="827" spans="1:71" ht="12" customHeight="1">
      <c r="A827" s="2"/>
      <c r="B827" s="107">
        <v>860</v>
      </c>
      <c r="C827" s="31">
        <v>7</v>
      </c>
      <c r="D827" s="113" t="s">
        <v>15</v>
      </c>
      <c r="E827" s="2" t="s">
        <v>87</v>
      </c>
      <c r="F827" s="2"/>
      <c r="G827" s="2"/>
      <c r="H827" s="33">
        <f>IF(AX827=AT827,3,4)</f>
        <v>4</v>
      </c>
      <c r="I827" s="173">
        <f>M827/AE827</f>
        <v>381.61806315171708</v>
      </c>
      <c r="J827" s="174">
        <f>AH827/AE827</f>
        <v>13.766124241276053</v>
      </c>
      <c r="K827" s="207">
        <f>RANK(I827,$I$76:$I$977)</f>
        <v>752</v>
      </c>
      <c r="L827" s="208" t="e">
        <f>RANK(I827,$I$867:$I$977)</f>
        <v>#N/A</v>
      </c>
      <c r="M827" s="173">
        <f>SUM(N827:R827)*(1+$D$22/100)</f>
        <v>11421.271467758692</v>
      </c>
      <c r="N827" s="174">
        <f>T827*(1+((AG827+IF(F827="백어택",8,0))/100)*(AI827/100-1))</f>
        <v>2572.6439789890846</v>
      </c>
      <c r="O827" s="174">
        <f>U827*(1+(AG827/100)*(AI827/100-1))</f>
        <v>2572.6439789890846</v>
      </c>
      <c r="P827" s="174">
        <f>V827*(1+(AG827/100)*(AI827/100-1))</f>
        <v>2572.6439789890846</v>
      </c>
      <c r="Q827" s="174">
        <f>W827*(1+(AG827/100)*(AI827/100-1))</f>
        <v>2572.6439789890846</v>
      </c>
      <c r="R827" s="175">
        <f>X827*(1+(AG827/100)*(AI827/100-1))</f>
        <v>0</v>
      </c>
      <c r="S827" s="173">
        <f>SUM(T827:X827)</f>
        <v>8647.4483185951231</v>
      </c>
      <c r="T827" s="174">
        <f>AL827*AS827*AY827</f>
        <v>2161.8620796487808</v>
      </c>
      <c r="U827" s="174">
        <f>AL827*AS827*AY827</f>
        <v>2161.8620796487808</v>
      </c>
      <c r="V827" s="174">
        <f>AL827*AS827*AY827</f>
        <v>2161.8620796487808</v>
      </c>
      <c r="W827" s="174">
        <f>IF(H827=4,AL827*AS827*IF(AT827=0,AY827,1),0)</f>
        <v>2161.8620796487808</v>
      </c>
      <c r="X827" s="175">
        <f>AL827*IF(H827=3,11,IF(AT827=1,15,13))*IF(AW827=1,0,AW827)</f>
        <v>0</v>
      </c>
      <c r="Y827" s="173">
        <f>SUM(Z827:AD827)</f>
        <v>17294.896637190246</v>
      </c>
      <c r="Z827" s="174">
        <f>T827*AI827/100</f>
        <v>4323.7241592975615</v>
      </c>
      <c r="AA827" s="174">
        <f>U827*AI827/100</f>
        <v>4323.7241592975615</v>
      </c>
      <c r="AB827" s="174">
        <f>V827*AI827/100</f>
        <v>4323.7241592975615</v>
      </c>
      <c r="AC827" s="174">
        <f>W827*AI827/100</f>
        <v>4323.7241592975615</v>
      </c>
      <c r="AD827" s="175">
        <f>X827*AI827/100</f>
        <v>0</v>
      </c>
      <c r="AE827" s="173">
        <f>AO827*(1-$D$17/100)</f>
        <v>29.928540000000002</v>
      </c>
      <c r="AF827" s="174">
        <f>AP827</f>
        <v>36</v>
      </c>
      <c r="AG827" s="174">
        <f>IF($D$57+AX827&gt;100,100,$D$57+AX827)</f>
        <v>19.001300000000001</v>
      </c>
      <c r="AH827" s="174">
        <f>AQ827</f>
        <v>412</v>
      </c>
      <c r="AI827" s="174">
        <f>$D$58</f>
        <v>200</v>
      </c>
      <c r="AJ827" s="174">
        <f>10*AU827/IF(AT827=1,2.5,(IF(AY827=1,3,2.5)))</f>
        <v>4</v>
      </c>
      <c r="AK827" s="174">
        <f>SUM(AL827:AN827)</f>
        <v>2161.8620796487808</v>
      </c>
      <c r="AL827" s="174">
        <f>((VLOOKUP(C827,$B$36:$AG$39,22,FALSE)+VLOOKUP(C827,$B$40:$AG$43,22,FALSE)*$D$54))*$D$59/100</f>
        <v>2161.8620796487808</v>
      </c>
      <c r="AM827" s="174"/>
      <c r="AN827" s="174"/>
      <c r="AO827" s="176">
        <v>30</v>
      </c>
      <c r="AP827" s="174">
        <v>36</v>
      </c>
      <c r="AQ827" s="175">
        <f>VLOOKUP(C827,$B$45:$AA$48,22,FALSE)</f>
        <v>412</v>
      </c>
      <c r="AR827" s="31">
        <f>IF(LEFT(E827,1)*1=1,$S$65,$R$65)</f>
        <v>0</v>
      </c>
      <c r="AS827" s="2">
        <f>IF(LEFT(E827,1)*1=2,$U$65,$T$65)</f>
        <v>1</v>
      </c>
      <c r="AT827" s="74">
        <f>IF(LEFT(E827,1)*1=3,$W$65,$V$65)</f>
        <v>1</v>
      </c>
      <c r="AU827" s="31">
        <f>IF(MID(E827,3,1)*1=1,$Y$65,$X$65)</f>
        <v>1</v>
      </c>
      <c r="AV827" s="2">
        <f>IF(MID(E827,3,1)*1=2,$AA$65,$Z$65)</f>
        <v>0</v>
      </c>
      <c r="AW827" s="33">
        <f>IF(MID(E827,3,1)*1=3,$AC$65,$AB$65)</f>
        <v>1</v>
      </c>
      <c r="AX827" s="31">
        <f>IF(MID(E827,5,1)*1=1,$AE$65,$AD$65)</f>
        <v>0</v>
      </c>
      <c r="AY827" s="33">
        <f>IF(MID(E827,5,1)*1=2,$AG$65,$AF$65)</f>
        <v>1</v>
      </c>
      <c r="AZ827" s="2"/>
      <c r="BA827" s="101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</row>
    <row r="828" spans="1:71" ht="12" customHeight="1">
      <c r="A828" s="2"/>
      <c r="B828" s="107">
        <v>861</v>
      </c>
      <c r="C828" s="31">
        <v>7</v>
      </c>
      <c r="D828" s="113" t="s">
        <v>15</v>
      </c>
      <c r="E828" s="2" t="s">
        <v>179</v>
      </c>
      <c r="F828" s="2"/>
      <c r="G828" s="2"/>
      <c r="H828" s="33">
        <f>IF(AX828=AT828,3,4)</f>
        <v>4</v>
      </c>
      <c r="I828" s="173">
        <f>M828/AE828</f>
        <v>381.61806315171708</v>
      </c>
      <c r="J828" s="174">
        <f>AH828/AE828</f>
        <v>13.766124241276053</v>
      </c>
      <c r="K828" s="207">
        <f>RANK(I828,$I$76:$I$977)</f>
        <v>752</v>
      </c>
      <c r="L828" s="208" t="e">
        <f>RANK(I828,$I$867:$I$977)</f>
        <v>#N/A</v>
      </c>
      <c r="M828" s="173">
        <f>SUM(N828:R828)*(1+$D$22/100)</f>
        <v>11421.271467758692</v>
      </c>
      <c r="N828" s="174">
        <f>T828*(1+((AG828+IF(F828="백어택",8,0))/100)*(AI828/100-1))</f>
        <v>2572.6439789890846</v>
      </c>
      <c r="O828" s="174">
        <f>U828*(1+(AG828/100)*(AI828/100-1))</f>
        <v>2572.6439789890846</v>
      </c>
      <c r="P828" s="174">
        <f>V828*(1+(AG828/100)*(AI828/100-1))</f>
        <v>2572.6439789890846</v>
      </c>
      <c r="Q828" s="174">
        <f>W828*(1+(AG828/100)*(AI828/100-1))</f>
        <v>2572.6439789890846</v>
      </c>
      <c r="R828" s="175">
        <f>X828*(1+(AG828/100)*(AI828/100-1))</f>
        <v>0</v>
      </c>
      <c r="S828" s="173">
        <f>SUM(T828:X828)</f>
        <v>8647.4483185951231</v>
      </c>
      <c r="T828" s="174">
        <f>AL828*AS828*AY828</f>
        <v>2161.8620796487808</v>
      </c>
      <c r="U828" s="174">
        <f>AL828*AS828*AY828</f>
        <v>2161.8620796487808</v>
      </c>
      <c r="V828" s="174">
        <f>AL828*AS828*AY828</f>
        <v>2161.8620796487808</v>
      </c>
      <c r="W828" s="174">
        <f>IF(H828=4,AL828*AS828*IF(AT828=0,AY828,1),0)</f>
        <v>2161.8620796487808</v>
      </c>
      <c r="X828" s="175">
        <f>AL828*IF(H828=3,11,IF(AT828=1,15,13))*IF(AW828=1,0,AW828)</f>
        <v>0</v>
      </c>
      <c r="Y828" s="173">
        <f>SUM(Z828:AD828)</f>
        <v>17294.896637190246</v>
      </c>
      <c r="Z828" s="174">
        <f>T828*AI828/100</f>
        <v>4323.7241592975615</v>
      </c>
      <c r="AA828" s="174">
        <f>U828*AI828/100</f>
        <v>4323.7241592975615</v>
      </c>
      <c r="AB828" s="174">
        <f>V828*AI828/100</f>
        <v>4323.7241592975615</v>
      </c>
      <c r="AC828" s="174">
        <f>W828*AI828/100</f>
        <v>4323.7241592975615</v>
      </c>
      <c r="AD828" s="175">
        <f>X828*AI828/100</f>
        <v>0</v>
      </c>
      <c r="AE828" s="173">
        <f>AO828*(1-$D$17/100)</f>
        <v>29.928540000000002</v>
      </c>
      <c r="AF828" s="174">
        <f>AP828</f>
        <v>36</v>
      </c>
      <c r="AG828" s="174">
        <f>IF($D$57+AX828&gt;100,100,$D$57+AX828)</f>
        <v>19.001300000000001</v>
      </c>
      <c r="AH828" s="174">
        <f>AQ828</f>
        <v>412</v>
      </c>
      <c r="AI828" s="174">
        <f>$D$58</f>
        <v>200</v>
      </c>
      <c r="AJ828" s="174">
        <f>10*AU828/IF(AT828=1,2.5,(IF(AY828=1,3,2.5)))</f>
        <v>3.2</v>
      </c>
      <c r="AK828" s="174">
        <f>SUM(AL828:AN828)</f>
        <v>2161.8620796487808</v>
      </c>
      <c r="AL828" s="174">
        <f>((VLOOKUP(C828,$B$36:$AG$39,22,FALSE)+VLOOKUP(C828,$B$40:$AG$43,22,FALSE)*$D$54))*$D$59/100</f>
        <v>2161.8620796487808</v>
      </c>
      <c r="AM828" s="174"/>
      <c r="AN828" s="174"/>
      <c r="AO828" s="176">
        <v>30</v>
      </c>
      <c r="AP828" s="174">
        <v>36</v>
      </c>
      <c r="AQ828" s="175">
        <f>VLOOKUP(C828,$B$45:$AA$48,22,FALSE)</f>
        <v>412</v>
      </c>
      <c r="AR828" s="31">
        <f>IF(LEFT(E828,1)*1=1,$S$65,$R$65)</f>
        <v>0</v>
      </c>
      <c r="AS828" s="2">
        <f>IF(LEFT(E828,1)*1=2,$U$65,$T$65)</f>
        <v>1</v>
      </c>
      <c r="AT828" s="74">
        <f>IF(LEFT(E828,1)*1=3,$W$65,$V$65)</f>
        <v>1</v>
      </c>
      <c r="AU828" s="31">
        <f>IF(MID(E828,3,1)*1=1,$Y$65,$X$65)</f>
        <v>0.8</v>
      </c>
      <c r="AV828" s="2">
        <f>IF(MID(E828,3,1)*1=2,$AA$65,$Z$65)</f>
        <v>0</v>
      </c>
      <c r="AW828" s="33">
        <f>IF(MID(E828,3,1)*1=3,$AC$65,$AB$65)</f>
        <v>1</v>
      </c>
      <c r="AX828" s="31">
        <f>IF(MID(E828,5,1)*1=1,$AE$65,$AD$65)</f>
        <v>0</v>
      </c>
      <c r="AY828" s="33">
        <f>IF(MID(E828,5,1)*1=2,$AG$65,$AF$65)</f>
        <v>1</v>
      </c>
      <c r="AZ828" s="2"/>
      <c r="BA828" s="101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</row>
    <row r="829" spans="1:71" ht="12" customHeight="1">
      <c r="A829" s="2"/>
      <c r="B829" s="107">
        <v>757</v>
      </c>
      <c r="C829" s="31">
        <v>4</v>
      </c>
      <c r="D829" s="111" t="s">
        <v>21</v>
      </c>
      <c r="E829" s="2" t="s">
        <v>67</v>
      </c>
      <c r="F829" s="2"/>
      <c r="G829" s="2"/>
      <c r="H829" s="33"/>
      <c r="I829" s="173">
        <f>M829/AE829</f>
        <v>377.68193922961717</v>
      </c>
      <c r="J829" s="174">
        <f>AH829/AE829</f>
        <v>9.0885601645267471</v>
      </c>
      <c r="K829" s="207">
        <f>RANK(I829,$I$76:$I$977)</f>
        <v>754</v>
      </c>
      <c r="L829" s="208">
        <f>RANK(I829,$I$451:$I$866)</f>
        <v>379</v>
      </c>
      <c r="M829" s="173">
        <f>SUM(N829:R829)</f>
        <v>10472.049143421109</v>
      </c>
      <c r="N829" s="174">
        <f>T829*(1+((AG829+IF(F829="백어택",8,0))/100)*(AI829/100-1))</f>
        <v>10472.049143421109</v>
      </c>
      <c r="O829" s="174"/>
      <c r="P829" s="174"/>
      <c r="Q829" s="174"/>
      <c r="R829" s="175">
        <f>X829*(1+(AG829/100)*(AI829/100-1))</f>
        <v>0</v>
      </c>
      <c r="S829" s="173">
        <f>SUM(T829:X829)</f>
        <v>8799.9451631378051</v>
      </c>
      <c r="T829" s="174">
        <f>AL829*AW829*AX829*AY829*IF(F829="백어택",1.2,1)</f>
        <v>8799.9451631378051</v>
      </c>
      <c r="U829" s="174"/>
      <c r="V829" s="174"/>
      <c r="W829" s="174"/>
      <c r="X829" s="175">
        <f>AL829*AS829+IF(AX829=1,AL829*AU829,AL829*AU829*2)</f>
        <v>0</v>
      </c>
      <c r="Y829" s="173">
        <f>SUM(Z829:AD829)</f>
        <v>17599.89032627561</v>
      </c>
      <c r="Z829" s="174">
        <f>T829*$D$58/100</f>
        <v>17599.89032627561</v>
      </c>
      <c r="AA829" s="174"/>
      <c r="AB829" s="174"/>
      <c r="AC829" s="174"/>
      <c r="AD829" s="175">
        <f>X829*$D$58/100</f>
        <v>0</v>
      </c>
      <c r="AE829" s="173">
        <f>AO829*(1-$D$20/100)*(1-$D$17/100)-AR829</f>
        <v>27.727164197424003</v>
      </c>
      <c r="AF829" s="174">
        <f>AP829</f>
        <v>36</v>
      </c>
      <c r="AG829" s="174">
        <f>IF($D$57&gt;100,100,$D$57)</f>
        <v>19.001300000000001</v>
      </c>
      <c r="AH829" s="174">
        <f>AQ829</f>
        <v>252</v>
      </c>
      <c r="AI829" s="174">
        <f>$D$58</f>
        <v>200</v>
      </c>
      <c r="AJ829" s="174">
        <f>10/6</f>
        <v>1.6666666666666667</v>
      </c>
      <c r="AK829" s="174">
        <f>SUM(AL829:AN829)</f>
        <v>8799.9451631378051</v>
      </c>
      <c r="AL829" s="174">
        <f>(VLOOKUP(C829,$B$36:$AG$39,31,FALSE)+VLOOKUP(C829,$B$40:$AG$43,31,FALSE)*$D$54)*$D$59/100</f>
        <v>8799.9451631378051</v>
      </c>
      <c r="AM829" s="174"/>
      <c r="AN829" s="174"/>
      <c r="AO829" s="176">
        <v>36</v>
      </c>
      <c r="AP829" s="174">
        <v>36</v>
      </c>
      <c r="AQ829" s="175">
        <f>VLOOKUP(C829,$B$45:$AG$48,31,FALSE)</f>
        <v>252</v>
      </c>
      <c r="AR829" s="31">
        <f>IF(LEFT(E829,1)*1=1,$S$71,$R$71)</f>
        <v>0</v>
      </c>
      <c r="AS829" s="2">
        <f>IF(LEFT(E829,1)*1=2,$U$71,$T$71)</f>
        <v>0</v>
      </c>
      <c r="AT829" s="33">
        <f>IF(LEFT(E829,1)*1=3,$W$71,$V$71)</f>
        <v>0</v>
      </c>
      <c r="AU829" s="31">
        <f>IF(MID(E829,3,1)*1=1,$Y$71,$X$71)</f>
        <v>0</v>
      </c>
      <c r="AV829" s="2">
        <f>IF(MID(E829,3,1)*1=2,$AA$71,$Z$71)</f>
        <v>0</v>
      </c>
      <c r="AW829" s="33">
        <f>IF(MID(E829,3,1)*1=3,$AC$71,$AB$71)</f>
        <v>1</v>
      </c>
      <c r="AX829" s="31">
        <f>IF(MID(E829,5,1)*1=1,$AE$71,$AD$71)</f>
        <v>1</v>
      </c>
      <c r="AY829" s="33">
        <f>IF(MID(E829,5,1)*1=2,$AG$71,$AF$71)</f>
        <v>1</v>
      </c>
      <c r="AZ829" s="2"/>
      <c r="BA829" s="101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</row>
    <row r="830" spans="1:71" ht="12" customHeight="1">
      <c r="A830" s="2"/>
      <c r="B830" s="107">
        <v>636</v>
      </c>
      <c r="C830" s="31">
        <v>1</v>
      </c>
      <c r="D830" s="111" t="s">
        <v>18</v>
      </c>
      <c r="E830" s="2" t="s">
        <v>67</v>
      </c>
      <c r="F830" s="2"/>
      <c r="G830" s="1"/>
      <c r="H830" s="33" t="s">
        <v>81</v>
      </c>
      <c r="I830" s="173">
        <f>M830/AE830</f>
        <v>375.54688824379554</v>
      </c>
      <c r="J830" s="174">
        <f>AH830/AE830</f>
        <v>5.4639558131976278</v>
      </c>
      <c r="K830" s="207">
        <f>RANK(I830,$I$76:$I$977)</f>
        <v>755</v>
      </c>
      <c r="L830" s="208">
        <f>RANK(I830,$I$451:$I$866)</f>
        <v>380</v>
      </c>
      <c r="M830" s="173">
        <f>SUM(N830:R830)</f>
        <v>6941.9001561115729</v>
      </c>
      <c r="N830" s="174">
        <f>T830*(1+((AG830+IF(F830="백어택",8,0))/100)*(AI830/100-1))</f>
        <v>4144.0982986636254</v>
      </c>
      <c r="O830" s="174">
        <f>U830*(1+(($D$57+IF(F830="백어택",8,0))/100)*(AI830/100-1))</f>
        <v>2797.8018574479474</v>
      </c>
      <c r="P830" s="174"/>
      <c r="Q830" s="174"/>
      <c r="R830" s="175"/>
      <c r="S830" s="173">
        <f>SUM(T830:X830)</f>
        <v>5833.4658160134159</v>
      </c>
      <c r="T830" s="174">
        <f>AL830*IF(H830="근접",AT830,IF(AV830=1,AT830,1))*AX830*IF(F830="백어택",1.2,1)</f>
        <v>3482.3975020975618</v>
      </c>
      <c r="U830" s="174">
        <f>IF(AX830=1,AM830*IF(H830="근접",AT830,IF(AV830=1,AT830,1)),0)*AY830*IF(AX830=1,1,0)*IF(F830="백어택",1.2,1)</f>
        <v>2351.0683139158541</v>
      </c>
      <c r="V830" s="174"/>
      <c r="W830" s="174"/>
      <c r="X830" s="175"/>
      <c r="Y830" s="173">
        <f>SUM(Z830:AD830)</f>
        <v>11666.931632026832</v>
      </c>
      <c r="Z830" s="174">
        <f>T830*$D$58/100</f>
        <v>6964.7950041951235</v>
      </c>
      <c r="AA830" s="174">
        <f>U830*$D$58/100</f>
        <v>4702.1366278317082</v>
      </c>
      <c r="AB830" s="174"/>
      <c r="AC830" s="174"/>
      <c r="AD830" s="175"/>
      <c r="AE830" s="173">
        <f>(AO830*(1-$D$20/100)*(1-$D$17/100)-AR830)*IF(AW830="보스대상",1,POWER(0.85,AW830))</f>
        <v>18.484776131615998</v>
      </c>
      <c r="AF830" s="174">
        <f>AP830</f>
        <v>36</v>
      </c>
      <c r="AG830" s="174">
        <f>IF($D$57+AU830&gt;100,100,$D$57+AU830)</f>
        <v>19.001300000000001</v>
      </c>
      <c r="AH830" s="174">
        <f>AQ830</f>
        <v>101</v>
      </c>
      <c r="AI830" s="174">
        <f>$D$58</f>
        <v>200</v>
      </c>
      <c r="AJ830" s="174">
        <f>10*AS830/IF(AX830=1,IF(AY830=1,4.5,4),4)</f>
        <v>2.2222222222222223</v>
      </c>
      <c r="AK830" s="174">
        <f>SUM(AL830:AN830)</f>
        <v>5833.4658160134159</v>
      </c>
      <c r="AL830" s="174">
        <f>IF(AV830=1,$D$61*(VLOOKUP(C830,$B$36:$AG$39,25,FALSE)+VLOOKUP(C830,$B$40:$AG$43,25,FALSE)*$D$54),(IF(H830="근접",$D$61*(VLOOKUP(C830,$B$36:$AG$39,25,FALSE)+VLOOKUP(C830,$B$40:$AG$43,25,FALSE)*$D$54),$D$60*(VLOOKUP(C830,$B$36:$AG$39,25,FALSE)+VLOOKUP(C830,$B$40:$AG$43,25,FALSE)*$D$54))))*$D$59/100</f>
        <v>3482.3975020975618</v>
      </c>
      <c r="AM830" s="174">
        <f>(IF(AV830=1,$D$61*(VLOOKUP(C830,$B$36:$AG$39,26,FALSE)+VLOOKUP(C830,$B$40:$AG$43,26,FALSE)*$D$54),IF(H830="근접",$D$61*(VLOOKUP(C830,$B$36:$AG$39,26,FALSE)+VLOOKUP(C830,$B$40:$AG$43,26,FALSE)*$D$54),$D$60*(VLOOKUP(C830,$B$36:$AG$39,26,FALSE)+VLOOKUP(C830,$B$40:$AG$43,26,FALSE)*$D$54))))*$D$59/100</f>
        <v>2351.0683139158541</v>
      </c>
      <c r="AN830" s="174"/>
      <c r="AO830" s="176">
        <v>24</v>
      </c>
      <c r="AP830" s="174">
        <v>36</v>
      </c>
      <c r="AQ830" s="175">
        <f>VLOOKUP(C830,$B$45:$AA$48,25,FALSE)</f>
        <v>101</v>
      </c>
      <c r="AR830" s="31">
        <f>IF(LEFT(E830,1)*1=1,$S$68,$R$68)</f>
        <v>0</v>
      </c>
      <c r="AS830" s="2">
        <f>IF(LEFT(E830,1)*1=2,$U$68,$T$68)</f>
        <v>1</v>
      </c>
      <c r="AT830" s="33">
        <f>IF(LEFT(E830,1)*1=3,$W$68,$V$68)</f>
        <v>1</v>
      </c>
      <c r="AU830" s="31">
        <f>IF(MID(E830,3,1)*1=1,$Y$68,$X$68)</f>
        <v>0</v>
      </c>
      <c r="AV830" s="2">
        <f>IF(MID(E830,3,1)*1=2,$AA$68,$Z$68)</f>
        <v>0</v>
      </c>
      <c r="AW830" s="33" t="str">
        <f>IF(MID(E830,3,1)*1=3,$AC$68,$AB$68)</f>
        <v>보스대상</v>
      </c>
      <c r="AX830" s="31">
        <f>IF(MID(E830,5,1)*1=1,$AE$68,$AD$68)</f>
        <v>1</v>
      </c>
      <c r="AY830" s="33">
        <f>IF(MID(E830,5,1)*1=2,$AG$68,$AF$68)</f>
        <v>1</v>
      </c>
      <c r="AZ830" s="2"/>
      <c r="BA830" s="101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</row>
    <row r="831" spans="1:71" ht="12" hidden="1" customHeight="1">
      <c r="A831" s="2"/>
      <c r="B831" s="107">
        <v>131</v>
      </c>
      <c r="C831" s="31">
        <v>10</v>
      </c>
      <c r="D831" s="106" t="s">
        <v>7</v>
      </c>
      <c r="E831" s="2" t="s">
        <v>161</v>
      </c>
      <c r="F831" s="2"/>
      <c r="G831" s="2" t="s">
        <v>184</v>
      </c>
      <c r="H831" s="33"/>
      <c r="I831" s="173">
        <f>M831/AE831</f>
        <v>373.21505108262011</v>
      </c>
      <c r="J831" s="174">
        <f>AH831/AE831</f>
        <v>32.967417276842326</v>
      </c>
      <c r="K831" s="207">
        <f>RANK(I831,$I$76:$I$977)</f>
        <v>756</v>
      </c>
      <c r="L831" s="208" t="e">
        <f>RANK(I831,$I$76:$I$450)</f>
        <v>#N/A</v>
      </c>
      <c r="M831" s="173">
        <f>N831+R831/2</f>
        <v>3350.934475478472</v>
      </c>
      <c r="N831" s="174">
        <f>T831*(1+((AG831+IF(F831="백어택",8,0))/100)*((AI831/100-1)))</f>
        <v>2898.1054923057054</v>
      </c>
      <c r="O831" s="174"/>
      <c r="P831" s="174"/>
      <c r="Q831" s="174"/>
      <c r="R831" s="175">
        <f>X831*(1+(AG831/100)*(AI831/100-1))</f>
        <v>905.65796634553283</v>
      </c>
      <c r="S831" s="173">
        <f>SUM(T831:X831)</f>
        <v>2880.8043375434449</v>
      </c>
      <c r="T831" s="174">
        <f>AL831*AV831*AX831</f>
        <v>2194.8985428902438</v>
      </c>
      <c r="U831" s="174"/>
      <c r="V831" s="174"/>
      <c r="W831" s="174"/>
      <c r="X831" s="175">
        <f>AS831*AL831</f>
        <v>685.90579465320116</v>
      </c>
      <c r="Y831" s="173">
        <f>SUM(Z831:AD831)</f>
        <v>5761.6086750868899</v>
      </c>
      <c r="Z831" s="174">
        <f>T831*$D$58/100</f>
        <v>4389.7970857804876</v>
      </c>
      <c r="AA831" s="174"/>
      <c r="AB831" s="174"/>
      <c r="AC831" s="174"/>
      <c r="AD831" s="175">
        <f>X831*$D$58/100</f>
        <v>1371.8115893064023</v>
      </c>
      <c r="AE831" s="173">
        <f>AO831*(1-$D$17/100)-AY831</f>
        <v>8.9785620000000002</v>
      </c>
      <c r="AF831" s="174">
        <f>AP831</f>
        <v>36</v>
      </c>
      <c r="AG831" s="174">
        <f>IF($D$57&gt;100,100,$D$57)</f>
        <v>19.001300000000001</v>
      </c>
      <c r="AH831" s="174">
        <f>AQ831*AR831</f>
        <v>296</v>
      </c>
      <c r="AI831" s="174">
        <f>$D$58+$D$19</f>
        <v>268.61079999999998</v>
      </c>
      <c r="AJ831" s="174">
        <f>10*AX831*AU831/9</f>
        <v>2.2222222222222223</v>
      </c>
      <c r="AK831" s="174">
        <f>SUM(AL831:AN831)</f>
        <v>1097.4492714451219</v>
      </c>
      <c r="AL831" s="174">
        <f>(VLOOKUP(C831,$B$36:$AG$39,8,FALSE)+VLOOKUP(C831,$B$40:$AG$43,8,FALSE)*$D$54)*$D$59/100</f>
        <v>1097.4492714451219</v>
      </c>
      <c r="AM831" s="174"/>
      <c r="AN831" s="174"/>
      <c r="AO831" s="176">
        <v>9</v>
      </c>
      <c r="AP831" s="174">
        <v>36</v>
      </c>
      <c r="AQ831" s="175">
        <f>VLOOKUP(C831,$B$45:$AA$48,8,FALSE)</f>
        <v>296</v>
      </c>
      <c r="AR831" s="31">
        <f>IF(LEFT(E831,1)*1=1,$S$57,$R$57)</f>
        <v>1</v>
      </c>
      <c r="AS831" s="2">
        <f>IF(LEFT(E831,1)*1=2,$U$57,$T$57)</f>
        <v>0.625</v>
      </c>
      <c r="AT831" s="33">
        <f>IF(LEFT(E831,1)*1=3,$W$57,$V$57)</f>
        <v>0</v>
      </c>
      <c r="AU831" s="31">
        <f>IF(MID(E831,3,1)*1=1,$Y$57,$X$57)</f>
        <v>1</v>
      </c>
      <c r="AV831" s="2">
        <f>IF(MID(E831,3,1)*1=2,$AA$57,$Z$57)</f>
        <v>1</v>
      </c>
      <c r="AW831" s="33">
        <f>IF(MID(E831,3,1)*1=3,$AC$57,$AB$57)</f>
        <v>0</v>
      </c>
      <c r="AX831" s="31">
        <f>IF(MID(E831,5,1)*1=1,$AE$57,$AD$57)</f>
        <v>2</v>
      </c>
      <c r="AY831" s="33">
        <f>IF(MID(E831,5,1)*1=2,$AG$57,$AF$57)</f>
        <v>0</v>
      </c>
      <c r="AZ831" s="2"/>
      <c r="BA831" s="101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</row>
    <row r="832" spans="1:71" ht="12" hidden="1" customHeight="1">
      <c r="A832" s="2"/>
      <c r="B832" s="107">
        <v>132</v>
      </c>
      <c r="C832" s="31">
        <v>10</v>
      </c>
      <c r="D832" s="106" t="s">
        <v>7</v>
      </c>
      <c r="E832" s="2" t="s">
        <v>169</v>
      </c>
      <c r="F832" s="2"/>
      <c r="G832" s="2" t="s">
        <v>184</v>
      </c>
      <c r="H832" s="33"/>
      <c r="I832" s="173">
        <f>M832/AE832</f>
        <v>373.21505108262011</v>
      </c>
      <c r="J832" s="174">
        <f>AH832/AE832</f>
        <v>32.967417276842326</v>
      </c>
      <c r="K832" s="207">
        <f>RANK(I832,$I$76:$I$977)</f>
        <v>756</v>
      </c>
      <c r="L832" s="208" t="e">
        <f>RANK(I832,$I$76:$I$450)</f>
        <v>#N/A</v>
      </c>
      <c r="M832" s="173">
        <f>N832+R832/2</f>
        <v>3350.934475478472</v>
      </c>
      <c r="N832" s="174">
        <f>T832*(1+((AG832+IF(F832="백어택",8,0))/100)*((AI832/100-1)))</f>
        <v>2898.1054923057054</v>
      </c>
      <c r="O832" s="174"/>
      <c r="P832" s="174"/>
      <c r="Q832" s="174"/>
      <c r="R832" s="175">
        <f>X832*(1+(AG832/100)*(AI832/100-1))</f>
        <v>905.65796634553283</v>
      </c>
      <c r="S832" s="173">
        <f>SUM(T832:X832)</f>
        <v>2880.8043375434449</v>
      </c>
      <c r="T832" s="174">
        <f>AL832*AV832*AX832</f>
        <v>2194.8985428902438</v>
      </c>
      <c r="U832" s="174"/>
      <c r="V832" s="174"/>
      <c r="W832" s="174"/>
      <c r="X832" s="175">
        <f>AS832*AL832</f>
        <v>685.90579465320116</v>
      </c>
      <c r="Y832" s="173">
        <f>SUM(Z832:AD832)</f>
        <v>5761.6086750868899</v>
      </c>
      <c r="Z832" s="174">
        <f>T832*$D$58/100</f>
        <v>4389.7970857804876</v>
      </c>
      <c r="AA832" s="174"/>
      <c r="AB832" s="174"/>
      <c r="AC832" s="174"/>
      <c r="AD832" s="175">
        <f>X832*$D$58/100</f>
        <v>1371.8115893064023</v>
      </c>
      <c r="AE832" s="173">
        <f>AO832*(1-$D$17/100)-AY832</f>
        <v>8.9785620000000002</v>
      </c>
      <c r="AF832" s="174">
        <f>AP832</f>
        <v>36</v>
      </c>
      <c r="AG832" s="174">
        <f>IF($D$57&gt;100,100,$D$57)</f>
        <v>19.001300000000001</v>
      </c>
      <c r="AH832" s="174">
        <f>AQ832*AR832</f>
        <v>296</v>
      </c>
      <c r="AI832" s="174">
        <f>$D$58+$D$19</f>
        <v>268.61079999999998</v>
      </c>
      <c r="AJ832" s="174">
        <f>10*AX832*AU832/9</f>
        <v>1.7777777777777777</v>
      </c>
      <c r="AK832" s="174">
        <f>SUM(AL832:AN832)</f>
        <v>1097.4492714451219</v>
      </c>
      <c r="AL832" s="174">
        <f>(VLOOKUP(C832,$B$36:$AG$39,8,FALSE)+VLOOKUP(C832,$B$40:$AG$43,8,FALSE)*$D$54)*$D$59/100</f>
        <v>1097.4492714451219</v>
      </c>
      <c r="AM832" s="174"/>
      <c r="AN832" s="174"/>
      <c r="AO832" s="176">
        <v>9</v>
      </c>
      <c r="AP832" s="174">
        <v>36</v>
      </c>
      <c r="AQ832" s="175">
        <f>VLOOKUP(C832,$B$45:$AA$48,8,FALSE)</f>
        <v>296</v>
      </c>
      <c r="AR832" s="31">
        <f>IF(LEFT(E832,1)*1=1,$S$57,$R$57)</f>
        <v>1</v>
      </c>
      <c r="AS832" s="2">
        <f>IF(LEFT(E832,1)*1=2,$U$57,$T$57)</f>
        <v>0.625</v>
      </c>
      <c r="AT832" s="33">
        <f>IF(LEFT(E832,1)*1=3,$W$57,$V$57)</f>
        <v>0</v>
      </c>
      <c r="AU832" s="31">
        <f>IF(MID(E832,3,1)*1=1,$Y$57,$X$57)</f>
        <v>0.8</v>
      </c>
      <c r="AV832" s="2">
        <f>IF(MID(E832,3,1)*1=2,$AA$57,$Z$57)</f>
        <v>1</v>
      </c>
      <c r="AW832" s="33">
        <f>IF(MID(E832,3,1)*1=3,$AC$57,$AB$57)</f>
        <v>0</v>
      </c>
      <c r="AX832" s="31">
        <f>IF(MID(E832,5,1)*1=1,$AE$57,$AD$57)</f>
        <v>2</v>
      </c>
      <c r="AY832" s="33">
        <f>IF(MID(E832,5,1)*1=2,$AG$57,$AF$57)</f>
        <v>0</v>
      </c>
      <c r="AZ832" s="2"/>
      <c r="BA832" s="101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</row>
    <row r="833" spans="1:71" ht="12" customHeight="1">
      <c r="A833" s="2"/>
      <c r="B833" s="107">
        <v>285</v>
      </c>
      <c r="C833" s="31">
        <v>10</v>
      </c>
      <c r="D833" s="106" t="s">
        <v>17</v>
      </c>
      <c r="E833" s="2" t="s">
        <v>141</v>
      </c>
      <c r="F833" s="2"/>
      <c r="G833" s="2"/>
      <c r="H833" s="33">
        <f>IF(AT833=1,3,IF(AY833=1,3,2))</f>
        <v>2</v>
      </c>
      <c r="I833" s="173">
        <f>M833/AE833</f>
        <v>370.99022385382398</v>
      </c>
      <c r="J833" s="174">
        <f>AH833/AE833</f>
        <v>34.707673678702669</v>
      </c>
      <c r="K833" s="207">
        <f>RANK(I833,$I$76:$I$977)</f>
        <v>758</v>
      </c>
      <c r="L833" s="208" t="e">
        <f>RANK(I833,$I$76:$I$450)</f>
        <v>#N/A</v>
      </c>
      <c r="M833" s="173">
        <f>SUM(N833:R833)</f>
        <v>2960.8522011248333</v>
      </c>
      <c r="N833" s="174">
        <f>T833*(1+((AG833+IF(F833="백어택",8,0))/100)*((AI833/100-1)))</f>
        <v>1233.6884171353472</v>
      </c>
      <c r="O833" s="174">
        <f>U833*(1+(AG833/100)*(AI833/100-1))</f>
        <v>1727.1637839894863</v>
      </c>
      <c r="P833" s="174">
        <f>V833*(1+(AG833/100)*(AI833/100-1))</f>
        <v>0</v>
      </c>
      <c r="Q833" s="174"/>
      <c r="R833" s="175"/>
      <c r="S833" s="173">
        <f>SUM(T833:X833)</f>
        <v>2242.4201600721954</v>
      </c>
      <c r="T833" s="174">
        <f>AL833*AV833</f>
        <v>934.34173336341473</v>
      </c>
      <c r="U833" s="174">
        <f>AL833*AW833</f>
        <v>1308.0784267087806</v>
      </c>
      <c r="V833" s="174">
        <f>IF(H833=3,AL833,0)*(1+AW833-1+AW833-1)</f>
        <v>0</v>
      </c>
      <c r="W833" s="174"/>
      <c r="X833" s="175"/>
      <c r="Y833" s="173">
        <f>SUM(Z833:AD833)</f>
        <v>6023.382731331204</v>
      </c>
      <c r="Z833" s="174">
        <f>T833*AI833/100</f>
        <v>2509.7428047213352</v>
      </c>
      <c r="AA833" s="174">
        <f>U833*AI833/100</f>
        <v>3513.6399266098688</v>
      </c>
      <c r="AB833" s="174">
        <f>V833*AI833/100</f>
        <v>0</v>
      </c>
      <c r="AC833" s="174"/>
      <c r="AD833" s="175"/>
      <c r="AE833" s="173">
        <f>AO833*(1-$D$17/100)</f>
        <v>7.980944</v>
      </c>
      <c r="AF833" s="174">
        <f>AP833</f>
        <v>36</v>
      </c>
      <c r="AG833" s="174">
        <f>IF($D$57&gt;100,100,$D$57)</f>
        <v>19.001300000000001</v>
      </c>
      <c r="AH833" s="174">
        <f>AQ833</f>
        <v>277</v>
      </c>
      <c r="AI833" s="174">
        <f>$D$58+$D$19</f>
        <v>268.61079999999998</v>
      </c>
      <c r="AJ833" s="174">
        <f>10*AR833/IF(AT833=0,IF(AY833=0,8,5),5)</f>
        <v>1.25</v>
      </c>
      <c r="AK833" s="174">
        <f>H833*SUM(AL833:AN833)</f>
        <v>1868.6834667268295</v>
      </c>
      <c r="AL833" s="174">
        <f>((VLOOKUP(C833,$B$36:$AG$39,24,FALSE)+VLOOKUP(C833,$B$40:$AG$43,24,FALSE)*$D$54))*$D$59/100</f>
        <v>934.34173336341473</v>
      </c>
      <c r="AM833" s="174"/>
      <c r="AN833" s="174"/>
      <c r="AO833" s="176">
        <v>8</v>
      </c>
      <c r="AP833" s="174">
        <v>36</v>
      </c>
      <c r="AQ833" s="175">
        <f>VLOOKUP(C833,$B$45:$AA$48,24,FALSE)</f>
        <v>277</v>
      </c>
      <c r="AR833" s="31">
        <f>IF(LEFT(E833,1)*1=1,$S$67,$R$67)</f>
        <v>1</v>
      </c>
      <c r="AS833" s="2">
        <f>IF(LEFT(E833,1)*1=2,$U$67,$T$67)</f>
        <v>0</v>
      </c>
      <c r="AT833" s="33">
        <f>IF(LEFT(E833,1)*1=3,$W$67,$V$67)</f>
        <v>0</v>
      </c>
      <c r="AU833" s="31">
        <f>IF(MID(E833,3,1)*1=1,$Y$67,$X$67)</f>
        <v>0</v>
      </c>
      <c r="AV833" s="2">
        <f>IF(MID(E833,3,1)*1=2,$AA$67,$Z$67)</f>
        <v>1</v>
      </c>
      <c r="AW833" s="33">
        <f>IF(MID(E833,3,1)*1=3,$AC$67,$AB$67)</f>
        <v>1.4</v>
      </c>
      <c r="AX833" s="31">
        <f>IF(MID(E833,5,1)*1=1,$AE$67,$AD$67)</f>
        <v>150</v>
      </c>
      <c r="AY833" s="33">
        <f>IF(MID(E833,5,1)*1=2,$AG$67,$AF$67)</f>
        <v>0</v>
      </c>
      <c r="AZ833" s="2"/>
      <c r="BA833" s="101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</row>
    <row r="834" spans="1:71" ht="12" customHeight="1">
      <c r="A834" s="2"/>
      <c r="B834" s="107">
        <v>288</v>
      </c>
      <c r="C834" s="31">
        <v>10</v>
      </c>
      <c r="D834" s="106" t="s">
        <v>17</v>
      </c>
      <c r="E834" s="2" t="s">
        <v>156</v>
      </c>
      <c r="F834" s="2"/>
      <c r="G834" s="2"/>
      <c r="H834" s="33">
        <f>IF(AT834=1,3,IF(AY834=1,3,2))</f>
        <v>2</v>
      </c>
      <c r="I834" s="173">
        <f>M834/AE834</f>
        <v>370.99022385382398</v>
      </c>
      <c r="J834" s="174">
        <f>AH834/AE834</f>
        <v>34.707673678702669</v>
      </c>
      <c r="K834" s="207">
        <f>RANK(I834,$I$76:$I$977)</f>
        <v>758</v>
      </c>
      <c r="L834" s="208" t="e">
        <f>RANK(I834,$I$76:$I$450)</f>
        <v>#N/A</v>
      </c>
      <c r="M834" s="173">
        <f>SUM(N834:R834)</f>
        <v>2960.8522011248333</v>
      </c>
      <c r="N834" s="174">
        <f>T834*(1+((AG834+IF(F834="백어택",8,0))/100)*((AI834/100-1)))</f>
        <v>1233.6884171353472</v>
      </c>
      <c r="O834" s="174">
        <f>U834*(1+(AG834/100)*(AI834/100-1))</f>
        <v>1727.1637839894863</v>
      </c>
      <c r="P834" s="174">
        <f>V834*(1+(AG834/100)*(AI834/100-1))</f>
        <v>0</v>
      </c>
      <c r="Q834" s="174"/>
      <c r="R834" s="175"/>
      <c r="S834" s="173">
        <f>SUM(T834:X834)</f>
        <v>2242.4201600721954</v>
      </c>
      <c r="T834" s="174">
        <f>AL834*AV834</f>
        <v>934.34173336341473</v>
      </c>
      <c r="U834" s="174">
        <f>AL834*AW834</f>
        <v>1308.0784267087806</v>
      </c>
      <c r="V834" s="174">
        <f>IF(H834=3,AL834,0)*(1+AW834-1+AW834-1)</f>
        <v>0</v>
      </c>
      <c r="W834" s="174"/>
      <c r="X834" s="175"/>
      <c r="Y834" s="173">
        <f>SUM(Z834:AD834)</f>
        <v>6023.382731331204</v>
      </c>
      <c r="Z834" s="174">
        <f>T834*AI834/100</f>
        <v>2509.7428047213352</v>
      </c>
      <c r="AA834" s="174">
        <f>U834*AI834/100</f>
        <v>3513.6399266098688</v>
      </c>
      <c r="AB834" s="174">
        <f>V834*AI834/100</f>
        <v>0</v>
      </c>
      <c r="AC834" s="174"/>
      <c r="AD834" s="175"/>
      <c r="AE834" s="173">
        <f>AO834*(1-$D$17/100)</f>
        <v>7.980944</v>
      </c>
      <c r="AF834" s="174">
        <f>AP834</f>
        <v>36</v>
      </c>
      <c r="AG834" s="174">
        <f>IF($D$57&gt;100,100,$D$57)</f>
        <v>19.001300000000001</v>
      </c>
      <c r="AH834" s="174">
        <f>AQ834</f>
        <v>277</v>
      </c>
      <c r="AI834" s="174">
        <f>$D$58+$D$19</f>
        <v>268.61079999999998</v>
      </c>
      <c r="AJ834" s="174">
        <f>10*AR834/IF(AT834=0,IF(AY834=0,8,5),5)</f>
        <v>1</v>
      </c>
      <c r="AK834" s="174">
        <f>H834*SUM(AL834:AN834)</f>
        <v>1868.6834667268295</v>
      </c>
      <c r="AL834" s="174">
        <f>((VLOOKUP(C834,$B$36:$AG$39,24,FALSE)+VLOOKUP(C834,$B$40:$AG$43,24,FALSE)*$D$54))*$D$59/100</f>
        <v>934.34173336341473</v>
      </c>
      <c r="AM834" s="174"/>
      <c r="AN834" s="174"/>
      <c r="AO834" s="176">
        <v>8</v>
      </c>
      <c r="AP834" s="174">
        <v>36</v>
      </c>
      <c r="AQ834" s="175">
        <f>VLOOKUP(C834,$B$45:$AA$48,24,FALSE)</f>
        <v>277</v>
      </c>
      <c r="AR834" s="31">
        <f>IF(LEFT(E834,1)*1=1,$S$67,$R$67)</f>
        <v>0.8</v>
      </c>
      <c r="AS834" s="2">
        <f>IF(LEFT(E834,1)*1=2,$U$67,$T$67)</f>
        <v>0</v>
      </c>
      <c r="AT834" s="33">
        <f>IF(LEFT(E834,1)*1=3,$W$67,$V$67)</f>
        <v>0</v>
      </c>
      <c r="AU834" s="31">
        <f>IF(MID(E834,3,1)*1=1,$Y$67,$X$67)</f>
        <v>0</v>
      </c>
      <c r="AV834" s="2">
        <f>IF(MID(E834,3,1)*1=2,$AA$67,$Z$67)</f>
        <v>1</v>
      </c>
      <c r="AW834" s="33">
        <f>IF(MID(E834,3,1)*1=3,$AC$67,$AB$67)</f>
        <v>1.4</v>
      </c>
      <c r="AX834" s="31">
        <f>IF(MID(E834,5,1)*1=1,$AE$67,$AD$67)</f>
        <v>150</v>
      </c>
      <c r="AY834" s="33">
        <f>IF(MID(E834,5,1)*1=2,$AG$67,$AF$67)</f>
        <v>0</v>
      </c>
      <c r="AZ834" s="2"/>
      <c r="BA834" s="101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</row>
    <row r="835" spans="1:71" ht="12" customHeight="1">
      <c r="A835" s="2"/>
      <c r="B835" s="107">
        <v>302</v>
      </c>
      <c r="C835" s="31">
        <v>7</v>
      </c>
      <c r="D835" s="106" t="s">
        <v>17</v>
      </c>
      <c r="E835" s="2" t="s">
        <v>89</v>
      </c>
      <c r="F835" s="2"/>
      <c r="G835" s="2"/>
      <c r="H835" s="33">
        <f>IF(AT835=1,3,IF(AY835=1,3,2))</f>
        <v>2</v>
      </c>
      <c r="I835" s="173">
        <f>M835/AE835</f>
        <v>369.9740387059673</v>
      </c>
      <c r="J835" s="174">
        <f>AH835/AE835</f>
        <v>24.18260296025132</v>
      </c>
      <c r="K835" s="207">
        <f>RANK(I835,$I$76:$I$977)</f>
        <v>760</v>
      </c>
      <c r="L835" s="208" t="e">
        <f>RANK(I835,$I$76:$I$450)</f>
        <v>#N/A</v>
      </c>
      <c r="M835" s="173">
        <f>SUM(N835:R835)</f>
        <v>2952.7420843661575</v>
      </c>
      <c r="N835" s="174">
        <f>T835*(1+((AG835+IF(F835="백어택",8,0))/100)*((AI835/100-1)))</f>
        <v>1771.6452506196945</v>
      </c>
      <c r="O835" s="174">
        <f>U835*(1+(AG835/100)*(AI835/100-1))</f>
        <v>1181.0968337464628</v>
      </c>
      <c r="P835" s="174">
        <f>V835*(1+(AG835/100)*(AI835/100-1))</f>
        <v>0</v>
      </c>
      <c r="Q835" s="174"/>
      <c r="R835" s="175"/>
      <c r="S835" s="173">
        <f>SUM(T835:X835)</f>
        <v>2236.2779117987807</v>
      </c>
      <c r="T835" s="174">
        <f>AL835*AV835</f>
        <v>1341.7667470792685</v>
      </c>
      <c r="U835" s="174">
        <f>AL835*AW835</f>
        <v>894.51116471951229</v>
      </c>
      <c r="V835" s="174">
        <f>IF(H835=3,AL835,0)*(1+AW835-1+AW835-1)</f>
        <v>0</v>
      </c>
      <c r="W835" s="174"/>
      <c r="X835" s="175"/>
      <c r="Y835" s="173">
        <f>SUM(Z835:AD835)</f>
        <v>6006.8839891059997</v>
      </c>
      <c r="Z835" s="174">
        <f>T835*AI835/100</f>
        <v>3604.1303934635998</v>
      </c>
      <c r="AA835" s="174">
        <f>U835*AI835/100</f>
        <v>2402.7535956423994</v>
      </c>
      <c r="AB835" s="174">
        <f>V835*AI835/100</f>
        <v>0</v>
      </c>
      <c r="AC835" s="174"/>
      <c r="AD835" s="175"/>
      <c r="AE835" s="173">
        <f>AO835*(1-$D$17/100)</f>
        <v>7.980944</v>
      </c>
      <c r="AF835" s="174">
        <f>AP835</f>
        <v>36</v>
      </c>
      <c r="AG835" s="174">
        <f>IF($D$57&gt;100,100,$D$57)</f>
        <v>19.001300000000001</v>
      </c>
      <c r="AH835" s="174">
        <f>AQ835</f>
        <v>193</v>
      </c>
      <c r="AI835" s="174">
        <f>$D$58+$D$19</f>
        <v>268.61079999999998</v>
      </c>
      <c r="AJ835" s="174">
        <f>10*AR835/IF(AT835=0,IF(AY835=0,8,5),5)</f>
        <v>1.25</v>
      </c>
      <c r="AK835" s="174">
        <f>H835*SUM(AL835:AN835)</f>
        <v>1789.0223294390246</v>
      </c>
      <c r="AL835" s="174">
        <f>((VLOOKUP(C835,$B$36:$AG$39,24,FALSE)+VLOOKUP(C835,$B$40:$AG$43,24,FALSE)*$D$54))*$D$59/100</f>
        <v>894.51116471951229</v>
      </c>
      <c r="AM835" s="174"/>
      <c r="AN835" s="174"/>
      <c r="AO835" s="176">
        <v>8</v>
      </c>
      <c r="AP835" s="174">
        <v>36</v>
      </c>
      <c r="AQ835" s="175">
        <f>VLOOKUP(C835,$B$45:$AA$48,24,FALSE)</f>
        <v>193</v>
      </c>
      <c r="AR835" s="31">
        <f>IF(LEFT(E835,1)*1=1,$S$67,$R$67)</f>
        <v>1</v>
      </c>
      <c r="AS835" s="2">
        <f>IF(LEFT(E835,1)*1=2,$U$67,$T$67)</f>
        <v>0</v>
      </c>
      <c r="AT835" s="33">
        <f>IF(LEFT(E835,1)*1=3,$W$67,$V$67)</f>
        <v>0</v>
      </c>
      <c r="AU835" s="31">
        <f>IF(MID(E835,3,1)*1=1,$Y$67,$X$67)</f>
        <v>0</v>
      </c>
      <c r="AV835" s="2">
        <f>IF(MID(E835,3,1)*1=2,$AA$67,$Z$67)</f>
        <v>1.5</v>
      </c>
      <c r="AW835" s="33">
        <f>IF(MID(E835,3,1)*1=3,$AC$67,$AB$67)</f>
        <v>1</v>
      </c>
      <c r="AX835" s="31">
        <f>IF(MID(E835,5,1)*1=1,$AE$67,$AD$67)</f>
        <v>0</v>
      </c>
      <c r="AY835" s="33">
        <f>IF(MID(E835,5,1)*1=2,$AG$67,$AF$67)</f>
        <v>0</v>
      </c>
      <c r="AZ835" s="2"/>
      <c r="BA835" s="101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</row>
    <row r="836" spans="1:71" ht="12" customHeight="1">
      <c r="A836" s="2"/>
      <c r="B836" s="107">
        <v>305</v>
      </c>
      <c r="C836" s="31">
        <v>7</v>
      </c>
      <c r="D836" s="106" t="s">
        <v>17</v>
      </c>
      <c r="E836" s="2" t="s">
        <v>152</v>
      </c>
      <c r="F836" s="2"/>
      <c r="G836" s="2"/>
      <c r="H836" s="33">
        <f>IF(AT836=1,3,IF(AY836=1,3,2))</f>
        <v>2</v>
      </c>
      <c r="I836" s="173">
        <f>M836/AE836</f>
        <v>369.9740387059673</v>
      </c>
      <c r="J836" s="174">
        <f>AH836/AE836</f>
        <v>24.18260296025132</v>
      </c>
      <c r="K836" s="207">
        <f>RANK(I836,$I$76:$I$977)</f>
        <v>760</v>
      </c>
      <c r="L836" s="208" t="e">
        <f>RANK(I836,$I$76:$I$450)</f>
        <v>#N/A</v>
      </c>
      <c r="M836" s="173">
        <f>SUM(N836:R836)</f>
        <v>2952.7420843661575</v>
      </c>
      <c r="N836" s="174">
        <f>T836*(1+((AG836+IF(F836="백어택",8,0))/100)*((AI836/100-1)))</f>
        <v>1771.6452506196945</v>
      </c>
      <c r="O836" s="174">
        <f>U836*(1+(AG836/100)*(AI836/100-1))</f>
        <v>1181.0968337464628</v>
      </c>
      <c r="P836" s="174">
        <f>V836*(1+(AG836/100)*(AI836/100-1))</f>
        <v>0</v>
      </c>
      <c r="Q836" s="174"/>
      <c r="R836" s="175"/>
      <c r="S836" s="173">
        <f>SUM(T836:X836)</f>
        <v>2236.2779117987807</v>
      </c>
      <c r="T836" s="174">
        <f>AL836*AV836</f>
        <v>1341.7667470792685</v>
      </c>
      <c r="U836" s="174">
        <f>AL836*AW836</f>
        <v>894.51116471951229</v>
      </c>
      <c r="V836" s="174">
        <f>IF(H836=3,AL836,0)*(1+AW836-1+AW836-1)</f>
        <v>0</v>
      </c>
      <c r="W836" s="174"/>
      <c r="X836" s="175"/>
      <c r="Y836" s="173">
        <f>SUM(Z836:AD836)</f>
        <v>6006.8839891059997</v>
      </c>
      <c r="Z836" s="174">
        <f>T836*AI836/100</f>
        <v>3604.1303934635998</v>
      </c>
      <c r="AA836" s="174">
        <f>U836*AI836/100</f>
        <v>2402.7535956423994</v>
      </c>
      <c r="AB836" s="174">
        <f>V836*AI836/100</f>
        <v>0</v>
      </c>
      <c r="AC836" s="174"/>
      <c r="AD836" s="175"/>
      <c r="AE836" s="173">
        <f>AO836*(1-$D$17/100)</f>
        <v>7.980944</v>
      </c>
      <c r="AF836" s="174">
        <f>AP836</f>
        <v>36</v>
      </c>
      <c r="AG836" s="174">
        <f>IF($D$57&gt;100,100,$D$57)</f>
        <v>19.001300000000001</v>
      </c>
      <c r="AH836" s="174">
        <f>AQ836</f>
        <v>193</v>
      </c>
      <c r="AI836" s="174">
        <f>$D$58+$D$19</f>
        <v>268.61079999999998</v>
      </c>
      <c r="AJ836" s="174">
        <f>10*AR836/IF(AT836=0,IF(AY836=0,8,5),5)</f>
        <v>1</v>
      </c>
      <c r="AK836" s="174">
        <f>H836*SUM(AL836:AN836)</f>
        <v>1789.0223294390246</v>
      </c>
      <c r="AL836" s="174">
        <f>((VLOOKUP(C836,$B$36:$AG$39,24,FALSE)+VLOOKUP(C836,$B$40:$AG$43,24,FALSE)*$D$54))*$D$59/100</f>
        <v>894.51116471951229</v>
      </c>
      <c r="AM836" s="174"/>
      <c r="AN836" s="174"/>
      <c r="AO836" s="176">
        <v>8</v>
      </c>
      <c r="AP836" s="174">
        <v>36</v>
      </c>
      <c r="AQ836" s="175">
        <f>VLOOKUP(C836,$B$45:$AA$48,24,FALSE)</f>
        <v>193</v>
      </c>
      <c r="AR836" s="31">
        <f>IF(LEFT(E836,1)*1=1,$S$67,$R$67)</f>
        <v>0.8</v>
      </c>
      <c r="AS836" s="2">
        <f>IF(LEFT(E836,1)*1=2,$U$67,$T$67)</f>
        <v>0</v>
      </c>
      <c r="AT836" s="33">
        <f>IF(LEFT(E836,1)*1=3,$W$67,$V$67)</f>
        <v>0</v>
      </c>
      <c r="AU836" s="31">
        <f>IF(MID(E836,3,1)*1=1,$Y$67,$X$67)</f>
        <v>0</v>
      </c>
      <c r="AV836" s="2">
        <f>IF(MID(E836,3,1)*1=2,$AA$67,$Z$67)</f>
        <v>1.5</v>
      </c>
      <c r="AW836" s="33">
        <f>IF(MID(E836,3,1)*1=3,$AC$67,$AB$67)</f>
        <v>1</v>
      </c>
      <c r="AX836" s="31">
        <f>IF(MID(E836,5,1)*1=1,$AE$67,$AD$67)</f>
        <v>0</v>
      </c>
      <c r="AY836" s="33">
        <f>IF(MID(E836,5,1)*1=2,$AG$67,$AF$67)</f>
        <v>0</v>
      </c>
      <c r="AZ836" s="2"/>
      <c r="BA836" s="101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</row>
    <row r="837" spans="1:71" ht="12" customHeight="1">
      <c r="A837" s="2"/>
      <c r="B837" s="107">
        <v>136</v>
      </c>
      <c r="C837" s="31">
        <v>10</v>
      </c>
      <c r="D837" s="106" t="s">
        <v>7</v>
      </c>
      <c r="E837" s="2" t="s">
        <v>95</v>
      </c>
      <c r="F837" s="2"/>
      <c r="G837" s="2"/>
      <c r="H837" s="33"/>
      <c r="I837" s="173">
        <f>M837/AE837</f>
        <v>363.56219425829806</v>
      </c>
      <c r="J837" s="174">
        <f>AH837/AE837</f>
        <v>49.51023339726175</v>
      </c>
      <c r="K837" s="207">
        <f>RANK(I837,$I$76:$I$977)</f>
        <v>762</v>
      </c>
      <c r="L837" s="208" t="e">
        <f>RANK(I837,$I$76:$I$450)</f>
        <v>#N/A</v>
      </c>
      <c r="M837" s="173">
        <f>N837+R837/2</f>
        <v>2173.5791192292791</v>
      </c>
      <c r="N837" s="174">
        <f>T837*(1+((AG837+IF(F837="백어택",8,0))/100)*((AI837/100-1)))</f>
        <v>2173.5791192292791</v>
      </c>
      <c r="O837" s="174"/>
      <c r="P837" s="174"/>
      <c r="Q837" s="174"/>
      <c r="R837" s="175">
        <f>X837*(1+(AG837/100)*(AI837/100-1))</f>
        <v>0</v>
      </c>
      <c r="S837" s="173">
        <f>SUM(T837:X837)</f>
        <v>1646.173907167683</v>
      </c>
      <c r="T837" s="174">
        <f>AL837*AV837*AX837</f>
        <v>1646.173907167683</v>
      </c>
      <c r="U837" s="174"/>
      <c r="V837" s="174"/>
      <c r="W837" s="174"/>
      <c r="X837" s="175">
        <f>AS837*AL837</f>
        <v>0</v>
      </c>
      <c r="Y837" s="173">
        <f>SUM(Z837:AD837)</f>
        <v>3292.3478143353659</v>
      </c>
      <c r="Z837" s="174">
        <f>T837*$D$58/100</f>
        <v>3292.3478143353659</v>
      </c>
      <c r="AA837" s="174"/>
      <c r="AB837" s="174"/>
      <c r="AC837" s="174"/>
      <c r="AD837" s="175">
        <f>X837*$D$58/100</f>
        <v>0</v>
      </c>
      <c r="AE837" s="173">
        <f>AO837*(1-$D$17/100)-AY837</f>
        <v>5.9785620000000002</v>
      </c>
      <c r="AF837" s="174">
        <f>AP837</f>
        <v>36</v>
      </c>
      <c r="AG837" s="174">
        <f>IF($D$57&gt;100,100,$D$57)</f>
        <v>19.001300000000001</v>
      </c>
      <c r="AH837" s="174">
        <f>AQ837*AR837</f>
        <v>296</v>
      </c>
      <c r="AI837" s="174">
        <f>$D$58+$D$19</f>
        <v>268.61079999999998</v>
      </c>
      <c r="AJ837" s="174">
        <f>10*AX837*AU837/9</f>
        <v>1.1111111111111112</v>
      </c>
      <c r="AK837" s="174">
        <f>SUM(AL837:AN837)</f>
        <v>1097.4492714451219</v>
      </c>
      <c r="AL837" s="174">
        <f>(VLOOKUP(C837,$B$36:$AG$39,8,FALSE)+VLOOKUP(C837,$B$40:$AG$43,8,FALSE)*$D$54)*$D$59/100</f>
        <v>1097.4492714451219</v>
      </c>
      <c r="AM837" s="174"/>
      <c r="AN837" s="174"/>
      <c r="AO837" s="176">
        <v>9</v>
      </c>
      <c r="AP837" s="174">
        <v>36</v>
      </c>
      <c r="AQ837" s="175">
        <f>VLOOKUP(C837,$B$45:$AA$48,8,FALSE)</f>
        <v>296</v>
      </c>
      <c r="AR837" s="31">
        <f>IF(LEFT(E837,1)*1=1,$S$57,$R$57)</f>
        <v>1</v>
      </c>
      <c r="AS837" s="2">
        <f>IF(LEFT(E837,1)*1=2,$U$57,$T$57)</f>
        <v>0</v>
      </c>
      <c r="AT837" s="33">
        <f>IF(LEFT(E837,1)*1=3,$W$57,$V$57)</f>
        <v>0</v>
      </c>
      <c r="AU837" s="31">
        <f>IF(MID(E837,3,1)*1=1,$Y$57,$X$57)</f>
        <v>1</v>
      </c>
      <c r="AV837" s="2">
        <f>IF(MID(E837,3,1)*1=2,$AA$57,$Z$57)</f>
        <v>1.5</v>
      </c>
      <c r="AW837" s="33">
        <f>IF(MID(E837,3,1)*1=3,$AC$57,$AB$57)</f>
        <v>0</v>
      </c>
      <c r="AX837" s="31">
        <f>IF(MID(E837,5,1)*1=1,$AE$57,$AD$57)</f>
        <v>1</v>
      </c>
      <c r="AY837" s="33">
        <f>IF(MID(E837,5,1)*1=2,$AG$57,$AF$57)</f>
        <v>3</v>
      </c>
      <c r="AZ837" s="2"/>
      <c r="BA837" s="101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</row>
    <row r="838" spans="1:71" ht="12" customHeight="1">
      <c r="A838" s="2"/>
      <c r="B838" s="107">
        <v>139</v>
      </c>
      <c r="C838" s="31">
        <v>10</v>
      </c>
      <c r="D838" s="106" t="s">
        <v>7</v>
      </c>
      <c r="E838" s="2" t="s">
        <v>154</v>
      </c>
      <c r="F838" s="2"/>
      <c r="G838" s="2"/>
      <c r="H838" s="33"/>
      <c r="I838" s="173">
        <f>M838/AE838</f>
        <v>363.56219425829806</v>
      </c>
      <c r="J838" s="174">
        <f>AH838/AE838</f>
        <v>24.755116698630875</v>
      </c>
      <c r="K838" s="207">
        <f>RANK(I838,$I$76:$I$977)</f>
        <v>762</v>
      </c>
      <c r="L838" s="208" t="e">
        <f>RANK(I838,$I$76:$I$450)</f>
        <v>#N/A</v>
      </c>
      <c r="M838" s="173">
        <f>N838+R838/2</f>
        <v>2173.5791192292791</v>
      </c>
      <c r="N838" s="174">
        <f>T838*(1+((AG838+IF(F838="백어택",8,0))/100)*((AI838/100-1)))</f>
        <v>2173.5791192292791</v>
      </c>
      <c r="O838" s="174"/>
      <c r="P838" s="174"/>
      <c r="Q838" s="174"/>
      <c r="R838" s="175">
        <f>X838*(1+(AG838/100)*(AI838/100-1))</f>
        <v>0</v>
      </c>
      <c r="S838" s="173">
        <f>SUM(T838:X838)</f>
        <v>1646.173907167683</v>
      </c>
      <c r="T838" s="174">
        <f>AL838*AV838*AX838</f>
        <v>1646.173907167683</v>
      </c>
      <c r="U838" s="174"/>
      <c r="V838" s="174"/>
      <c r="W838" s="174"/>
      <c r="X838" s="175">
        <f>AS838*AL838</f>
        <v>0</v>
      </c>
      <c r="Y838" s="173">
        <f>SUM(Z838:AD838)</f>
        <v>3292.3478143353659</v>
      </c>
      <c r="Z838" s="174">
        <f>T838*$D$58/100</f>
        <v>3292.3478143353659</v>
      </c>
      <c r="AA838" s="174"/>
      <c r="AB838" s="174"/>
      <c r="AC838" s="174"/>
      <c r="AD838" s="175">
        <f>X838*$D$58/100</f>
        <v>0</v>
      </c>
      <c r="AE838" s="173">
        <f>AO838*(1-$D$17/100)-AY838</f>
        <v>5.9785620000000002</v>
      </c>
      <c r="AF838" s="174">
        <f>AP838</f>
        <v>36</v>
      </c>
      <c r="AG838" s="174">
        <f>IF($D$57&gt;100,100,$D$57)</f>
        <v>19.001300000000001</v>
      </c>
      <c r="AH838" s="174">
        <f>AQ838*AR838</f>
        <v>148</v>
      </c>
      <c r="AI838" s="174">
        <f>$D$58+$D$19</f>
        <v>268.61079999999998</v>
      </c>
      <c r="AJ838" s="174">
        <f>10*AX838*AU838/9</f>
        <v>1.1111111111111112</v>
      </c>
      <c r="AK838" s="174">
        <f>SUM(AL838:AN838)</f>
        <v>1097.4492714451219</v>
      </c>
      <c r="AL838" s="174">
        <f>(VLOOKUP(C838,$B$36:$AG$39,8,FALSE)+VLOOKUP(C838,$B$40:$AG$43,8,FALSE)*$D$54)*$D$59/100</f>
        <v>1097.4492714451219</v>
      </c>
      <c r="AM838" s="174"/>
      <c r="AN838" s="174"/>
      <c r="AO838" s="176">
        <v>9</v>
      </c>
      <c r="AP838" s="174">
        <v>36</v>
      </c>
      <c r="AQ838" s="175">
        <f>VLOOKUP(C838,$B$45:$AA$48,8,FALSE)</f>
        <v>296</v>
      </c>
      <c r="AR838" s="31">
        <f>IF(LEFT(E838,1)*1=1,$S$57,$R$57)</f>
        <v>0.5</v>
      </c>
      <c r="AS838" s="2">
        <f>IF(LEFT(E838,1)*1=2,$U$57,$T$57)</f>
        <v>0</v>
      </c>
      <c r="AT838" s="33">
        <f>IF(LEFT(E838,1)*1=3,$W$57,$V$57)</f>
        <v>0</v>
      </c>
      <c r="AU838" s="31">
        <f>IF(MID(E838,3,1)*1=1,$Y$57,$X$57)</f>
        <v>1</v>
      </c>
      <c r="AV838" s="2">
        <f>IF(MID(E838,3,1)*1=2,$AA$57,$Z$57)</f>
        <v>1.5</v>
      </c>
      <c r="AW838" s="33">
        <f>IF(MID(E838,3,1)*1=3,$AC$57,$AB$57)</f>
        <v>0</v>
      </c>
      <c r="AX838" s="31">
        <f>IF(MID(E838,5,1)*1=1,$AE$57,$AD$57)</f>
        <v>1</v>
      </c>
      <c r="AY838" s="33">
        <f>IF(MID(E838,5,1)*1=2,$AG$57,$AF$57)</f>
        <v>3</v>
      </c>
      <c r="AZ838" s="2"/>
      <c r="BA838" s="101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</row>
    <row r="839" spans="1:71" ht="12" customHeight="1">
      <c r="A839" s="2"/>
      <c r="B839" s="107">
        <v>813</v>
      </c>
      <c r="C839" s="31">
        <v>7</v>
      </c>
      <c r="D839" s="113" t="s">
        <v>9</v>
      </c>
      <c r="E839" s="2" t="s">
        <v>79</v>
      </c>
      <c r="F839" s="2"/>
      <c r="G839" s="2"/>
      <c r="H839" s="33"/>
      <c r="I839" s="173">
        <f>M839/AE839</f>
        <v>363.51523683894322</v>
      </c>
      <c r="J839" s="174">
        <f>AH839/AE839</f>
        <v>12.752598912832589</v>
      </c>
      <c r="K839" s="207">
        <f>RANK(I839,$I$76:$I$977)</f>
        <v>764</v>
      </c>
      <c r="L839" s="208" t="e">
        <f>RANK(I839,$I$867:$I$977)</f>
        <v>#N/A</v>
      </c>
      <c r="M839" s="173">
        <f>SUM(N839:R839)*(1+$D$22/100)</f>
        <v>13055.376367612544</v>
      </c>
      <c r="N839" s="174">
        <f>T839*(1+((AG839+IF(F839="백어택",8,0))/100)*(AI839/100-1))</f>
        <v>7842.5563124256623</v>
      </c>
      <c r="O839" s="174">
        <f>U839*(1+($D$57/100)*(AI839/100-1))</f>
        <v>1960.1747976702225</v>
      </c>
      <c r="P839" s="174"/>
      <c r="Q839" s="174"/>
      <c r="R839" s="175">
        <f>X839*(1+($D$57/100)*(AI839/100-1))</f>
        <v>1960.1747976702225</v>
      </c>
      <c r="S839" s="173">
        <f>SUM(T839:X839)</f>
        <v>9884.6868965012218</v>
      </c>
      <c r="T839" s="174">
        <f>AL839*AU839*AY839</f>
        <v>6590.3114608207325</v>
      </c>
      <c r="U839" s="174">
        <f>AM839*AX839</f>
        <v>1647.1877178402442</v>
      </c>
      <c r="V839" s="174"/>
      <c r="W839" s="174"/>
      <c r="X839" s="175">
        <f>AM839*AS839</f>
        <v>1647.1877178402442</v>
      </c>
      <c r="Y839" s="173">
        <f>SUM(Z839:AD839)</f>
        <v>19769.373793002444</v>
      </c>
      <c r="Z839" s="174">
        <f>T839*$D$58/100</f>
        <v>13180.622921641465</v>
      </c>
      <c r="AA839" s="174">
        <f>U839*$D$58/100</f>
        <v>3294.3754356804884</v>
      </c>
      <c r="AB839" s="174"/>
      <c r="AC839" s="174"/>
      <c r="AD839" s="175">
        <f>X839*$D$58/100</f>
        <v>3294.3754356804884</v>
      </c>
      <c r="AE839" s="173">
        <f>AO839*(1-$D$17/100)</f>
        <v>35.914248000000001</v>
      </c>
      <c r="AF839" s="174">
        <f>AP839</f>
        <v>36</v>
      </c>
      <c r="AG839" s="174">
        <f>IF($D$57+AW839&gt;100,100,$D$57+AW839)</f>
        <v>19.001300000000001</v>
      </c>
      <c r="AH839" s="174">
        <f>AQ839</f>
        <v>458</v>
      </c>
      <c r="AI839" s="174">
        <f>$D$58</f>
        <v>200</v>
      </c>
      <c r="AJ839" s="174">
        <f>10/(6+AT839)</f>
        <v>1.6666666666666667</v>
      </c>
      <c r="AK839" s="174">
        <f>SUM(AL839:AN839)</f>
        <v>8237.4991786609771</v>
      </c>
      <c r="AL839" s="174">
        <f>(VLOOKUP(C839,$B$36:$AG$39,11,FALSE)+VLOOKUP(C839,$B$40:$AG$43,11,FALSE)*$D$54)*$D$59/100</f>
        <v>6590.3114608207325</v>
      </c>
      <c r="AM839" s="174">
        <f>(3*(VLOOKUP(C839,$B$36:$AG$39,12,FALSE)+VLOOKUP(C839,$B$40:$AG$43,12,FALSE)*$D$54))*$D$59/100</f>
        <v>1647.1877178402442</v>
      </c>
      <c r="AN839" s="174"/>
      <c r="AO839" s="176">
        <v>36</v>
      </c>
      <c r="AP839" s="174">
        <v>36</v>
      </c>
      <c r="AQ839" s="175">
        <f>VLOOKUP(C839,$B$45:$AA$48,11,FALSE)</f>
        <v>458</v>
      </c>
      <c r="AR839" s="31">
        <f>IF(LEFT(E839,1)*1=1,$S$59,$R$59)</f>
        <v>0</v>
      </c>
      <c r="AS839" s="2">
        <f>IF(LEFT(E839,1)*1=2,$U$59,$T$59)</f>
        <v>1</v>
      </c>
      <c r="AT839" s="33">
        <f>IF(LEFT(E839,1)*1=3,$W$59,$V$59)</f>
        <v>0</v>
      </c>
      <c r="AU839" s="31">
        <f>IF(MID(E839,3,1)*1=1,$Y$59,$X$59)</f>
        <v>1</v>
      </c>
      <c r="AV839" s="2">
        <f>IF(MID(E839,3,1)*1=2,$AA$59,$Z$59)</f>
        <v>0</v>
      </c>
      <c r="AW839" s="33">
        <f>IF(MID(E839,3,1)*1=3,$AC$59,$AB$59)</f>
        <v>0</v>
      </c>
      <c r="AX839" s="31">
        <f>IF(MID(E839,5,1)*1=1,$AE$59,$AD$59)</f>
        <v>1</v>
      </c>
      <c r="AY839" s="33">
        <f>IF(MID(E839,5,1)*1=2,$AG$59,$AF$59)</f>
        <v>1</v>
      </c>
      <c r="AZ839" s="2"/>
      <c r="BA839" s="101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</row>
    <row r="840" spans="1:71" ht="12" customHeight="1">
      <c r="A840" s="2"/>
      <c r="B840" s="107">
        <v>373</v>
      </c>
      <c r="C840" s="31">
        <v>4</v>
      </c>
      <c r="D840" s="106" t="s">
        <v>20</v>
      </c>
      <c r="E840" s="2" t="s">
        <v>148</v>
      </c>
      <c r="F840" s="2"/>
      <c r="G840" s="2"/>
      <c r="H840" s="33"/>
      <c r="I840" s="173">
        <f>M840/AE840</f>
        <v>363.06849767733434</v>
      </c>
      <c r="J840" s="174">
        <f>AH840/AE840</f>
        <v>11.298963624290337</v>
      </c>
      <c r="K840" s="207">
        <f>RANK(I840,$I$76:$I$977)</f>
        <v>765</v>
      </c>
      <c r="L840" s="208" t="e">
        <f>RANK(I840,$I$76:$I$450)</f>
        <v>#N/A</v>
      </c>
      <c r="M840" s="173">
        <f>SUM(N840:R840)</f>
        <v>5430.4605402536017</v>
      </c>
      <c r="N840" s="174">
        <f>T840*(1+((AG840+IF(F840="백어택",8,0))/100)*((AI840/100-1)))</f>
        <v>2856.7378829942904</v>
      </c>
      <c r="O840" s="174">
        <f>U840*(1+(($D$57+IF(F840="백어택",8,0))/100)*($D$58/100-1))</f>
        <v>2573.7226572593117</v>
      </c>
      <c r="P840" s="174"/>
      <c r="Q840" s="174"/>
      <c r="R840" s="175"/>
      <c r="S840" s="173">
        <f>SUM(T840:X840)</f>
        <v>4326.3370441487805</v>
      </c>
      <c r="T840" s="174">
        <f>AL840*AV840*IF(F840="백어택",1.2,1)</f>
        <v>2163.5685220743903</v>
      </c>
      <c r="U840" s="174">
        <f>AM840*AX840*AY840*IF(F840="백어택",1.2,1)</f>
        <v>2162.7685220743906</v>
      </c>
      <c r="V840" s="174"/>
      <c r="W840" s="174"/>
      <c r="X840" s="175"/>
      <c r="Y840" s="173">
        <f>SUM(Z840:AD840)</f>
        <v>8652.674088297561</v>
      </c>
      <c r="Z840" s="174">
        <f>T840*$D$58/100</f>
        <v>4327.1370441487807</v>
      </c>
      <c r="AA840" s="174">
        <f>U840*$D$58/100</f>
        <v>4325.5370441487812</v>
      </c>
      <c r="AB840" s="174"/>
      <c r="AC840" s="174"/>
      <c r="AD840" s="175"/>
      <c r="AE840" s="173">
        <f>AO840*(1-$D$17/100)-AR840</f>
        <v>14.957124</v>
      </c>
      <c r="AF840" s="174">
        <f>AP840</f>
        <v>36</v>
      </c>
      <c r="AG840" s="174">
        <f>IF($D$57+AU840&gt;100,100,$D$57+AU840)</f>
        <v>19.001300000000001</v>
      </c>
      <c r="AH840" s="174">
        <f>AQ840*AS840</f>
        <v>169</v>
      </c>
      <c r="AI840" s="174">
        <f>$D$58+$D$19</f>
        <v>268.61079999999998</v>
      </c>
      <c r="AJ840" s="174">
        <f>10*IF(AV840=1,1,5/4.5)/IF(AX840=1,5,3.5)</f>
        <v>2</v>
      </c>
      <c r="AK840" s="174">
        <f>SUM(AL840:AN840)</f>
        <v>4326.3370441487805</v>
      </c>
      <c r="AL840" s="174">
        <f>(VLOOKUP(C840,$B$36:$AG$39,29,FALSE)+VLOOKUP(C840,$B$40:$AG$43,29,FALSE)*$D$54)*$D$59/100</f>
        <v>2163.5685220743903</v>
      </c>
      <c r="AM840" s="174">
        <f>(VLOOKUP(C840,$B$36:$AG$39,30,FALSE)+VLOOKUP(C840,$B$40:$AG$43,30,FALSE)*$D$54)*$D$59/100</f>
        <v>2162.7685220743906</v>
      </c>
      <c r="AN840" s="174"/>
      <c r="AO840" s="176">
        <v>18</v>
      </c>
      <c r="AP840" s="174">
        <v>36</v>
      </c>
      <c r="AQ840" s="175">
        <f>VLOOKUP(C840,$B$45:$AG$48,29,FALSE)</f>
        <v>169</v>
      </c>
      <c r="AR840" s="31">
        <f>IF(LEFT(E840,1)*1=1,$S$70,$R$70)</f>
        <v>3</v>
      </c>
      <c r="AS840" s="2">
        <f>IF(LEFT(E840,1)*1=2,$U$70,$T$70)</f>
        <v>1</v>
      </c>
      <c r="AT840" s="33">
        <f>IF(LEFT(E840,1)*1=3,$W$70,$V$70)</f>
        <v>0</v>
      </c>
      <c r="AU840" s="31">
        <f>IF(MID(E840,3,1)*1=1,$Y$70,$X$70)</f>
        <v>0</v>
      </c>
      <c r="AV840" s="2">
        <f>IF(MID(E840,3,1)*1=2,$AA$70,$Z$70)</f>
        <v>1</v>
      </c>
      <c r="AW840" s="33">
        <f>IF(MID(E840,3,1)*1=3,$AC$70,$AB$70)</f>
        <v>0</v>
      </c>
      <c r="AX840" s="31">
        <f>IF(MID(E840,5,1)*1=1,$AE$70,$AD$70)</f>
        <v>1</v>
      </c>
      <c r="AY840" s="33">
        <f>IF(MID(E840,5,1)*1=2,$AG$70,$AF$70)</f>
        <v>1</v>
      </c>
      <c r="AZ840" s="2"/>
      <c r="BA840" s="101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</row>
    <row r="841" spans="1:71" ht="12" customHeight="1">
      <c r="A841" s="2"/>
      <c r="B841" s="107">
        <v>410</v>
      </c>
      <c r="C841" s="31">
        <v>7</v>
      </c>
      <c r="D841" s="111" t="s">
        <v>8</v>
      </c>
      <c r="E841" s="2" t="s">
        <v>136</v>
      </c>
      <c r="F841" s="2"/>
      <c r="G841" s="2"/>
      <c r="H841" s="33" t="s">
        <v>80</v>
      </c>
      <c r="I841" s="173">
        <f>M841/AE841</f>
        <v>362.66302207790085</v>
      </c>
      <c r="J841" s="174">
        <f>AH841/AE841</f>
        <v>19.637781784066725</v>
      </c>
      <c r="K841" s="207">
        <f>RANK(I841,$I$76:$I$977)</f>
        <v>766</v>
      </c>
      <c r="L841" s="208">
        <f>RANK(I841,$I$451:$I$866)</f>
        <v>391</v>
      </c>
      <c r="M841" s="173">
        <f>SUM(N841:R841)</f>
        <v>6703.7447743253078</v>
      </c>
      <c r="N841" s="174">
        <f>T841*(1+((AG841+IF(F841="백어택",8,0))/100)*(IF(AY841=1,$D$58,$D$58+50)/100-1))</f>
        <v>2943.5878931228322</v>
      </c>
      <c r="O841" s="174">
        <f>U841*(1+((AG841+IF(F841="백어택",8,0))/100)*(AI841/100-1))</f>
        <v>3760.1568812024757</v>
      </c>
      <c r="P841" s="174">
        <f>V841*(1+((AG841+IF(F841="백어택",8,0))/100)*(AI841/100-1))</f>
        <v>0</v>
      </c>
      <c r="Q841" s="174"/>
      <c r="R841" s="175"/>
      <c r="S841" s="173">
        <f>SUM(T841:X841)</f>
        <v>4655.3362881621961</v>
      </c>
      <c r="T841" s="174">
        <f>AL841*IF(H841="근접",AR841,1)*AY841*IF(F841="백어택",1.2,1)</f>
        <v>2044.1398050731711</v>
      </c>
      <c r="U841" s="174">
        <f>AM841*IF(H841="근접",AR841,1)*AY841*IF(F841="백어택",1.2,1)</f>
        <v>2611.1964830890247</v>
      </c>
      <c r="V841" s="174">
        <f>IF(AX841=1,0,AM841*IF(H841="근접",AR841,1)*AY841)*IF(F841="백어택",1.2,1)</f>
        <v>0</v>
      </c>
      <c r="W841" s="174"/>
      <c r="X841" s="175"/>
      <c r="Y841" s="173">
        <f>SUM(Z841:AD841)</f>
        <v>9310.6725763243921</v>
      </c>
      <c r="Z841" s="174">
        <f>T841*IF(AY841=1,$D$58,$D$58+50)/100</f>
        <v>4088.2796101463423</v>
      </c>
      <c r="AA841" s="174">
        <f>U841*AI841/100</f>
        <v>5222.3929661780494</v>
      </c>
      <c r="AB841" s="174">
        <f>V841*AI841/100</f>
        <v>0</v>
      </c>
      <c r="AC841" s="174"/>
      <c r="AD841" s="175"/>
      <c r="AE841" s="173">
        <f>AO841*(1-$D$20/100)*(1-$D$17/100)</f>
        <v>18.484776131615998</v>
      </c>
      <c r="AF841" s="174">
        <f>AP841</f>
        <v>36</v>
      </c>
      <c r="AG841" s="174">
        <f>IF($D$57+AU841&gt;100,100,$D$57+AU841)</f>
        <v>44.001300000000001</v>
      </c>
      <c r="AH841" s="174">
        <f>IF(AX841=1,AQ841,AQ841*1.4)</f>
        <v>363</v>
      </c>
      <c r="AI841" s="174">
        <f>IF(AY841=1,$D$58,$D$58+50)*AW841</f>
        <v>200</v>
      </c>
      <c r="AJ841" s="174">
        <f>10/6/AX841</f>
        <v>1.6666666666666667</v>
      </c>
      <c r="AK841" s="174">
        <f>SUM(AL841:AN841)</f>
        <v>4655.3362881621961</v>
      </c>
      <c r="AL841" s="174">
        <f>(IF(H841="근접",$D$61*(VLOOKUP(C841,$B$36:$AG$39,9,FALSE)+VLOOKUP(C841,$B$40:$AG$43,9,FALSE)*$D$54),$D$60*(VLOOKUP(C841,$B$36:$AG$39,9,FALSE)+VLOOKUP(C841,$B$40:$AG$43,9,FALSE)*$D$54)))*$D$59/100</f>
        <v>2044.1398050731711</v>
      </c>
      <c r="AM841" s="174">
        <f>(IF(H841="근접",$D$61*(VLOOKUP(C841,$B$36:$AG$39,10,FALSE)+VLOOKUP(C841,$B$40:$AG$43,10,FALSE)*$D$54),$D$60*(VLOOKUP(C841,$B$36:$AG$39,10,FALSE)+VLOOKUP(C841,$B$40:$AG$43,10,FALSE)*$D$54)))*$D$59/100</f>
        <v>2611.1964830890247</v>
      </c>
      <c r="AN841" s="174"/>
      <c r="AO841" s="176">
        <v>24</v>
      </c>
      <c r="AP841" s="174">
        <v>36</v>
      </c>
      <c r="AQ841" s="175">
        <f>VLOOKUP(C841,$B$45:$AA$48,9,FALSE)</f>
        <v>363</v>
      </c>
      <c r="AR841" s="31">
        <f>IF(LEFT(E841,1)*1=1,$S$58,$R$58)</f>
        <v>1</v>
      </c>
      <c r="AS841" s="2">
        <f>IF(LEFT(E841,1)*1=2,$U$58,$T$58)</f>
        <v>0</v>
      </c>
      <c r="AT841" s="33">
        <f>IF(LEFT(E841,1)*1=3,$W$58,$V$58)</f>
        <v>0</v>
      </c>
      <c r="AU841" s="31">
        <f>IF(MID(E841,3,1)*1=1,$Y$58,$X$58)</f>
        <v>25</v>
      </c>
      <c r="AV841" s="2">
        <f>IF(MID(E841,3,1)*1=2,$AA$58,$Z$58)</f>
        <v>0</v>
      </c>
      <c r="AW841" s="33">
        <f>IF(MID(E841,3,1)*1=3,$AC$58,$AB$58)</f>
        <v>1</v>
      </c>
      <c r="AX841" s="31">
        <f>IF(MID(E841,5,1)*1=1,$AE$58,$AD$58)</f>
        <v>1</v>
      </c>
      <c r="AY841" s="33">
        <f>IF(MID(E841,5,1)*1=2,$AG$58,$AF$58)</f>
        <v>1</v>
      </c>
      <c r="AZ841" s="2"/>
      <c r="BA841" s="101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</row>
    <row r="842" spans="1:71" ht="12" customHeight="1">
      <c r="A842" s="2"/>
      <c r="B842" s="107">
        <v>413</v>
      </c>
      <c r="C842" s="31">
        <v>7</v>
      </c>
      <c r="D842" s="111" t="s">
        <v>8</v>
      </c>
      <c r="E842" s="2" t="s">
        <v>163</v>
      </c>
      <c r="F842" s="2"/>
      <c r="G842" s="2"/>
      <c r="H842" s="33" t="s">
        <v>80</v>
      </c>
      <c r="I842" s="173">
        <f>M842/AE842</f>
        <v>362.66302207790085</v>
      </c>
      <c r="J842" s="174">
        <f>AH842/AE842</f>
        <v>19.637781784066725</v>
      </c>
      <c r="K842" s="207">
        <f>RANK(I842,$I$76:$I$977)</f>
        <v>766</v>
      </c>
      <c r="L842" s="208">
        <f>RANK(I842,$I$451:$I$866)</f>
        <v>391</v>
      </c>
      <c r="M842" s="173">
        <f>SUM(N842:R842)</f>
        <v>6703.7447743253078</v>
      </c>
      <c r="N842" s="174">
        <f>T842*(1+((AG842+IF(F842="백어택",8,0))/100)*(IF(AY842=1,$D$58,$D$58+50)/100-1))</f>
        <v>2943.5878931228322</v>
      </c>
      <c r="O842" s="174">
        <f>U842*(1+((AG842+IF(F842="백어택",8,0))/100)*(AI842/100-1))</f>
        <v>3760.1568812024757</v>
      </c>
      <c r="P842" s="174">
        <f>V842*(1+((AG842+IF(F842="백어택",8,0))/100)*(AI842/100-1))</f>
        <v>0</v>
      </c>
      <c r="Q842" s="174"/>
      <c r="R842" s="175"/>
      <c r="S842" s="173">
        <f>SUM(T842:X842)</f>
        <v>4655.3362881621961</v>
      </c>
      <c r="T842" s="174">
        <f>AL842*IF(H842="근접",AR842,1)*AY842*IF(F842="백어택",1.2,1)</f>
        <v>2044.1398050731711</v>
      </c>
      <c r="U842" s="174">
        <f>AM842*IF(H842="근접",AR842,1)*AY842*IF(F842="백어택",1.2,1)</f>
        <v>2611.1964830890247</v>
      </c>
      <c r="V842" s="174">
        <f>IF(AX842=1,0,AM842*IF(H842="근접",AR842,1)*AY842)*IF(F842="백어택",1.2,1)</f>
        <v>0</v>
      </c>
      <c r="W842" s="174"/>
      <c r="X842" s="175"/>
      <c r="Y842" s="173">
        <f>SUM(Z842:AD842)</f>
        <v>9310.6725763243921</v>
      </c>
      <c r="Z842" s="174">
        <f>T842*IF(AY842=1,$D$58,$D$58+50)/100</f>
        <v>4088.2796101463423</v>
      </c>
      <c r="AA842" s="174">
        <f>U842*AI842/100</f>
        <v>5222.3929661780494</v>
      </c>
      <c r="AB842" s="174">
        <f>V842*AI842/100</f>
        <v>0</v>
      </c>
      <c r="AC842" s="174"/>
      <c r="AD842" s="175"/>
      <c r="AE842" s="173">
        <f>AO842*(1-$D$20/100)*(1-$D$17/100)</f>
        <v>18.484776131615998</v>
      </c>
      <c r="AF842" s="174">
        <f>AP842</f>
        <v>36</v>
      </c>
      <c r="AG842" s="174">
        <f>IF($D$57+AU842&gt;100,100,$D$57+AU842)</f>
        <v>44.001300000000001</v>
      </c>
      <c r="AH842" s="174">
        <f>IF(AX842=1,AQ842,AQ842*1.4)</f>
        <v>363</v>
      </c>
      <c r="AI842" s="174">
        <f>IF(AY842=1,$D$58,$D$58+50)*AW842</f>
        <v>200</v>
      </c>
      <c r="AJ842" s="174">
        <f>10/6/AX842</f>
        <v>1.6666666666666667</v>
      </c>
      <c r="AK842" s="174">
        <f>SUM(AL842:AN842)</f>
        <v>4655.3362881621961</v>
      </c>
      <c r="AL842" s="174">
        <f>(IF(H842="근접",$D$61*(VLOOKUP(C842,$B$36:$AG$39,9,FALSE)+VLOOKUP(C842,$B$40:$AG$43,9,FALSE)*$D$54),$D$60*(VLOOKUP(C842,$B$36:$AG$39,9,FALSE)+VLOOKUP(C842,$B$40:$AG$43,9,FALSE)*$D$54)))*$D$59/100</f>
        <v>2044.1398050731711</v>
      </c>
      <c r="AM842" s="174">
        <f>(IF(H842="근접",$D$61*(VLOOKUP(C842,$B$36:$AG$39,10,FALSE)+VLOOKUP(C842,$B$40:$AG$43,10,FALSE)*$D$54),$D$60*(VLOOKUP(C842,$B$36:$AG$39,10,FALSE)+VLOOKUP(C842,$B$40:$AG$43,10,FALSE)*$D$54)))*$D$59/100</f>
        <v>2611.1964830890247</v>
      </c>
      <c r="AN842" s="174"/>
      <c r="AO842" s="176">
        <v>24</v>
      </c>
      <c r="AP842" s="174">
        <v>36</v>
      </c>
      <c r="AQ842" s="175">
        <f>VLOOKUP(C842,$B$45:$AA$48,9,FALSE)</f>
        <v>363</v>
      </c>
      <c r="AR842" s="31">
        <f>IF(LEFT(E842,1)*1=1,$S$58,$R$58)</f>
        <v>1.2</v>
      </c>
      <c r="AS842" s="2">
        <f>IF(LEFT(E842,1)*1=2,$U$58,$T$58)</f>
        <v>0</v>
      </c>
      <c r="AT842" s="33">
        <f>IF(LEFT(E842,1)*1=3,$W$58,$V$58)</f>
        <v>0</v>
      </c>
      <c r="AU842" s="31">
        <f>IF(MID(E842,3,1)*1=1,$Y$58,$X$58)</f>
        <v>25</v>
      </c>
      <c r="AV842" s="2">
        <f>IF(MID(E842,3,1)*1=2,$AA$58,$Z$58)</f>
        <v>0</v>
      </c>
      <c r="AW842" s="33">
        <f>IF(MID(E842,3,1)*1=3,$AC$58,$AB$58)</f>
        <v>1</v>
      </c>
      <c r="AX842" s="31">
        <f>IF(MID(E842,5,1)*1=1,$AE$58,$AD$58)</f>
        <v>1</v>
      </c>
      <c r="AY842" s="33">
        <f>IF(MID(E842,5,1)*1=2,$AG$58,$AF$58)</f>
        <v>1</v>
      </c>
      <c r="AZ842" s="2"/>
      <c r="BA842" s="101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</row>
    <row r="843" spans="1:71" ht="12" customHeight="1">
      <c r="A843" s="2"/>
      <c r="B843" s="107">
        <v>857</v>
      </c>
      <c r="C843" s="31">
        <v>7</v>
      </c>
      <c r="D843" s="113" t="s">
        <v>15</v>
      </c>
      <c r="E843" s="2" t="s">
        <v>79</v>
      </c>
      <c r="F843" s="1"/>
      <c r="G843" s="1" t="s">
        <v>174</v>
      </c>
      <c r="H843" s="33">
        <f>IF(AX843=AT843,3,4)</f>
        <v>3</v>
      </c>
      <c r="I843" s="173">
        <f>M843/AE843</f>
        <v>357.7669342047347</v>
      </c>
      <c r="J843" s="174">
        <f>AH843/AE843</f>
        <v>13.766124241276053</v>
      </c>
      <c r="K843" s="207">
        <f>RANK(I843,$I$76:$I$977)</f>
        <v>768</v>
      </c>
      <c r="L843" s="208" t="e">
        <f>RANK(I843,$I$867:$I$977)</f>
        <v>#N/A</v>
      </c>
      <c r="M843" s="173">
        <f>SUM(N843:R843)*(1+$D$22/100)</f>
        <v>10707.442001023772</v>
      </c>
      <c r="N843" s="174">
        <f>T843*(1+((AG843+IF(F843="백어택",8,0))/100)*(AI843/100-1))</f>
        <v>3215.8049737363558</v>
      </c>
      <c r="O843" s="174">
        <f>U843*(1+(AG843/100)*(AI843/100-1))</f>
        <v>3215.8049737363558</v>
      </c>
      <c r="P843" s="174">
        <f>V843*(1+(AG843/100)*(AI843/100-1))</f>
        <v>3215.8049737363558</v>
      </c>
      <c r="Q843" s="174">
        <f>W843*(1+(AG843/100)*(AI843/100-1))</f>
        <v>0</v>
      </c>
      <c r="R843" s="175">
        <f>X843*(1+(AG843/100)*(AI843/100-1))</f>
        <v>0</v>
      </c>
      <c r="S843" s="173">
        <f>SUM(T843:X843)</f>
        <v>8106.9827986829278</v>
      </c>
      <c r="T843" s="174">
        <f>AL843*AS843*AY843</f>
        <v>2702.3275995609761</v>
      </c>
      <c r="U843" s="174">
        <f>AL843*AS843*AY843</f>
        <v>2702.3275995609761</v>
      </c>
      <c r="V843" s="174">
        <f>AL843*AS843*AY843</f>
        <v>2702.3275995609761</v>
      </c>
      <c r="W843" s="174">
        <f>IF(H843=4,AL843*AS843*IF(AT843=0,AY843,1),0)</f>
        <v>0</v>
      </c>
      <c r="X843" s="175">
        <f>AL843*IF(H843=3,11,IF(AT843=1,15,13))*IF(AW843=1,0,AW843)</f>
        <v>0</v>
      </c>
      <c r="Y843" s="173">
        <f>SUM(Z843:AD843)</f>
        <v>16213.965597365854</v>
      </c>
      <c r="Z843" s="174">
        <f>T843*AI843/100</f>
        <v>5404.6551991219512</v>
      </c>
      <c r="AA843" s="174">
        <f>U843*AI843/100</f>
        <v>5404.6551991219512</v>
      </c>
      <c r="AB843" s="174">
        <f>V843*AI843/100</f>
        <v>5404.6551991219512</v>
      </c>
      <c r="AC843" s="174">
        <f>W843*AI843/100</f>
        <v>0</v>
      </c>
      <c r="AD843" s="175">
        <f>X843*AI843/100</f>
        <v>0</v>
      </c>
      <c r="AE843" s="173">
        <f>AO843*(1-$D$17/100)</f>
        <v>29.928540000000002</v>
      </c>
      <c r="AF843" s="174">
        <f>AP843</f>
        <v>36</v>
      </c>
      <c r="AG843" s="174">
        <f>IF($D$57+AX843&gt;100,100,$D$57+AX843)</f>
        <v>19.001300000000001</v>
      </c>
      <c r="AH843" s="174">
        <f>AQ843</f>
        <v>412</v>
      </c>
      <c r="AI843" s="174">
        <f>$D$58</f>
        <v>200</v>
      </c>
      <c r="AJ843" s="174">
        <f>10*AU843/IF(AT843=1,2.5,(IF(AY843=1,3,2.5)))</f>
        <v>3.3333333333333335</v>
      </c>
      <c r="AK843" s="174">
        <f>SUM(AL843:AN843)</f>
        <v>2161.8620796487808</v>
      </c>
      <c r="AL843" s="174">
        <f>((VLOOKUP(C843,$B$36:$AG$39,22,FALSE)+VLOOKUP(C843,$B$40:$AG$43,22,FALSE)*$D$54))*$D$59/100</f>
        <v>2161.8620796487808</v>
      </c>
      <c r="AM843" s="174"/>
      <c r="AN843" s="174"/>
      <c r="AO843" s="176">
        <v>30</v>
      </c>
      <c r="AP843" s="174">
        <v>36</v>
      </c>
      <c r="AQ843" s="175">
        <f>VLOOKUP(C843,$B$45:$AA$48,22,FALSE)</f>
        <v>412</v>
      </c>
      <c r="AR843" s="31">
        <f>IF(LEFT(E843,1)*1=1,$S$65,$R$65)</f>
        <v>0</v>
      </c>
      <c r="AS843" s="2">
        <f>IF(LEFT(E843,1)*1=2,$U$65,$T$65)</f>
        <v>1.25</v>
      </c>
      <c r="AT843" s="33">
        <f>IF(LEFT(E843,1)*1=3,$W$65,$V$65)</f>
        <v>0</v>
      </c>
      <c r="AU843" s="31">
        <f>IF(MID(E843,3,1)*1=1,$Y$65,$X$65)</f>
        <v>1</v>
      </c>
      <c r="AV843" s="2">
        <f>IF(MID(E843,3,1)*1=2,$AA$65,$Z$65)</f>
        <v>0</v>
      </c>
      <c r="AW843" s="33">
        <f>IF(MID(E843,3,1)*1=3,$AC$65,$AB$65)</f>
        <v>1</v>
      </c>
      <c r="AX843" s="31">
        <f>IF(MID(E843,5,1)*1=1,$AE$65,$AD$65)</f>
        <v>0</v>
      </c>
      <c r="AY843" s="33">
        <f>IF(MID(E843,5,1)*1=2,$AG$65,$AF$65)</f>
        <v>1</v>
      </c>
      <c r="AZ843" s="2"/>
      <c r="BA843" s="101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</row>
    <row r="844" spans="1:71" ht="12" customHeight="1">
      <c r="A844" s="2"/>
      <c r="B844" s="107">
        <v>858</v>
      </c>
      <c r="C844" s="31">
        <v>7</v>
      </c>
      <c r="D844" s="113" t="s">
        <v>15</v>
      </c>
      <c r="E844" s="2" t="s">
        <v>168</v>
      </c>
      <c r="F844" s="1"/>
      <c r="G844" s="1" t="s">
        <v>174</v>
      </c>
      <c r="H844" s="33">
        <f>IF(AX844=AT844,3,4)</f>
        <v>3</v>
      </c>
      <c r="I844" s="173">
        <f>M844/AE844</f>
        <v>357.7669342047347</v>
      </c>
      <c r="J844" s="174">
        <f>AH844/AE844</f>
        <v>13.766124241276053</v>
      </c>
      <c r="K844" s="207">
        <f>RANK(I844,$I$76:$I$977)</f>
        <v>768</v>
      </c>
      <c r="L844" s="208" t="e">
        <f>RANK(I844,$I$867:$I$977)</f>
        <v>#N/A</v>
      </c>
      <c r="M844" s="173">
        <f>SUM(N844:R844)*(1+$D$22/100)</f>
        <v>10707.442001023772</v>
      </c>
      <c r="N844" s="174">
        <f>T844*(1+((AG844+IF(F844="백어택",8,0))/100)*(AI844/100-1))</f>
        <v>3215.8049737363558</v>
      </c>
      <c r="O844" s="174">
        <f>U844*(1+(AG844/100)*(AI844/100-1))</f>
        <v>3215.8049737363558</v>
      </c>
      <c r="P844" s="174">
        <f>V844*(1+(AG844/100)*(AI844/100-1))</f>
        <v>3215.8049737363558</v>
      </c>
      <c r="Q844" s="174">
        <f>W844*(1+(AG844/100)*(AI844/100-1))</f>
        <v>0</v>
      </c>
      <c r="R844" s="175">
        <f>X844*(1+(AG844/100)*(AI844/100-1))</f>
        <v>0</v>
      </c>
      <c r="S844" s="173">
        <f>SUM(T844:X844)</f>
        <v>8106.9827986829278</v>
      </c>
      <c r="T844" s="174">
        <f>AL844*AS844*AY844</f>
        <v>2702.3275995609761</v>
      </c>
      <c r="U844" s="174">
        <f>AL844*AS844*AY844</f>
        <v>2702.3275995609761</v>
      </c>
      <c r="V844" s="174">
        <f>AL844*AS844*AY844</f>
        <v>2702.3275995609761</v>
      </c>
      <c r="W844" s="174">
        <f>IF(H844=4,AL844*AS844*IF(AT844=0,AY844,1),0)</f>
        <v>0</v>
      </c>
      <c r="X844" s="175">
        <f>AL844*IF(H844=3,11,IF(AT844=1,15,13))*IF(AW844=1,0,AW844)</f>
        <v>0</v>
      </c>
      <c r="Y844" s="173">
        <f>SUM(Z844:AD844)</f>
        <v>16213.965597365854</v>
      </c>
      <c r="Z844" s="174">
        <f>T844*AI844/100</f>
        <v>5404.6551991219512</v>
      </c>
      <c r="AA844" s="174">
        <f>U844*AI844/100</f>
        <v>5404.6551991219512</v>
      </c>
      <c r="AB844" s="174">
        <f>V844*AI844/100</f>
        <v>5404.6551991219512</v>
      </c>
      <c r="AC844" s="174">
        <f>W844*AI844/100</f>
        <v>0</v>
      </c>
      <c r="AD844" s="175">
        <f>X844*AI844/100</f>
        <v>0</v>
      </c>
      <c r="AE844" s="173">
        <f>AO844*(1-$D$17/100)</f>
        <v>29.928540000000002</v>
      </c>
      <c r="AF844" s="174">
        <f>AP844</f>
        <v>36</v>
      </c>
      <c r="AG844" s="174">
        <f>IF($D$57+AX844&gt;100,100,$D$57+AX844)</f>
        <v>19.001300000000001</v>
      </c>
      <c r="AH844" s="174">
        <f>AQ844</f>
        <v>412</v>
      </c>
      <c r="AI844" s="174">
        <f>$D$58</f>
        <v>200</v>
      </c>
      <c r="AJ844" s="174">
        <f>10*AU844/IF(AT844=1,2.5,(IF(AY844=1,3,2.5)))</f>
        <v>2.6666666666666665</v>
      </c>
      <c r="AK844" s="174">
        <f>SUM(AL844:AN844)</f>
        <v>2161.8620796487808</v>
      </c>
      <c r="AL844" s="174">
        <f>((VLOOKUP(C844,$B$36:$AG$39,22,FALSE)+VLOOKUP(C844,$B$40:$AG$43,22,FALSE)*$D$54))*$D$59/100</f>
        <v>2161.8620796487808</v>
      </c>
      <c r="AM844" s="174"/>
      <c r="AN844" s="174"/>
      <c r="AO844" s="176">
        <v>30</v>
      </c>
      <c r="AP844" s="174">
        <v>36</v>
      </c>
      <c r="AQ844" s="175">
        <f>VLOOKUP(C844,$B$45:$AA$48,22,FALSE)</f>
        <v>412</v>
      </c>
      <c r="AR844" s="31">
        <f>IF(LEFT(E844,1)*1=1,$S$65,$R$65)</f>
        <v>0</v>
      </c>
      <c r="AS844" s="2">
        <f>IF(LEFT(E844,1)*1=2,$U$65,$T$65)</f>
        <v>1.25</v>
      </c>
      <c r="AT844" s="33">
        <f>IF(LEFT(E844,1)*1=3,$W$65,$V$65)</f>
        <v>0</v>
      </c>
      <c r="AU844" s="31">
        <f>IF(MID(E844,3,1)*1=1,$Y$65,$X$65)</f>
        <v>0.8</v>
      </c>
      <c r="AV844" s="2">
        <f>IF(MID(E844,3,1)*1=2,$AA$65,$Z$65)</f>
        <v>0</v>
      </c>
      <c r="AW844" s="33">
        <f>IF(MID(E844,3,1)*1=3,$AC$65,$AB$65)</f>
        <v>1</v>
      </c>
      <c r="AX844" s="31">
        <f>IF(MID(E844,5,1)*1=1,$AE$65,$AD$65)</f>
        <v>0</v>
      </c>
      <c r="AY844" s="33">
        <f>IF(MID(E844,5,1)*1=2,$AG$65,$AF$65)</f>
        <v>1</v>
      </c>
      <c r="AZ844" s="2"/>
      <c r="BA844" s="101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</row>
    <row r="845" spans="1:71" ht="12" customHeight="1">
      <c r="A845" s="2"/>
      <c r="B845" s="107">
        <v>512</v>
      </c>
      <c r="C845" s="31">
        <v>1</v>
      </c>
      <c r="D845" s="111" t="s">
        <v>14</v>
      </c>
      <c r="E845" s="2" t="s">
        <v>67</v>
      </c>
      <c r="F845" s="1"/>
      <c r="G845" s="1"/>
      <c r="H845" s="33" t="s">
        <v>81</v>
      </c>
      <c r="I845" s="173">
        <f>M845/AE845</f>
        <v>357.66132855272019</v>
      </c>
      <c r="J845" s="174">
        <f>AH845/AE845</f>
        <v>4.5803457972019714</v>
      </c>
      <c r="K845" s="207">
        <f>RANK(I845,$I$76:$I$977)</f>
        <v>770</v>
      </c>
      <c r="L845" s="208">
        <f>RANK(I845,$I$451:$I$866)</f>
        <v>395</v>
      </c>
      <c r="M845" s="173">
        <f>SUM(N845:R845)</f>
        <v>9916.9343838500863</v>
      </c>
      <c r="N845" s="174">
        <f>T845*(1+((AG845+IF(F845="백어택",8,0))/100)*(AI845/100-1))</f>
        <v>2890.4506083674919</v>
      </c>
      <c r="O845" s="174">
        <f>U845*(1+((AG845+IF(F845="백어택",8,0))/100)*(AI845/100-1))</f>
        <v>2890.4506083674919</v>
      </c>
      <c r="P845" s="174">
        <f>V845*(1+((AG845+IF(F845="백어택",8,0))/100)*(AI845*IF(AX845=1,AW845,1)/100-1))</f>
        <v>4136.0331671151016</v>
      </c>
      <c r="Q845" s="174">
        <f>W845*(1+((AG845+IF(F845="백어택",8,0))/100)*(AI845*AW845/100-1))</f>
        <v>0</v>
      </c>
      <c r="R845" s="175"/>
      <c r="S845" s="173">
        <f>SUM(T845:X845)</f>
        <v>8333.4672678786592</v>
      </c>
      <c r="T845" s="174">
        <f>AL845*AY845*IF(F845="백어택",1.2,1)</f>
        <v>2428.9235566060975</v>
      </c>
      <c r="U845" s="174">
        <f>AM845*AY845*IF(F845="백어택",1.2,1)</f>
        <v>2428.9235566060975</v>
      </c>
      <c r="V845" s="174">
        <f>AN845*AY845*IF(F845="백어택",1.2,1)</f>
        <v>3475.6201546664633</v>
      </c>
      <c r="W845" s="174">
        <f>(T845+U845+V845)*IF(AX845=1,0,0.6)*IF(F845="백어택",1.2,1)</f>
        <v>0</v>
      </c>
      <c r="X845" s="175"/>
      <c r="Y845" s="173">
        <f>SUM(Z845:AD845)</f>
        <v>16666.934535757318</v>
      </c>
      <c r="Z845" s="174">
        <f>T845*AI845/100</f>
        <v>4857.8471132121949</v>
      </c>
      <c r="AA845" s="174">
        <f>U845*AI845/100</f>
        <v>4857.8471132121949</v>
      </c>
      <c r="AB845" s="174">
        <f>V845*AI845*IF(AX845=1,AW845,1)/100</f>
        <v>6951.2403093329267</v>
      </c>
      <c r="AC845" s="174">
        <f>W845*AI845*AW845/100</f>
        <v>0</v>
      </c>
      <c r="AD845" s="175"/>
      <c r="AE845" s="173">
        <f>AO845*(1-$D$20/100)*(1-$D$17/100)</f>
        <v>27.727164197424003</v>
      </c>
      <c r="AF845" s="174">
        <f>AP845</f>
        <v>36</v>
      </c>
      <c r="AG845" s="174">
        <f>IF($D$57+AU845&gt;100,100,$D$57+AU845)</f>
        <v>19.001300000000001</v>
      </c>
      <c r="AH845" s="174">
        <f>AQ845*AS845</f>
        <v>127</v>
      </c>
      <c r="AI845" s="174">
        <f>$D$58+IF(H845="근접",AR845,0)+IF(AY845=1,0,50)</f>
        <v>200</v>
      </c>
      <c r="AJ845" s="174">
        <f>10/3</f>
        <v>3.3333333333333335</v>
      </c>
      <c r="AK845" s="174">
        <f>SUM(AL845:AN845)</f>
        <v>8333.4672678786592</v>
      </c>
      <c r="AL845" s="174">
        <f>(IF(H845="근접",$D$61*(VLOOKUP(C845,$B$36:$AG$39,19,FALSE)+VLOOKUP(C845,$B$40:$AG$43,19,FALSE)*$D$54),$D$60*(VLOOKUP(C845,$B$36:$AG$39,19,FALSE)+VLOOKUP(C845,$B$40:$AG$43,19,FALSE)*$D$54)))*$D$59/100</f>
        <v>2428.9235566060975</v>
      </c>
      <c r="AM845" s="174">
        <f>(IF(H845="근접",$D$61*(VLOOKUP(C845,$B$36:$AG$39,20,FALSE)+VLOOKUP(C845,$B$40:$AG$43,20,FALSE)*$D$54),$D$60*(VLOOKUP(C845,$B$36:$AG$39,20,FALSE)+VLOOKUP(C845,$B$40:$AG$43,20,FALSE)*$D$54)))*$D$59/100</f>
        <v>2428.9235566060975</v>
      </c>
      <c r="AN845" s="174">
        <f>(IF(H845="근접",$D$61*(VLOOKUP(C845,$B$36:$AG$39,21,FALSE)+VLOOKUP(C845,$B$40:$AG$43,21,FALSE)*$D$54),$D$60*(VLOOKUP(C845,$B$36:$AG$39,21,FALSE)+VLOOKUP(C845,$B$40:$AG$43,21,FALSE)*$D$54)))*$D$59/100</f>
        <v>3475.6201546664633</v>
      </c>
      <c r="AO845" s="176">
        <v>36</v>
      </c>
      <c r="AP845" s="174">
        <v>36</v>
      </c>
      <c r="AQ845" s="175">
        <f>VLOOKUP(C845,$B$45:$AA$48,19,FALSE)</f>
        <v>127</v>
      </c>
      <c r="AR845" s="31">
        <f>IF(LEFT(E845,1)*1=1,$S$64,$R$64)</f>
        <v>0</v>
      </c>
      <c r="AS845" s="2">
        <f>IF(LEFT(E845,1)*1=2,$U$64,$T$64)</f>
        <v>1</v>
      </c>
      <c r="AT845" s="33">
        <f>IF(LEFT(E845,1)*1=3,$W$64,$V$64)</f>
        <v>0</v>
      </c>
      <c r="AU845" s="31">
        <f>IF(MID(E845,3,1)*1=1,$Y$64,$X$64)</f>
        <v>0</v>
      </c>
      <c r="AV845" s="2">
        <f>IF(MID(E845,3,1)*1=2,$AA$64,$Z$64)</f>
        <v>0</v>
      </c>
      <c r="AW845" s="33">
        <f>IF(MID(E845,3,1)*1=3,$AC$64,$AB$64)</f>
        <v>1</v>
      </c>
      <c r="AX845" s="31">
        <f>IF(MID(E845,5,1)*1=1,$AE$64,$AD$64)</f>
        <v>1</v>
      </c>
      <c r="AY845" s="33">
        <f>IF(MID(E845,5,1)*1=2,$AG$64,$AF$64)</f>
        <v>1</v>
      </c>
      <c r="AZ845" s="2"/>
      <c r="BA845" s="101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</row>
    <row r="846" spans="1:71" ht="12" customHeight="1">
      <c r="A846" s="2"/>
      <c r="B846" s="107">
        <v>278</v>
      </c>
      <c r="C846" s="31">
        <v>7</v>
      </c>
      <c r="D846" s="106" t="s">
        <v>16</v>
      </c>
      <c r="E846" s="2" t="s">
        <v>179</v>
      </c>
      <c r="F846" s="2"/>
      <c r="G846" s="2"/>
      <c r="H846" s="33">
        <f>AX846*2</f>
        <v>2</v>
      </c>
      <c r="I846" s="173">
        <f>M846/AE846</f>
        <v>357.59015863032334</v>
      </c>
      <c r="J846" s="174">
        <f>AH846/AE846</f>
        <v>27.23153217631064</v>
      </c>
      <c r="K846" s="207">
        <f>RANK(I846,$I$76:$I$977)</f>
        <v>771</v>
      </c>
      <c r="L846" s="208" t="e">
        <f>RANK(I846,$I$76:$I$450)</f>
        <v>#N/A</v>
      </c>
      <c r="M846" s="173">
        <f>SUM(N846:R846)</f>
        <v>2140.4302732347955</v>
      </c>
      <c r="N846" s="174">
        <f>T846*(1+((AG846+IF(F846="백어택",8,0))/100)*((AI846/100-1)))</f>
        <v>2140.4302732347955</v>
      </c>
      <c r="O846" s="174"/>
      <c r="P846" s="174"/>
      <c r="Q846" s="174"/>
      <c r="R846" s="175"/>
      <c r="S846" s="173">
        <f>SUM(T846:X846)*H846</f>
        <v>2720.9459407473173</v>
      </c>
      <c r="T846" s="174">
        <f>AL846*AU846*AY846*IF(F846="백어택",1.2,1)</f>
        <v>1360.4729703736587</v>
      </c>
      <c r="U846" s="174"/>
      <c r="V846" s="174"/>
      <c r="W846" s="174"/>
      <c r="X846" s="175"/>
      <c r="Y846" s="173">
        <f>SUM(Z846:AD846)</f>
        <v>2720.9459407473173</v>
      </c>
      <c r="Z846" s="174">
        <f>T846*$D$58/100</f>
        <v>2720.9459407473173</v>
      </c>
      <c r="AA846" s="174"/>
      <c r="AB846" s="174"/>
      <c r="AC846" s="174"/>
      <c r="AD846" s="175"/>
      <c r="AE846" s="173">
        <f>AO846*(1-$D$17/100)</f>
        <v>5.9857079999999998</v>
      </c>
      <c r="AF846" s="174">
        <f>AP846</f>
        <v>36</v>
      </c>
      <c r="AG846" s="174">
        <f>IF($D$57+AT846&gt;100,100,$D$57+AT846)</f>
        <v>34.001300000000001</v>
      </c>
      <c r="AH846" s="174">
        <f>AQ846*AR846</f>
        <v>163</v>
      </c>
      <c r="AI846" s="174">
        <f>$D$58+$D$19</f>
        <v>268.61079999999998</v>
      </c>
      <c r="AJ846" s="174">
        <f>10*AS846/IF(AX846=1,5,3.5)</f>
        <v>2</v>
      </c>
      <c r="AK846" s="174">
        <f>SUM(AL846:AN846)</f>
        <v>971.7664074097562</v>
      </c>
      <c r="AL846" s="174">
        <f>((VLOOKUP(C846,$B$36:$AG$39,23,FALSE)+VLOOKUP(C846,$B$40:$AG$43,23,FALSE)*$D$54))*$D$59/100</f>
        <v>971.7664074097562</v>
      </c>
      <c r="AM846" s="174"/>
      <c r="AN846" s="174"/>
      <c r="AO846" s="176">
        <v>6</v>
      </c>
      <c r="AP846" s="174">
        <v>36</v>
      </c>
      <c r="AQ846" s="175">
        <f>VLOOKUP(C846,$B$45:$AA$48,23,FALSE)</f>
        <v>163</v>
      </c>
      <c r="AR846" s="31">
        <f>IF(LEFT(E846,1)*1=1,$S$66,$R$66)</f>
        <v>1</v>
      </c>
      <c r="AS846" s="2">
        <f>IF(LEFT(E846,1)*1=2,$U$66,$T$66)</f>
        <v>1</v>
      </c>
      <c r="AT846" s="33">
        <f>IF(LEFT(E846,1)*1=3,$W$66,$V$66)</f>
        <v>15</v>
      </c>
      <c r="AU846" s="31">
        <f>IF(MID(E846,3,1)*1=1,$Y$66,$X$66)</f>
        <v>1.4</v>
      </c>
      <c r="AV846" s="2">
        <f>IF(MID(E846,3,1)*1=2,$AA$66,$Z$66)</f>
        <v>0</v>
      </c>
      <c r="AW846" s="33">
        <f>IF(MID(E846,3,1)*1=3,$AC$66,$AB$66)</f>
        <v>0</v>
      </c>
      <c r="AX846" s="31">
        <f>IF(MID(E846,5,1)*1=1,$AE$66,$AD$66)</f>
        <v>1</v>
      </c>
      <c r="AY846" s="33">
        <f>IF(MID(E846,5,1)*1=2,$AG$66,$AF$66)</f>
        <v>1</v>
      </c>
      <c r="AZ846" s="2"/>
      <c r="BA846" s="101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</row>
    <row r="847" spans="1:71" ht="12" customHeight="1">
      <c r="A847" s="2"/>
      <c r="B847" s="107">
        <v>55</v>
      </c>
      <c r="C847" s="31">
        <v>4</v>
      </c>
      <c r="D847" s="106" t="s">
        <v>4</v>
      </c>
      <c r="E847" s="2" t="s">
        <v>67</v>
      </c>
      <c r="F847" s="2" t="s">
        <v>149</v>
      </c>
      <c r="G847" s="2"/>
      <c r="H847" s="33"/>
      <c r="I847" s="173">
        <f>M847/AE847</f>
        <v>356.12028267965701</v>
      </c>
      <c r="J847" s="174">
        <f>AH847/AE847</f>
        <v>11.193329176765722</v>
      </c>
      <c r="K847" s="207">
        <f>RANK(I847,$I$76:$I$977)</f>
        <v>772</v>
      </c>
      <c r="L847" s="208" t="e">
        <f>RANK(I847,$I$76:$I$450)</f>
        <v>#N/A</v>
      </c>
      <c r="M847" s="173">
        <f>SUM(N847:R847)</f>
        <v>4263.2640499957688</v>
      </c>
      <c r="N847" s="174">
        <f>T847*(1+((AG847+IF(F847="백어택",8,0))/100)*((AI847/100-1)))</f>
        <v>854.23087043300154</v>
      </c>
      <c r="O847" s="174">
        <f>U847*(1+((AG847+IF(F847="백어택",8,0))/100)*(AI847/100-1))</f>
        <v>3409.0331795627671</v>
      </c>
      <c r="P847" s="174"/>
      <c r="Q847" s="174"/>
      <c r="R847" s="175"/>
      <c r="S847" s="173">
        <f>SUM(T847:X847)</f>
        <v>2929.5325869746343</v>
      </c>
      <c r="T847" s="174">
        <f>AT847*AL847*IF(F847="백어택",1.2,1)</f>
        <v>586.99089298390243</v>
      </c>
      <c r="U847" s="174">
        <f>AM847*AW847*AX847*AY847*IF(F847="백어택",1.2,1)</f>
        <v>2342.5416939907318</v>
      </c>
      <c r="V847" s="174"/>
      <c r="W847" s="174"/>
      <c r="X847" s="175"/>
      <c r="Y847" s="173">
        <f>SUM(Z847:AD847)</f>
        <v>5859.0651739492687</v>
      </c>
      <c r="Z847" s="174">
        <f>T847*$D$58/100</f>
        <v>1173.9817859678049</v>
      </c>
      <c r="AA847" s="174">
        <f>U847*$D$58/100</f>
        <v>4685.0833879814636</v>
      </c>
      <c r="AB847" s="174"/>
      <c r="AC847" s="174"/>
      <c r="AD847" s="175"/>
      <c r="AE847" s="173">
        <f>AO847*(1-$D$17/100)</f>
        <v>11.971416</v>
      </c>
      <c r="AF847" s="174">
        <f>AP847</f>
        <v>36</v>
      </c>
      <c r="AG847" s="174">
        <f>IF($D$57&gt;100,100,$D$57)</f>
        <v>19.001300000000001</v>
      </c>
      <c r="AH847" s="174">
        <f>AQ847</f>
        <v>134</v>
      </c>
      <c r="AI847" s="174">
        <f>$D$58+$D$19</f>
        <v>268.61079999999998</v>
      </c>
      <c r="AJ847" s="174">
        <f>10/IF(AY847=1,5,4)</f>
        <v>2</v>
      </c>
      <c r="AK847" s="174">
        <f>SUM(AL847:AN847)</f>
        <v>2441.2771558121954</v>
      </c>
      <c r="AL847" s="174">
        <f>(VLOOKUP(C847,$B$36:$AG$39,4,FALSE)+VLOOKUP(C847,$B$40:$AG$43,4,FALSE)*$D$54)*$D$59/100</f>
        <v>489.15907748658537</v>
      </c>
      <c r="AM847" s="174">
        <f>(VLOOKUP(C847,$B$36:$AG$39,5,FALSE)+VLOOKUP(C847,$B$40:$AG$43,5,FALSE)*$D$54)*$D$59/100</f>
        <v>1952.11807832561</v>
      </c>
      <c r="AN847" s="174"/>
      <c r="AO847" s="176">
        <v>12</v>
      </c>
      <c r="AP847" s="174">
        <v>36</v>
      </c>
      <c r="AQ847" s="175">
        <f>VLOOKUP(C847,$B$45:$AA$48,4,FALSE)</f>
        <v>134</v>
      </c>
      <c r="AR847" s="31">
        <f>IF(LEFT(E847,1)*1=1,$S$54,$R$54)</f>
        <v>0</v>
      </c>
      <c r="AS847" s="2">
        <f>IF(LEFT(E847,1)*1=2,$U$54,$T$54)</f>
        <v>0</v>
      </c>
      <c r="AT847" s="33">
        <f>IF(LEFT(E847,1)*1=3,$W$54,$V$54)</f>
        <v>1</v>
      </c>
      <c r="AU847" s="31">
        <f>IF(MID(E847,3,1)*1=1,$Y$54,$X$54)</f>
        <v>0</v>
      </c>
      <c r="AV847" s="2">
        <f>IF(MID(E847,3,1)*1=2,$AA$54,$Z$54)</f>
        <v>0</v>
      </c>
      <c r="AW847" s="33">
        <f>IF(MID(E847,3,1)*1=3,$AC$54,$AB$54)</f>
        <v>1</v>
      </c>
      <c r="AX847" s="31">
        <f>IF(MID(E847,5,1)*1=1,$AE$54,$AD$54)</f>
        <v>1</v>
      </c>
      <c r="AY847" s="33">
        <f>IF(MID(E847,5,1)*1=2,$AG$54,$AF$54)</f>
        <v>1</v>
      </c>
      <c r="AZ847" s="2"/>
      <c r="BA847" s="101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</row>
    <row r="848" spans="1:71" ht="12" customHeight="1">
      <c r="A848" s="2"/>
      <c r="B848" s="107">
        <v>85</v>
      </c>
      <c r="C848" s="31">
        <v>7</v>
      </c>
      <c r="D848" s="106" t="s">
        <v>5</v>
      </c>
      <c r="E848" s="2" t="s">
        <v>67</v>
      </c>
      <c r="F848" s="2"/>
      <c r="G848" s="2"/>
      <c r="H848" s="33">
        <v>9</v>
      </c>
      <c r="I848" s="173">
        <f>M848/AE848</f>
        <v>356.10787683923326</v>
      </c>
      <c r="J848" s="174">
        <f>AH848/AE848</f>
        <v>24.18260296025132</v>
      </c>
      <c r="K848" s="207">
        <f>RANK(I848,$I$76:$I$977)</f>
        <v>773</v>
      </c>
      <c r="L848" s="208" t="e">
        <f>RANK(I848,$I$76:$I$450)</f>
        <v>#N/A</v>
      </c>
      <c r="M848" s="173">
        <f>SUM(N848:R848)</f>
        <v>2842.0770230128178</v>
      </c>
      <c r="N848" s="174">
        <f>T848*(1+((AG848+IF(F848="백어택",8,0))/100)*((AI848/100-1)))</f>
        <v>2842.0770230128178</v>
      </c>
      <c r="O848" s="174"/>
      <c r="P848" s="174"/>
      <c r="Q848" s="174"/>
      <c r="R848" s="175"/>
      <c r="S848" s="173">
        <f>SUM(T848:X848)</f>
        <v>2152.4650269475615</v>
      </c>
      <c r="T848" s="174">
        <f>AL848*AU848*AW848*AX848*AY848</f>
        <v>2152.4650269475615</v>
      </c>
      <c r="U848" s="174"/>
      <c r="V848" s="174"/>
      <c r="W848" s="174"/>
      <c r="X848" s="175"/>
      <c r="Y848" s="173">
        <f>SUM(Z848:AD848)</f>
        <v>4304.9300538951229</v>
      </c>
      <c r="Z848" s="174">
        <f>T848*$D$58/100</f>
        <v>4304.9300538951229</v>
      </c>
      <c r="AA848" s="174"/>
      <c r="AB848" s="174"/>
      <c r="AC848" s="174"/>
      <c r="AD848" s="175"/>
      <c r="AE848" s="173">
        <f>AO848*(1-$D$17/100)</f>
        <v>7.980944</v>
      </c>
      <c r="AF848" s="174">
        <f>AP848</f>
        <v>36</v>
      </c>
      <c r="AG848" s="174">
        <f>IF($D$57&gt;100,100,$D$57)</f>
        <v>19.001300000000001</v>
      </c>
      <c r="AH848" s="174">
        <f>AQ848</f>
        <v>193</v>
      </c>
      <c r="AI848" s="174">
        <f>$D$58+$D$19</f>
        <v>268.61079999999998</v>
      </c>
      <c r="AJ848" s="174">
        <f>1*AS848</f>
        <v>1</v>
      </c>
      <c r="AK848" s="174">
        <f>SUM(AL848:AN848)</f>
        <v>2152.4650269475615</v>
      </c>
      <c r="AL848" s="174">
        <f>(H848*(VLOOKUP(C848,$B$36:$AG$39,6,FALSE)+VLOOKUP(C848,$B$40:$AG$43,6,FALSE)*$D$54))*$D$59/100</f>
        <v>2152.4650269475615</v>
      </c>
      <c r="AM848" s="174"/>
      <c r="AN848" s="174"/>
      <c r="AO848" s="176">
        <v>8</v>
      </c>
      <c r="AP848" s="174">
        <v>36</v>
      </c>
      <c r="AQ848" s="175">
        <f>VLOOKUP(C848,$B$45:$AA$48,6,FALSE)</f>
        <v>193</v>
      </c>
      <c r="AR848" s="31">
        <f>IF(LEFT(E848,1)*1=1,$S$55,$R$55)</f>
        <v>0</v>
      </c>
      <c r="AS848" s="2">
        <f>IF(LEFT(E848,1)*1=2,$U$55,$T$55)</f>
        <v>1</v>
      </c>
      <c r="AT848" s="33">
        <f>IF(LEFT(E848,1)*1=3,$W$55,$V$55)</f>
        <v>0</v>
      </c>
      <c r="AU848" s="31">
        <f>IF(MID(E848,3,1)*1=1,$Y$55,$X$55)</f>
        <v>1</v>
      </c>
      <c r="AV848" s="2">
        <f>IF(MID(E848,3,1)*1=2,$AA$55,$Z$55)</f>
        <v>0</v>
      </c>
      <c r="AW848" s="33">
        <f>IF(MID(E848,3,1)*1=3,$AC$55,$AB$55)</f>
        <v>1</v>
      </c>
      <c r="AX848" s="31">
        <f>IF(MID(E848,5,1)*1=1,$AE$55,$AD$55)</f>
        <v>1</v>
      </c>
      <c r="AY848" s="33">
        <f>IF(MID(E848,5,1)*1=2,$AG$55,$AF$55)</f>
        <v>1</v>
      </c>
      <c r="AZ848" s="2"/>
      <c r="BA848" s="101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</row>
    <row r="849" spans="1:71" ht="12" customHeight="1">
      <c r="A849" s="2"/>
      <c r="B849" s="107">
        <v>88</v>
      </c>
      <c r="C849" s="31">
        <v>7</v>
      </c>
      <c r="D849" s="106" t="s">
        <v>5</v>
      </c>
      <c r="E849" s="2" t="s">
        <v>79</v>
      </c>
      <c r="F849" s="2"/>
      <c r="G849" s="2"/>
      <c r="H849" s="33">
        <v>9</v>
      </c>
      <c r="I849" s="173">
        <f>M849/AE849</f>
        <v>356.10787683923326</v>
      </c>
      <c r="J849" s="174">
        <f>AH849/AE849</f>
        <v>24.18260296025132</v>
      </c>
      <c r="K849" s="207">
        <f>RANK(I849,$I$76:$I$977)</f>
        <v>773</v>
      </c>
      <c r="L849" s="208" t="e">
        <f>RANK(I849,$I$76:$I$450)</f>
        <v>#N/A</v>
      </c>
      <c r="M849" s="173">
        <f>SUM(N849:R849)</f>
        <v>2842.0770230128178</v>
      </c>
      <c r="N849" s="174">
        <f>T849*(1+((AG849+IF(F849="백어택",8,0))/100)*((AI849/100-1)))</f>
        <v>2842.0770230128178</v>
      </c>
      <c r="O849" s="174"/>
      <c r="P849" s="174"/>
      <c r="Q849" s="174"/>
      <c r="R849" s="175"/>
      <c r="S849" s="173">
        <f>SUM(T849:X849)</f>
        <v>2152.4650269475615</v>
      </c>
      <c r="T849" s="174">
        <f>AL849*AU849*AW849*AX849*AY849</f>
        <v>2152.4650269475615</v>
      </c>
      <c r="U849" s="174"/>
      <c r="V849" s="174"/>
      <c r="W849" s="174"/>
      <c r="X849" s="175"/>
      <c r="Y849" s="173">
        <f>SUM(Z849:AD849)</f>
        <v>4304.9300538951229</v>
      </c>
      <c r="Z849" s="174">
        <f>T849*$D$58/100</f>
        <v>4304.9300538951229</v>
      </c>
      <c r="AA849" s="174"/>
      <c r="AB849" s="174"/>
      <c r="AC849" s="174"/>
      <c r="AD849" s="175"/>
      <c r="AE849" s="173">
        <f>AO849*(1-$D$17/100)</f>
        <v>7.980944</v>
      </c>
      <c r="AF849" s="174">
        <f>AP849</f>
        <v>36</v>
      </c>
      <c r="AG849" s="174">
        <f>IF($D$57&gt;100,100,$D$57)</f>
        <v>19.001300000000001</v>
      </c>
      <c r="AH849" s="174">
        <f>AQ849</f>
        <v>193</v>
      </c>
      <c r="AI849" s="174">
        <f>$D$58+$D$19</f>
        <v>268.61079999999998</v>
      </c>
      <c r="AJ849" s="174">
        <f>1*AS849</f>
        <v>0.8</v>
      </c>
      <c r="AK849" s="174">
        <f>SUM(AL849:AN849)</f>
        <v>2152.4650269475615</v>
      </c>
      <c r="AL849" s="174">
        <f>(H849*(VLOOKUP(C849,$B$36:$AG$39,6,FALSE)+VLOOKUP(C849,$B$40:$AG$43,6,FALSE)*$D$54))*$D$59/100</f>
        <v>2152.4650269475615</v>
      </c>
      <c r="AM849" s="174"/>
      <c r="AN849" s="174"/>
      <c r="AO849" s="176">
        <v>8</v>
      </c>
      <c r="AP849" s="174">
        <v>36</v>
      </c>
      <c r="AQ849" s="175">
        <f>VLOOKUP(C849,$B$45:$AA$48,6,FALSE)</f>
        <v>193</v>
      </c>
      <c r="AR849" s="31">
        <f>IF(LEFT(E849,1)*1=1,$S$55,$R$55)</f>
        <v>0</v>
      </c>
      <c r="AS849" s="2">
        <f>IF(LEFT(E849,1)*1=2,$U$55,$T$55)</f>
        <v>0.8</v>
      </c>
      <c r="AT849" s="33">
        <f>IF(LEFT(E849,1)*1=3,$W$55,$V$55)</f>
        <v>0</v>
      </c>
      <c r="AU849" s="31">
        <f>IF(MID(E849,3,1)*1=1,$Y$55,$X$55)</f>
        <v>1</v>
      </c>
      <c r="AV849" s="2">
        <f>IF(MID(E849,3,1)*1=2,$AA$55,$Z$55)</f>
        <v>0</v>
      </c>
      <c r="AW849" s="33">
        <f>IF(MID(E849,3,1)*1=3,$AC$55,$AB$55)</f>
        <v>1</v>
      </c>
      <c r="AX849" s="31">
        <f>IF(MID(E849,5,1)*1=1,$AE$55,$AD$55)</f>
        <v>1</v>
      </c>
      <c r="AY849" s="33">
        <f>IF(MID(E849,5,1)*1=2,$AG$55,$AF$55)</f>
        <v>1</v>
      </c>
      <c r="AZ849" s="2"/>
      <c r="BA849" s="101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</row>
    <row r="850" spans="1:71" ht="12" customHeight="1">
      <c r="A850" s="2"/>
      <c r="B850" s="107">
        <v>457</v>
      </c>
      <c r="C850" s="31">
        <v>4</v>
      </c>
      <c r="D850" s="111" t="s">
        <v>8</v>
      </c>
      <c r="E850" s="2" t="s">
        <v>67</v>
      </c>
      <c r="F850" s="2" t="s">
        <v>149</v>
      </c>
      <c r="G850" s="2"/>
      <c r="H850" s="33" t="s">
        <v>80</v>
      </c>
      <c r="I850" s="173">
        <f>M850/AE850</f>
        <v>355.58275942717927</v>
      </c>
      <c r="J850" s="174">
        <f>AH850/AE850</f>
        <v>10.765615909171565</v>
      </c>
      <c r="K850" s="207">
        <f>RANK(I850,$I$76:$I$977)</f>
        <v>775</v>
      </c>
      <c r="L850" s="208">
        <f>RANK(I850,$I$451:$I$866)</f>
        <v>400</v>
      </c>
      <c r="M850" s="173">
        <f>SUM(N850:R850)</f>
        <v>6572.8677042736772</v>
      </c>
      <c r="N850" s="174">
        <f>T850*(1+((AG850+IF(F850="백어택",8,0))/100)*(IF(AY850=1,$D$58,$D$58+50)/100-1))</f>
        <v>2889.0708126680306</v>
      </c>
      <c r="O850" s="174">
        <f>U850*(1+((AG850+IF(F850="백어택",8,0))/100)*(AI850/100-1))</f>
        <v>3683.7968916056466</v>
      </c>
      <c r="P850" s="174">
        <f>V850*(1+((AG850+IF(F850="백어택",8,0))/100)*(AI850/100-1))</f>
        <v>0</v>
      </c>
      <c r="Q850" s="174"/>
      <c r="R850" s="175"/>
      <c r="S850" s="173">
        <f>SUM(T850:X850)</f>
        <v>5175.4334044404877</v>
      </c>
      <c r="T850" s="174">
        <f>AL850*IF(H850="근접",AR850,1)*AY850*IF(F850="백어택",1.2,1)</f>
        <v>2274.8356218936583</v>
      </c>
      <c r="U850" s="174">
        <f>AM850*IF(H850="근접",AR850,1)*AY850*IF(F850="백어택",1.2,1)</f>
        <v>2900.5977825468294</v>
      </c>
      <c r="V850" s="174">
        <f>IF(AX850=1,0,AM850*IF(H850="근접",AR850,1)*AY850)*IF(F850="백어택",1.2,1)</f>
        <v>0</v>
      </c>
      <c r="W850" s="174"/>
      <c r="X850" s="175"/>
      <c r="Y850" s="173">
        <f>SUM(Z850:AD850)</f>
        <v>10350.866808880975</v>
      </c>
      <c r="Z850" s="174">
        <f>T850*IF(AY850=1,$D$58,$D$58+50)/100</f>
        <v>4549.6712437873166</v>
      </c>
      <c r="AA850" s="174">
        <f>U850*AI850/100</f>
        <v>5801.1955650936588</v>
      </c>
      <c r="AB850" s="174">
        <f>V850*AI850/100</f>
        <v>0</v>
      </c>
      <c r="AC850" s="174"/>
      <c r="AD850" s="175"/>
      <c r="AE850" s="173">
        <f>AO850*(1-$D$20/100)*(1-$D$17/100)</f>
        <v>18.484776131615998</v>
      </c>
      <c r="AF850" s="174">
        <f>AP850</f>
        <v>36</v>
      </c>
      <c r="AG850" s="174">
        <f>IF($D$57+AU850&gt;100,100,$D$57+AU850)</f>
        <v>19.001300000000001</v>
      </c>
      <c r="AH850" s="174">
        <f>IF(AX850=1,AQ850,AQ850*1.4)</f>
        <v>199</v>
      </c>
      <c r="AI850" s="174">
        <f>IF(AY850=1,$D$58,$D$58+50)*AW850</f>
        <v>200</v>
      </c>
      <c r="AJ850" s="174">
        <f>10/6/AX850</f>
        <v>1.6666666666666667</v>
      </c>
      <c r="AK850" s="174">
        <f>SUM(AL850:AN850)</f>
        <v>4312.8611703670731</v>
      </c>
      <c r="AL850" s="174">
        <f>(IF(H850="근접",$D$61*(VLOOKUP(C850,$B$36:$AG$39,9,FALSE)+VLOOKUP(C850,$B$40:$AG$43,9,FALSE)*$D$54),$D$60*(VLOOKUP(C850,$B$36:$AG$39,9,FALSE)+VLOOKUP(C850,$B$40:$AG$43,9,FALSE)*$D$54)))*$D$59/100</f>
        <v>1895.6963515780487</v>
      </c>
      <c r="AM850" s="174">
        <f>(IF(H850="근접",$D$61*(VLOOKUP(C850,$B$36:$AG$39,10,FALSE)+VLOOKUP(C850,$B$40:$AG$43,10,FALSE)*$D$54),$D$60*(VLOOKUP(C850,$B$36:$AG$39,10,FALSE)+VLOOKUP(C850,$B$40:$AG$43,10,FALSE)*$D$54)))*$D$59/100</f>
        <v>2417.1648187890246</v>
      </c>
      <c r="AN850" s="174"/>
      <c r="AO850" s="176">
        <v>24</v>
      </c>
      <c r="AP850" s="174">
        <v>36</v>
      </c>
      <c r="AQ850" s="175">
        <f>VLOOKUP(C850,$B$45:$AA$48,9,FALSE)</f>
        <v>199</v>
      </c>
      <c r="AR850" s="31">
        <f>IF(LEFT(E850,1)*1=1,$S$58,$R$58)</f>
        <v>1</v>
      </c>
      <c r="AS850" s="2">
        <f>IF(LEFT(E850,1)*1=2,$U$58,$T$58)</f>
        <v>0</v>
      </c>
      <c r="AT850" s="33">
        <f>IF(LEFT(E850,1)*1=3,$W$58,$V$58)</f>
        <v>0</v>
      </c>
      <c r="AU850" s="31">
        <f>IF(MID(E850,3,1)*1=1,$Y$58,$X$58)</f>
        <v>0</v>
      </c>
      <c r="AV850" s="2">
        <f>IF(MID(E850,3,1)*1=2,$AA$58,$Z$58)</f>
        <v>0</v>
      </c>
      <c r="AW850" s="33">
        <f>IF(MID(E850,3,1)*1=3,$AC$58,$AB$58)</f>
        <v>1</v>
      </c>
      <c r="AX850" s="31">
        <f>IF(MID(E850,5,1)*1=1,$AE$58,$AD$58)</f>
        <v>1</v>
      </c>
      <c r="AY850" s="33">
        <f>IF(MID(E850,5,1)*1=2,$AG$58,$AF$58)</f>
        <v>1</v>
      </c>
      <c r="AZ850" s="2"/>
      <c r="BA850" s="101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</row>
    <row r="851" spans="1:71" ht="12" customHeight="1">
      <c r="A851" s="2"/>
      <c r="B851" s="107">
        <v>458</v>
      </c>
      <c r="C851" s="31">
        <v>4</v>
      </c>
      <c r="D851" s="111" t="s">
        <v>8</v>
      </c>
      <c r="E851" s="2" t="s">
        <v>148</v>
      </c>
      <c r="F851" s="2" t="s">
        <v>149</v>
      </c>
      <c r="G851" s="2"/>
      <c r="H851" s="33" t="s">
        <v>80</v>
      </c>
      <c r="I851" s="173">
        <f>M851/AE851</f>
        <v>355.58275942717927</v>
      </c>
      <c r="J851" s="174">
        <f>AH851/AE851</f>
        <v>10.765615909171565</v>
      </c>
      <c r="K851" s="207">
        <f>RANK(I851,$I$76:$I$977)</f>
        <v>775</v>
      </c>
      <c r="L851" s="208">
        <f>RANK(I851,$I$451:$I$866)</f>
        <v>400</v>
      </c>
      <c r="M851" s="173">
        <f>SUM(N851:R851)</f>
        <v>6572.8677042736772</v>
      </c>
      <c r="N851" s="174">
        <f>T851*(1+((AG851+IF(F851="백어택",8,0))/100)*(IF(AY851=1,$D$58,$D$58+50)/100-1))</f>
        <v>2889.0708126680306</v>
      </c>
      <c r="O851" s="174">
        <f>U851*(1+((AG851+IF(F851="백어택",8,0))/100)*(AI851/100-1))</f>
        <v>3683.7968916056466</v>
      </c>
      <c r="P851" s="174">
        <f>V851*(1+((AG851+IF(F851="백어택",8,0))/100)*(AI851/100-1))</f>
        <v>0</v>
      </c>
      <c r="Q851" s="174"/>
      <c r="R851" s="175"/>
      <c r="S851" s="173">
        <f>SUM(T851:X851)</f>
        <v>5175.4334044404877</v>
      </c>
      <c r="T851" s="174">
        <f>AL851*IF(H851="근접",AR851,1)*AY851*IF(F851="백어택",1.2,1)</f>
        <v>2274.8356218936583</v>
      </c>
      <c r="U851" s="174">
        <f>AM851*IF(H851="근접",AR851,1)*AY851*IF(F851="백어택",1.2,1)</f>
        <v>2900.5977825468294</v>
      </c>
      <c r="V851" s="174">
        <f>IF(AX851=1,0,AM851*IF(H851="근접",AR851,1)*AY851)*IF(F851="백어택",1.2,1)</f>
        <v>0</v>
      </c>
      <c r="W851" s="174"/>
      <c r="X851" s="175"/>
      <c r="Y851" s="173">
        <f>SUM(Z851:AD851)</f>
        <v>10350.866808880975</v>
      </c>
      <c r="Z851" s="174">
        <f>T851*IF(AY851=1,$D$58,$D$58+50)/100</f>
        <v>4549.6712437873166</v>
      </c>
      <c r="AA851" s="174">
        <f>U851*AI851/100</f>
        <v>5801.1955650936588</v>
      </c>
      <c r="AB851" s="174">
        <f>V851*AI851/100</f>
        <v>0</v>
      </c>
      <c r="AC851" s="174"/>
      <c r="AD851" s="175"/>
      <c r="AE851" s="173">
        <f>AO851*(1-$D$20/100)*(1-$D$17/100)</f>
        <v>18.484776131615998</v>
      </c>
      <c r="AF851" s="174">
        <f>AP851</f>
        <v>36</v>
      </c>
      <c r="AG851" s="174">
        <f>IF($D$57+AU851&gt;100,100,$D$57+AU851)</f>
        <v>19.001300000000001</v>
      </c>
      <c r="AH851" s="174">
        <f>IF(AX851=1,AQ851,AQ851*1.4)</f>
        <v>199</v>
      </c>
      <c r="AI851" s="174">
        <f>IF(AY851=1,$D$58,$D$58+50)*AW851</f>
        <v>200</v>
      </c>
      <c r="AJ851" s="174">
        <f>10/6/AX851</f>
        <v>1.6666666666666667</v>
      </c>
      <c r="AK851" s="174">
        <f>SUM(AL851:AN851)</f>
        <v>4312.8611703670731</v>
      </c>
      <c r="AL851" s="174">
        <f>(IF(H851="근접",$D$61*(VLOOKUP(C851,$B$36:$AG$39,9,FALSE)+VLOOKUP(C851,$B$40:$AG$43,9,FALSE)*$D$54),$D$60*(VLOOKUP(C851,$B$36:$AG$39,9,FALSE)+VLOOKUP(C851,$B$40:$AG$43,9,FALSE)*$D$54)))*$D$59/100</f>
        <v>1895.6963515780487</v>
      </c>
      <c r="AM851" s="174">
        <f>(IF(H851="근접",$D$61*(VLOOKUP(C851,$B$36:$AG$39,10,FALSE)+VLOOKUP(C851,$B$40:$AG$43,10,FALSE)*$D$54),$D$60*(VLOOKUP(C851,$B$36:$AG$39,10,FALSE)+VLOOKUP(C851,$B$40:$AG$43,10,FALSE)*$D$54)))*$D$59/100</f>
        <v>2417.1648187890246</v>
      </c>
      <c r="AN851" s="174"/>
      <c r="AO851" s="176">
        <v>24</v>
      </c>
      <c r="AP851" s="174">
        <v>36</v>
      </c>
      <c r="AQ851" s="175">
        <f>VLOOKUP(C851,$B$45:$AA$48,9,FALSE)</f>
        <v>199</v>
      </c>
      <c r="AR851" s="31">
        <f>IF(LEFT(E851,1)*1=1,$S$58,$R$58)</f>
        <v>1.2</v>
      </c>
      <c r="AS851" s="2">
        <f>IF(LEFT(E851,1)*1=2,$U$58,$T$58)</f>
        <v>0</v>
      </c>
      <c r="AT851" s="33">
        <f>IF(LEFT(E851,1)*1=3,$W$58,$V$58)</f>
        <v>0</v>
      </c>
      <c r="AU851" s="31">
        <f>IF(MID(E851,3,1)*1=1,$Y$58,$X$58)</f>
        <v>0</v>
      </c>
      <c r="AV851" s="2">
        <f>IF(MID(E851,3,1)*1=2,$AA$58,$Z$58)</f>
        <v>0</v>
      </c>
      <c r="AW851" s="33">
        <f>IF(MID(E851,3,1)*1=3,$AC$58,$AB$58)</f>
        <v>1</v>
      </c>
      <c r="AX851" s="31">
        <f>IF(MID(E851,5,1)*1=1,$AE$58,$AD$58)</f>
        <v>1</v>
      </c>
      <c r="AY851" s="33">
        <f>IF(MID(E851,5,1)*1=2,$AG$58,$AF$58)</f>
        <v>1</v>
      </c>
      <c r="AZ851" s="2"/>
      <c r="BA851" s="101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</row>
    <row r="852" spans="1:71" ht="12" customHeight="1">
      <c r="A852" s="2"/>
      <c r="B852" s="107">
        <v>303</v>
      </c>
      <c r="C852" s="31">
        <v>7</v>
      </c>
      <c r="D852" s="106" t="s">
        <v>17</v>
      </c>
      <c r="E852" s="2" t="s">
        <v>91</v>
      </c>
      <c r="F852" s="2"/>
      <c r="G852" s="2"/>
      <c r="H852" s="33">
        <f>IF(AT852=1,3,IF(AY852=1,3,2))</f>
        <v>2</v>
      </c>
      <c r="I852" s="173">
        <f>M852/AE852</f>
        <v>355.17507715772854</v>
      </c>
      <c r="J852" s="174">
        <f>AH852/AE852</f>
        <v>24.18260296025132</v>
      </c>
      <c r="K852" s="207">
        <f>RANK(I852,$I$76:$I$977)</f>
        <v>777</v>
      </c>
      <c r="L852" s="208" t="e">
        <f>RANK(I852,$I$76:$I$450)</f>
        <v>#N/A</v>
      </c>
      <c r="M852" s="173">
        <f>SUM(N852:R852)</f>
        <v>2834.6324009915106</v>
      </c>
      <c r="N852" s="174">
        <f>T852*(1+((AG852+IF(F852="백어택",8,0))/100)*((AI852/100-1)))</f>
        <v>1181.0968337464628</v>
      </c>
      <c r="O852" s="174">
        <f>U852*(1+(AG852/100)*(AI852/100-1))</f>
        <v>1653.535567245048</v>
      </c>
      <c r="P852" s="174">
        <f>V852*(1+(AG852/100)*(AI852/100-1))</f>
        <v>0</v>
      </c>
      <c r="Q852" s="174"/>
      <c r="R852" s="175"/>
      <c r="S852" s="173">
        <f>SUM(T852:X852)</f>
        <v>2146.8267953268296</v>
      </c>
      <c r="T852" s="174">
        <f>AL852*AV852</f>
        <v>894.51116471951229</v>
      </c>
      <c r="U852" s="174">
        <f>AL852*AW852</f>
        <v>1252.3156306073172</v>
      </c>
      <c r="V852" s="174">
        <f>IF(H852=3,AL852,0)*(1+AW852-1+AW852-1)</f>
        <v>0</v>
      </c>
      <c r="W852" s="174"/>
      <c r="X852" s="175"/>
      <c r="Y852" s="173">
        <f>SUM(Z852:AD852)</f>
        <v>5766.608629541759</v>
      </c>
      <c r="Z852" s="174">
        <f>T852*AI852/100</f>
        <v>2402.7535956423994</v>
      </c>
      <c r="AA852" s="174">
        <f>U852*AI852/100</f>
        <v>3363.8550338993596</v>
      </c>
      <c r="AB852" s="174">
        <f>V852*AI852/100</f>
        <v>0</v>
      </c>
      <c r="AC852" s="174"/>
      <c r="AD852" s="175"/>
      <c r="AE852" s="173">
        <f>AO852*(1-$D$17/100)</f>
        <v>7.980944</v>
      </c>
      <c r="AF852" s="174">
        <f>AP852</f>
        <v>36</v>
      </c>
      <c r="AG852" s="174">
        <f>IF($D$57&gt;100,100,$D$57)</f>
        <v>19.001300000000001</v>
      </c>
      <c r="AH852" s="174">
        <f>AQ852</f>
        <v>193</v>
      </c>
      <c r="AI852" s="174">
        <f>$D$58+$D$19</f>
        <v>268.61079999999998</v>
      </c>
      <c r="AJ852" s="174">
        <f>10*AR852/IF(AT852=0,IF(AY852=0,8,5),5)</f>
        <v>1.25</v>
      </c>
      <c r="AK852" s="174">
        <f>H852*SUM(AL852:AN852)</f>
        <v>1789.0223294390246</v>
      </c>
      <c r="AL852" s="174">
        <f>((VLOOKUP(C852,$B$36:$AG$39,24,FALSE)+VLOOKUP(C852,$B$40:$AG$43,24,FALSE)*$D$54))*$D$59/100</f>
        <v>894.51116471951229</v>
      </c>
      <c r="AM852" s="174"/>
      <c r="AN852" s="174"/>
      <c r="AO852" s="176">
        <v>8</v>
      </c>
      <c r="AP852" s="174">
        <v>36</v>
      </c>
      <c r="AQ852" s="175">
        <f>VLOOKUP(C852,$B$45:$AA$48,24,FALSE)</f>
        <v>193</v>
      </c>
      <c r="AR852" s="31">
        <f>IF(LEFT(E852,1)*1=1,$S$67,$R$67)</f>
        <v>1</v>
      </c>
      <c r="AS852" s="2">
        <f>IF(LEFT(E852,1)*1=2,$U$67,$T$67)</f>
        <v>0</v>
      </c>
      <c r="AT852" s="33">
        <f>IF(LEFT(E852,1)*1=3,$W$67,$V$67)</f>
        <v>0</v>
      </c>
      <c r="AU852" s="31">
        <f>IF(MID(E852,3,1)*1=1,$Y$67,$X$67)</f>
        <v>0</v>
      </c>
      <c r="AV852" s="2">
        <f>IF(MID(E852,3,1)*1=2,$AA$67,$Z$67)</f>
        <v>1</v>
      </c>
      <c r="AW852" s="33">
        <f>IF(MID(E852,3,1)*1=3,$AC$67,$AB$67)</f>
        <v>1.4</v>
      </c>
      <c r="AX852" s="31">
        <f>IF(MID(E852,5,1)*1=1,$AE$67,$AD$67)</f>
        <v>0</v>
      </c>
      <c r="AY852" s="33">
        <f>IF(MID(E852,5,1)*1=2,$AG$67,$AF$67)</f>
        <v>0</v>
      </c>
      <c r="AZ852" s="2"/>
      <c r="BA852" s="101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</row>
    <row r="853" spans="1:71" ht="12" customHeight="1">
      <c r="A853" s="2"/>
      <c r="B853" s="107">
        <v>306</v>
      </c>
      <c r="C853" s="31">
        <v>7</v>
      </c>
      <c r="D853" s="106" t="s">
        <v>17</v>
      </c>
      <c r="E853" s="2" t="s">
        <v>155</v>
      </c>
      <c r="F853" s="2"/>
      <c r="G853" s="2"/>
      <c r="H853" s="33">
        <f>IF(AT853=1,3,IF(AY853=1,3,2))</f>
        <v>2</v>
      </c>
      <c r="I853" s="173">
        <f>M853/AE853</f>
        <v>355.17507715772854</v>
      </c>
      <c r="J853" s="174">
        <f>AH853/AE853</f>
        <v>24.18260296025132</v>
      </c>
      <c r="K853" s="207">
        <f>RANK(I853,$I$76:$I$977)</f>
        <v>777</v>
      </c>
      <c r="L853" s="208" t="e">
        <f>RANK(I853,$I$76:$I$450)</f>
        <v>#N/A</v>
      </c>
      <c r="M853" s="173">
        <f>SUM(N853:R853)</f>
        <v>2834.6324009915106</v>
      </c>
      <c r="N853" s="174">
        <f>T853*(1+((AG853+IF(F853="백어택",8,0))/100)*((AI853/100-1)))</f>
        <v>1181.0968337464628</v>
      </c>
      <c r="O853" s="174">
        <f>U853*(1+(AG853/100)*(AI853/100-1))</f>
        <v>1653.535567245048</v>
      </c>
      <c r="P853" s="174">
        <f>V853*(1+(AG853/100)*(AI853/100-1))</f>
        <v>0</v>
      </c>
      <c r="Q853" s="174"/>
      <c r="R853" s="175"/>
      <c r="S853" s="173">
        <f>SUM(T853:X853)</f>
        <v>2146.8267953268296</v>
      </c>
      <c r="T853" s="174">
        <f>AL853*AV853</f>
        <v>894.51116471951229</v>
      </c>
      <c r="U853" s="174">
        <f>AL853*AW853</f>
        <v>1252.3156306073172</v>
      </c>
      <c r="V853" s="174">
        <f>IF(H853=3,AL853,0)*(1+AW853-1+AW853-1)</f>
        <v>0</v>
      </c>
      <c r="W853" s="174"/>
      <c r="X853" s="175"/>
      <c r="Y853" s="173">
        <f>SUM(Z853:AD853)</f>
        <v>5766.608629541759</v>
      </c>
      <c r="Z853" s="174">
        <f>T853*AI853/100</f>
        <v>2402.7535956423994</v>
      </c>
      <c r="AA853" s="174">
        <f>U853*AI853/100</f>
        <v>3363.8550338993596</v>
      </c>
      <c r="AB853" s="174">
        <f>V853*AI853/100</f>
        <v>0</v>
      </c>
      <c r="AC853" s="174"/>
      <c r="AD853" s="175"/>
      <c r="AE853" s="173">
        <f>AO853*(1-$D$17/100)</f>
        <v>7.980944</v>
      </c>
      <c r="AF853" s="174">
        <f>AP853</f>
        <v>36</v>
      </c>
      <c r="AG853" s="174">
        <f>IF($D$57&gt;100,100,$D$57)</f>
        <v>19.001300000000001</v>
      </c>
      <c r="AH853" s="174">
        <f>AQ853</f>
        <v>193</v>
      </c>
      <c r="AI853" s="174">
        <f>$D$58+$D$19</f>
        <v>268.61079999999998</v>
      </c>
      <c r="AJ853" s="174">
        <f>10*AR853/IF(AT853=0,IF(AY853=0,8,5),5)</f>
        <v>1</v>
      </c>
      <c r="AK853" s="174">
        <f>H853*SUM(AL853:AN853)</f>
        <v>1789.0223294390246</v>
      </c>
      <c r="AL853" s="174">
        <f>((VLOOKUP(C853,$B$36:$AG$39,24,FALSE)+VLOOKUP(C853,$B$40:$AG$43,24,FALSE)*$D$54))*$D$59/100</f>
        <v>894.51116471951229</v>
      </c>
      <c r="AM853" s="174"/>
      <c r="AN853" s="174"/>
      <c r="AO853" s="176">
        <v>8</v>
      </c>
      <c r="AP853" s="174">
        <v>36</v>
      </c>
      <c r="AQ853" s="175">
        <f>VLOOKUP(C853,$B$45:$AA$48,24,FALSE)</f>
        <v>193</v>
      </c>
      <c r="AR853" s="31">
        <f>IF(LEFT(E853,1)*1=1,$S$67,$R$67)</f>
        <v>0.8</v>
      </c>
      <c r="AS853" s="2">
        <f>IF(LEFT(E853,1)*1=2,$U$67,$T$67)</f>
        <v>0</v>
      </c>
      <c r="AT853" s="33">
        <f>IF(LEFT(E853,1)*1=3,$W$67,$V$67)</f>
        <v>0</v>
      </c>
      <c r="AU853" s="31">
        <f>IF(MID(E853,3,1)*1=1,$Y$67,$X$67)</f>
        <v>0</v>
      </c>
      <c r="AV853" s="2">
        <f>IF(MID(E853,3,1)*1=2,$AA$67,$Z$67)</f>
        <v>1</v>
      </c>
      <c r="AW853" s="33">
        <f>IF(MID(E853,3,1)*1=3,$AC$67,$AB$67)</f>
        <v>1.4</v>
      </c>
      <c r="AX853" s="31">
        <f>IF(MID(E853,5,1)*1=1,$AE$67,$AD$67)</f>
        <v>0</v>
      </c>
      <c r="AY853" s="33">
        <f>IF(MID(E853,5,1)*1=2,$AG$67,$AF$67)</f>
        <v>0</v>
      </c>
      <c r="AZ853" s="2"/>
      <c r="BA853" s="101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</row>
    <row r="854" spans="1:71" ht="12" customHeight="1">
      <c r="A854" s="2"/>
      <c r="B854" s="107">
        <v>865</v>
      </c>
      <c r="C854" s="31">
        <v>4</v>
      </c>
      <c r="D854" s="113" t="s">
        <v>15</v>
      </c>
      <c r="E854" s="2" t="s">
        <v>87</v>
      </c>
      <c r="F854" s="2"/>
      <c r="G854" s="2"/>
      <c r="H854" s="33">
        <f>IF(AX854=AT854,3,4)</f>
        <v>4</v>
      </c>
      <c r="I854" s="173">
        <f>M854/AE854</f>
        <v>353.40256089463145</v>
      </c>
      <c r="J854" s="174">
        <f>AH854/AE854</f>
        <v>7.5847335018681159</v>
      </c>
      <c r="K854" s="207">
        <f>RANK(I854,$I$76:$I$977)</f>
        <v>779</v>
      </c>
      <c r="L854" s="208" t="e">
        <f>RANK(I854,$I$867:$I$977)</f>
        <v>#N/A</v>
      </c>
      <c r="M854" s="173">
        <f>SUM(N854:R854)*(1+$D$22/100)</f>
        <v>10576.822679837414</v>
      </c>
      <c r="N854" s="174">
        <f>T854*(1+((AG854+IF(F854="백어택",8,0))/100)*(AI854/100-1))</f>
        <v>2382.4316986888575</v>
      </c>
      <c r="O854" s="174">
        <f>U854*(1+(AG854/100)*(AI854/100-1))</f>
        <v>2382.4316986888575</v>
      </c>
      <c r="P854" s="174">
        <f>V854*(1+(AG854/100)*(AI854/100-1))</f>
        <v>2382.4316986888575</v>
      </c>
      <c r="Q854" s="174">
        <f>W854*(1+(AG854/100)*(AI854/100-1))</f>
        <v>2382.4316986888575</v>
      </c>
      <c r="R854" s="175">
        <f>X854*(1+(AG854/100)*(AI854/100-1))</f>
        <v>0</v>
      </c>
      <c r="S854" s="173">
        <f>SUM(T854:X854)</f>
        <v>8008.0862938097562</v>
      </c>
      <c r="T854" s="174">
        <f>AL854*AS854*AY854</f>
        <v>2002.021573452439</v>
      </c>
      <c r="U854" s="174">
        <f>AL854*AS854*AY854</f>
        <v>2002.021573452439</v>
      </c>
      <c r="V854" s="174">
        <f>AL854*AS854*AY854</f>
        <v>2002.021573452439</v>
      </c>
      <c r="W854" s="174">
        <f>IF(H854=4,AL854*AS854*IF(AT854=0,AY854,1),0)</f>
        <v>2002.021573452439</v>
      </c>
      <c r="X854" s="175">
        <f>AL854*IF(H854=3,11,IF(AT854=1,15,13))*IF(AW854=1,0,AW854)</f>
        <v>0</v>
      </c>
      <c r="Y854" s="173">
        <f>SUM(Z854:AD854)</f>
        <v>16016.172587619512</v>
      </c>
      <c r="Z854" s="174">
        <f>T854*AI854/100</f>
        <v>4004.0431469048781</v>
      </c>
      <c r="AA854" s="174">
        <f>U854*AI854/100</f>
        <v>4004.0431469048781</v>
      </c>
      <c r="AB854" s="174">
        <f>V854*AI854/100</f>
        <v>4004.0431469048781</v>
      </c>
      <c r="AC854" s="174">
        <f>W854*AI854/100</f>
        <v>4004.0431469048781</v>
      </c>
      <c r="AD854" s="175">
        <f>X854*AI854/100</f>
        <v>0</v>
      </c>
      <c r="AE854" s="173">
        <f>AO854*(1-$D$17/100)</f>
        <v>29.928540000000002</v>
      </c>
      <c r="AF854" s="174">
        <f>AP854</f>
        <v>36</v>
      </c>
      <c r="AG854" s="174">
        <f>IF($D$57+AX854&gt;100,100,$D$57+AX854)</f>
        <v>19.001300000000001</v>
      </c>
      <c r="AH854" s="174">
        <f>AQ854</f>
        <v>227</v>
      </c>
      <c r="AI854" s="174">
        <f>$D$58</f>
        <v>200</v>
      </c>
      <c r="AJ854" s="174">
        <f>10*AU854/IF(AT854=1,2.5,(IF(AY854=1,3,2.5)))</f>
        <v>4</v>
      </c>
      <c r="AK854" s="174">
        <f>SUM(AL854:AN854)</f>
        <v>2002.021573452439</v>
      </c>
      <c r="AL854" s="174">
        <f>((VLOOKUP(C854,$B$36:$AG$39,22,FALSE)+VLOOKUP(C854,$B$40:$AG$43,22,FALSE)*$D$54))*$D$59/100</f>
        <v>2002.021573452439</v>
      </c>
      <c r="AM854" s="174"/>
      <c r="AN854" s="174"/>
      <c r="AO854" s="176">
        <v>30</v>
      </c>
      <c r="AP854" s="174">
        <v>36</v>
      </c>
      <c r="AQ854" s="175">
        <f>VLOOKUP(C854,$B$45:$AA$48,22,FALSE)</f>
        <v>227</v>
      </c>
      <c r="AR854" s="31">
        <f>IF(LEFT(E854,1)*1=1,$S$65,$R$65)</f>
        <v>0</v>
      </c>
      <c r="AS854" s="2">
        <f>IF(LEFT(E854,1)*1=2,$U$65,$T$65)</f>
        <v>1</v>
      </c>
      <c r="AT854" s="74">
        <f>IF(LEFT(E854,1)*1=3,$W$65,$V$65)</f>
        <v>1</v>
      </c>
      <c r="AU854" s="31">
        <f>IF(MID(E854,3,1)*1=1,$Y$65,$X$65)</f>
        <v>1</v>
      </c>
      <c r="AV854" s="2">
        <f>IF(MID(E854,3,1)*1=2,$AA$65,$Z$65)</f>
        <v>0</v>
      </c>
      <c r="AW854" s="33">
        <f>IF(MID(E854,3,1)*1=3,$AC$65,$AB$65)</f>
        <v>1</v>
      </c>
      <c r="AX854" s="31">
        <f>IF(MID(E854,5,1)*1=1,$AE$65,$AD$65)</f>
        <v>0</v>
      </c>
      <c r="AY854" s="33">
        <f>IF(MID(E854,5,1)*1=2,$AG$65,$AF$65)</f>
        <v>1</v>
      </c>
      <c r="AZ854" s="2"/>
      <c r="BA854" s="101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</row>
    <row r="855" spans="1:71" ht="12" customHeight="1">
      <c r="A855" s="2"/>
      <c r="B855" s="107">
        <v>112</v>
      </c>
      <c r="C855" s="31">
        <v>7</v>
      </c>
      <c r="D855" s="106" t="s">
        <v>6</v>
      </c>
      <c r="E855" s="2" t="s">
        <v>67</v>
      </c>
      <c r="F855" s="2"/>
      <c r="G855" s="2"/>
      <c r="H855" s="33"/>
      <c r="I855" s="173">
        <f>M855/AE855</f>
        <v>348.65780079270166</v>
      </c>
      <c r="J855" s="174">
        <f>AH855/AE855</f>
        <v>16.338919305786384</v>
      </c>
      <c r="K855" s="207">
        <f>RANK(I855,$I$76:$I$977)</f>
        <v>780</v>
      </c>
      <c r="L855" s="208" t="e">
        <f>RANK(I855,$I$76:$I$450)</f>
        <v>#N/A</v>
      </c>
      <c r="M855" s="173">
        <f>SUM(N855:R855)</f>
        <v>6956.5459582242684</v>
      </c>
      <c r="N855" s="174">
        <f>T855*(1+((AG855+IF(F855="백어택",8,0))/100)*((AI855/100-1)))</f>
        <v>6956.5459582242684</v>
      </c>
      <c r="O855" s="174"/>
      <c r="P855" s="174"/>
      <c r="Q855" s="174"/>
      <c r="R855" s="175"/>
      <c r="S855" s="173">
        <f>SUM(T855:X855)</f>
        <v>5268.5841242817078</v>
      </c>
      <c r="T855" s="174">
        <f>AL855*AW855*AT855*AX855*AY855</f>
        <v>5268.5841242817078</v>
      </c>
      <c r="U855" s="174"/>
      <c r="V855" s="174"/>
      <c r="W855" s="174"/>
      <c r="X855" s="175"/>
      <c r="Y855" s="173">
        <f>SUM(Z855:AD855)</f>
        <v>10537.168248563416</v>
      </c>
      <c r="Z855" s="174">
        <f>T855*$D$58/100</f>
        <v>10537.168248563416</v>
      </c>
      <c r="AA855" s="174"/>
      <c r="AB855" s="174"/>
      <c r="AC855" s="174"/>
      <c r="AD855" s="175"/>
      <c r="AE855" s="173">
        <f>AO855*(1-$D$17/100)</f>
        <v>19.952359999999999</v>
      </c>
      <c r="AF855" s="174">
        <f>AP855</f>
        <v>36</v>
      </c>
      <c r="AG855" s="174">
        <f>IF($D$57+AV855&gt;100,100,$D$57+AV855)</f>
        <v>19.001300000000001</v>
      </c>
      <c r="AH855" s="174">
        <f>AQ855*AR855</f>
        <v>326</v>
      </c>
      <c r="AI855" s="174">
        <f>$D$58+$D$19</f>
        <v>268.61079999999998</v>
      </c>
      <c r="AJ855" s="174">
        <f>10/IF(AX855=1,IF(AY855=1,5,6),4)</f>
        <v>2</v>
      </c>
      <c r="AK855" s="174">
        <f>SUM(AL855:AN855)</f>
        <v>5268.5841242817078</v>
      </c>
      <c r="AL855" s="174">
        <f>(VLOOKUP(C855,$B$36:$AG$39,7,FALSE)+VLOOKUP(C855,$B$40:$AG$43,7,FALSE)*$D$54)*$D$59/100</f>
        <v>5268.5841242817078</v>
      </c>
      <c r="AM855" s="174"/>
      <c r="AN855" s="174"/>
      <c r="AO855" s="176">
        <v>20</v>
      </c>
      <c r="AP855" s="174">
        <v>36</v>
      </c>
      <c r="AQ855" s="175">
        <f>VLOOKUP(C855,$B$45:$AA$48,7,FALSE)</f>
        <v>326</v>
      </c>
      <c r="AR855" s="31">
        <f>IF(LEFT(E855,1)*1=1,$S$56,$R$56)</f>
        <v>1</v>
      </c>
      <c r="AS855" s="2">
        <f>IF(LEFT(E855,1)*1=2,$U$56,$T$56)</f>
        <v>0</v>
      </c>
      <c r="AT855" s="33">
        <f>IF(LEFT(E855,1)*1=3,$W$56,$V$56)</f>
        <v>1</v>
      </c>
      <c r="AU855" s="31">
        <f>IF(MID(E855,3,1)*1=1,$Y$56,$X$56)</f>
        <v>0</v>
      </c>
      <c r="AV855" s="2">
        <f>IF(MID(E855,3,1)*1=2,$AA$56,$Z$56)</f>
        <v>0</v>
      </c>
      <c r="AW855" s="33">
        <f>IF(MID(E855,3,1)*1=3,$AC$56,$AB$56)</f>
        <v>1</v>
      </c>
      <c r="AX855" s="31">
        <f>IF(MID(E855,5,1)*1=1,$AE$56,$AD$56)</f>
        <v>1</v>
      </c>
      <c r="AY855" s="33">
        <f>IF(MID(E855,5,1)*1=2,$AG$56,$AF$56)</f>
        <v>1</v>
      </c>
      <c r="AZ855" s="2"/>
      <c r="BA855" s="101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</row>
    <row r="856" spans="1:71" ht="12" customHeight="1">
      <c r="A856" s="2"/>
      <c r="B856" s="107">
        <v>115</v>
      </c>
      <c r="C856" s="31">
        <v>7</v>
      </c>
      <c r="D856" s="106" t="s">
        <v>6</v>
      </c>
      <c r="E856" s="2" t="s">
        <v>148</v>
      </c>
      <c r="F856" s="2"/>
      <c r="G856" s="2"/>
      <c r="H856" s="33"/>
      <c r="I856" s="173">
        <f>M856/AE856</f>
        <v>348.65780079270166</v>
      </c>
      <c r="J856" s="174">
        <f>AH856/AE856</f>
        <v>8.1694596528931918</v>
      </c>
      <c r="K856" s="207">
        <f>RANK(I856,$I$76:$I$977)</f>
        <v>780</v>
      </c>
      <c r="L856" s="208" t="e">
        <f>RANK(I856,$I$76:$I$450)</f>
        <v>#N/A</v>
      </c>
      <c r="M856" s="173">
        <f>SUM(N856:R856)</f>
        <v>6956.5459582242684</v>
      </c>
      <c r="N856" s="174">
        <f>T856*(1+((AG856+IF(F856="백어택",8,0))/100)*((AI856/100-1)))</f>
        <v>6956.5459582242684</v>
      </c>
      <c r="O856" s="174"/>
      <c r="P856" s="174"/>
      <c r="Q856" s="174"/>
      <c r="R856" s="175"/>
      <c r="S856" s="173">
        <f>SUM(T856:X856)</f>
        <v>5268.5841242817078</v>
      </c>
      <c r="T856" s="174">
        <f>AL856*AW856*AT856*AX856*AY856</f>
        <v>5268.5841242817078</v>
      </c>
      <c r="U856" s="174"/>
      <c r="V856" s="174"/>
      <c r="W856" s="174"/>
      <c r="X856" s="175"/>
      <c r="Y856" s="173">
        <f>SUM(Z856:AD856)</f>
        <v>10537.168248563416</v>
      </c>
      <c r="Z856" s="174">
        <f>T856*$D$58/100</f>
        <v>10537.168248563416</v>
      </c>
      <c r="AA856" s="174"/>
      <c r="AB856" s="174"/>
      <c r="AC856" s="174"/>
      <c r="AD856" s="175"/>
      <c r="AE856" s="173">
        <f>AO856*(1-$D$17/100)</f>
        <v>19.952359999999999</v>
      </c>
      <c r="AF856" s="174">
        <f>AP856</f>
        <v>36</v>
      </c>
      <c r="AG856" s="174">
        <f>IF($D$57+AV856&gt;100,100,$D$57+AV856)</f>
        <v>19.001300000000001</v>
      </c>
      <c r="AH856" s="174">
        <f>AQ856*AR856</f>
        <v>163</v>
      </c>
      <c r="AI856" s="174">
        <f>$D$58+$D$19</f>
        <v>268.61079999999998</v>
      </c>
      <c r="AJ856" s="174">
        <f>10/IF(AX856=1,IF(AY856=1,5,6),4)</f>
        <v>2</v>
      </c>
      <c r="AK856" s="174">
        <f>SUM(AL856:AN856)</f>
        <v>5268.5841242817078</v>
      </c>
      <c r="AL856" s="174">
        <f>(VLOOKUP(C856,$B$36:$AG$39,7,FALSE)+VLOOKUP(C856,$B$40:$AG$43,7,FALSE)*$D$54)*$D$59/100</f>
        <v>5268.5841242817078</v>
      </c>
      <c r="AM856" s="174"/>
      <c r="AN856" s="174"/>
      <c r="AO856" s="176">
        <v>20</v>
      </c>
      <c r="AP856" s="174">
        <v>36</v>
      </c>
      <c r="AQ856" s="175">
        <f>VLOOKUP(C856,$B$45:$AA$48,7,FALSE)</f>
        <v>326</v>
      </c>
      <c r="AR856" s="31">
        <f>IF(LEFT(E856,1)*1=1,$S$56,$R$56)</f>
        <v>0.5</v>
      </c>
      <c r="AS856" s="2">
        <f>IF(LEFT(E856,1)*1=2,$U$56,$T$56)</f>
        <v>0</v>
      </c>
      <c r="AT856" s="33">
        <f>IF(LEFT(E856,1)*1=3,$W$56,$V$56)</f>
        <v>1</v>
      </c>
      <c r="AU856" s="31">
        <f>IF(MID(E856,3,1)*1=1,$Y$56,$X$56)</f>
        <v>0</v>
      </c>
      <c r="AV856" s="2">
        <f>IF(MID(E856,3,1)*1=2,$AA$56,$Z$56)</f>
        <v>0</v>
      </c>
      <c r="AW856" s="33">
        <f>IF(MID(E856,3,1)*1=3,$AC$56,$AB$56)</f>
        <v>1</v>
      </c>
      <c r="AX856" s="31">
        <f>IF(MID(E856,5,1)*1=1,$AE$56,$AD$56)</f>
        <v>1</v>
      </c>
      <c r="AY856" s="33">
        <f>IF(MID(E856,5,1)*1=2,$AG$56,$AF$56)</f>
        <v>1</v>
      </c>
      <c r="AZ856" s="2"/>
      <c r="BA856" s="101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</row>
    <row r="857" spans="1:71" ht="12" customHeight="1">
      <c r="A857" s="2"/>
      <c r="B857" s="107">
        <v>533</v>
      </c>
      <c r="C857" s="31">
        <v>7</v>
      </c>
      <c r="D857" s="111" t="s">
        <v>14</v>
      </c>
      <c r="E857" s="2" t="s">
        <v>91</v>
      </c>
      <c r="F857" s="2"/>
      <c r="G857" s="2"/>
      <c r="H857" s="33" t="s">
        <v>80</v>
      </c>
      <c r="I857" s="173">
        <f>M857/AE857</f>
        <v>347.25309017319648</v>
      </c>
      <c r="J857" s="174">
        <f>AH857/AE857</f>
        <v>16.518097441877977</v>
      </c>
      <c r="K857" s="207">
        <f>RANK(I857,$I$76:$I$977)</f>
        <v>782</v>
      </c>
      <c r="L857" s="208">
        <f>RANK(I857,$I$451:$I$866)</f>
        <v>407</v>
      </c>
      <c r="M857" s="173">
        <f>SUM(N857:R857)</f>
        <v>9628.3434492951019</v>
      </c>
      <c r="N857" s="174">
        <f>T857*(1+((AG857+IF(F857="백어택",8,0))/100)*(AI857/100-1))</f>
        <v>2746.3766588624931</v>
      </c>
      <c r="O857" s="174">
        <f>U857*(1+((AG857+IF(F857="백어택",8,0))/100)*(AI857/100-1))</f>
        <v>2746.3766588624931</v>
      </c>
      <c r="P857" s="174">
        <f>V857*(1+((AG857+IF(F857="백어택",8,0))/100)*(AI857*IF(AX857=1,AW857,1)/100-1))</f>
        <v>4135.5901315701149</v>
      </c>
      <c r="Q857" s="174">
        <f>W857*(1+((AG857+IF(F857="백어택",8,0))/100)*(AI857*AW857/100-1))</f>
        <v>0</v>
      </c>
      <c r="R857" s="175"/>
      <c r="S857" s="173">
        <f>SUM(T857:X857)</f>
        <v>7732.6218695536591</v>
      </c>
      <c r="T857" s="174">
        <f>AL857*AY857*IF(F857="백어택",1.2,1)</f>
        <v>2307.8543334085366</v>
      </c>
      <c r="U857" s="174">
        <f>AM857*AY857*IF(F857="백어택",1.2,1)</f>
        <v>2307.8543334085366</v>
      </c>
      <c r="V857" s="174">
        <f>AN857*AY857*IF(F857="백어택",1.2,1)</f>
        <v>3116.9132027365854</v>
      </c>
      <c r="W857" s="174">
        <f>(T857+U857+V857)*IF(AX857=1,0,0.6)*IF(F857="백어택",1.2,1)</f>
        <v>0</v>
      </c>
      <c r="X857" s="175"/>
      <c r="Y857" s="173">
        <f>SUM(Z857:AD857)</f>
        <v>17709.421245077661</v>
      </c>
      <c r="Z857" s="174">
        <f>T857*AI857/100</f>
        <v>4615.7086668170732</v>
      </c>
      <c r="AA857" s="174">
        <f>U857*AI857/100</f>
        <v>4615.7086668170732</v>
      </c>
      <c r="AB857" s="174">
        <f>V857*AI857*IF(AX857=1,AW857,1)/100</f>
        <v>8478.0039114435131</v>
      </c>
      <c r="AC857" s="174">
        <f>W857*AI857*AW857/100</f>
        <v>0</v>
      </c>
      <c r="AD857" s="175"/>
      <c r="AE857" s="173">
        <f>AO857*(1-$D$20/100)*(1-$D$17/100)</f>
        <v>27.727164197424003</v>
      </c>
      <c r="AF857" s="174">
        <f>AP857</f>
        <v>36</v>
      </c>
      <c r="AG857" s="174">
        <f>IF($D$57+AU857&gt;100,100,$D$57+AU857)</f>
        <v>19.001300000000001</v>
      </c>
      <c r="AH857" s="174">
        <f>AQ857*AS857</f>
        <v>458</v>
      </c>
      <c r="AI857" s="174">
        <f>$D$58+IF(H857="근접",AR857,0)+IF(AY857=1,0,50)</f>
        <v>200</v>
      </c>
      <c r="AJ857" s="174">
        <f>10/3</f>
        <v>3.3333333333333335</v>
      </c>
      <c r="AK857" s="174">
        <f>SUM(AL857:AN857)</f>
        <v>7732.6218695536591</v>
      </c>
      <c r="AL857" s="174">
        <f>(IF(H857="근접",$D$61*(VLOOKUP(C857,$B$36:$AG$39,19,FALSE)+VLOOKUP(C857,$B$40:$AG$43,19,FALSE)*$D$54),$D$60*(VLOOKUP(C857,$B$36:$AG$39,19,FALSE)+VLOOKUP(C857,$B$40:$AG$43,19,FALSE)*$D$54)))*$D$59/100</f>
        <v>2307.8543334085366</v>
      </c>
      <c r="AM857" s="174">
        <f>(IF(H857="근접",$D$61*(VLOOKUP(C857,$B$36:$AG$39,20,FALSE)+VLOOKUP(C857,$B$40:$AG$43,20,FALSE)*$D$54),$D$60*(VLOOKUP(C857,$B$36:$AG$39,20,FALSE)+VLOOKUP(C857,$B$40:$AG$43,20,FALSE)*$D$54)))*$D$59/100</f>
        <v>2307.8543334085366</v>
      </c>
      <c r="AN857" s="174">
        <f>(IF(H857="근접",$D$61*(VLOOKUP(C857,$B$36:$AG$39,21,FALSE)+VLOOKUP(C857,$B$40:$AG$43,21,FALSE)*$D$54),$D$60*(VLOOKUP(C857,$B$36:$AG$39,21,FALSE)+VLOOKUP(C857,$B$40:$AG$43,21,FALSE)*$D$54)))*$D$59/100</f>
        <v>3116.9132027365854</v>
      </c>
      <c r="AO857" s="176">
        <v>36</v>
      </c>
      <c r="AP857" s="174">
        <v>36</v>
      </c>
      <c r="AQ857" s="175">
        <f>VLOOKUP(C857,$B$45:$AA$48,19,FALSE)</f>
        <v>458</v>
      </c>
      <c r="AR857" s="31">
        <f>IF(LEFT(E857,1)*1=1,$S$64,$R$64)</f>
        <v>0</v>
      </c>
      <c r="AS857" s="2">
        <f>IF(LEFT(E857,1)*1=2,$U$64,$T$64)</f>
        <v>1</v>
      </c>
      <c r="AT857" s="33">
        <f>IF(LEFT(E857,1)*1=3,$W$64,$V$64)</f>
        <v>0</v>
      </c>
      <c r="AU857" s="31">
        <f>IF(MID(E857,3,1)*1=1,$Y$64,$X$64)</f>
        <v>0</v>
      </c>
      <c r="AV857" s="2">
        <f>IF(MID(E857,3,1)*1=2,$AA$64,$Z$64)</f>
        <v>0</v>
      </c>
      <c r="AW857" s="33">
        <f>IF(MID(E857,3,1)*1=3,$AC$64,$AB$64)</f>
        <v>1.36</v>
      </c>
      <c r="AX857" s="31">
        <f>IF(MID(E857,5,1)*1=1,$AE$64,$AD$64)</f>
        <v>1</v>
      </c>
      <c r="AY857" s="33">
        <f>IF(MID(E857,5,1)*1=2,$AG$64,$AF$64)</f>
        <v>1</v>
      </c>
      <c r="AZ857" s="2"/>
      <c r="BA857" s="101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</row>
    <row r="858" spans="1:71" ht="12" customHeight="1">
      <c r="A858" s="2"/>
      <c r="B858" s="107">
        <v>536</v>
      </c>
      <c r="C858" s="31">
        <v>7</v>
      </c>
      <c r="D858" s="111" t="s">
        <v>14</v>
      </c>
      <c r="E858" s="2" t="s">
        <v>155</v>
      </c>
      <c r="F858" s="2"/>
      <c r="G858" s="2"/>
      <c r="H858" s="33" t="s">
        <v>80</v>
      </c>
      <c r="I858" s="173">
        <f>M858/AE858</f>
        <v>347.25309017319648</v>
      </c>
      <c r="J858" s="174">
        <f>AH858/AE858</f>
        <v>16.518097441877977</v>
      </c>
      <c r="K858" s="207">
        <f>RANK(I858,$I$76:$I$977)</f>
        <v>782</v>
      </c>
      <c r="L858" s="208">
        <f>RANK(I858,$I$451:$I$866)</f>
        <v>407</v>
      </c>
      <c r="M858" s="173">
        <f>SUM(N858:R858)</f>
        <v>9628.3434492951019</v>
      </c>
      <c r="N858" s="174">
        <f>T858*(1+((AG858+IF(F858="백어택",8,0))/100)*(AI858/100-1))</f>
        <v>2746.3766588624931</v>
      </c>
      <c r="O858" s="174">
        <f>U858*(1+((AG858+IF(F858="백어택",8,0))/100)*(AI858/100-1))</f>
        <v>2746.3766588624931</v>
      </c>
      <c r="P858" s="174">
        <f>V858*(1+((AG858+IF(F858="백어택",8,0))/100)*(AI858*IF(AX858=1,AW858,1)/100-1))</f>
        <v>4135.5901315701149</v>
      </c>
      <c r="Q858" s="174">
        <f>W858*(1+((AG858+IF(F858="백어택",8,0))/100)*(AI858*AW858/100-1))</f>
        <v>0</v>
      </c>
      <c r="R858" s="175"/>
      <c r="S858" s="173">
        <f>SUM(T858:X858)</f>
        <v>7732.6218695536591</v>
      </c>
      <c r="T858" s="174">
        <f>AL858*AY858*IF(F858="백어택",1.2,1)</f>
        <v>2307.8543334085366</v>
      </c>
      <c r="U858" s="174">
        <f>AM858*AY858*IF(F858="백어택",1.2,1)</f>
        <v>2307.8543334085366</v>
      </c>
      <c r="V858" s="174">
        <f>AN858*AY858*IF(F858="백어택",1.2,1)</f>
        <v>3116.9132027365854</v>
      </c>
      <c r="W858" s="174">
        <f>(T858+U858+V858)*IF(AX858=1,0,0.6)*IF(F858="백어택",1.2,1)</f>
        <v>0</v>
      </c>
      <c r="X858" s="175"/>
      <c r="Y858" s="173">
        <f>SUM(Z858:AD858)</f>
        <v>17709.421245077661</v>
      </c>
      <c r="Z858" s="174">
        <f>T858*AI858/100</f>
        <v>4615.7086668170732</v>
      </c>
      <c r="AA858" s="174">
        <f>U858*AI858/100</f>
        <v>4615.7086668170732</v>
      </c>
      <c r="AB858" s="174">
        <f>V858*AI858*IF(AX858=1,AW858,1)/100</f>
        <v>8478.0039114435131</v>
      </c>
      <c r="AC858" s="174">
        <f>W858*AI858*AW858/100</f>
        <v>0</v>
      </c>
      <c r="AD858" s="175"/>
      <c r="AE858" s="173">
        <f>AO858*(1-$D$20/100)*(1-$D$17/100)</f>
        <v>27.727164197424003</v>
      </c>
      <c r="AF858" s="174">
        <f>AP858</f>
        <v>36</v>
      </c>
      <c r="AG858" s="174">
        <f>IF($D$57+AU858&gt;100,100,$D$57+AU858)</f>
        <v>19.001300000000001</v>
      </c>
      <c r="AH858" s="174">
        <f>AQ858*AS858</f>
        <v>458</v>
      </c>
      <c r="AI858" s="174">
        <f>$D$58+IF(H858="근접",AR858,0)+IF(AY858=1,0,50)</f>
        <v>200</v>
      </c>
      <c r="AJ858" s="174">
        <f>10/3</f>
        <v>3.3333333333333335</v>
      </c>
      <c r="AK858" s="174">
        <f>SUM(AL858:AN858)</f>
        <v>7732.6218695536591</v>
      </c>
      <c r="AL858" s="174">
        <f>(IF(H858="근접",$D$61*(VLOOKUP(C858,$B$36:$AG$39,19,FALSE)+VLOOKUP(C858,$B$40:$AG$43,19,FALSE)*$D$54),$D$60*(VLOOKUP(C858,$B$36:$AG$39,19,FALSE)+VLOOKUP(C858,$B$40:$AG$43,19,FALSE)*$D$54)))*$D$59/100</f>
        <v>2307.8543334085366</v>
      </c>
      <c r="AM858" s="174">
        <f>(IF(H858="근접",$D$61*(VLOOKUP(C858,$B$36:$AG$39,20,FALSE)+VLOOKUP(C858,$B$40:$AG$43,20,FALSE)*$D$54),$D$60*(VLOOKUP(C858,$B$36:$AG$39,20,FALSE)+VLOOKUP(C858,$B$40:$AG$43,20,FALSE)*$D$54)))*$D$59/100</f>
        <v>2307.8543334085366</v>
      </c>
      <c r="AN858" s="174">
        <f>(IF(H858="근접",$D$61*(VLOOKUP(C858,$B$36:$AG$39,21,FALSE)+VLOOKUP(C858,$B$40:$AG$43,21,FALSE)*$D$54),$D$60*(VLOOKUP(C858,$B$36:$AG$39,21,FALSE)+VLOOKUP(C858,$B$40:$AG$43,21,FALSE)*$D$54)))*$D$59/100</f>
        <v>3116.9132027365854</v>
      </c>
      <c r="AO858" s="176">
        <v>36</v>
      </c>
      <c r="AP858" s="174">
        <v>36</v>
      </c>
      <c r="AQ858" s="175">
        <f>VLOOKUP(C858,$B$45:$AA$48,19,FALSE)</f>
        <v>458</v>
      </c>
      <c r="AR858" s="31">
        <f>IF(LEFT(E858,1)*1=1,$S$64,$R$64)</f>
        <v>50</v>
      </c>
      <c r="AS858" s="2">
        <f>IF(LEFT(E858,1)*1=2,$U$64,$T$64)</f>
        <v>1</v>
      </c>
      <c r="AT858" s="33">
        <f>IF(LEFT(E858,1)*1=3,$W$64,$V$64)</f>
        <v>0</v>
      </c>
      <c r="AU858" s="31">
        <f>IF(MID(E858,3,1)*1=1,$Y$64,$X$64)</f>
        <v>0</v>
      </c>
      <c r="AV858" s="2">
        <f>IF(MID(E858,3,1)*1=2,$AA$64,$Z$64)</f>
        <v>0</v>
      </c>
      <c r="AW858" s="33">
        <f>IF(MID(E858,3,1)*1=3,$AC$64,$AB$64)</f>
        <v>1.36</v>
      </c>
      <c r="AX858" s="31">
        <f>IF(MID(E858,5,1)*1=1,$AE$64,$AD$64)</f>
        <v>1</v>
      </c>
      <c r="AY858" s="33">
        <f>IF(MID(E858,5,1)*1=2,$AG$64,$AF$64)</f>
        <v>1</v>
      </c>
      <c r="AZ858" s="2"/>
      <c r="BA858" s="101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</row>
    <row r="859" spans="1:71" ht="12" customHeight="1">
      <c r="A859" s="2"/>
      <c r="B859" s="107">
        <v>539</v>
      </c>
      <c r="C859" s="31">
        <v>7</v>
      </c>
      <c r="D859" s="111" t="s">
        <v>14</v>
      </c>
      <c r="E859" s="2" t="s">
        <v>103</v>
      </c>
      <c r="F859" s="2"/>
      <c r="G859" s="2"/>
      <c r="H859" s="33" t="s">
        <v>80</v>
      </c>
      <c r="I859" s="173">
        <f>M859/AE859</f>
        <v>347.25309017319648</v>
      </c>
      <c r="J859" s="174">
        <f>AH859/AE859</f>
        <v>8.2590487209389885</v>
      </c>
      <c r="K859" s="207">
        <f>RANK(I859,$I$76:$I$977)</f>
        <v>782</v>
      </c>
      <c r="L859" s="208">
        <f>RANK(I859,$I$451:$I$866)</f>
        <v>407</v>
      </c>
      <c r="M859" s="173">
        <f>SUM(N859:R859)</f>
        <v>9628.3434492951019</v>
      </c>
      <c r="N859" s="174">
        <f>T859*(1+((AG859+IF(F859="백어택",8,0))/100)*(AI859/100-1))</f>
        <v>2746.3766588624931</v>
      </c>
      <c r="O859" s="174">
        <f>U859*(1+((AG859+IF(F859="백어택",8,0))/100)*(AI859/100-1))</f>
        <v>2746.3766588624931</v>
      </c>
      <c r="P859" s="174">
        <f>V859*(1+((AG859+IF(F859="백어택",8,0))/100)*(AI859*IF(AX859=1,AW859,1)/100-1))</f>
        <v>4135.5901315701149</v>
      </c>
      <c r="Q859" s="174">
        <f>W859*(1+((AG859+IF(F859="백어택",8,0))/100)*(AI859*AW859/100-1))</f>
        <v>0</v>
      </c>
      <c r="R859" s="175"/>
      <c r="S859" s="173">
        <f>SUM(T859:X859)</f>
        <v>7732.6218695536591</v>
      </c>
      <c r="T859" s="174">
        <f>AL859*AY859*IF(F859="백어택",1.2,1)</f>
        <v>2307.8543334085366</v>
      </c>
      <c r="U859" s="174">
        <f>AM859*AY859*IF(F859="백어택",1.2,1)</f>
        <v>2307.8543334085366</v>
      </c>
      <c r="V859" s="174">
        <f>AN859*AY859*IF(F859="백어택",1.2,1)</f>
        <v>3116.9132027365854</v>
      </c>
      <c r="W859" s="174">
        <f>(T859+U859+V859)*IF(AX859=1,0,0.6)*IF(F859="백어택",1.2,1)</f>
        <v>0</v>
      </c>
      <c r="X859" s="175"/>
      <c r="Y859" s="173">
        <f>SUM(Z859:AD859)</f>
        <v>17709.421245077661</v>
      </c>
      <c r="Z859" s="174">
        <f>T859*AI859/100</f>
        <v>4615.7086668170732</v>
      </c>
      <c r="AA859" s="174">
        <f>U859*AI859/100</f>
        <v>4615.7086668170732</v>
      </c>
      <c r="AB859" s="174">
        <f>V859*AI859*IF(AX859=1,AW859,1)/100</f>
        <v>8478.0039114435131</v>
      </c>
      <c r="AC859" s="174">
        <f>W859*AI859*AW859/100</f>
        <v>0</v>
      </c>
      <c r="AD859" s="175"/>
      <c r="AE859" s="173">
        <f>AO859*(1-$D$20/100)*(1-$D$17/100)</f>
        <v>27.727164197424003</v>
      </c>
      <c r="AF859" s="174">
        <f>AP859</f>
        <v>36</v>
      </c>
      <c r="AG859" s="174">
        <f>IF($D$57+AU859&gt;100,100,$D$57+AU859)</f>
        <v>19.001300000000001</v>
      </c>
      <c r="AH859" s="174">
        <f>AQ859*AS859</f>
        <v>229</v>
      </c>
      <c r="AI859" s="174">
        <f>$D$58+IF(H859="근접",AR859,0)+IF(AY859=1,0,50)</f>
        <v>200</v>
      </c>
      <c r="AJ859" s="174">
        <f>10/3</f>
        <v>3.3333333333333335</v>
      </c>
      <c r="AK859" s="174">
        <f>SUM(AL859:AN859)</f>
        <v>7732.6218695536591</v>
      </c>
      <c r="AL859" s="174">
        <f>(IF(H859="근접",$D$61*(VLOOKUP(C859,$B$36:$AG$39,19,FALSE)+VLOOKUP(C859,$B$40:$AG$43,19,FALSE)*$D$54),$D$60*(VLOOKUP(C859,$B$36:$AG$39,19,FALSE)+VLOOKUP(C859,$B$40:$AG$43,19,FALSE)*$D$54)))*$D$59/100</f>
        <v>2307.8543334085366</v>
      </c>
      <c r="AM859" s="174">
        <f>(IF(H859="근접",$D$61*(VLOOKUP(C859,$B$36:$AG$39,20,FALSE)+VLOOKUP(C859,$B$40:$AG$43,20,FALSE)*$D$54),$D$60*(VLOOKUP(C859,$B$36:$AG$39,20,FALSE)+VLOOKUP(C859,$B$40:$AG$43,20,FALSE)*$D$54)))*$D$59/100</f>
        <v>2307.8543334085366</v>
      </c>
      <c r="AN859" s="174">
        <f>(IF(H859="근접",$D$61*(VLOOKUP(C859,$B$36:$AG$39,21,FALSE)+VLOOKUP(C859,$B$40:$AG$43,21,FALSE)*$D$54),$D$60*(VLOOKUP(C859,$B$36:$AG$39,21,FALSE)+VLOOKUP(C859,$B$40:$AG$43,21,FALSE)*$D$54)))*$D$59/100</f>
        <v>3116.9132027365854</v>
      </c>
      <c r="AO859" s="176">
        <v>36</v>
      </c>
      <c r="AP859" s="174">
        <v>36</v>
      </c>
      <c r="AQ859" s="175">
        <f>VLOOKUP(C859,$B$45:$AA$48,19,FALSE)</f>
        <v>458</v>
      </c>
      <c r="AR859" s="31">
        <f>IF(LEFT(E859,1)*1=1,$S$64,$R$64)</f>
        <v>0</v>
      </c>
      <c r="AS859" s="2">
        <f>IF(LEFT(E859,1)*1=2,$U$64,$T$64)</f>
        <v>0.5</v>
      </c>
      <c r="AT859" s="33">
        <f>IF(LEFT(E859,1)*1=3,$W$64,$V$64)</f>
        <v>0</v>
      </c>
      <c r="AU859" s="31">
        <f>IF(MID(E859,3,1)*1=1,$Y$64,$X$64)</f>
        <v>0</v>
      </c>
      <c r="AV859" s="2">
        <f>IF(MID(E859,3,1)*1=2,$AA$64,$Z$64)</f>
        <v>0</v>
      </c>
      <c r="AW859" s="33">
        <f>IF(MID(E859,3,1)*1=3,$AC$64,$AB$64)</f>
        <v>1.36</v>
      </c>
      <c r="AX859" s="31">
        <f>IF(MID(E859,5,1)*1=1,$AE$64,$AD$64)</f>
        <v>1</v>
      </c>
      <c r="AY859" s="33">
        <f>IF(MID(E859,5,1)*1=2,$AG$64,$AF$64)</f>
        <v>1</v>
      </c>
      <c r="AZ859" s="2"/>
      <c r="BA859" s="101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</row>
    <row r="860" spans="1:71" ht="12" customHeight="1">
      <c r="A860" s="2"/>
      <c r="B860" s="107">
        <v>31</v>
      </c>
      <c r="C860" s="31">
        <v>1</v>
      </c>
      <c r="D860" s="106" t="s">
        <v>2</v>
      </c>
      <c r="E860" s="2" t="s">
        <v>67</v>
      </c>
      <c r="F860" s="2"/>
      <c r="G860" s="2"/>
      <c r="H860" s="33"/>
      <c r="I860" s="173">
        <f>M860/AE860</f>
        <v>344.99932145407519</v>
      </c>
      <c r="J860" s="174">
        <f>AH860/AE860</f>
        <v>6.6408184294990669</v>
      </c>
      <c r="K860" s="207">
        <f>RANK(I860,$I$76:$I$977)</f>
        <v>785</v>
      </c>
      <c r="L860" s="208" t="e">
        <f>RANK(I860,$I$76:$I$450)</f>
        <v>#N/A</v>
      </c>
      <c r="M860" s="173">
        <f>SUM(N860:R860)</f>
        <v>2753.4202645629725</v>
      </c>
      <c r="N860" s="174">
        <f>T860*(1+((AG860+IF(F860="백어택",8,0))/100)*((AI860/100-1)))</f>
        <v>2753.4202645629725</v>
      </c>
      <c r="O860" s="174"/>
      <c r="P860" s="174"/>
      <c r="Q860" s="174"/>
      <c r="R860" s="175"/>
      <c r="S860" s="173">
        <f>SUM(T860:X860)</f>
        <v>2085.3202696378053</v>
      </c>
      <c r="T860" s="174">
        <f>AL860*AV860*AW860*AY860</f>
        <v>2085.3202696378053</v>
      </c>
      <c r="U860" s="174"/>
      <c r="V860" s="174"/>
      <c r="W860" s="174"/>
      <c r="X860" s="175"/>
      <c r="Y860" s="173">
        <f>SUM(Z860:AD860)</f>
        <v>4170.6405392756105</v>
      </c>
      <c r="Z860" s="174">
        <f>T860*$D$58/100</f>
        <v>4170.6405392756105</v>
      </c>
      <c r="AA860" s="174"/>
      <c r="AB860" s="174"/>
      <c r="AC860" s="174"/>
      <c r="AD860" s="175"/>
      <c r="AE860" s="173">
        <f>AO860*(1-$D$17/100)-AS860</f>
        <v>7.980944</v>
      </c>
      <c r="AF860" s="174"/>
      <c r="AG860" s="174">
        <f>IF($D$57+AT860&gt;100,100,$D$57+AT860)</f>
        <v>19.001300000000001</v>
      </c>
      <c r="AH860" s="174">
        <f>AQ860</f>
        <v>53</v>
      </c>
      <c r="AI860" s="174">
        <f>$D$58+$D$19</f>
        <v>268.61079999999998</v>
      </c>
      <c r="AJ860" s="174">
        <f>10*AY860/12</f>
        <v>0.83333333333333337</v>
      </c>
      <c r="AK860" s="174">
        <f>SUM(AL860:AN860)</f>
        <v>2085.3202696378053</v>
      </c>
      <c r="AL860" s="174">
        <f>(VLOOKUP(C860,$B$36:$AA$39,2,FALSE)+VLOOKUP(C860,$B$40:$AA$43,2,FALSE)*$D$54)*$D$59/100</f>
        <v>2085.3202696378053</v>
      </c>
      <c r="AM860" s="174"/>
      <c r="AN860" s="174"/>
      <c r="AO860" s="176">
        <v>8</v>
      </c>
      <c r="AP860" s="174">
        <v>15</v>
      </c>
      <c r="AQ860" s="175">
        <f>VLOOKUP(C860,$B$45:$AA$48,2,FALSE)</f>
        <v>53</v>
      </c>
      <c r="AR860" s="31">
        <f>IF(LEFT(E860,1)*1=1,$S$52,$R$52)</f>
        <v>0</v>
      </c>
      <c r="AS860" s="2">
        <f>IF(LEFT(E860,1)*1=2,$U$52,$T$52)</f>
        <v>0</v>
      </c>
      <c r="AT860" s="33">
        <f>IF(LEFT(E860,1)*1=3,$W$52,$V$52)</f>
        <v>0</v>
      </c>
      <c r="AU860" s="31">
        <f>IF(MID(E860,3,1)*1=1,$Y$52,$X$52)</f>
        <v>0</v>
      </c>
      <c r="AV860" s="2">
        <f>IF(MID(E860,3,1)*1=2,$AA$52,$Z$52)</f>
        <v>1</v>
      </c>
      <c r="AW860" s="33">
        <f>IF(MID(E860,3,1)*1=3,$AC$52,$AB$52)</f>
        <v>1</v>
      </c>
      <c r="AX860" s="31">
        <f>IF(MID(E860,5,1)*1=1,$AE$52,$AD$52)</f>
        <v>0</v>
      </c>
      <c r="AY860" s="33">
        <f>IF(MID(E860,5,1)*1=2,$AG$52,$AF$52)</f>
        <v>1</v>
      </c>
      <c r="AZ860" s="2"/>
      <c r="BA860" s="101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</row>
    <row r="861" spans="1:71" ht="12" customHeight="1">
      <c r="A861" s="2"/>
      <c r="B861" s="107">
        <v>834</v>
      </c>
      <c r="C861" s="31">
        <v>4</v>
      </c>
      <c r="D861" s="113" t="s">
        <v>12</v>
      </c>
      <c r="E861" s="2" t="s">
        <v>67</v>
      </c>
      <c r="F861" s="2"/>
      <c r="G861" s="2"/>
      <c r="H861" s="33"/>
      <c r="I861" s="173">
        <f>M861/AE861</f>
        <v>338.35582149781465</v>
      </c>
      <c r="J861" s="174">
        <f>AH861/AE861</f>
        <v>8.3114645752849956</v>
      </c>
      <c r="K861" s="207">
        <f>RANK(I861,$I$76:$I$977)</f>
        <v>786</v>
      </c>
      <c r="L861" s="208" t="e">
        <f>RANK(I861,$I$867:$I$977)</f>
        <v>#N/A</v>
      </c>
      <c r="M861" s="173">
        <f>SUM(N861:R861)*(1+$D$22/100)</f>
        <v>8101.1965903441642</v>
      </c>
      <c r="N861" s="174">
        <f>T861*(1+((AG861+IF(F861="백어택",8,0))/100)*(AI861/100-1))</f>
        <v>7299.1854504429348</v>
      </c>
      <c r="O861" s="174">
        <f>U861*(1+($D$57/100)*(AI861/100-1))</f>
        <v>0</v>
      </c>
      <c r="P861" s="174"/>
      <c r="Q861" s="174"/>
      <c r="R861" s="175">
        <f>X861*(1+($D$57/100)*(AI861/100-1))</f>
        <v>0</v>
      </c>
      <c r="S861" s="173">
        <f>SUM(T861:X861)</f>
        <v>6133.7022792548778</v>
      </c>
      <c r="T861" s="174">
        <f>AL861*AU861*AW861</f>
        <v>6133.7022792548778</v>
      </c>
      <c r="U861" s="174">
        <f>AL861*AU861*AW861*AX861</f>
        <v>0</v>
      </c>
      <c r="V861" s="174"/>
      <c r="W861" s="174"/>
      <c r="X861" s="175">
        <f>AL861*AY861</f>
        <v>0</v>
      </c>
      <c r="Y861" s="173">
        <f>SUM(Z861:AD861)</f>
        <v>12267.404558509756</v>
      </c>
      <c r="Z861" s="174">
        <f>T861*$D$58/100</f>
        <v>12267.404558509756</v>
      </c>
      <c r="AA861" s="174">
        <f>U861*$D$58/100</f>
        <v>0</v>
      </c>
      <c r="AB861" s="174"/>
      <c r="AC861" s="174"/>
      <c r="AD861" s="175">
        <f>X861*$D$58/100</f>
        <v>0</v>
      </c>
      <c r="AE861" s="173">
        <f>AO861*(1-$D$17/100)</f>
        <v>23.942831999999999</v>
      </c>
      <c r="AF861" s="174">
        <f>AP861</f>
        <v>36</v>
      </c>
      <c r="AG861" s="174">
        <f>IF($D$57+AV861&gt;100,100,$D$57+AV861)</f>
        <v>19.001300000000001</v>
      </c>
      <c r="AH861" s="174">
        <f>AQ861</f>
        <v>199</v>
      </c>
      <c r="AI861" s="174">
        <f>$D$58</f>
        <v>200</v>
      </c>
      <c r="AJ861" s="174">
        <f>10/7</f>
        <v>1.4285714285714286</v>
      </c>
      <c r="AK861" s="174">
        <f>SUM(AL861:AN861)</f>
        <v>6133.7022792548778</v>
      </c>
      <c r="AL861" s="174">
        <f>(VLOOKUP(C861,$B$36:$AG$39,16,FALSE)+VLOOKUP(C861,$B$40:$AG$43,16,FALSE)*$D$54)*$D$59/100</f>
        <v>6133.7022792548778</v>
      </c>
      <c r="AM861" s="174"/>
      <c r="AN861" s="174"/>
      <c r="AO861" s="176">
        <v>24</v>
      </c>
      <c r="AP861" s="174">
        <v>36</v>
      </c>
      <c r="AQ861" s="175">
        <f>VLOOKUP(C861,$B$45:$AA$48,16,FALSE)</f>
        <v>199</v>
      </c>
      <c r="AR861" s="31">
        <f>IF(LEFT(E861,1)*1=1,$S$62,$R$62)</f>
        <v>0</v>
      </c>
      <c r="AS861" s="2">
        <f>IF(LEFT(E861,1)*1=2,$U$62,$T$62)</f>
        <v>0</v>
      </c>
      <c r="AT861" s="33">
        <f>IF(LEFT(E861,1)*1=3,$W$62,$V$62)</f>
        <v>0</v>
      </c>
      <c r="AU861" s="31">
        <f>IF(MID(E861,3,1)*1=1,$Y$62,$X$62)</f>
        <v>1</v>
      </c>
      <c r="AV861" s="2">
        <f>IF(MID(E861,3,1)*1=2,$AA$62,$Z$62)</f>
        <v>0</v>
      </c>
      <c r="AW861" s="33">
        <f>IF(MID(E861,3,1)*1=3,$AC$62,$AB$62)</f>
        <v>1</v>
      </c>
      <c r="AX861" s="31">
        <f>IF(MID(E861,5,1)*1=1,$AE$62,$AD$62)</f>
        <v>0</v>
      </c>
      <c r="AY861" s="33">
        <f>IF(MID(E861,5,1)*1=2,$AG$62,$AF$62)</f>
        <v>0</v>
      </c>
      <c r="AZ861" s="2"/>
      <c r="BA861" s="101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</row>
    <row r="862" spans="1:71" ht="12" customHeight="1">
      <c r="A862" s="2"/>
      <c r="B862" s="107">
        <v>41</v>
      </c>
      <c r="C862" s="31">
        <v>4</v>
      </c>
      <c r="D862" s="106" t="s">
        <v>3</v>
      </c>
      <c r="E862" s="2" t="s">
        <v>67</v>
      </c>
      <c r="F862" s="2"/>
      <c r="G862" s="2"/>
      <c r="H862" s="33"/>
      <c r="I862" s="173">
        <f>M862/AE862</f>
        <v>338.32544429050762</v>
      </c>
      <c r="J862" s="174">
        <f>AH862/AE862</f>
        <v>15.035815312073359</v>
      </c>
      <c r="K862" s="207">
        <f>RANK(I862,$I$76:$I$977)</f>
        <v>787</v>
      </c>
      <c r="L862" s="208" t="e">
        <f>RANK(I862,$I$76:$I$450)</f>
        <v>#N/A</v>
      </c>
      <c r="M862" s="173">
        <f>SUM(N862:R862)</f>
        <v>2025.1173184932456</v>
      </c>
      <c r="N862" s="174">
        <f>T862*(1+((AG862+IF(F862="백어택",8,0))/100)*((AI862/100-1)))</f>
        <v>2025.1173184932456</v>
      </c>
      <c r="O862" s="174"/>
      <c r="P862" s="174"/>
      <c r="Q862" s="174"/>
      <c r="R862" s="175">
        <f>X862*(1+(AG862/100)*(AI862/100-1))</f>
        <v>0</v>
      </c>
      <c r="S862" s="173">
        <f>SUM(T862:X862)</f>
        <v>1533.7354224487808</v>
      </c>
      <c r="T862" s="174">
        <f>AL862*AU862*AV862*AW862*AX862</f>
        <v>1533.7354224487808</v>
      </c>
      <c r="U862" s="174"/>
      <c r="V862" s="174"/>
      <c r="W862" s="174"/>
      <c r="X862" s="175">
        <f>AL862*AU862*AV862*IF(AW862=1,1,0.25)*AX862*AY862</f>
        <v>0</v>
      </c>
      <c r="Y862" s="173">
        <f>SUM(Z862:AD862)</f>
        <v>3067.4708448975616</v>
      </c>
      <c r="Z862" s="174">
        <f>T862*$D$58/100</f>
        <v>3067.4708448975616</v>
      </c>
      <c r="AA862" s="174"/>
      <c r="AB862" s="174"/>
      <c r="AC862" s="174"/>
      <c r="AD862" s="175">
        <f>X862*$D$58/100</f>
        <v>0</v>
      </c>
      <c r="AE862" s="173">
        <f>IF(AV862=1,AO862*(1-$D$17/100),AO862*(1-$D$17/100)+6)</f>
        <v>5.9857079999999998</v>
      </c>
      <c r="AF862" s="174">
        <f>AP862</f>
        <v>36</v>
      </c>
      <c r="AG862" s="174">
        <f>IF($D$57&gt;100,100,$D$57)</f>
        <v>19.001300000000001</v>
      </c>
      <c r="AH862" s="174">
        <f>AQ862</f>
        <v>90</v>
      </c>
      <c r="AI862" s="174">
        <f>$D$58+$D$19</f>
        <v>268.61079999999998</v>
      </c>
      <c r="AJ862" s="174">
        <f>10/13</f>
        <v>0.76923076923076927</v>
      </c>
      <c r="AK862" s="174">
        <f>SUM(AL862:AN862)</f>
        <v>1533.7354224487808</v>
      </c>
      <c r="AL862" s="174">
        <f>(VLOOKUP(C862,$B$36:$AG$39,3,FALSE)+VLOOKUP(C862,$B$40:$AG$43,3,FALSE)*$D$54)*$D$59/100</f>
        <v>1533.7354224487808</v>
      </c>
      <c r="AM862" s="174"/>
      <c r="AN862" s="174"/>
      <c r="AO862" s="176">
        <v>6</v>
      </c>
      <c r="AP862" s="174">
        <v>36</v>
      </c>
      <c r="AQ862" s="175">
        <f>VLOOKUP(C862,$B$45:$AA$48,3,FALSE)</f>
        <v>90</v>
      </c>
      <c r="AR862" s="31">
        <f>IF(LEFT(E862,1)*1=1,$S$53,$R$53)</f>
        <v>0</v>
      </c>
      <c r="AS862" s="2">
        <f>IF(LEFT(E862,1)*1=2,$U$53,$T$53)</f>
        <v>0</v>
      </c>
      <c r="AT862" s="33">
        <f>IF(LEFT(E862,1)*1=3,$W$53,$V$53)</f>
        <v>0</v>
      </c>
      <c r="AU862" s="31">
        <f>IF(MID(E862,3,1)*1=1,$Y$53,$X$53)</f>
        <v>1</v>
      </c>
      <c r="AV862" s="2">
        <f>IF(MID(E862,3,1)*1=2,$AA$53,$Z$53)</f>
        <v>1</v>
      </c>
      <c r="AW862" s="33">
        <f>IF(MID(E862,3,1)*1=3,$AC$53,$AB$53)</f>
        <v>1</v>
      </c>
      <c r="AX862" s="31">
        <f>IF(MID(E862,5,1)*1=1,$AE$53,$AD$53)</f>
        <v>1</v>
      </c>
      <c r="AY862" s="33">
        <f>IF(MID(E862,5,1)*1=2,$AG$53,$AF$53)</f>
        <v>0</v>
      </c>
      <c r="AZ862" s="2"/>
      <c r="BA862" s="101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</row>
    <row r="863" spans="1:71" ht="12" customHeight="1">
      <c r="A863" s="2"/>
      <c r="B863" s="107">
        <v>820</v>
      </c>
      <c r="C863" s="31">
        <v>4</v>
      </c>
      <c r="D863" s="113" t="s">
        <v>9</v>
      </c>
      <c r="E863" s="2" t="s">
        <v>79</v>
      </c>
      <c r="F863" s="2"/>
      <c r="G863" s="2"/>
      <c r="H863" s="33"/>
      <c r="I863" s="173">
        <f>M863/AE863</f>
        <v>336.7418606492609</v>
      </c>
      <c r="J863" s="174">
        <f>AH863/AE863</f>
        <v>7.0167138123009005</v>
      </c>
      <c r="K863" s="207">
        <f>RANK(I863,$I$76:$I$977)</f>
        <v>788</v>
      </c>
      <c r="L863" s="208" t="e">
        <f>RANK(I863,$I$867:$I$977)</f>
        <v>#N/A</v>
      </c>
      <c r="M863" s="173">
        <f>SUM(N863:R863)*(1+$D$22/100)</f>
        <v>12093.830695338997</v>
      </c>
      <c r="N863" s="174">
        <f>T863*(1+((AG863+IF(F863="백어택",8,0))/100)*(AI863/100-1))</f>
        <v>7266.5896162145273</v>
      </c>
      <c r="O863" s="174">
        <f>U863*(1+($D$57/100)*(AI863/100-1))</f>
        <v>1814.9813858536318</v>
      </c>
      <c r="P863" s="174"/>
      <c r="Q863" s="174"/>
      <c r="R863" s="175">
        <f>X863*(1+($D$57/100)*(AI863/100-1))</f>
        <v>1814.9813858536318</v>
      </c>
      <c r="S863" s="173">
        <f>SUM(T863:X863)</f>
        <v>9156.6666817268306</v>
      </c>
      <c r="T863" s="174">
        <f>AL863*AU863*AY863</f>
        <v>6106.3111211512205</v>
      </c>
      <c r="U863" s="174">
        <f>AM863*AX863</f>
        <v>1525.177780287805</v>
      </c>
      <c r="V863" s="174"/>
      <c r="W863" s="174"/>
      <c r="X863" s="175">
        <f>AM863*AS863</f>
        <v>1525.177780287805</v>
      </c>
      <c r="Y863" s="173">
        <f>SUM(Z863:AD863)</f>
        <v>18313.333363453661</v>
      </c>
      <c r="Z863" s="174">
        <f>T863*$D$58/100</f>
        <v>12212.622242302441</v>
      </c>
      <c r="AA863" s="174">
        <f>U863*$D$58/100</f>
        <v>3050.3555605756101</v>
      </c>
      <c r="AB863" s="174"/>
      <c r="AC863" s="174"/>
      <c r="AD863" s="175">
        <f>X863*$D$58/100</f>
        <v>3050.3555605756101</v>
      </c>
      <c r="AE863" s="173">
        <f>AO863*(1-$D$17/100)</f>
        <v>35.914248000000001</v>
      </c>
      <c r="AF863" s="174">
        <f>AP863</f>
        <v>36</v>
      </c>
      <c r="AG863" s="174">
        <f>IF($D$57+AW863&gt;100,100,$D$57+AW863)</f>
        <v>19.001300000000001</v>
      </c>
      <c r="AH863" s="174">
        <f>AQ863</f>
        <v>252</v>
      </c>
      <c r="AI863" s="174">
        <f>$D$58</f>
        <v>200</v>
      </c>
      <c r="AJ863" s="174">
        <f>10/(6+AT863)</f>
        <v>1.6666666666666667</v>
      </c>
      <c r="AK863" s="174">
        <f>SUM(AL863:AN863)</f>
        <v>7631.4889014390255</v>
      </c>
      <c r="AL863" s="174">
        <f>(VLOOKUP(C863,$B$36:$AG$39,11,FALSE)+VLOOKUP(C863,$B$40:$AG$43,11,FALSE)*$D$54)*$D$59/100</f>
        <v>6106.3111211512205</v>
      </c>
      <c r="AM863" s="174">
        <f>(3*(VLOOKUP(C863,$B$36:$AG$39,12,FALSE)+VLOOKUP(C863,$B$40:$AG$43,12,FALSE)*$D$54))*$D$59/100</f>
        <v>1525.177780287805</v>
      </c>
      <c r="AN863" s="174"/>
      <c r="AO863" s="176">
        <v>36</v>
      </c>
      <c r="AP863" s="174">
        <v>36</v>
      </c>
      <c r="AQ863" s="175">
        <f>VLOOKUP(C863,$B$45:$AA$48,11,FALSE)</f>
        <v>252</v>
      </c>
      <c r="AR863" s="31">
        <f>IF(LEFT(E863,1)*1=1,$S$59,$R$59)</f>
        <v>0</v>
      </c>
      <c r="AS863" s="2">
        <f>IF(LEFT(E863,1)*1=2,$U$59,$T$59)</f>
        <v>1</v>
      </c>
      <c r="AT863" s="33">
        <f>IF(LEFT(E863,1)*1=3,$W$59,$V$59)</f>
        <v>0</v>
      </c>
      <c r="AU863" s="31">
        <f>IF(MID(E863,3,1)*1=1,$Y$59,$X$59)</f>
        <v>1</v>
      </c>
      <c r="AV863" s="2">
        <f>IF(MID(E863,3,1)*1=2,$AA$59,$Z$59)</f>
        <v>0</v>
      </c>
      <c r="AW863" s="33">
        <f>IF(MID(E863,3,1)*1=3,$AC$59,$AB$59)</f>
        <v>0</v>
      </c>
      <c r="AX863" s="31">
        <f>IF(MID(E863,5,1)*1=1,$AE$59,$AD$59)</f>
        <v>1</v>
      </c>
      <c r="AY863" s="33">
        <f>IF(MID(E863,5,1)*1=2,$AG$59,$AF$59)</f>
        <v>1</v>
      </c>
      <c r="AZ863" s="2"/>
      <c r="BA863" s="101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</row>
    <row r="864" spans="1:71" ht="12" customHeight="1">
      <c r="A864" s="2"/>
      <c r="B864" s="107">
        <v>261</v>
      </c>
      <c r="C864" s="31">
        <v>10</v>
      </c>
      <c r="D864" s="106" t="s">
        <v>16</v>
      </c>
      <c r="E864" s="2" t="s">
        <v>150</v>
      </c>
      <c r="F864" s="2"/>
      <c r="G864" s="2"/>
      <c r="H864" s="33">
        <f>AX864*2</f>
        <v>3</v>
      </c>
      <c r="I864" s="173">
        <f>M864/AE864</f>
        <v>335.39583407664884</v>
      </c>
      <c r="J864" s="174">
        <f>AH864/AE864</f>
        <v>19.630092212984664</v>
      </c>
      <c r="K864" s="207">
        <f>RANK(I864,$I$76:$I$977)</f>
        <v>789</v>
      </c>
      <c r="L864" s="208" t="e">
        <f>RANK(I864,$I$76:$I$450)</f>
        <v>#N/A</v>
      </c>
      <c r="M864" s="173">
        <f>SUM(N864:R864)</f>
        <v>2007.5815271992697</v>
      </c>
      <c r="N864" s="174">
        <f>T864*(1+((AG864+IF(F864="백어택",8,0))/100)*((AI864/100-1)))</f>
        <v>2007.5815271992697</v>
      </c>
      <c r="O864" s="174"/>
      <c r="P864" s="174"/>
      <c r="Q864" s="174"/>
      <c r="R864" s="175"/>
      <c r="S864" s="173">
        <f>SUM(T864:X864)*H864</f>
        <v>4561.3637396725617</v>
      </c>
      <c r="T864" s="174">
        <f>AL864*AU864*AX864*IF(F864="백어택",1.2,1)</f>
        <v>1520.4545798908539</v>
      </c>
      <c r="U864" s="174"/>
      <c r="V864" s="174"/>
      <c r="W864" s="174"/>
      <c r="X864" s="175"/>
      <c r="Y864" s="173">
        <f>SUM(Z864:AD864)</f>
        <v>3040.9091597817078</v>
      </c>
      <c r="Z864" s="174">
        <f>T864*$D$58/100</f>
        <v>3040.9091597817078</v>
      </c>
      <c r="AA864" s="174"/>
      <c r="AB864" s="174"/>
      <c r="AC864" s="174"/>
      <c r="AD864" s="175"/>
      <c r="AE864" s="173">
        <f>AO864*(1-$D$17/100)</f>
        <v>5.9857079999999998</v>
      </c>
      <c r="AF864" s="174">
        <f>AP864</f>
        <v>36</v>
      </c>
      <c r="AG864" s="174">
        <f>IF($D$57+AT864&gt;100,100,$D$57+AT864)</f>
        <v>19.001300000000001</v>
      </c>
      <c r="AH864" s="174">
        <f>AQ864*AR864</f>
        <v>117.5</v>
      </c>
      <c r="AI864" s="174">
        <f>$D$58+$D$19</f>
        <v>268.61079999999998</v>
      </c>
      <c r="AJ864" s="174">
        <f>10*AS864/IF(AX864=1,5,3.5)</f>
        <v>2.8571428571428572</v>
      </c>
      <c r="AK864" s="174">
        <f>SUM(AL864:AN864)</f>
        <v>1013.6363865939026</v>
      </c>
      <c r="AL864" s="174">
        <f>((VLOOKUP(C864,$B$36:$AG$39,23,FALSE)+VLOOKUP(C864,$B$40:$AG$43,23,FALSE)*$D$54))*$D$59/100</f>
        <v>1013.6363865939026</v>
      </c>
      <c r="AM864" s="174"/>
      <c r="AN864" s="174"/>
      <c r="AO864" s="176">
        <v>6</v>
      </c>
      <c r="AP864" s="174">
        <v>36</v>
      </c>
      <c r="AQ864" s="175">
        <f>VLOOKUP(C864,$B$45:$AA$48,23,FALSE)</f>
        <v>235</v>
      </c>
      <c r="AR864" s="31">
        <f>IF(LEFT(E864,1)*1=1,$S$66,$R$66)</f>
        <v>0.5</v>
      </c>
      <c r="AS864" s="2">
        <f>IF(LEFT(E864,1)*1=2,$U$66,$T$66)</f>
        <v>1</v>
      </c>
      <c r="AT864" s="33">
        <f>IF(LEFT(E864,1)*1=3,$W$66,$V$66)</f>
        <v>0</v>
      </c>
      <c r="AU864" s="31">
        <f>IF(MID(E864,3,1)*1=1,$Y$66,$X$66)</f>
        <v>1</v>
      </c>
      <c r="AV864" s="2">
        <f>IF(MID(E864,3,1)*1=2,$AA$66,$Z$66)</f>
        <v>0</v>
      </c>
      <c r="AW864" s="33">
        <f>IF(MID(E864,3,1)*1=3,$AC$66,$AB$66)</f>
        <v>0</v>
      </c>
      <c r="AX864" s="31">
        <f>IF(MID(E864,5,1)*1=1,$AE$66,$AD$66)</f>
        <v>1.5</v>
      </c>
      <c r="AY864" s="33">
        <f>IF(MID(E864,5,1)*1=2,$AG$66,$AF$66)</f>
        <v>1</v>
      </c>
      <c r="AZ864" s="2"/>
      <c r="BA864" s="101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</row>
    <row r="865" spans="1:71" ht="12" customHeight="1">
      <c r="A865" s="2"/>
      <c r="B865" s="107">
        <v>263</v>
      </c>
      <c r="C865" s="31">
        <v>10</v>
      </c>
      <c r="D865" s="106" t="s">
        <v>16</v>
      </c>
      <c r="E865" s="2" t="s">
        <v>161</v>
      </c>
      <c r="F865" s="2"/>
      <c r="G865" s="2"/>
      <c r="H865" s="33">
        <f>AX865*2</f>
        <v>3</v>
      </c>
      <c r="I865" s="173">
        <f>M865/AE865</f>
        <v>335.39583407664884</v>
      </c>
      <c r="J865" s="174">
        <f>AH865/AE865</f>
        <v>39.260184425969328</v>
      </c>
      <c r="K865" s="207">
        <f>RANK(I865,$I$76:$I$977)</f>
        <v>789</v>
      </c>
      <c r="L865" s="208" t="e">
        <f>RANK(I865,$I$76:$I$450)</f>
        <v>#N/A</v>
      </c>
      <c r="M865" s="173">
        <f>SUM(N865:R865)</f>
        <v>2007.5815271992697</v>
      </c>
      <c r="N865" s="174">
        <f>T865*(1+((AG865+IF(F865="백어택",8,0))/100)*((AI865/100-1)))</f>
        <v>2007.5815271992697</v>
      </c>
      <c r="O865" s="174"/>
      <c r="P865" s="174"/>
      <c r="Q865" s="174"/>
      <c r="R865" s="175"/>
      <c r="S865" s="173">
        <f>SUM(T865:X865)*H865</f>
        <v>4561.3637396725617</v>
      </c>
      <c r="T865" s="174">
        <f>AL865*AU865*AX865*IF(F865="백어택",1.2,1)</f>
        <v>1520.4545798908539</v>
      </c>
      <c r="U865" s="174"/>
      <c r="V865" s="174"/>
      <c r="W865" s="174"/>
      <c r="X865" s="175"/>
      <c r="Y865" s="173">
        <f>SUM(Z865:AD865)</f>
        <v>3040.9091597817078</v>
      </c>
      <c r="Z865" s="174">
        <f>T865*$D$58/100</f>
        <v>3040.9091597817078</v>
      </c>
      <c r="AA865" s="174"/>
      <c r="AB865" s="174"/>
      <c r="AC865" s="174"/>
      <c r="AD865" s="175"/>
      <c r="AE865" s="173">
        <f>AO865*(1-$D$17/100)</f>
        <v>5.9857079999999998</v>
      </c>
      <c r="AF865" s="174">
        <f>AP865</f>
        <v>36</v>
      </c>
      <c r="AG865" s="174">
        <f>IF($D$57+AT865&gt;100,100,$D$57+AT865)</f>
        <v>19.001300000000001</v>
      </c>
      <c r="AH865" s="174">
        <f>AQ865*AR865</f>
        <v>235</v>
      </c>
      <c r="AI865" s="174">
        <f>$D$58+$D$19</f>
        <v>268.61079999999998</v>
      </c>
      <c r="AJ865" s="174">
        <f>10*AS865/IF(AX865=1,5,3.5)</f>
        <v>2.5714285714285716</v>
      </c>
      <c r="AK865" s="174">
        <f>SUM(AL865:AN865)</f>
        <v>1013.6363865939026</v>
      </c>
      <c r="AL865" s="174">
        <f>((VLOOKUP(C865,$B$36:$AG$39,23,FALSE)+VLOOKUP(C865,$B$40:$AG$43,23,FALSE)*$D$54))*$D$59/100</f>
        <v>1013.6363865939026</v>
      </c>
      <c r="AM865" s="174"/>
      <c r="AN865" s="174"/>
      <c r="AO865" s="176">
        <v>6</v>
      </c>
      <c r="AP865" s="174">
        <v>36</v>
      </c>
      <c r="AQ865" s="175">
        <f>VLOOKUP(C865,$B$45:$AA$48,23,FALSE)</f>
        <v>235</v>
      </c>
      <c r="AR865" s="31">
        <f>IF(LEFT(E865,1)*1=1,$S$66,$R$66)</f>
        <v>1</v>
      </c>
      <c r="AS865" s="2">
        <f>IF(LEFT(E865,1)*1=2,$U$66,$T$66)</f>
        <v>0.9</v>
      </c>
      <c r="AT865" s="33">
        <f>IF(LEFT(E865,1)*1=3,$W$66,$V$66)</f>
        <v>0</v>
      </c>
      <c r="AU865" s="31">
        <f>IF(MID(E865,3,1)*1=1,$Y$66,$X$66)</f>
        <v>1</v>
      </c>
      <c r="AV865" s="2">
        <f>IF(MID(E865,3,1)*1=2,$AA$66,$Z$66)</f>
        <v>0</v>
      </c>
      <c r="AW865" s="33">
        <f>IF(MID(E865,3,1)*1=3,$AC$66,$AB$66)</f>
        <v>0</v>
      </c>
      <c r="AX865" s="31">
        <f>IF(MID(E865,5,1)*1=1,$AE$66,$AD$66)</f>
        <v>1.5</v>
      </c>
      <c r="AY865" s="33">
        <f>IF(MID(E865,5,1)*1=2,$AG$66,$AF$66)</f>
        <v>1</v>
      </c>
      <c r="AZ865" s="2"/>
      <c r="BA865" s="101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</row>
    <row r="866" spans="1:71" ht="12" customHeight="1">
      <c r="A866" s="2"/>
      <c r="B866" s="107">
        <v>267</v>
      </c>
      <c r="C866" s="31">
        <v>10</v>
      </c>
      <c r="D866" s="106" t="s">
        <v>16</v>
      </c>
      <c r="E866" s="2" t="s">
        <v>151</v>
      </c>
      <c r="F866" s="2"/>
      <c r="G866" s="2"/>
      <c r="H866" s="33">
        <f>AX866*2</f>
        <v>2</v>
      </c>
      <c r="I866" s="173">
        <f>M866/AE866</f>
        <v>335.39583407664884</v>
      </c>
      <c r="J866" s="174">
        <f>AH866/AE866</f>
        <v>19.630092212984664</v>
      </c>
      <c r="K866" s="207">
        <f>RANK(I866,$I$76:$I$977)</f>
        <v>789</v>
      </c>
      <c r="L866" s="208" t="e">
        <f>RANK(I866,$I$76:$I$450)</f>
        <v>#N/A</v>
      </c>
      <c r="M866" s="173">
        <f>SUM(N866:R866)</f>
        <v>2007.5815271992697</v>
      </c>
      <c r="N866" s="174">
        <f>T866*(1+((AG866+IF(F866="백어택",8,0))/100)*((AI866/100-1)))</f>
        <v>2007.5815271992697</v>
      </c>
      <c r="O866" s="174"/>
      <c r="P866" s="174"/>
      <c r="Q866" s="174"/>
      <c r="R866" s="175"/>
      <c r="S866" s="173">
        <f>SUM(T866:X866)*H866</f>
        <v>3040.9091597817078</v>
      </c>
      <c r="T866" s="174">
        <f>AL866*AU866*AY866*IF(F866="백어택",1.2,1)</f>
        <v>1520.4545798908539</v>
      </c>
      <c r="U866" s="174"/>
      <c r="V866" s="174"/>
      <c r="W866" s="174"/>
      <c r="X866" s="175"/>
      <c r="Y866" s="173">
        <f>SUM(Z866:AD866)</f>
        <v>3040.9091597817078</v>
      </c>
      <c r="Z866" s="174">
        <f>T866*$D$58/100</f>
        <v>3040.9091597817078</v>
      </c>
      <c r="AA866" s="174"/>
      <c r="AB866" s="174"/>
      <c r="AC866" s="174"/>
      <c r="AD866" s="175"/>
      <c r="AE866" s="173">
        <f>AO866*(1-$D$17/100)</f>
        <v>5.9857079999999998</v>
      </c>
      <c r="AF866" s="174">
        <f>AP866</f>
        <v>36</v>
      </c>
      <c r="AG866" s="174">
        <f>IF($D$57+AT866&gt;100,100,$D$57+AT866)</f>
        <v>19.001300000000001</v>
      </c>
      <c r="AH866" s="174">
        <f>AQ866*AR866</f>
        <v>117.5</v>
      </c>
      <c r="AI866" s="174">
        <f>$D$58+$D$19</f>
        <v>268.61079999999998</v>
      </c>
      <c r="AJ866" s="174">
        <f>10*AS866/IF(AX866=1,5,3.5)</f>
        <v>2</v>
      </c>
      <c r="AK866" s="174">
        <f>SUM(AL866:AN866)</f>
        <v>1013.6363865939026</v>
      </c>
      <c r="AL866" s="174">
        <f>((VLOOKUP(C866,$B$36:$AG$39,23,FALSE)+VLOOKUP(C866,$B$40:$AG$43,23,FALSE)*$D$54))*$D$59/100</f>
        <v>1013.6363865939026</v>
      </c>
      <c r="AM866" s="174"/>
      <c r="AN866" s="174"/>
      <c r="AO866" s="176">
        <v>6</v>
      </c>
      <c r="AP866" s="174">
        <v>36</v>
      </c>
      <c r="AQ866" s="175">
        <f>VLOOKUP(C866,$B$45:$AA$48,23,FALSE)</f>
        <v>235</v>
      </c>
      <c r="AR866" s="31">
        <f>IF(LEFT(E866,1)*1=1,$S$66,$R$66)</f>
        <v>0.5</v>
      </c>
      <c r="AS866" s="2">
        <f>IF(LEFT(E866,1)*1=2,$U$66,$T$66)</f>
        <v>1</v>
      </c>
      <c r="AT866" s="33">
        <f>IF(LEFT(E866,1)*1=3,$W$66,$V$66)</f>
        <v>0</v>
      </c>
      <c r="AU866" s="31">
        <f>IF(MID(E866,3,1)*1=1,$Y$66,$X$66)</f>
        <v>1</v>
      </c>
      <c r="AV866" s="2">
        <f>IF(MID(E866,3,1)*1=2,$AA$66,$Z$66)</f>
        <v>0</v>
      </c>
      <c r="AW866" s="33">
        <f>IF(MID(E866,3,1)*1=3,$AC$66,$AB$66)</f>
        <v>0</v>
      </c>
      <c r="AX866" s="31">
        <f>IF(MID(E866,5,1)*1=1,$AE$66,$AD$66)</f>
        <v>1</v>
      </c>
      <c r="AY866" s="33">
        <f>IF(MID(E866,5,1)*1=2,$AG$66,$AF$66)</f>
        <v>1.5</v>
      </c>
      <c r="AZ866" s="2"/>
      <c r="BA866" s="101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</row>
    <row r="867" spans="1:71" ht="12" customHeight="1">
      <c r="A867" s="2"/>
      <c r="B867" s="107">
        <v>269</v>
      </c>
      <c r="C867" s="31">
        <v>10</v>
      </c>
      <c r="D867" s="106" t="s">
        <v>16</v>
      </c>
      <c r="E867" s="2" t="s">
        <v>99</v>
      </c>
      <c r="F867" s="2"/>
      <c r="G867" s="2"/>
      <c r="H867" s="33">
        <f>AX867*2</f>
        <v>2</v>
      </c>
      <c r="I867" s="173">
        <f>M867/AE867</f>
        <v>335.39583407664884</v>
      </c>
      <c r="J867" s="174">
        <f>AH867/AE867</f>
        <v>39.260184425969328</v>
      </c>
      <c r="K867" s="207">
        <f>RANK(I867,$I$76:$I$977)</f>
        <v>789</v>
      </c>
      <c r="L867" s="208" t="e">
        <f>RANK(I867,$I$76:$I$450)</f>
        <v>#N/A</v>
      </c>
      <c r="M867" s="173">
        <f>SUM(N867:R867)</f>
        <v>2007.5815271992697</v>
      </c>
      <c r="N867" s="174">
        <f>T867*(1+((AG867+IF(F867="백어택",8,0))/100)*((AI867/100-1)))</f>
        <v>2007.5815271992697</v>
      </c>
      <c r="O867" s="174"/>
      <c r="P867" s="174"/>
      <c r="Q867" s="174"/>
      <c r="R867" s="175"/>
      <c r="S867" s="173">
        <f>SUM(T867:X867)*H867</f>
        <v>3040.9091597817078</v>
      </c>
      <c r="T867" s="174">
        <f>AL867*AU867*AY867*IF(F867="백어택",1.2,1)</f>
        <v>1520.4545798908539</v>
      </c>
      <c r="U867" s="174"/>
      <c r="V867" s="174"/>
      <c r="W867" s="174"/>
      <c r="X867" s="175"/>
      <c r="Y867" s="173">
        <f>SUM(Z867:AD867)</f>
        <v>3040.9091597817078</v>
      </c>
      <c r="Z867" s="174">
        <f>T867*$D$58/100</f>
        <v>3040.9091597817078</v>
      </c>
      <c r="AA867" s="174"/>
      <c r="AB867" s="174"/>
      <c r="AC867" s="174"/>
      <c r="AD867" s="175"/>
      <c r="AE867" s="173">
        <f>AO867*(1-$D$17/100)</f>
        <v>5.9857079999999998</v>
      </c>
      <c r="AF867" s="174">
        <f>AP867</f>
        <v>36</v>
      </c>
      <c r="AG867" s="174">
        <f>IF($D$57+AT867&gt;100,100,$D$57+AT867)</f>
        <v>19.001300000000001</v>
      </c>
      <c r="AH867" s="174">
        <f>AQ867*AR867</f>
        <v>235</v>
      </c>
      <c r="AI867" s="174">
        <f>$D$58+$D$19</f>
        <v>268.61079999999998</v>
      </c>
      <c r="AJ867" s="174">
        <f>10*AS867/IF(AX867=1,5,3.5)</f>
        <v>1.8</v>
      </c>
      <c r="AK867" s="174">
        <f>SUM(AL867:AN867)</f>
        <v>1013.6363865939026</v>
      </c>
      <c r="AL867" s="174">
        <f>((VLOOKUP(C867,$B$36:$AG$39,23,FALSE)+VLOOKUP(C867,$B$40:$AG$43,23,FALSE)*$D$54))*$D$59/100</f>
        <v>1013.6363865939026</v>
      </c>
      <c r="AM867" s="174"/>
      <c r="AN867" s="174"/>
      <c r="AO867" s="176">
        <v>6</v>
      </c>
      <c r="AP867" s="174">
        <v>36</v>
      </c>
      <c r="AQ867" s="175">
        <f>VLOOKUP(C867,$B$45:$AA$48,23,FALSE)</f>
        <v>235</v>
      </c>
      <c r="AR867" s="31">
        <f>IF(LEFT(E867,1)*1=1,$S$66,$R$66)</f>
        <v>1</v>
      </c>
      <c r="AS867" s="2">
        <f>IF(LEFT(E867,1)*1=2,$U$66,$T$66)</f>
        <v>0.9</v>
      </c>
      <c r="AT867" s="33">
        <f>IF(LEFT(E867,1)*1=3,$W$66,$V$66)</f>
        <v>0</v>
      </c>
      <c r="AU867" s="31">
        <f>IF(MID(E867,3,1)*1=1,$Y$66,$X$66)</f>
        <v>1</v>
      </c>
      <c r="AV867" s="2">
        <f>IF(MID(E867,3,1)*1=2,$AA$66,$Z$66)</f>
        <v>0</v>
      </c>
      <c r="AW867" s="33">
        <f>IF(MID(E867,3,1)*1=3,$AC$66,$AB$66)</f>
        <v>0</v>
      </c>
      <c r="AX867" s="31">
        <f>IF(MID(E867,5,1)*1=1,$AE$66,$AD$66)</f>
        <v>1</v>
      </c>
      <c r="AY867" s="33">
        <f>IF(MID(E867,5,1)*1=2,$AG$66,$AF$66)</f>
        <v>1.5</v>
      </c>
      <c r="AZ867" s="2"/>
      <c r="BA867" s="101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</row>
    <row r="868" spans="1:71" ht="12" customHeight="1">
      <c r="A868" s="2"/>
      <c r="B868" s="107">
        <v>196</v>
      </c>
      <c r="C868" s="31">
        <v>10</v>
      </c>
      <c r="D868" s="106" t="s">
        <v>10</v>
      </c>
      <c r="E868" s="2" t="s">
        <v>92</v>
      </c>
      <c r="F868" s="2"/>
      <c r="G868" s="2"/>
      <c r="H868" s="33"/>
      <c r="I868" s="173">
        <f>M868/AE868</f>
        <v>334.9491409803947</v>
      </c>
      <c r="J868" s="174">
        <f>AH868/AE868</f>
        <v>25.811482952392598</v>
      </c>
      <c r="K868" s="207">
        <f>RANK(I868,$I$76:$I$977)</f>
        <v>793</v>
      </c>
      <c r="L868" s="208" t="e">
        <f>RANK(I868,$I$76:$I$450)</f>
        <v>#N/A</v>
      </c>
      <c r="M868" s="173">
        <f>SUM(N868:R868)</f>
        <v>5346.4206740252703</v>
      </c>
      <c r="N868" s="174">
        <f>T868*(1+((AG868+IF(F868="백어택",8,0))/100)*((AI868/100-1)))</f>
        <v>5346.4206740252703</v>
      </c>
      <c r="O868" s="174"/>
      <c r="P868" s="174"/>
      <c r="Q868" s="174"/>
      <c r="R868" s="175"/>
      <c r="S868" s="173">
        <f>SUM(T868:X868)</f>
        <v>4049.1455463756101</v>
      </c>
      <c r="T868" s="174">
        <f>AL868*AS868*AU868*AX868*IF(AY868=0,1,0.5)*IF(F868="백어택",1.2,1)</f>
        <v>4049.1455463756101</v>
      </c>
      <c r="U868" s="174"/>
      <c r="V868" s="174"/>
      <c r="W868" s="174"/>
      <c r="X868" s="175"/>
      <c r="Y868" s="173">
        <f>SUM(Z868:AD868)</f>
        <v>10876.442245283897</v>
      </c>
      <c r="Z868" s="174">
        <f>T868*AI868/100</f>
        <v>10876.442245283897</v>
      </c>
      <c r="AA868" s="174"/>
      <c r="AB868" s="174"/>
      <c r="AC868" s="174"/>
      <c r="AD868" s="175"/>
      <c r="AE868" s="173">
        <f>AO868*(1-$D$17/100)</f>
        <v>15.961888</v>
      </c>
      <c r="AF868" s="174">
        <f>AP868</f>
        <v>36</v>
      </c>
      <c r="AG868" s="174">
        <f>IF($D$57+AV868&gt;100,100,$D$57+AV868)</f>
        <v>19.001300000000001</v>
      </c>
      <c r="AH868" s="174">
        <f>AQ868</f>
        <v>412</v>
      </c>
      <c r="AI868" s="174">
        <f>$D$58+$D$19</f>
        <v>268.61079999999998</v>
      </c>
      <c r="AJ868" s="174">
        <f>10*AR868/(7-IF(AX868=1,0,3))</f>
        <v>1.4285714285714286</v>
      </c>
      <c r="AK868" s="174">
        <f>SUM(AL868:AN868)</f>
        <v>8098.2910927512203</v>
      </c>
      <c r="AL868" s="174">
        <f>(VLOOKUP(C868,$B$36:$AG$39,13,FALSE)+VLOOKUP(C868,$B$40:$AG$43,13,FALSE)*$D$54)*$D$59/100</f>
        <v>8098.2910927512203</v>
      </c>
      <c r="AM868" s="174"/>
      <c r="AN868" s="174"/>
      <c r="AO868" s="176">
        <v>16</v>
      </c>
      <c r="AP868" s="174">
        <v>36</v>
      </c>
      <c r="AQ868" s="175">
        <f>VLOOKUP(C868,$B$45:$AA$48,13,FALSE)</f>
        <v>412</v>
      </c>
      <c r="AR868" s="31">
        <f>IF(LEFT(E868,1)*1=1,$S$60,$R$60)</f>
        <v>1</v>
      </c>
      <c r="AS868" s="2">
        <f>IF(LEFT(E868,1)*1=2,$U$60,$T$60)</f>
        <v>1</v>
      </c>
      <c r="AT868" s="33">
        <f>IF(LEFT(E868,1)*1=3,$W$60,$V$60)</f>
        <v>0</v>
      </c>
      <c r="AU868" s="31">
        <f>IF(MID(E868,3,1)*1=1,$Y$60,$X$60)</f>
        <v>1</v>
      </c>
      <c r="AV868" s="2">
        <f>IF(MID(E868,3,1)*1=2,$AA$60,$Z$60)</f>
        <v>0</v>
      </c>
      <c r="AW868" s="33">
        <f>IF(MID(E868,3,1)*1=3,$AC$60,$AB$60)</f>
        <v>0</v>
      </c>
      <c r="AX868" s="31">
        <f>IF(MID(E868,5,1)*1=1,$AE$60,$AD$60)</f>
        <v>1</v>
      </c>
      <c r="AY868" s="33">
        <f>IF(MID(E868,5,1)*1=2,$AG$60,$AF$60)</f>
        <v>100</v>
      </c>
      <c r="AZ868" s="2"/>
      <c r="BA868" s="101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</row>
    <row r="869" spans="1:71" ht="12" customHeight="1">
      <c r="A869" s="2"/>
      <c r="B869" s="107">
        <v>199</v>
      </c>
      <c r="C869" s="31">
        <v>10</v>
      </c>
      <c r="D869" s="106" t="s">
        <v>10</v>
      </c>
      <c r="E869" s="2" t="s">
        <v>151</v>
      </c>
      <c r="F869" s="2"/>
      <c r="G869" s="2"/>
      <c r="H869" s="33"/>
      <c r="I869" s="173">
        <f>M869/AE869</f>
        <v>334.9491409803947</v>
      </c>
      <c r="J869" s="174">
        <f>AH869/AE869</f>
        <v>25.811482952392598</v>
      </c>
      <c r="K869" s="207">
        <f>RANK(I869,$I$76:$I$977)</f>
        <v>793</v>
      </c>
      <c r="L869" s="208" t="e">
        <f>RANK(I869,$I$76:$I$450)</f>
        <v>#N/A</v>
      </c>
      <c r="M869" s="173">
        <f>SUM(N869:R869)</f>
        <v>5346.4206740252703</v>
      </c>
      <c r="N869" s="174">
        <f>T869*(1+((AG869+IF(F869="백어택",8,0))/100)*((AI869/100-1)))</f>
        <v>5346.4206740252703</v>
      </c>
      <c r="O869" s="174"/>
      <c r="P869" s="174"/>
      <c r="Q869" s="174"/>
      <c r="R869" s="175"/>
      <c r="S869" s="173">
        <f>SUM(T869:X869)</f>
        <v>4049.1455463756101</v>
      </c>
      <c r="T869" s="174">
        <f>AL869*AS869*AU869*AX869*IF(AY869=0,1,0.5)*IF(F869="백어택",1.2,1)</f>
        <v>4049.1455463756101</v>
      </c>
      <c r="U869" s="174"/>
      <c r="V869" s="174"/>
      <c r="W869" s="174"/>
      <c r="X869" s="175"/>
      <c r="Y869" s="173">
        <f>SUM(Z869:AD869)</f>
        <v>10876.442245283897</v>
      </c>
      <c r="Z869" s="174">
        <f>T869*AI869/100</f>
        <v>10876.442245283897</v>
      </c>
      <c r="AA869" s="174"/>
      <c r="AB869" s="174"/>
      <c r="AC869" s="174"/>
      <c r="AD869" s="175"/>
      <c r="AE869" s="173">
        <f>AO869*(1-$D$17/100)</f>
        <v>15.961888</v>
      </c>
      <c r="AF869" s="174">
        <f>AP869</f>
        <v>36</v>
      </c>
      <c r="AG869" s="174">
        <f>IF($D$57+AV869&gt;100,100,$D$57+AV869)</f>
        <v>19.001300000000001</v>
      </c>
      <c r="AH869" s="174">
        <f>AQ869</f>
        <v>412</v>
      </c>
      <c r="AI869" s="174">
        <f>$D$58+$D$19</f>
        <v>268.61079999999998</v>
      </c>
      <c r="AJ869" s="174">
        <f>10*AR869/(7-IF(AX869=1,0,3))</f>
        <v>1.2142857142857142</v>
      </c>
      <c r="AK869" s="174">
        <f>SUM(AL869:AN869)</f>
        <v>8098.2910927512203</v>
      </c>
      <c r="AL869" s="174">
        <f>(VLOOKUP(C869,$B$36:$AG$39,13,FALSE)+VLOOKUP(C869,$B$40:$AG$43,13,FALSE)*$D$54)*$D$59/100</f>
        <v>8098.2910927512203</v>
      </c>
      <c r="AM869" s="174"/>
      <c r="AN869" s="174"/>
      <c r="AO869" s="176">
        <v>16</v>
      </c>
      <c r="AP869" s="174">
        <v>36</v>
      </c>
      <c r="AQ869" s="175">
        <f>VLOOKUP(C869,$B$45:$AA$48,13,FALSE)</f>
        <v>412</v>
      </c>
      <c r="AR869" s="31">
        <f>IF(LEFT(E869,1)*1=1,$S$60,$R$60)</f>
        <v>0.85</v>
      </c>
      <c r="AS869" s="2">
        <f>IF(LEFT(E869,1)*1=2,$U$60,$T$60)</f>
        <v>1</v>
      </c>
      <c r="AT869" s="33">
        <f>IF(LEFT(E869,1)*1=3,$W$60,$V$60)</f>
        <v>0</v>
      </c>
      <c r="AU869" s="31">
        <f>IF(MID(E869,3,1)*1=1,$Y$60,$X$60)</f>
        <v>1</v>
      </c>
      <c r="AV869" s="2">
        <f>IF(MID(E869,3,1)*1=2,$AA$60,$Z$60)</f>
        <v>0</v>
      </c>
      <c r="AW869" s="33">
        <f>IF(MID(E869,3,1)*1=3,$AC$60,$AB$60)</f>
        <v>0</v>
      </c>
      <c r="AX869" s="31">
        <f>IF(MID(E869,5,1)*1=1,$AE$60,$AD$60)</f>
        <v>1</v>
      </c>
      <c r="AY869" s="33">
        <f>IF(MID(E869,5,1)*1=2,$AG$60,$AF$60)</f>
        <v>100</v>
      </c>
      <c r="AZ869" s="2"/>
      <c r="BA869" s="101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</row>
    <row r="870" spans="1:71" ht="12" customHeight="1">
      <c r="A870" s="2"/>
      <c r="B870" s="107">
        <v>396</v>
      </c>
      <c r="C870" s="31">
        <v>1</v>
      </c>
      <c r="D870" s="111" t="s">
        <v>8</v>
      </c>
      <c r="E870" s="2" t="s">
        <v>67</v>
      </c>
      <c r="F870" s="2"/>
      <c r="G870" s="2"/>
      <c r="H870" s="33" t="s">
        <v>81</v>
      </c>
      <c r="I870" s="173">
        <f>M870/AE870</f>
        <v>334.22663422207194</v>
      </c>
      <c r="J870" s="174">
        <f>AH870/AE870</f>
        <v>5.4639558131976278</v>
      </c>
      <c r="K870" s="207">
        <f>RANK(I870,$I$76:$I$977)</f>
        <v>795</v>
      </c>
      <c r="L870" s="208" t="e">
        <f>RANK(I870,$I$451:$I$866)</f>
        <v>#N/A</v>
      </c>
      <c r="M870" s="173">
        <f>SUM(N870:R870)</f>
        <v>6178.1045108185062</v>
      </c>
      <c r="N870" s="174">
        <f>T870*(1+((AG870+IF(F870="백어택",8,0))/100)*(IF(AY870=1,$D$58,$D$58+50)/100-1))</f>
        <v>2713.0071923284022</v>
      </c>
      <c r="O870" s="174">
        <f>U870*(1+((AG870+IF(F870="백어택",8,0))/100)*(AI870/100-1))</f>
        <v>3465.0973184901036</v>
      </c>
      <c r="P870" s="174">
        <f>V870*(1+((AG870+IF(F870="백어택",8,0))/100)*(AI870/100-1))</f>
        <v>0</v>
      </c>
      <c r="Q870" s="174"/>
      <c r="R870" s="175"/>
      <c r="S870" s="173">
        <f>SUM(T870:X870)</f>
        <v>5191.6277476115856</v>
      </c>
      <c r="T870" s="174">
        <f>AL870*IF(H870="근접",AR870,1)*AY870*IF(F870="백어택",1.2,1)</f>
        <v>2279.8130712256102</v>
      </c>
      <c r="U870" s="174">
        <f>AM870*IF(H870="근접",AR870,1)*AY870*IF(F870="백어택",1.2,1)</f>
        <v>2911.8146763859754</v>
      </c>
      <c r="V870" s="174">
        <f>IF(AX870=1,0,AM870*IF(H870="근접",AR870,1)*AY870)*IF(F870="백어택",1.2,1)</f>
        <v>0</v>
      </c>
      <c r="W870" s="174"/>
      <c r="X870" s="175"/>
      <c r="Y870" s="173">
        <f>SUM(Z870:AD870)</f>
        <v>10383.255495223171</v>
      </c>
      <c r="Z870" s="174">
        <f>T870*IF(AY870=1,$D$58,$D$58+50)/100</f>
        <v>4559.6261424512204</v>
      </c>
      <c r="AA870" s="174">
        <f>U870*AI870/100</f>
        <v>5823.6293527719508</v>
      </c>
      <c r="AB870" s="174">
        <f>V870*AI870/100</f>
        <v>0</v>
      </c>
      <c r="AC870" s="174"/>
      <c r="AD870" s="175"/>
      <c r="AE870" s="173">
        <f>AO870*(1-$D$20/100)*(1-$D$17/100)</f>
        <v>18.484776131615998</v>
      </c>
      <c r="AF870" s="174">
        <f>AP870</f>
        <v>36</v>
      </c>
      <c r="AG870" s="174">
        <f>IF($D$57+AU870&gt;100,100,$D$57+AU870)</f>
        <v>19.001300000000001</v>
      </c>
      <c r="AH870" s="174">
        <f>IF(AX870=1,AQ870,AQ870*1.4)</f>
        <v>101</v>
      </c>
      <c r="AI870" s="174">
        <f>IF(AY870=1,$D$58,$D$58+50)*AW870</f>
        <v>200</v>
      </c>
      <c r="AJ870" s="174">
        <f>10/6/AX870</f>
        <v>1.6666666666666667</v>
      </c>
      <c r="AK870" s="174">
        <f>SUM(AL870:AN870)</f>
        <v>5191.6277476115856</v>
      </c>
      <c r="AL870" s="174">
        <f>(IF(H870="근접",$D$61*(VLOOKUP(C870,$B$36:$AG$39,9,FALSE)+VLOOKUP(C870,$B$40:$AG$43,9,FALSE)*$D$54),$D$60*(VLOOKUP(C870,$B$36:$AG$39,9,FALSE)+VLOOKUP(C870,$B$40:$AG$43,9,FALSE)*$D$54)))*$D$59/100</f>
        <v>2279.8130712256102</v>
      </c>
      <c r="AM870" s="174">
        <f>(IF(H870="근접",$D$61*(VLOOKUP(C870,$B$36:$AG$39,10,FALSE)+VLOOKUP(C870,$B$40:$AG$43,10,FALSE)*$D$54),$D$60*(VLOOKUP(C870,$B$36:$AG$39,10,FALSE)+VLOOKUP(C870,$B$40:$AG$43,10,FALSE)*$D$54)))*$D$59/100</f>
        <v>2911.8146763859754</v>
      </c>
      <c r="AN870" s="174"/>
      <c r="AO870" s="176">
        <v>24</v>
      </c>
      <c r="AP870" s="174">
        <v>36</v>
      </c>
      <c r="AQ870" s="175">
        <f>VLOOKUP(C870,$B$45:$AA$48,9,FALSE)</f>
        <v>101</v>
      </c>
      <c r="AR870" s="31">
        <f>IF(LEFT(E870,1)*1=1,$S$58,$R$58)</f>
        <v>1</v>
      </c>
      <c r="AS870" s="2">
        <f>IF(LEFT(E870,1)*1=2,$U$58,$T$58)</f>
        <v>0</v>
      </c>
      <c r="AT870" s="33">
        <f>IF(LEFT(E870,1)*1=3,$W$58,$V$58)</f>
        <v>0</v>
      </c>
      <c r="AU870" s="31">
        <f>IF(MID(E870,3,1)*1=1,$Y$58,$X$58)</f>
        <v>0</v>
      </c>
      <c r="AV870" s="2">
        <f>IF(MID(E870,3,1)*1=2,$AA$58,$Z$58)</f>
        <v>0</v>
      </c>
      <c r="AW870" s="33">
        <f>IF(MID(E870,3,1)*1=3,$AC$58,$AB$58)</f>
        <v>1</v>
      </c>
      <c r="AX870" s="31">
        <f>IF(MID(E870,5,1)*1=1,$AE$58,$AD$58)</f>
        <v>1</v>
      </c>
      <c r="AY870" s="33">
        <f>IF(MID(E870,5,1)*1=2,$AG$58,$AF$58)</f>
        <v>1</v>
      </c>
      <c r="AZ870" s="2"/>
      <c r="BA870" s="101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</row>
    <row r="871" spans="1:71" ht="12" customHeight="1">
      <c r="A871" s="2"/>
      <c r="B871" s="107">
        <v>121</v>
      </c>
      <c r="C871" s="31">
        <v>4</v>
      </c>
      <c r="D871" s="106" t="s">
        <v>6</v>
      </c>
      <c r="E871" s="2" t="s">
        <v>67</v>
      </c>
      <c r="F871" s="2"/>
      <c r="G871" s="2"/>
      <c r="H871" s="33"/>
      <c r="I871" s="173">
        <f>M871/AE871</f>
        <v>333.0745040352603</v>
      </c>
      <c r="J871" s="174">
        <f>AH871/AE871</f>
        <v>8.9713698028704378</v>
      </c>
      <c r="K871" s="207">
        <f>RANK(I871,$I$76:$I$977)</f>
        <v>796</v>
      </c>
      <c r="L871" s="208" t="e">
        <f>RANK(I871,$I$76:$I$450)</f>
        <v>#N/A</v>
      </c>
      <c r="M871" s="173">
        <f>SUM(N871:R871)</f>
        <v>6645.6224113329654</v>
      </c>
      <c r="N871" s="174">
        <f>T871*(1+((AG871+IF(F871="백어택",8,0))/100)*((AI871/100-1)))</f>
        <v>6645.6224113329654</v>
      </c>
      <c r="O871" s="174"/>
      <c r="P871" s="174"/>
      <c r="Q871" s="174"/>
      <c r="R871" s="175"/>
      <c r="S871" s="173">
        <f>SUM(T871:X871)</f>
        <v>5033.1042075451223</v>
      </c>
      <c r="T871" s="174">
        <f>AL871*AW871*AT871*AX871*AY871</f>
        <v>5033.1042075451223</v>
      </c>
      <c r="U871" s="174"/>
      <c r="V871" s="174"/>
      <c r="W871" s="174"/>
      <c r="X871" s="175"/>
      <c r="Y871" s="173">
        <f>SUM(Z871:AD871)</f>
        <v>10066.208415090245</v>
      </c>
      <c r="Z871" s="174">
        <f>T871*$D$58/100</f>
        <v>10066.208415090245</v>
      </c>
      <c r="AA871" s="174"/>
      <c r="AB871" s="174"/>
      <c r="AC871" s="174"/>
      <c r="AD871" s="175"/>
      <c r="AE871" s="173">
        <f>AO871*(1-$D$17/100)</f>
        <v>19.952359999999999</v>
      </c>
      <c r="AF871" s="174">
        <f>AP871</f>
        <v>36</v>
      </c>
      <c r="AG871" s="174">
        <f>IF($D$57+AV871&gt;100,100,$D$57+AV871)</f>
        <v>19.001300000000001</v>
      </c>
      <c r="AH871" s="174">
        <f>AQ871*AR871</f>
        <v>179</v>
      </c>
      <c r="AI871" s="174">
        <f>$D$58+$D$19</f>
        <v>268.61079999999998</v>
      </c>
      <c r="AJ871" s="174">
        <f>10/IF(AX871=1,IF(AY871=1,5,6),4)</f>
        <v>2</v>
      </c>
      <c r="AK871" s="174">
        <f>SUM(AL871:AN871)</f>
        <v>5033.1042075451223</v>
      </c>
      <c r="AL871" s="174">
        <f>(VLOOKUP(C871,$B$36:$AG$39,7,FALSE)+VLOOKUP(C871,$B$40:$AG$43,7,FALSE)*$D$54)*$D$59/100</f>
        <v>5033.1042075451223</v>
      </c>
      <c r="AM871" s="174"/>
      <c r="AN871" s="174"/>
      <c r="AO871" s="176">
        <v>20</v>
      </c>
      <c r="AP871" s="174">
        <v>36</v>
      </c>
      <c r="AQ871" s="175">
        <f>VLOOKUP(C871,$B$45:$AA$48,7,FALSE)</f>
        <v>179</v>
      </c>
      <c r="AR871" s="31">
        <f>IF(LEFT(E871,1)*1=1,$S$56,$R$56)</f>
        <v>1</v>
      </c>
      <c r="AS871" s="2">
        <f>IF(LEFT(E871,1)*1=2,$U$56,$T$56)</f>
        <v>0</v>
      </c>
      <c r="AT871" s="33">
        <f>IF(LEFT(E871,1)*1=3,$W$56,$V$56)</f>
        <v>1</v>
      </c>
      <c r="AU871" s="31">
        <f>IF(MID(E871,3,1)*1=1,$Y$56,$X$56)</f>
        <v>0</v>
      </c>
      <c r="AV871" s="2">
        <f>IF(MID(E871,3,1)*1=2,$AA$56,$Z$56)</f>
        <v>0</v>
      </c>
      <c r="AW871" s="33">
        <f>IF(MID(E871,3,1)*1=3,$AC$56,$AB$56)</f>
        <v>1</v>
      </c>
      <c r="AX871" s="31">
        <f>IF(MID(E871,5,1)*1=1,$AE$56,$AD$56)</f>
        <v>1</v>
      </c>
      <c r="AY871" s="33">
        <f>IF(MID(E871,5,1)*1=2,$AG$56,$AF$56)</f>
        <v>1</v>
      </c>
      <c r="AZ871" s="2"/>
      <c r="BA871" s="101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</row>
    <row r="872" spans="1:71" ht="12" customHeight="1">
      <c r="A872" s="2"/>
      <c r="B872" s="107">
        <v>122</v>
      </c>
      <c r="C872" s="31">
        <v>4</v>
      </c>
      <c r="D872" s="106" t="s">
        <v>6</v>
      </c>
      <c r="E872" s="2" t="s">
        <v>148</v>
      </c>
      <c r="F872" s="2"/>
      <c r="G872" s="2"/>
      <c r="H872" s="33"/>
      <c r="I872" s="173">
        <f>M872/AE872</f>
        <v>333.0745040352603</v>
      </c>
      <c r="J872" s="174">
        <f>AH872/AE872</f>
        <v>4.4856849014352189</v>
      </c>
      <c r="K872" s="207">
        <f>RANK(I872,$I$76:$I$977)</f>
        <v>796</v>
      </c>
      <c r="L872" s="208" t="e">
        <f>RANK(I872,$I$76:$I$450)</f>
        <v>#N/A</v>
      </c>
      <c r="M872" s="173">
        <f>SUM(N872:R872)</f>
        <v>6645.6224113329654</v>
      </c>
      <c r="N872" s="174">
        <f>T872*(1+((AG872+IF(F872="백어택",8,0))/100)*((AI872/100-1)))</f>
        <v>6645.6224113329654</v>
      </c>
      <c r="O872" s="174"/>
      <c r="P872" s="174"/>
      <c r="Q872" s="174"/>
      <c r="R872" s="175"/>
      <c r="S872" s="173">
        <f>SUM(T872:X872)</f>
        <v>5033.1042075451223</v>
      </c>
      <c r="T872" s="174">
        <f>AL872*AW872*AT872*AX872*AY872</f>
        <v>5033.1042075451223</v>
      </c>
      <c r="U872" s="174"/>
      <c r="V872" s="174"/>
      <c r="W872" s="174"/>
      <c r="X872" s="175"/>
      <c r="Y872" s="173">
        <f>SUM(Z872:AD872)</f>
        <v>10066.208415090245</v>
      </c>
      <c r="Z872" s="174">
        <f>T872*$D$58/100</f>
        <v>10066.208415090245</v>
      </c>
      <c r="AA872" s="174"/>
      <c r="AB872" s="174"/>
      <c r="AC872" s="174"/>
      <c r="AD872" s="175"/>
      <c r="AE872" s="173">
        <f>AO872*(1-$D$17/100)</f>
        <v>19.952359999999999</v>
      </c>
      <c r="AF872" s="174">
        <f>AP872</f>
        <v>36</v>
      </c>
      <c r="AG872" s="174">
        <f>IF($D$57+AV872&gt;100,100,$D$57+AV872)</f>
        <v>19.001300000000001</v>
      </c>
      <c r="AH872" s="174">
        <f>AQ872*AR872</f>
        <v>89.5</v>
      </c>
      <c r="AI872" s="174">
        <f>$D$58+$D$19</f>
        <v>268.61079999999998</v>
      </c>
      <c r="AJ872" s="174">
        <f>10/IF(AX872=1,IF(AY872=1,5,6),4)</f>
        <v>2</v>
      </c>
      <c r="AK872" s="174">
        <f>SUM(AL872:AN872)</f>
        <v>5033.1042075451223</v>
      </c>
      <c r="AL872" s="174">
        <f>(VLOOKUP(C872,$B$36:$AG$39,7,FALSE)+VLOOKUP(C872,$B$40:$AG$43,7,FALSE)*$D$54)*$D$59/100</f>
        <v>5033.1042075451223</v>
      </c>
      <c r="AM872" s="174"/>
      <c r="AN872" s="174"/>
      <c r="AO872" s="176">
        <v>20</v>
      </c>
      <c r="AP872" s="174">
        <v>36</v>
      </c>
      <c r="AQ872" s="175">
        <f>VLOOKUP(C872,$B$45:$AA$48,7,FALSE)</f>
        <v>179</v>
      </c>
      <c r="AR872" s="31">
        <f>IF(LEFT(E872,1)*1=1,$S$56,$R$56)</f>
        <v>0.5</v>
      </c>
      <c r="AS872" s="2">
        <f>IF(LEFT(E872,1)*1=2,$U$56,$T$56)</f>
        <v>0</v>
      </c>
      <c r="AT872" s="33">
        <f>IF(LEFT(E872,1)*1=3,$W$56,$V$56)</f>
        <v>1</v>
      </c>
      <c r="AU872" s="31">
        <f>IF(MID(E872,3,1)*1=1,$Y$56,$X$56)</f>
        <v>0</v>
      </c>
      <c r="AV872" s="2">
        <f>IF(MID(E872,3,1)*1=2,$AA$56,$Z$56)</f>
        <v>0</v>
      </c>
      <c r="AW872" s="33">
        <f>IF(MID(E872,3,1)*1=3,$AC$56,$AB$56)</f>
        <v>1</v>
      </c>
      <c r="AX872" s="31">
        <f>IF(MID(E872,5,1)*1=1,$AE$56,$AD$56)</f>
        <v>1</v>
      </c>
      <c r="AY872" s="33">
        <f>IF(MID(E872,5,1)*1=2,$AG$56,$AF$56)</f>
        <v>1</v>
      </c>
      <c r="AZ872" s="2"/>
      <c r="BA872" s="101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</row>
    <row r="873" spans="1:71" ht="12" customHeight="1">
      <c r="A873" s="2"/>
      <c r="B873" s="107">
        <v>255</v>
      </c>
      <c r="C873" s="31">
        <v>7</v>
      </c>
      <c r="D873" s="106" t="s">
        <v>16</v>
      </c>
      <c r="E873" s="2" t="s">
        <v>87</v>
      </c>
      <c r="F873" s="2" t="s">
        <v>149</v>
      </c>
      <c r="G873" s="2"/>
      <c r="H873" s="33">
        <f>AX873*2</f>
        <v>2</v>
      </c>
      <c r="I873" s="173">
        <f>M873/AE873</f>
        <v>332.78449580690619</v>
      </c>
      <c r="J873" s="174">
        <f>AH873/AE873</f>
        <v>27.23153217631064</v>
      </c>
      <c r="K873" s="207">
        <f>RANK(I873,$I$76:$I$977)</f>
        <v>798</v>
      </c>
      <c r="L873" s="208" t="e">
        <f>RANK(I873,$I$76:$I$450)</f>
        <v>#N/A</v>
      </c>
      <c r="M873" s="173">
        <f>SUM(N873:R873)</f>
        <v>1991.9508188273649</v>
      </c>
      <c r="N873" s="174">
        <f>T873*(1+((AG873+IF(F873="백어택",8,0))/100)*((AI873/100-1)))</f>
        <v>1991.9508188273649</v>
      </c>
      <c r="O873" s="174"/>
      <c r="P873" s="174"/>
      <c r="Q873" s="174"/>
      <c r="R873" s="175"/>
      <c r="S873" s="173">
        <f>SUM(T873:X873)*H873</f>
        <v>2332.239377783415</v>
      </c>
      <c r="T873" s="174">
        <f>AL873*AU873*AY873*IF(F873="백어택",1.2,1)</f>
        <v>1166.1196888917075</v>
      </c>
      <c r="U873" s="174"/>
      <c r="V873" s="174"/>
      <c r="W873" s="174"/>
      <c r="X873" s="175"/>
      <c r="Y873" s="173">
        <f>SUM(Z873:AD873)</f>
        <v>2332.239377783415</v>
      </c>
      <c r="Z873" s="174">
        <f>T873*$D$58/100</f>
        <v>2332.239377783415</v>
      </c>
      <c r="AA873" s="174"/>
      <c r="AB873" s="174"/>
      <c r="AC873" s="174"/>
      <c r="AD873" s="175"/>
      <c r="AE873" s="173">
        <f>AO873*(1-$D$17/100)</f>
        <v>5.9857079999999998</v>
      </c>
      <c r="AF873" s="174">
        <f>AP873</f>
        <v>36</v>
      </c>
      <c r="AG873" s="174">
        <f>IF($D$57+AT873&gt;100,100,$D$57+AT873)</f>
        <v>34.001300000000001</v>
      </c>
      <c r="AH873" s="174">
        <f>AQ873*AR873</f>
        <v>163</v>
      </c>
      <c r="AI873" s="174">
        <f>$D$58+$D$19</f>
        <v>268.61079999999998</v>
      </c>
      <c r="AJ873" s="174">
        <f>10*AS873/IF(AX873=1,5,3.5)</f>
        <v>2</v>
      </c>
      <c r="AK873" s="174">
        <f>SUM(AL873:AN873)</f>
        <v>971.7664074097562</v>
      </c>
      <c r="AL873" s="174">
        <f>((VLOOKUP(C873,$B$36:$AG$39,23,FALSE)+VLOOKUP(C873,$B$40:$AG$43,23,FALSE)*$D$54))*$D$59/100</f>
        <v>971.7664074097562</v>
      </c>
      <c r="AM873" s="174"/>
      <c r="AN873" s="174"/>
      <c r="AO873" s="176">
        <v>6</v>
      </c>
      <c r="AP873" s="174">
        <v>36</v>
      </c>
      <c r="AQ873" s="175">
        <f>VLOOKUP(C873,$B$45:$AA$48,23,FALSE)</f>
        <v>163</v>
      </c>
      <c r="AR873" s="31">
        <f>IF(LEFT(E873,1)*1=1,$S$66,$R$66)</f>
        <v>1</v>
      </c>
      <c r="AS873" s="2">
        <f>IF(LEFT(E873,1)*1=2,$U$66,$T$66)</f>
        <v>1</v>
      </c>
      <c r="AT873" s="33">
        <f>IF(LEFT(E873,1)*1=3,$W$66,$V$66)</f>
        <v>15</v>
      </c>
      <c r="AU873" s="31">
        <f>IF(MID(E873,3,1)*1=1,$Y$66,$X$66)</f>
        <v>1</v>
      </c>
      <c r="AV873" s="2">
        <f>IF(MID(E873,3,1)*1=2,$AA$66,$Z$66)</f>
        <v>0</v>
      </c>
      <c r="AW873" s="33">
        <f>IF(MID(E873,3,1)*1=3,$AC$66,$AB$66)</f>
        <v>0</v>
      </c>
      <c r="AX873" s="31">
        <f>IF(MID(E873,5,1)*1=1,$AE$66,$AD$66)</f>
        <v>1</v>
      </c>
      <c r="AY873" s="33">
        <f>IF(MID(E873,5,1)*1=2,$AG$66,$AF$66)</f>
        <v>1</v>
      </c>
      <c r="AZ873" s="2"/>
      <c r="BA873" s="101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</row>
    <row r="874" spans="1:71" ht="12" customHeight="1">
      <c r="A874" s="2"/>
      <c r="B874" s="107">
        <v>531</v>
      </c>
      <c r="C874" s="31">
        <v>7</v>
      </c>
      <c r="D874" s="111" t="s">
        <v>14</v>
      </c>
      <c r="E874" s="2" t="s">
        <v>67</v>
      </c>
      <c r="F874" s="1"/>
      <c r="G874" s="1"/>
      <c r="H874" s="33" t="s">
        <v>80</v>
      </c>
      <c r="I874" s="173">
        <f>M874/AE874</f>
        <v>331.8738434025671</v>
      </c>
      <c r="J874" s="174">
        <f>AH874/AE874</f>
        <v>16.518097441877977</v>
      </c>
      <c r="K874" s="207">
        <f>RANK(I874,$I$76:$I$977)</f>
        <v>799</v>
      </c>
      <c r="L874" s="208" t="e">
        <f>RANK(I874,$I$451:$I$866)</f>
        <v>#N/A</v>
      </c>
      <c r="M874" s="173">
        <f>SUM(N874:R874)</f>
        <v>9201.9205488531588</v>
      </c>
      <c r="N874" s="174">
        <f>T874*(1+((AG874+IF(F874="백어택",8,0))/100)*(AI874/100-1))</f>
        <v>2746.3766588624931</v>
      </c>
      <c r="O874" s="174">
        <f>U874*(1+((AG874+IF(F874="백어택",8,0))/100)*(AI874/100-1))</f>
        <v>2746.3766588624931</v>
      </c>
      <c r="P874" s="174">
        <f>V874*(1+((AG874+IF(F874="백어택",8,0))/100)*(AI874*IF(AX874=1,AW874,1)/100-1))</f>
        <v>3709.1672311281723</v>
      </c>
      <c r="Q874" s="174">
        <f>W874*(1+((AG874+IF(F874="백어택",8,0))/100)*(AI874*AW874/100-1))</f>
        <v>0</v>
      </c>
      <c r="R874" s="175"/>
      <c r="S874" s="173">
        <f>SUM(T874:X874)</f>
        <v>7732.6218695536591</v>
      </c>
      <c r="T874" s="174">
        <f>AL874*AY874*IF(F874="백어택",1.2,1)</f>
        <v>2307.8543334085366</v>
      </c>
      <c r="U874" s="174">
        <f>AM874*AY874*IF(F874="백어택",1.2,1)</f>
        <v>2307.8543334085366</v>
      </c>
      <c r="V874" s="174">
        <f>AN874*AY874*IF(F874="백어택",1.2,1)</f>
        <v>3116.9132027365854</v>
      </c>
      <c r="W874" s="174">
        <f>(T874+U874+V874)*IF(AX874=1,0,0.6)*IF(F874="백어택",1.2,1)</f>
        <v>0</v>
      </c>
      <c r="X874" s="175"/>
      <c r="Y874" s="173">
        <f>SUM(Z874:AD874)</f>
        <v>15465.243739107318</v>
      </c>
      <c r="Z874" s="174">
        <f>T874*AI874/100</f>
        <v>4615.7086668170732</v>
      </c>
      <c r="AA874" s="174">
        <f>U874*AI874/100</f>
        <v>4615.7086668170732</v>
      </c>
      <c r="AB874" s="174">
        <f>V874*AI874*IF(AX874=1,AW874,1)/100</f>
        <v>6233.8264054731708</v>
      </c>
      <c r="AC874" s="174">
        <f>W874*AI874*AW874/100</f>
        <v>0</v>
      </c>
      <c r="AD874" s="175"/>
      <c r="AE874" s="173">
        <f>AO874*(1-$D$20/100)*(1-$D$17/100)</f>
        <v>27.727164197424003</v>
      </c>
      <c r="AF874" s="174">
        <f>AP874</f>
        <v>36</v>
      </c>
      <c r="AG874" s="174">
        <f>IF($D$57+AU874&gt;100,100,$D$57+AU874)</f>
        <v>19.001300000000001</v>
      </c>
      <c r="AH874" s="174">
        <f>AQ874*AS874</f>
        <v>458</v>
      </c>
      <c r="AI874" s="174">
        <f>$D$58+IF(H874="근접",AR874,0)+IF(AY874=1,0,50)</f>
        <v>200</v>
      </c>
      <c r="AJ874" s="174">
        <f>10/3</f>
        <v>3.3333333333333335</v>
      </c>
      <c r="AK874" s="174">
        <f>SUM(AL874:AN874)</f>
        <v>7732.6218695536591</v>
      </c>
      <c r="AL874" s="174">
        <f>(IF(H874="근접",$D$61*(VLOOKUP(C874,$B$36:$AG$39,19,FALSE)+VLOOKUP(C874,$B$40:$AG$43,19,FALSE)*$D$54),$D$60*(VLOOKUP(C874,$B$36:$AG$39,19,FALSE)+VLOOKUP(C874,$B$40:$AG$43,19,FALSE)*$D$54)))*$D$59/100</f>
        <v>2307.8543334085366</v>
      </c>
      <c r="AM874" s="174">
        <f>(IF(H874="근접",$D$61*(VLOOKUP(C874,$B$36:$AG$39,20,FALSE)+VLOOKUP(C874,$B$40:$AG$43,20,FALSE)*$D$54),$D$60*(VLOOKUP(C874,$B$36:$AG$39,20,FALSE)+VLOOKUP(C874,$B$40:$AG$43,20,FALSE)*$D$54)))*$D$59/100</f>
        <v>2307.8543334085366</v>
      </c>
      <c r="AN874" s="174">
        <f>(IF(H874="근접",$D$61*(VLOOKUP(C874,$B$36:$AG$39,21,FALSE)+VLOOKUP(C874,$B$40:$AG$43,21,FALSE)*$D$54),$D$60*(VLOOKUP(C874,$B$36:$AG$39,21,FALSE)+VLOOKUP(C874,$B$40:$AG$43,21,FALSE)*$D$54)))*$D$59/100</f>
        <v>3116.9132027365854</v>
      </c>
      <c r="AO874" s="176">
        <v>36</v>
      </c>
      <c r="AP874" s="174">
        <v>36</v>
      </c>
      <c r="AQ874" s="175">
        <f>VLOOKUP(C874,$B$45:$AA$48,19,FALSE)</f>
        <v>458</v>
      </c>
      <c r="AR874" s="31">
        <f>IF(LEFT(E874,1)*1=1,$S$64,$R$64)</f>
        <v>0</v>
      </c>
      <c r="AS874" s="2">
        <f>IF(LEFT(E874,1)*1=2,$U$64,$T$64)</f>
        <v>1</v>
      </c>
      <c r="AT874" s="33">
        <f>IF(LEFT(E874,1)*1=3,$W$64,$V$64)</f>
        <v>0</v>
      </c>
      <c r="AU874" s="31">
        <f>IF(MID(E874,3,1)*1=1,$Y$64,$X$64)</f>
        <v>0</v>
      </c>
      <c r="AV874" s="2">
        <f>IF(MID(E874,3,1)*1=2,$AA$64,$Z$64)</f>
        <v>0</v>
      </c>
      <c r="AW874" s="33">
        <f>IF(MID(E874,3,1)*1=3,$AC$64,$AB$64)</f>
        <v>1</v>
      </c>
      <c r="AX874" s="31">
        <f>IF(MID(E874,5,1)*1=1,$AE$64,$AD$64)</f>
        <v>1</v>
      </c>
      <c r="AY874" s="33">
        <f>IF(MID(E874,5,1)*1=2,$AG$64,$AF$64)</f>
        <v>1</v>
      </c>
      <c r="AZ874" s="2"/>
      <c r="BA874" s="101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</row>
    <row r="875" spans="1:71" ht="12" customHeight="1">
      <c r="A875" s="2"/>
      <c r="B875" s="107">
        <v>534</v>
      </c>
      <c r="C875" s="31">
        <v>7</v>
      </c>
      <c r="D875" s="111" t="s">
        <v>14</v>
      </c>
      <c r="E875" s="2" t="s">
        <v>148</v>
      </c>
      <c r="F875" s="2"/>
      <c r="G875" s="2"/>
      <c r="H875" s="33" t="s">
        <v>80</v>
      </c>
      <c r="I875" s="173">
        <f>M875/AE875</f>
        <v>331.8738434025671</v>
      </c>
      <c r="J875" s="174">
        <f>AH875/AE875</f>
        <v>16.518097441877977</v>
      </c>
      <c r="K875" s="207">
        <f>RANK(I875,$I$76:$I$977)</f>
        <v>799</v>
      </c>
      <c r="L875" s="208" t="e">
        <f>RANK(I875,$I$451:$I$866)</f>
        <v>#N/A</v>
      </c>
      <c r="M875" s="173">
        <f>SUM(N875:R875)</f>
        <v>9201.9205488531588</v>
      </c>
      <c r="N875" s="174">
        <f>T875*(1+((AG875+IF(F875="백어택",8,0))/100)*(AI875/100-1))</f>
        <v>2746.3766588624931</v>
      </c>
      <c r="O875" s="174">
        <f>U875*(1+((AG875+IF(F875="백어택",8,0))/100)*(AI875/100-1))</f>
        <v>2746.3766588624931</v>
      </c>
      <c r="P875" s="174">
        <f>V875*(1+((AG875+IF(F875="백어택",8,0))/100)*(AI875*IF(AX875=1,AW875,1)/100-1))</f>
        <v>3709.1672311281723</v>
      </c>
      <c r="Q875" s="174">
        <f>W875*(1+((AG875+IF(F875="백어택",8,0))/100)*(AI875*AW875/100-1))</f>
        <v>0</v>
      </c>
      <c r="R875" s="175"/>
      <c r="S875" s="173">
        <f>SUM(T875:X875)</f>
        <v>7732.6218695536591</v>
      </c>
      <c r="T875" s="174">
        <f>AL875*AY875*IF(F875="백어택",1.2,1)</f>
        <v>2307.8543334085366</v>
      </c>
      <c r="U875" s="174">
        <f>AM875*AY875*IF(F875="백어택",1.2,1)</f>
        <v>2307.8543334085366</v>
      </c>
      <c r="V875" s="174">
        <f>AN875*AY875*IF(F875="백어택",1.2,1)</f>
        <v>3116.9132027365854</v>
      </c>
      <c r="W875" s="174">
        <f>(T875+U875+V875)*IF(AX875=1,0,0.6)*IF(F875="백어택",1.2,1)</f>
        <v>0</v>
      </c>
      <c r="X875" s="175"/>
      <c r="Y875" s="173">
        <f>SUM(Z875:AD875)</f>
        <v>15465.243739107318</v>
      </c>
      <c r="Z875" s="174">
        <f>T875*AI875/100</f>
        <v>4615.7086668170732</v>
      </c>
      <c r="AA875" s="174">
        <f>U875*AI875/100</f>
        <v>4615.7086668170732</v>
      </c>
      <c r="AB875" s="174">
        <f>V875*AI875*IF(AX875=1,AW875,1)/100</f>
        <v>6233.8264054731708</v>
      </c>
      <c r="AC875" s="174">
        <f>W875*AI875*AW875/100</f>
        <v>0</v>
      </c>
      <c r="AD875" s="175"/>
      <c r="AE875" s="173">
        <f>AO875*(1-$D$20/100)*(1-$D$17/100)</f>
        <v>27.727164197424003</v>
      </c>
      <c r="AF875" s="174">
        <f>AP875</f>
        <v>36</v>
      </c>
      <c r="AG875" s="174">
        <f>IF($D$57+AU875&gt;100,100,$D$57+AU875)</f>
        <v>19.001300000000001</v>
      </c>
      <c r="AH875" s="174">
        <f>AQ875*AS875</f>
        <v>458</v>
      </c>
      <c r="AI875" s="174">
        <f>$D$58+IF(H875="근접",AR875,0)+IF(AY875=1,0,50)</f>
        <v>200</v>
      </c>
      <c r="AJ875" s="174">
        <f>10/3</f>
        <v>3.3333333333333335</v>
      </c>
      <c r="AK875" s="174">
        <f>SUM(AL875:AN875)</f>
        <v>7732.6218695536591</v>
      </c>
      <c r="AL875" s="174">
        <f>(IF(H875="근접",$D$61*(VLOOKUP(C875,$B$36:$AG$39,19,FALSE)+VLOOKUP(C875,$B$40:$AG$43,19,FALSE)*$D$54),$D$60*(VLOOKUP(C875,$B$36:$AG$39,19,FALSE)+VLOOKUP(C875,$B$40:$AG$43,19,FALSE)*$D$54)))*$D$59/100</f>
        <v>2307.8543334085366</v>
      </c>
      <c r="AM875" s="174">
        <f>(IF(H875="근접",$D$61*(VLOOKUP(C875,$B$36:$AG$39,20,FALSE)+VLOOKUP(C875,$B$40:$AG$43,20,FALSE)*$D$54),$D$60*(VLOOKUP(C875,$B$36:$AG$39,20,FALSE)+VLOOKUP(C875,$B$40:$AG$43,20,FALSE)*$D$54)))*$D$59/100</f>
        <v>2307.8543334085366</v>
      </c>
      <c r="AN875" s="174">
        <f>(IF(H875="근접",$D$61*(VLOOKUP(C875,$B$36:$AG$39,21,FALSE)+VLOOKUP(C875,$B$40:$AG$43,21,FALSE)*$D$54),$D$60*(VLOOKUP(C875,$B$36:$AG$39,21,FALSE)+VLOOKUP(C875,$B$40:$AG$43,21,FALSE)*$D$54)))*$D$59/100</f>
        <v>3116.9132027365854</v>
      </c>
      <c r="AO875" s="176">
        <v>36</v>
      </c>
      <c r="AP875" s="174">
        <v>36</v>
      </c>
      <c r="AQ875" s="175">
        <f>VLOOKUP(C875,$B$45:$AA$48,19,FALSE)</f>
        <v>458</v>
      </c>
      <c r="AR875" s="31">
        <f>IF(LEFT(E875,1)*1=1,$S$64,$R$64)</f>
        <v>50</v>
      </c>
      <c r="AS875" s="2">
        <f>IF(LEFT(E875,1)*1=2,$U$64,$T$64)</f>
        <v>1</v>
      </c>
      <c r="AT875" s="33">
        <f>IF(LEFT(E875,1)*1=3,$W$64,$V$64)</f>
        <v>0</v>
      </c>
      <c r="AU875" s="31">
        <f>IF(MID(E875,3,1)*1=1,$Y$64,$X$64)</f>
        <v>0</v>
      </c>
      <c r="AV875" s="2">
        <f>IF(MID(E875,3,1)*1=2,$AA$64,$Z$64)</f>
        <v>0</v>
      </c>
      <c r="AW875" s="33">
        <f>IF(MID(E875,3,1)*1=3,$AC$64,$AB$64)</f>
        <v>1</v>
      </c>
      <c r="AX875" s="31">
        <f>IF(MID(E875,5,1)*1=1,$AE$64,$AD$64)</f>
        <v>1</v>
      </c>
      <c r="AY875" s="33">
        <f>IF(MID(E875,5,1)*1=2,$AG$64,$AF$64)</f>
        <v>1</v>
      </c>
      <c r="AZ875" s="2"/>
      <c r="BA875" s="101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</row>
    <row r="876" spans="1:71" ht="12" customHeight="1">
      <c r="A876" s="2"/>
      <c r="B876" s="107">
        <v>537</v>
      </c>
      <c r="C876" s="31">
        <v>7</v>
      </c>
      <c r="D876" s="111" t="s">
        <v>14</v>
      </c>
      <c r="E876" s="2" t="s">
        <v>79</v>
      </c>
      <c r="F876" s="2"/>
      <c r="G876" s="2"/>
      <c r="H876" s="33" t="s">
        <v>80</v>
      </c>
      <c r="I876" s="173">
        <f>M876/AE876</f>
        <v>331.8738434025671</v>
      </c>
      <c r="J876" s="174">
        <f>AH876/AE876</f>
        <v>8.2590487209389885</v>
      </c>
      <c r="K876" s="207">
        <f>RANK(I876,$I$76:$I$977)</f>
        <v>799</v>
      </c>
      <c r="L876" s="208" t="e">
        <f>RANK(I876,$I$451:$I$866)</f>
        <v>#N/A</v>
      </c>
      <c r="M876" s="173">
        <f>SUM(N876:R876)</f>
        <v>9201.9205488531588</v>
      </c>
      <c r="N876" s="174">
        <f>T876*(1+((AG876+IF(F876="백어택",8,0))/100)*(AI876/100-1))</f>
        <v>2746.3766588624931</v>
      </c>
      <c r="O876" s="174">
        <f>U876*(1+((AG876+IF(F876="백어택",8,0))/100)*(AI876/100-1))</f>
        <v>2746.3766588624931</v>
      </c>
      <c r="P876" s="174">
        <f>V876*(1+((AG876+IF(F876="백어택",8,0))/100)*(AI876*IF(AX876=1,AW876,1)/100-1))</f>
        <v>3709.1672311281723</v>
      </c>
      <c r="Q876" s="174">
        <f>W876*(1+((AG876+IF(F876="백어택",8,0))/100)*(AI876*AW876/100-1))</f>
        <v>0</v>
      </c>
      <c r="R876" s="175"/>
      <c r="S876" s="173">
        <f>SUM(T876:X876)</f>
        <v>7732.6218695536591</v>
      </c>
      <c r="T876" s="174">
        <f>AL876*AY876*IF(F876="백어택",1.2,1)</f>
        <v>2307.8543334085366</v>
      </c>
      <c r="U876" s="174">
        <f>AM876*AY876*IF(F876="백어택",1.2,1)</f>
        <v>2307.8543334085366</v>
      </c>
      <c r="V876" s="174">
        <f>AN876*AY876*IF(F876="백어택",1.2,1)</f>
        <v>3116.9132027365854</v>
      </c>
      <c r="W876" s="174">
        <f>(T876+U876+V876)*IF(AX876=1,0,0.6)*IF(F876="백어택",1.2,1)</f>
        <v>0</v>
      </c>
      <c r="X876" s="175"/>
      <c r="Y876" s="173">
        <f>SUM(Z876:AD876)</f>
        <v>15465.243739107318</v>
      </c>
      <c r="Z876" s="174">
        <f>T876*AI876/100</f>
        <v>4615.7086668170732</v>
      </c>
      <c r="AA876" s="174">
        <f>U876*AI876/100</f>
        <v>4615.7086668170732</v>
      </c>
      <c r="AB876" s="174">
        <f>V876*AI876*IF(AX876=1,AW876,1)/100</f>
        <v>6233.8264054731708</v>
      </c>
      <c r="AC876" s="174">
        <f>W876*AI876*AW876/100</f>
        <v>0</v>
      </c>
      <c r="AD876" s="175"/>
      <c r="AE876" s="173">
        <f>AO876*(1-$D$20/100)*(1-$D$17/100)</f>
        <v>27.727164197424003</v>
      </c>
      <c r="AF876" s="174">
        <f>AP876</f>
        <v>36</v>
      </c>
      <c r="AG876" s="174">
        <f>IF($D$57+AU876&gt;100,100,$D$57+AU876)</f>
        <v>19.001300000000001</v>
      </c>
      <c r="AH876" s="174">
        <f>AQ876*AS876</f>
        <v>229</v>
      </c>
      <c r="AI876" s="174">
        <f>$D$58+IF(H876="근접",AR876,0)+IF(AY876=1,0,50)</f>
        <v>200</v>
      </c>
      <c r="AJ876" s="174">
        <f>10/3</f>
        <v>3.3333333333333335</v>
      </c>
      <c r="AK876" s="174">
        <f>SUM(AL876:AN876)</f>
        <v>7732.6218695536591</v>
      </c>
      <c r="AL876" s="174">
        <f>(IF(H876="근접",$D$61*(VLOOKUP(C876,$B$36:$AG$39,19,FALSE)+VLOOKUP(C876,$B$40:$AG$43,19,FALSE)*$D$54),$D$60*(VLOOKUP(C876,$B$36:$AG$39,19,FALSE)+VLOOKUP(C876,$B$40:$AG$43,19,FALSE)*$D$54)))*$D$59/100</f>
        <v>2307.8543334085366</v>
      </c>
      <c r="AM876" s="174">
        <f>(IF(H876="근접",$D$61*(VLOOKUP(C876,$B$36:$AG$39,20,FALSE)+VLOOKUP(C876,$B$40:$AG$43,20,FALSE)*$D$54),$D$60*(VLOOKUP(C876,$B$36:$AG$39,20,FALSE)+VLOOKUP(C876,$B$40:$AG$43,20,FALSE)*$D$54)))*$D$59/100</f>
        <v>2307.8543334085366</v>
      </c>
      <c r="AN876" s="174">
        <f>(IF(H876="근접",$D$61*(VLOOKUP(C876,$B$36:$AG$39,21,FALSE)+VLOOKUP(C876,$B$40:$AG$43,21,FALSE)*$D$54),$D$60*(VLOOKUP(C876,$B$36:$AG$39,21,FALSE)+VLOOKUP(C876,$B$40:$AG$43,21,FALSE)*$D$54)))*$D$59/100</f>
        <v>3116.9132027365854</v>
      </c>
      <c r="AO876" s="176">
        <v>36</v>
      </c>
      <c r="AP876" s="174">
        <v>36</v>
      </c>
      <c r="AQ876" s="175">
        <f>VLOOKUP(C876,$B$45:$AA$48,19,FALSE)</f>
        <v>458</v>
      </c>
      <c r="AR876" s="31">
        <f>IF(LEFT(E876,1)*1=1,$S$64,$R$64)</f>
        <v>0</v>
      </c>
      <c r="AS876" s="2">
        <f>IF(LEFT(E876,1)*1=2,$U$64,$T$64)</f>
        <v>0.5</v>
      </c>
      <c r="AT876" s="33">
        <f>IF(LEFT(E876,1)*1=3,$W$64,$V$64)</f>
        <v>0</v>
      </c>
      <c r="AU876" s="31">
        <f>IF(MID(E876,3,1)*1=1,$Y$64,$X$64)</f>
        <v>0</v>
      </c>
      <c r="AV876" s="2">
        <f>IF(MID(E876,3,1)*1=2,$AA$64,$Z$64)</f>
        <v>0</v>
      </c>
      <c r="AW876" s="33">
        <f>IF(MID(E876,3,1)*1=3,$AC$64,$AB$64)</f>
        <v>1</v>
      </c>
      <c r="AX876" s="31">
        <f>IF(MID(E876,5,1)*1=1,$AE$64,$AD$64)</f>
        <v>1</v>
      </c>
      <c r="AY876" s="33">
        <f>IF(MID(E876,5,1)*1=2,$AG$64,$AF$64)</f>
        <v>1</v>
      </c>
      <c r="AZ876" s="2"/>
      <c r="BA876" s="101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</row>
    <row r="877" spans="1:71" ht="12" customHeight="1">
      <c r="A877" s="2"/>
      <c r="B877" s="107">
        <v>864</v>
      </c>
      <c r="C877" s="31">
        <v>4</v>
      </c>
      <c r="D877" s="113" t="s">
        <v>15</v>
      </c>
      <c r="E877" s="2" t="s">
        <v>79</v>
      </c>
      <c r="F877" s="1"/>
      <c r="G877" s="1" t="s">
        <v>174</v>
      </c>
      <c r="H877" s="33">
        <f>IF(AX877=AT877,3,4)</f>
        <v>3</v>
      </c>
      <c r="I877" s="173">
        <f>M877/AE877</f>
        <v>331.31490083871699</v>
      </c>
      <c r="J877" s="174">
        <f>AH877/AE877</f>
        <v>7.5847335018681159</v>
      </c>
      <c r="K877" s="207">
        <f>RANK(I877,$I$76:$I$977)</f>
        <v>802</v>
      </c>
      <c r="L877" s="208">
        <f>RANK(I877,$I$867:$I$977)</f>
        <v>11</v>
      </c>
      <c r="M877" s="173">
        <f>SUM(N877:R877)*(1+$D$22/100)</f>
        <v>9915.7712623475763</v>
      </c>
      <c r="N877" s="174">
        <f>T877*(1+((AG877+IF(F877="백어택",8,0))/100)*(AI877/100-1))</f>
        <v>2978.0396233610718</v>
      </c>
      <c r="O877" s="174">
        <f>U877*(1+(AG877/100)*(AI877/100-1))</f>
        <v>2978.0396233610718</v>
      </c>
      <c r="P877" s="174">
        <f>V877*(1+(AG877/100)*(AI877/100-1))</f>
        <v>2978.0396233610718</v>
      </c>
      <c r="Q877" s="174">
        <f>W877*(1+(AG877/100)*(AI877/100-1))</f>
        <v>0</v>
      </c>
      <c r="R877" s="175">
        <f>X877*(1+(AG877/100)*(AI877/100-1))</f>
        <v>0</v>
      </c>
      <c r="S877" s="173">
        <f>SUM(T877:X877)</f>
        <v>7507.5809004466464</v>
      </c>
      <c r="T877" s="174">
        <f>AL877*AS877*AY877</f>
        <v>2502.5269668155488</v>
      </c>
      <c r="U877" s="174">
        <f>AL877*AS877*AY877</f>
        <v>2502.5269668155488</v>
      </c>
      <c r="V877" s="174">
        <f>AL877*AS877*AY877</f>
        <v>2502.5269668155488</v>
      </c>
      <c r="W877" s="174">
        <f>IF(H877=4,AL877*AS877*IF(AT877=0,AY877,1),0)</f>
        <v>0</v>
      </c>
      <c r="X877" s="175">
        <f>AL877*IF(H877=3,11,IF(AT877=1,15,13))*IF(AW877=1,0,AW877)</f>
        <v>0</v>
      </c>
      <c r="Y877" s="173">
        <f>SUM(Z877:AD877)</f>
        <v>15015.161800893293</v>
      </c>
      <c r="Z877" s="174">
        <f>T877*AI877/100</f>
        <v>5005.0539336310976</v>
      </c>
      <c r="AA877" s="174">
        <f>U877*AI877/100</f>
        <v>5005.0539336310976</v>
      </c>
      <c r="AB877" s="174">
        <f>V877*AI877/100</f>
        <v>5005.0539336310976</v>
      </c>
      <c r="AC877" s="174">
        <f>W877*AI877/100</f>
        <v>0</v>
      </c>
      <c r="AD877" s="175">
        <f>X877*AI877/100</f>
        <v>0</v>
      </c>
      <c r="AE877" s="173">
        <f>AO877*(1-$D$17/100)</f>
        <v>29.928540000000002</v>
      </c>
      <c r="AF877" s="174">
        <f>AP877</f>
        <v>36</v>
      </c>
      <c r="AG877" s="174">
        <f>IF($D$57+AX877&gt;100,100,$D$57+AX877)</f>
        <v>19.001300000000001</v>
      </c>
      <c r="AH877" s="174">
        <f>AQ877</f>
        <v>227</v>
      </c>
      <c r="AI877" s="174">
        <f>$D$58</f>
        <v>200</v>
      </c>
      <c r="AJ877" s="174">
        <f>10*AU877/IF(AT877=1,2.5,(IF(AY877=1,3,2.5)))</f>
        <v>3.3333333333333335</v>
      </c>
      <c r="AK877" s="174">
        <f>SUM(AL877:AN877)</f>
        <v>2002.021573452439</v>
      </c>
      <c r="AL877" s="174">
        <f>((VLOOKUP(C877,$B$36:$AG$39,22,FALSE)+VLOOKUP(C877,$B$40:$AG$43,22,FALSE)*$D$54))*$D$59/100</f>
        <v>2002.021573452439</v>
      </c>
      <c r="AM877" s="174"/>
      <c r="AN877" s="174"/>
      <c r="AO877" s="176">
        <v>30</v>
      </c>
      <c r="AP877" s="174">
        <v>36</v>
      </c>
      <c r="AQ877" s="175">
        <f>VLOOKUP(C877,$B$45:$AA$48,22,FALSE)</f>
        <v>227</v>
      </c>
      <c r="AR877" s="31">
        <f>IF(LEFT(E877,1)*1=1,$S$65,$R$65)</f>
        <v>0</v>
      </c>
      <c r="AS877" s="2">
        <f>IF(LEFT(E877,1)*1=2,$U$65,$T$65)</f>
        <v>1.25</v>
      </c>
      <c r="AT877" s="33">
        <f>IF(LEFT(E877,1)*1=3,$W$65,$V$65)</f>
        <v>0</v>
      </c>
      <c r="AU877" s="31">
        <f>IF(MID(E877,3,1)*1=1,$Y$65,$X$65)</f>
        <v>1</v>
      </c>
      <c r="AV877" s="2">
        <f>IF(MID(E877,3,1)*1=2,$AA$65,$Z$65)</f>
        <v>0</v>
      </c>
      <c r="AW877" s="33">
        <f>IF(MID(E877,3,1)*1=3,$AC$65,$AB$65)</f>
        <v>1</v>
      </c>
      <c r="AX877" s="31">
        <f>IF(MID(E877,5,1)*1=1,$AE$65,$AD$65)</f>
        <v>0</v>
      </c>
      <c r="AY877" s="33">
        <f>IF(MID(E877,5,1)*1=2,$AG$65,$AF$65)</f>
        <v>1</v>
      </c>
      <c r="AZ877" s="2"/>
      <c r="BA877" s="101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</row>
    <row r="878" spans="1:71" ht="12" customHeight="1">
      <c r="A878" s="2"/>
      <c r="B878" s="107">
        <v>91</v>
      </c>
      <c r="C878" s="31">
        <v>4</v>
      </c>
      <c r="D878" s="106" t="s">
        <v>5</v>
      </c>
      <c r="E878" s="2" t="s">
        <v>67</v>
      </c>
      <c r="F878" s="2"/>
      <c r="G878" s="2"/>
      <c r="H878" s="33">
        <v>9</v>
      </c>
      <c r="I878" s="173">
        <f>M878/AE878</f>
        <v>331.27788453158695</v>
      </c>
      <c r="J878" s="174">
        <f>AH878/AE878</f>
        <v>13.281636858998134</v>
      </c>
      <c r="K878" s="207">
        <f>RANK(I878,$I$76:$I$977)</f>
        <v>803</v>
      </c>
      <c r="L878" s="208" t="e">
        <f>RANK(I878,$I$76:$I$450)</f>
        <v>#N/A</v>
      </c>
      <c r="M878" s="173">
        <f>SUM(N878:R878)</f>
        <v>2643.9102448850617</v>
      </c>
      <c r="N878" s="174">
        <f>T878*(1+((AG878+IF(F878="백어택",8,0))/100)*((AI878/100-1)))</f>
        <v>2643.9102448850617</v>
      </c>
      <c r="O878" s="174"/>
      <c r="P878" s="174"/>
      <c r="Q878" s="174"/>
      <c r="R878" s="175"/>
      <c r="S878" s="173">
        <f>SUM(T878:X878)</f>
        <v>2002.3821629121951</v>
      </c>
      <c r="T878" s="174">
        <f>AL878*AU878*AW878*AX878*AY878</f>
        <v>2002.3821629121951</v>
      </c>
      <c r="U878" s="174"/>
      <c r="V878" s="174"/>
      <c r="W878" s="174"/>
      <c r="X878" s="175"/>
      <c r="Y878" s="173">
        <f>SUM(Z878:AD878)</f>
        <v>4004.7643258243902</v>
      </c>
      <c r="Z878" s="174">
        <f>T878*$D$58/100</f>
        <v>4004.7643258243902</v>
      </c>
      <c r="AA878" s="174"/>
      <c r="AB878" s="174"/>
      <c r="AC878" s="174"/>
      <c r="AD878" s="175"/>
      <c r="AE878" s="173">
        <f>AO878*(1-$D$17/100)</f>
        <v>7.980944</v>
      </c>
      <c r="AF878" s="174">
        <f>AP878</f>
        <v>36</v>
      </c>
      <c r="AG878" s="174">
        <f>IF($D$57&gt;100,100,$D$57)</f>
        <v>19.001300000000001</v>
      </c>
      <c r="AH878" s="174">
        <f>AQ878</f>
        <v>106</v>
      </c>
      <c r="AI878" s="174">
        <f>$D$58+$D$19</f>
        <v>268.61079999999998</v>
      </c>
      <c r="AJ878" s="174">
        <f>1*AS878</f>
        <v>1</v>
      </c>
      <c r="AK878" s="174">
        <f>SUM(AL878:AN878)</f>
        <v>2002.3821629121951</v>
      </c>
      <c r="AL878" s="174">
        <f>(H878*(VLOOKUP(C878,$B$36:$AG$39,6,FALSE)+VLOOKUP(C878,$B$40:$AG$43,6,FALSE)*$D$54))*$D$59/100</f>
        <v>2002.3821629121951</v>
      </c>
      <c r="AM878" s="174"/>
      <c r="AN878" s="174"/>
      <c r="AO878" s="176">
        <v>8</v>
      </c>
      <c r="AP878" s="174">
        <v>36</v>
      </c>
      <c r="AQ878" s="175">
        <f>VLOOKUP(C878,$B$45:$AA$48,6,FALSE)</f>
        <v>106</v>
      </c>
      <c r="AR878" s="31">
        <f>IF(LEFT(E878,1)*1=1,$S$55,$R$55)</f>
        <v>0</v>
      </c>
      <c r="AS878" s="2">
        <f>IF(LEFT(E878,1)*1=2,$U$55,$T$55)</f>
        <v>1</v>
      </c>
      <c r="AT878" s="33">
        <f>IF(LEFT(E878,1)*1=3,$W$55,$V$55)</f>
        <v>0</v>
      </c>
      <c r="AU878" s="31">
        <f>IF(MID(E878,3,1)*1=1,$Y$55,$X$55)</f>
        <v>1</v>
      </c>
      <c r="AV878" s="2">
        <f>IF(MID(E878,3,1)*1=2,$AA$55,$Z$55)</f>
        <v>0</v>
      </c>
      <c r="AW878" s="33">
        <f>IF(MID(E878,3,1)*1=3,$AC$55,$AB$55)</f>
        <v>1</v>
      </c>
      <c r="AX878" s="31">
        <f>IF(MID(E878,5,1)*1=1,$AE$55,$AD$55)</f>
        <v>1</v>
      </c>
      <c r="AY878" s="33">
        <f>IF(MID(E878,5,1)*1=2,$AG$55,$AF$55)</f>
        <v>1</v>
      </c>
      <c r="AZ878" s="2"/>
      <c r="BA878" s="101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</row>
    <row r="879" spans="1:71" ht="12" customHeight="1">
      <c r="A879" s="2"/>
      <c r="B879" s="107">
        <v>92</v>
      </c>
      <c r="C879" s="31">
        <v>4</v>
      </c>
      <c r="D879" s="106" t="s">
        <v>5</v>
      </c>
      <c r="E879" s="2" t="s">
        <v>79</v>
      </c>
      <c r="F879" s="2"/>
      <c r="G879" s="2"/>
      <c r="H879" s="33">
        <v>9</v>
      </c>
      <c r="I879" s="173">
        <f>M879/AE879</f>
        <v>331.27788453158695</v>
      </c>
      <c r="J879" s="174">
        <f>AH879/AE879</f>
        <v>13.281636858998134</v>
      </c>
      <c r="K879" s="207">
        <f>RANK(I879,$I$76:$I$977)</f>
        <v>803</v>
      </c>
      <c r="L879" s="208" t="e">
        <f>RANK(I879,$I$76:$I$450)</f>
        <v>#N/A</v>
      </c>
      <c r="M879" s="173">
        <f>SUM(N879:R879)</f>
        <v>2643.9102448850617</v>
      </c>
      <c r="N879" s="174">
        <f>T879*(1+((AG879+IF(F879="백어택",8,0))/100)*((AI879/100-1)))</f>
        <v>2643.9102448850617</v>
      </c>
      <c r="O879" s="174"/>
      <c r="P879" s="174"/>
      <c r="Q879" s="174"/>
      <c r="R879" s="175"/>
      <c r="S879" s="173">
        <f>SUM(T879:X879)</f>
        <v>2002.3821629121951</v>
      </c>
      <c r="T879" s="174">
        <f>AL879*AU879*AW879*AX879*AY879</f>
        <v>2002.3821629121951</v>
      </c>
      <c r="U879" s="174"/>
      <c r="V879" s="174"/>
      <c r="W879" s="174"/>
      <c r="X879" s="175"/>
      <c r="Y879" s="173">
        <f>SUM(Z879:AD879)</f>
        <v>4004.7643258243902</v>
      </c>
      <c r="Z879" s="174">
        <f>T879*$D$58/100</f>
        <v>4004.7643258243902</v>
      </c>
      <c r="AA879" s="174"/>
      <c r="AB879" s="174"/>
      <c r="AC879" s="174"/>
      <c r="AD879" s="175"/>
      <c r="AE879" s="173">
        <f>AO879*(1-$D$17/100)</f>
        <v>7.980944</v>
      </c>
      <c r="AF879" s="174">
        <f>AP879</f>
        <v>36</v>
      </c>
      <c r="AG879" s="174">
        <f>IF($D$57&gt;100,100,$D$57)</f>
        <v>19.001300000000001</v>
      </c>
      <c r="AH879" s="174">
        <f>AQ879</f>
        <v>106</v>
      </c>
      <c r="AI879" s="174">
        <f>$D$58+$D$19</f>
        <v>268.61079999999998</v>
      </c>
      <c r="AJ879" s="174">
        <f>1*AS879</f>
        <v>0.8</v>
      </c>
      <c r="AK879" s="174">
        <f>SUM(AL879:AN879)</f>
        <v>2002.3821629121951</v>
      </c>
      <c r="AL879" s="174">
        <f>(H879*(VLOOKUP(C879,$B$36:$AG$39,6,FALSE)+VLOOKUP(C879,$B$40:$AG$43,6,FALSE)*$D$54))*$D$59/100</f>
        <v>2002.3821629121951</v>
      </c>
      <c r="AM879" s="174"/>
      <c r="AN879" s="174"/>
      <c r="AO879" s="176">
        <v>8</v>
      </c>
      <c r="AP879" s="174">
        <v>36</v>
      </c>
      <c r="AQ879" s="175">
        <f>VLOOKUP(C879,$B$45:$AA$48,6,FALSE)</f>
        <v>106</v>
      </c>
      <c r="AR879" s="31">
        <f>IF(LEFT(E879,1)*1=1,$S$55,$R$55)</f>
        <v>0</v>
      </c>
      <c r="AS879" s="2">
        <f>IF(LEFT(E879,1)*1=2,$U$55,$T$55)</f>
        <v>0.8</v>
      </c>
      <c r="AT879" s="33">
        <f>IF(LEFT(E879,1)*1=3,$W$55,$V$55)</f>
        <v>0</v>
      </c>
      <c r="AU879" s="31">
        <f>IF(MID(E879,3,1)*1=1,$Y$55,$X$55)</f>
        <v>1</v>
      </c>
      <c r="AV879" s="2">
        <f>IF(MID(E879,3,1)*1=2,$AA$55,$Z$55)</f>
        <v>0</v>
      </c>
      <c r="AW879" s="33">
        <f>IF(MID(E879,3,1)*1=3,$AC$55,$AB$55)</f>
        <v>1</v>
      </c>
      <c r="AX879" s="31">
        <f>IF(MID(E879,5,1)*1=1,$AE$55,$AD$55)</f>
        <v>1</v>
      </c>
      <c r="AY879" s="33">
        <f>IF(MID(E879,5,1)*1=2,$AG$55,$AF$55)</f>
        <v>1</v>
      </c>
      <c r="AZ879" s="2"/>
      <c r="BA879" s="101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</row>
    <row r="880" spans="1:71" ht="12" customHeight="1">
      <c r="A880" s="2"/>
      <c r="B880" s="107">
        <v>902</v>
      </c>
      <c r="C880" s="31">
        <v>1</v>
      </c>
      <c r="D880" s="166" t="s">
        <v>22</v>
      </c>
      <c r="E880" s="168" t="s">
        <v>67</v>
      </c>
      <c r="F880" s="168"/>
      <c r="G880" s="168"/>
      <c r="H880" s="33"/>
      <c r="I880" s="173">
        <f>M880/AE880</f>
        <v>327.48864916531409</v>
      </c>
      <c r="J880" s="177">
        <f>AH880/AE880</f>
        <v>3.8090732123919175</v>
      </c>
      <c r="K880" s="209">
        <f>RANK(I880,$I$76:$I$977)</f>
        <v>805</v>
      </c>
      <c r="L880" s="208">
        <f>RANK(I880,$I$867:$I$977)</f>
        <v>14</v>
      </c>
      <c r="M880" s="173">
        <f>SUM(N880:R880)*(1+$D$22/100)</f>
        <v>9801.2571360900693</v>
      </c>
      <c r="N880" s="177">
        <f>T880*(1+((AG880+IF(F880="백어택",8,0))/100)*(AI880/100-1))</f>
        <v>8830.941538817704</v>
      </c>
      <c r="O880" s="177"/>
      <c r="P880" s="177"/>
      <c r="Q880" s="177"/>
      <c r="R880" s="175">
        <f>X880*(1+($D$57/100)*(AI880/100-1))</f>
        <v>0</v>
      </c>
      <c r="S880" s="173">
        <f>SUM(T880:X880)</f>
        <v>7420.8782079000011</v>
      </c>
      <c r="T880" s="177">
        <f>AL880*AU880</f>
        <v>7420.8782079000011</v>
      </c>
      <c r="U880" s="177"/>
      <c r="V880" s="177"/>
      <c r="W880" s="177"/>
      <c r="X880" s="175">
        <f>AL880*AW880</f>
        <v>0</v>
      </c>
      <c r="Y880" s="173">
        <f>SUM(Z880:AD880)</f>
        <v>14841.756415800002</v>
      </c>
      <c r="Z880" s="177">
        <f>T880*$D$58/100</f>
        <v>14841.756415800002</v>
      </c>
      <c r="AA880" s="177"/>
      <c r="AB880" s="177"/>
      <c r="AC880" s="177"/>
      <c r="AD880" s="175"/>
      <c r="AE880" s="173">
        <f>AO880*(1-$D$17/100)</f>
        <v>29.928540000000002</v>
      </c>
      <c r="AF880" s="177">
        <f>AP880+AV880</f>
        <v>36</v>
      </c>
      <c r="AG880" s="177">
        <f>IF($D$57+AY880&gt;100,100,$D$57+AY880)</f>
        <v>19.001300000000001</v>
      </c>
      <c r="AH880" s="177">
        <f>AQ880*AR880</f>
        <v>114</v>
      </c>
      <c r="AI880" s="177">
        <f>$D$58</f>
        <v>200</v>
      </c>
      <c r="AJ880" s="177">
        <f>10/5</f>
        <v>2</v>
      </c>
      <c r="AK880" s="177">
        <f>SUM(AL880:AN880)</f>
        <v>7420.8782079000011</v>
      </c>
      <c r="AL880" s="177">
        <f>(VLOOKUP(C880,$B$36:$AG$39,32,FALSE)+VLOOKUP(C880,$B$40:$AG$43,32,FALSE)*$D$54)*$D$59/100</f>
        <v>7420.8782079000011</v>
      </c>
      <c r="AM880" s="177"/>
      <c r="AN880" s="177"/>
      <c r="AO880" s="178">
        <v>30</v>
      </c>
      <c r="AP880" s="177">
        <v>36</v>
      </c>
      <c r="AQ880" s="175">
        <f>VLOOKUP(C880,$B$45:$AG$48,32,FALSE)</f>
        <v>114</v>
      </c>
      <c r="AR880" s="31">
        <f>IF(LEFT(E880,1)*1=1,$S$72,$R$72)</f>
        <v>1</v>
      </c>
      <c r="AS880" s="168">
        <f>IF(LEFT(E880,1)*1=2,$U$72,$T$72)</f>
        <v>0</v>
      </c>
      <c r="AT880" s="33">
        <f>IF(LEFT(E880,1)*1=3,$W$72,$V$72)</f>
        <v>0</v>
      </c>
      <c r="AU880" s="31">
        <f>IF(MID(E880,3,1)*1=1,$Y$72,$X$72)</f>
        <v>1</v>
      </c>
      <c r="AV880" s="168">
        <f>IF(MID(E880,3,1)*1=2,$AA$72,$Z$72)</f>
        <v>0</v>
      </c>
      <c r="AW880" s="33">
        <f>IF(MID(E880,3,1)*1=3,$AC$72,$AB$72)</f>
        <v>0</v>
      </c>
      <c r="AX880" s="31">
        <f>IF(MID(E880,5,1)*1=1,$AE$72,$AD$72)</f>
        <v>0</v>
      </c>
      <c r="AY880" s="33">
        <f>IF(MID(E880,5,1)*1=2,$AG$72,$AF$72)</f>
        <v>0</v>
      </c>
      <c r="AZ880" s="2"/>
      <c r="BA880" s="101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</row>
    <row r="881" spans="1:71" ht="12" customHeight="1">
      <c r="A881" s="2"/>
      <c r="B881" s="107">
        <v>363</v>
      </c>
      <c r="C881" s="31">
        <v>7</v>
      </c>
      <c r="D881" s="106" t="s">
        <v>20</v>
      </c>
      <c r="E881" s="2" t="s">
        <v>67</v>
      </c>
      <c r="F881" s="2"/>
      <c r="G881" s="2"/>
      <c r="H881" s="33"/>
      <c r="I881" s="173">
        <f>M881/AE881</f>
        <v>326.37801756922289</v>
      </c>
      <c r="J881" s="174">
        <f>AH881/AE881</f>
        <v>17.096278891876004</v>
      </c>
      <c r="K881" s="207">
        <f>RANK(I881,$I$76:$I$977)</f>
        <v>806</v>
      </c>
      <c r="L881" s="208" t="e">
        <f>RANK(I881,$I$76:$I$450)</f>
        <v>#N/A</v>
      </c>
      <c r="M881" s="173">
        <f>SUM(N881:R881)</f>
        <v>5860.8105323647142</v>
      </c>
      <c r="N881" s="174">
        <f>T881*(1+((AG881+IF(F881="백어택",8,0))/100)*((AI881/100-1)))</f>
        <v>3082.8369487290388</v>
      </c>
      <c r="O881" s="174">
        <f>U881*(1+(($D$57+IF(F881="백어택",8,0))/100)*($D$58/100-1))</f>
        <v>2777.9735836356754</v>
      </c>
      <c r="P881" s="174"/>
      <c r="Q881" s="174"/>
      <c r="R881" s="175"/>
      <c r="S881" s="173">
        <f>SUM(T881:X881)</f>
        <v>4669.212161943904</v>
      </c>
      <c r="T881" s="174">
        <f>AL881*AV881*IF(F881="백어택",1.2,1)</f>
        <v>2334.8060809719518</v>
      </c>
      <c r="U881" s="174">
        <f>AM881*AX881*AY881*IF(F881="백어택",1.2,1)</f>
        <v>2334.4060809719517</v>
      </c>
      <c r="V881" s="174"/>
      <c r="W881" s="174"/>
      <c r="X881" s="175"/>
      <c r="Y881" s="173">
        <f>SUM(Z881:AD881)</f>
        <v>9338.424323887808</v>
      </c>
      <c r="Z881" s="174">
        <f>T881*$D$58/100</f>
        <v>4669.6121619439036</v>
      </c>
      <c r="AA881" s="174">
        <f>U881*$D$58/100</f>
        <v>4668.8121619439034</v>
      </c>
      <c r="AB881" s="174"/>
      <c r="AC881" s="174"/>
      <c r="AD881" s="175"/>
      <c r="AE881" s="173">
        <f>AO881*(1-$D$17/100)-AR881</f>
        <v>17.957124</v>
      </c>
      <c r="AF881" s="174">
        <f>AP881</f>
        <v>36</v>
      </c>
      <c r="AG881" s="174">
        <f>IF($D$57+AU881&gt;100,100,$D$57+AU881)</f>
        <v>19.001300000000001</v>
      </c>
      <c r="AH881" s="174">
        <f>AQ881*AS881</f>
        <v>307</v>
      </c>
      <c r="AI881" s="174">
        <f>$D$58+$D$19</f>
        <v>268.61079999999998</v>
      </c>
      <c r="AJ881" s="174">
        <f>10*IF(AV881=1,1,5/4.5)/IF(AX881=1,5,3.5)</f>
        <v>2</v>
      </c>
      <c r="AK881" s="174">
        <f>SUM(AL881:AN881)</f>
        <v>4669.212161943904</v>
      </c>
      <c r="AL881" s="174">
        <f>(VLOOKUP(C881,$B$36:$AG$39,29,FALSE)+VLOOKUP(C881,$B$40:$AG$43,29,FALSE)*$D$54)*$D$59/100</f>
        <v>2334.8060809719518</v>
      </c>
      <c r="AM881" s="174">
        <f>(VLOOKUP(C881,$B$36:$AG$39,30,FALSE)+VLOOKUP(C881,$B$40:$AG$43,30,FALSE)*$D$54)*$D$59/100</f>
        <v>2334.4060809719517</v>
      </c>
      <c r="AN881" s="174"/>
      <c r="AO881" s="176">
        <v>18</v>
      </c>
      <c r="AP881" s="174">
        <v>36</v>
      </c>
      <c r="AQ881" s="175">
        <f>VLOOKUP(C881,$B$45:$AG$48,29,FALSE)</f>
        <v>307</v>
      </c>
      <c r="AR881" s="31">
        <f>IF(LEFT(E881,1)*1=1,$S$70,$R$70)</f>
        <v>0</v>
      </c>
      <c r="AS881" s="2">
        <f>IF(LEFT(E881,1)*1=2,$U$70,$T$70)</f>
        <v>1</v>
      </c>
      <c r="AT881" s="33">
        <f>IF(LEFT(E881,1)*1=3,$W$70,$V$70)</f>
        <v>0</v>
      </c>
      <c r="AU881" s="31">
        <f>IF(MID(E881,3,1)*1=1,$Y$70,$X$70)</f>
        <v>0</v>
      </c>
      <c r="AV881" s="2">
        <f>IF(MID(E881,3,1)*1=2,$AA$70,$Z$70)</f>
        <v>1</v>
      </c>
      <c r="AW881" s="33">
        <f>IF(MID(E881,3,1)*1=3,$AC$70,$AB$70)</f>
        <v>0</v>
      </c>
      <c r="AX881" s="31">
        <f>IF(MID(E881,5,1)*1=1,$AE$70,$AD$70)</f>
        <v>1</v>
      </c>
      <c r="AY881" s="33">
        <f>IF(MID(E881,5,1)*1=2,$AG$70,$AF$70)</f>
        <v>1</v>
      </c>
      <c r="AZ881" s="2"/>
      <c r="BA881" s="101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</row>
    <row r="882" spans="1:71" ht="12" customHeight="1">
      <c r="A882" s="2"/>
      <c r="B882" s="107">
        <v>369</v>
      </c>
      <c r="C882" s="31">
        <v>7</v>
      </c>
      <c r="D882" s="106" t="s">
        <v>20</v>
      </c>
      <c r="E882" s="2" t="s">
        <v>79</v>
      </c>
      <c r="F882" s="2"/>
      <c r="G882" s="2"/>
      <c r="H882" s="33"/>
      <c r="I882" s="173">
        <f>M882/AE882</f>
        <v>326.37801756922289</v>
      </c>
      <c r="J882" s="174">
        <f>AH882/AE882</f>
        <v>8.548139445938002</v>
      </c>
      <c r="K882" s="207">
        <f>RANK(I882,$I$76:$I$977)</f>
        <v>806</v>
      </c>
      <c r="L882" s="208" t="e">
        <f>RANK(I882,$I$76:$I$450)</f>
        <v>#N/A</v>
      </c>
      <c r="M882" s="173">
        <f>SUM(N882:R882)</f>
        <v>5860.8105323647142</v>
      </c>
      <c r="N882" s="174">
        <f>T882*(1+((AG882+IF(F882="백어택",8,0))/100)*((AI882/100-1)))</f>
        <v>3082.8369487290388</v>
      </c>
      <c r="O882" s="174">
        <f>U882*(1+(($D$57+IF(F882="백어택",8,0))/100)*($D$58/100-1))</f>
        <v>2777.9735836356754</v>
      </c>
      <c r="P882" s="174"/>
      <c r="Q882" s="174"/>
      <c r="R882" s="175"/>
      <c r="S882" s="173">
        <f>SUM(T882:X882)</f>
        <v>4669.212161943904</v>
      </c>
      <c r="T882" s="174">
        <f>AL882*AV882*IF(F882="백어택",1.2,1)</f>
        <v>2334.8060809719518</v>
      </c>
      <c r="U882" s="174">
        <f>AM882*AX882*AY882*IF(F882="백어택",1.2,1)</f>
        <v>2334.4060809719517</v>
      </c>
      <c r="V882" s="174"/>
      <c r="W882" s="174"/>
      <c r="X882" s="175"/>
      <c r="Y882" s="173">
        <f>SUM(Z882:AD882)</f>
        <v>9338.424323887808</v>
      </c>
      <c r="Z882" s="174">
        <f>T882*$D$58/100</f>
        <v>4669.6121619439036</v>
      </c>
      <c r="AA882" s="174">
        <f>U882*$D$58/100</f>
        <v>4668.8121619439034</v>
      </c>
      <c r="AB882" s="174"/>
      <c r="AC882" s="174"/>
      <c r="AD882" s="175"/>
      <c r="AE882" s="173">
        <f>AO882*(1-$D$17/100)-AR882</f>
        <v>17.957124</v>
      </c>
      <c r="AF882" s="174">
        <f>AP882</f>
        <v>36</v>
      </c>
      <c r="AG882" s="174">
        <f>IF($D$57+AU882&gt;100,100,$D$57+AU882)</f>
        <v>19.001300000000001</v>
      </c>
      <c r="AH882" s="174">
        <f>AQ882*AS882</f>
        <v>153.5</v>
      </c>
      <c r="AI882" s="174">
        <f>$D$58+$D$19</f>
        <v>268.61079999999998</v>
      </c>
      <c r="AJ882" s="174">
        <f>10*IF(AV882=1,1,5/4.5)/IF(AX882=1,5,3.5)</f>
        <v>2</v>
      </c>
      <c r="AK882" s="174">
        <f>SUM(AL882:AN882)</f>
        <v>4669.212161943904</v>
      </c>
      <c r="AL882" s="174">
        <f>(VLOOKUP(C882,$B$36:$AG$39,29,FALSE)+VLOOKUP(C882,$B$40:$AG$43,29,FALSE)*$D$54)*$D$59/100</f>
        <v>2334.8060809719518</v>
      </c>
      <c r="AM882" s="174">
        <f>(VLOOKUP(C882,$B$36:$AG$39,30,FALSE)+VLOOKUP(C882,$B$40:$AG$43,30,FALSE)*$D$54)*$D$59/100</f>
        <v>2334.4060809719517</v>
      </c>
      <c r="AN882" s="174"/>
      <c r="AO882" s="176">
        <v>18</v>
      </c>
      <c r="AP882" s="174">
        <v>36</v>
      </c>
      <c r="AQ882" s="175">
        <f>VLOOKUP(C882,$B$45:$AG$48,29,FALSE)</f>
        <v>307</v>
      </c>
      <c r="AR882" s="31">
        <f>IF(LEFT(E882,1)*1=1,$S$70,$R$70)</f>
        <v>0</v>
      </c>
      <c r="AS882" s="2">
        <f>IF(LEFT(E882,1)*1=2,$U$70,$T$70)</f>
        <v>0.5</v>
      </c>
      <c r="AT882" s="33">
        <f>IF(LEFT(E882,1)*1=3,$W$70,$V$70)</f>
        <v>0</v>
      </c>
      <c r="AU882" s="31">
        <f>IF(MID(E882,3,1)*1=1,$Y$70,$X$70)</f>
        <v>0</v>
      </c>
      <c r="AV882" s="2">
        <f>IF(MID(E882,3,1)*1=2,$AA$70,$Z$70)</f>
        <v>1</v>
      </c>
      <c r="AW882" s="33">
        <f>IF(MID(E882,3,1)*1=3,$AC$70,$AB$70)</f>
        <v>0</v>
      </c>
      <c r="AX882" s="31">
        <f>IF(MID(E882,5,1)*1=1,$AE$70,$AD$70)</f>
        <v>1</v>
      </c>
      <c r="AY882" s="33">
        <f>IF(MID(E882,5,1)*1=2,$AG$70,$AF$70)</f>
        <v>1</v>
      </c>
      <c r="AZ882" s="2"/>
      <c r="BA882" s="101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</row>
    <row r="883" spans="1:71" ht="12" customHeight="1">
      <c r="A883" s="2"/>
      <c r="B883" s="107">
        <v>481</v>
      </c>
      <c r="C883" s="31">
        <v>1</v>
      </c>
      <c r="D883" s="111" t="s">
        <v>11</v>
      </c>
      <c r="E883" s="2" t="s">
        <v>67</v>
      </c>
      <c r="F883" s="2"/>
      <c r="G883" s="2"/>
      <c r="H883" s="33">
        <f>IF(AX883=1,5,1)</f>
        <v>5</v>
      </c>
      <c r="I883" s="173">
        <f>M883/AE883</f>
        <v>322.93631950812033</v>
      </c>
      <c r="J883" s="174">
        <f>AH883/AE883</f>
        <v>4.9337898036002343</v>
      </c>
      <c r="K883" s="207">
        <f>RANK(I883,$I$76:$I$977)</f>
        <v>808</v>
      </c>
      <c r="L883" s="208" t="e">
        <f>RANK(I883,$I$451:$I$866)</f>
        <v>#N/A</v>
      </c>
      <c r="M883" s="173">
        <f>SUM(N883:R883)</f>
        <v>7461.7569635945256</v>
      </c>
      <c r="N883" s="174">
        <f>T883*(1+(AG883/100)*(AI883/100-1))</f>
        <v>6909.2105237727092</v>
      </c>
      <c r="O883" s="174">
        <f>U883*(1+(AG883/100)*(AI883/100-1))</f>
        <v>552.54643982181665</v>
      </c>
      <c r="P883" s="174"/>
      <c r="Q883" s="174"/>
      <c r="R883" s="175"/>
      <c r="S883" s="173">
        <f>T883</f>
        <v>5805.9958368292691</v>
      </c>
      <c r="T883" s="174">
        <f>H883*AL883*AX883</f>
        <v>5805.9958368292691</v>
      </c>
      <c r="U883" s="174">
        <f>AM883*AV883</f>
        <v>464.31966694634144</v>
      </c>
      <c r="V883" s="174"/>
      <c r="W883" s="174"/>
      <c r="X883" s="175"/>
      <c r="Y883" s="173">
        <f>SUM(Z883:AD883)</f>
        <v>12540.631007551221</v>
      </c>
      <c r="Z883" s="174">
        <f>T883*$D$58/100</f>
        <v>11611.991673658538</v>
      </c>
      <c r="AA883" s="174">
        <f>U883*$D$58/100</f>
        <v>928.63933389268288</v>
      </c>
      <c r="AB883" s="174"/>
      <c r="AC883" s="174"/>
      <c r="AD883" s="175"/>
      <c r="AE883" s="173">
        <f>AO883*(1-$D$20/100)*(1-$D$17/100)-AR883</f>
        <v>23.105970164519999</v>
      </c>
      <c r="AF883" s="174">
        <f>AP883</f>
        <v>36</v>
      </c>
      <c r="AG883" s="174">
        <f>IF($D$57+AS883&gt;100,100,$D$57+AS883)</f>
        <v>19.001300000000001</v>
      </c>
      <c r="AH883" s="174">
        <f>AQ883</f>
        <v>114</v>
      </c>
      <c r="AI883" s="174">
        <f>$D$58</f>
        <v>200</v>
      </c>
      <c r="AJ883" s="174">
        <f>10/IF(AX883=1,7,6)</f>
        <v>1.4285714285714286</v>
      </c>
      <c r="AK883" s="174">
        <f>SUM(AL883:AN883)</f>
        <v>1625.5188343121952</v>
      </c>
      <c r="AL883" s="174">
        <f>(VLOOKUP(C883,$B$36:$AG$39,14,FALSE)+VLOOKUP(C883,$B$40:$AG$43,14,FALSE)*$D$54)*$D$59/100</f>
        <v>1161.1991673658538</v>
      </c>
      <c r="AM883" s="174">
        <f>(VLOOKUP(C883,$B$36:$AG$39,15,FALSE)+VLOOKUP(C883,$B$40:$AG$43,15,FALSE)*$D$54)*$D$59/100</f>
        <v>464.31966694634144</v>
      </c>
      <c r="AN883" s="174"/>
      <c r="AO883" s="176">
        <v>30</v>
      </c>
      <c r="AP883" s="174">
        <v>36</v>
      </c>
      <c r="AQ883" s="175">
        <f>VLOOKUP(C883,$B$45:$AA$48,14,FALSE)</f>
        <v>114</v>
      </c>
      <c r="AR883" s="31">
        <f>IF(LEFT(E883,1)*1=1,$S$61,$R$61)</f>
        <v>0</v>
      </c>
      <c r="AS883" s="2">
        <f>IF(LEFT(E883,1)*1=2,$U$61,$T$61)</f>
        <v>0</v>
      </c>
      <c r="AT883" s="33">
        <f>IF(LEFT(E883,1)*1=3,$W$61,$V$61)</f>
        <v>0</v>
      </c>
      <c r="AU883" s="31">
        <f>IF(MID(E883,3,1)*1=1,$Y$61,$X$61)</f>
        <v>0</v>
      </c>
      <c r="AV883" s="2">
        <f>IF(MID(E883,3,1)*1=2,$AA$61,$Z$61)</f>
        <v>1</v>
      </c>
      <c r="AW883" s="33">
        <f>IF(MID(E883,3,1)*1=3,$AC$61,$AB$61)</f>
        <v>0</v>
      </c>
      <c r="AX883" s="31">
        <f>IF(MID(E883,5,1)*1=1,$AE$61,$AD$61)</f>
        <v>1</v>
      </c>
      <c r="AY883" s="33">
        <f>IF(MID(E883,5,1)*1=2,$AG$61,$AF$61)</f>
        <v>0</v>
      </c>
      <c r="AZ883" s="2"/>
      <c r="BA883" s="101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</row>
    <row r="884" spans="1:71" ht="12" customHeight="1">
      <c r="A884" s="2"/>
      <c r="B884" s="107">
        <v>125</v>
      </c>
      <c r="C884" s="31">
        <v>10</v>
      </c>
      <c r="D884" s="106" t="s">
        <v>7</v>
      </c>
      <c r="E884" s="2" t="s">
        <v>144</v>
      </c>
      <c r="F884" s="2"/>
      <c r="G884" s="2"/>
      <c r="H884" s="33"/>
      <c r="I884" s="173">
        <f>M884/AE884</f>
        <v>322.78058472010389</v>
      </c>
      <c r="J884" s="174">
        <f>AH884/AE884</f>
        <v>32.967417276842326</v>
      </c>
      <c r="K884" s="207">
        <f>RANK(I884,$I$76:$I$977)</f>
        <v>809</v>
      </c>
      <c r="L884" s="208" t="e">
        <f>RANK(I884,$I$76:$I$450)</f>
        <v>#N/A</v>
      </c>
      <c r="M884" s="173">
        <f>N884+R884/2</f>
        <v>2898.1054923057054</v>
      </c>
      <c r="N884" s="174">
        <f>T884*(1+((AG884+IF(F884="백어택",8,0))/100)*((AI884/100-1)))</f>
        <v>2898.1054923057054</v>
      </c>
      <c r="O884" s="174"/>
      <c r="P884" s="174"/>
      <c r="Q884" s="174"/>
      <c r="R884" s="175">
        <f>X884*(1+(AG884/100)*(AI884/100-1))</f>
        <v>0</v>
      </c>
      <c r="S884" s="173">
        <f>SUM(T884:X884)</f>
        <v>2194.8985428902438</v>
      </c>
      <c r="T884" s="174">
        <f>AL884*AV884*AX884</f>
        <v>2194.8985428902438</v>
      </c>
      <c r="U884" s="174"/>
      <c r="V884" s="174"/>
      <c r="W884" s="174"/>
      <c r="X884" s="175">
        <f>AS884*AL884</f>
        <v>0</v>
      </c>
      <c r="Y884" s="173">
        <f>SUM(Z884:AD884)</f>
        <v>4389.7970857804876</v>
      </c>
      <c r="Z884" s="174">
        <f>T884*$D$58/100</f>
        <v>4389.7970857804876</v>
      </c>
      <c r="AA884" s="174"/>
      <c r="AB884" s="174"/>
      <c r="AC884" s="174"/>
      <c r="AD884" s="175">
        <f>X884*$D$58/100</f>
        <v>0</v>
      </c>
      <c r="AE884" s="173">
        <f>AO884*(1-$D$17/100)-AY884</f>
        <v>8.9785620000000002</v>
      </c>
      <c r="AF884" s="174">
        <f>AP884</f>
        <v>36</v>
      </c>
      <c r="AG884" s="174">
        <f>IF($D$57&gt;100,100,$D$57)</f>
        <v>19.001300000000001</v>
      </c>
      <c r="AH884" s="174">
        <f>AQ884*AR884</f>
        <v>296</v>
      </c>
      <c r="AI884" s="174">
        <f>$D$58+$D$19</f>
        <v>268.61079999999998</v>
      </c>
      <c r="AJ884" s="174">
        <f>10*AX884*AU884/9</f>
        <v>2.2222222222222223</v>
      </c>
      <c r="AK884" s="174">
        <f>SUM(AL884:AN884)</f>
        <v>1097.4492714451219</v>
      </c>
      <c r="AL884" s="174">
        <f>(VLOOKUP(C884,$B$36:$AG$39,8,FALSE)+VLOOKUP(C884,$B$40:$AG$43,8,FALSE)*$D$54)*$D$59/100</f>
        <v>1097.4492714451219</v>
      </c>
      <c r="AM884" s="174"/>
      <c r="AN884" s="174"/>
      <c r="AO884" s="176">
        <v>9</v>
      </c>
      <c r="AP884" s="174">
        <v>36</v>
      </c>
      <c r="AQ884" s="175">
        <f>VLOOKUP(C884,$B$45:$AA$48,8,FALSE)</f>
        <v>296</v>
      </c>
      <c r="AR884" s="31">
        <f>IF(LEFT(E884,1)*1=1,$S$57,$R$57)</f>
        <v>1</v>
      </c>
      <c r="AS884" s="2">
        <f>IF(LEFT(E884,1)*1=2,$U$57,$T$57)</f>
        <v>0</v>
      </c>
      <c r="AT884" s="33">
        <f>IF(LEFT(E884,1)*1=3,$W$57,$V$57)</f>
        <v>0</v>
      </c>
      <c r="AU884" s="31">
        <f>IF(MID(E884,3,1)*1=1,$Y$57,$X$57)</f>
        <v>1</v>
      </c>
      <c r="AV884" s="2">
        <f>IF(MID(E884,3,1)*1=2,$AA$57,$Z$57)</f>
        <v>1</v>
      </c>
      <c r="AW884" s="33">
        <f>IF(MID(E884,3,1)*1=3,$AC$57,$AB$57)</f>
        <v>0</v>
      </c>
      <c r="AX884" s="31">
        <f>IF(MID(E884,5,1)*1=1,$AE$57,$AD$57)</f>
        <v>2</v>
      </c>
      <c r="AY884" s="33">
        <f>IF(MID(E884,5,1)*1=2,$AG$57,$AF$57)</f>
        <v>0</v>
      </c>
      <c r="AZ884" s="2"/>
      <c r="BA884" s="101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</row>
    <row r="885" spans="1:71" ht="12" customHeight="1">
      <c r="A885" s="2"/>
      <c r="B885" s="107">
        <v>126</v>
      </c>
      <c r="C885" s="31">
        <v>10</v>
      </c>
      <c r="D885" s="106" t="s">
        <v>7</v>
      </c>
      <c r="E885" s="2" t="s">
        <v>138</v>
      </c>
      <c r="F885" s="2"/>
      <c r="G885" s="2"/>
      <c r="H885" s="33"/>
      <c r="I885" s="173">
        <f>M885/AE885</f>
        <v>322.78058472010389</v>
      </c>
      <c r="J885" s="174">
        <f>AH885/AE885</f>
        <v>32.967417276842326</v>
      </c>
      <c r="K885" s="207">
        <f>RANK(I885,$I$76:$I$977)</f>
        <v>809</v>
      </c>
      <c r="L885" s="208" t="e">
        <f>RANK(I885,$I$76:$I$450)</f>
        <v>#N/A</v>
      </c>
      <c r="M885" s="173">
        <f>N885+R885/2</f>
        <v>2898.1054923057054</v>
      </c>
      <c r="N885" s="174">
        <f>T885*(1+((AG885+IF(F885="백어택",8,0))/100)*((AI885/100-1)))</f>
        <v>2898.1054923057054</v>
      </c>
      <c r="O885" s="174"/>
      <c r="P885" s="174"/>
      <c r="Q885" s="174"/>
      <c r="R885" s="175">
        <f>X885*(1+(AG885/100)*(AI885/100-1))</f>
        <v>0</v>
      </c>
      <c r="S885" s="173">
        <f>SUM(T885:X885)</f>
        <v>2194.8985428902438</v>
      </c>
      <c r="T885" s="174">
        <f>AL885*AV885*AX885</f>
        <v>2194.8985428902438</v>
      </c>
      <c r="U885" s="174"/>
      <c r="V885" s="174"/>
      <c r="W885" s="174"/>
      <c r="X885" s="175">
        <f>AS885*AL885</f>
        <v>0</v>
      </c>
      <c r="Y885" s="173">
        <f>SUM(Z885:AD885)</f>
        <v>4389.7970857804876</v>
      </c>
      <c r="Z885" s="174">
        <f>T885*$D$58/100</f>
        <v>4389.7970857804876</v>
      </c>
      <c r="AA885" s="174"/>
      <c r="AB885" s="174"/>
      <c r="AC885" s="174"/>
      <c r="AD885" s="175">
        <f>X885*$D$58/100</f>
        <v>0</v>
      </c>
      <c r="AE885" s="173">
        <f>AO885*(1-$D$17/100)-AY885</f>
        <v>8.9785620000000002</v>
      </c>
      <c r="AF885" s="174">
        <f>AP885</f>
        <v>36</v>
      </c>
      <c r="AG885" s="174">
        <f>IF($D$57&gt;100,100,$D$57)</f>
        <v>19.001300000000001</v>
      </c>
      <c r="AH885" s="174">
        <f>AQ885*AR885</f>
        <v>296</v>
      </c>
      <c r="AI885" s="174">
        <f>$D$58+$D$19</f>
        <v>268.61079999999998</v>
      </c>
      <c r="AJ885" s="174">
        <f>10*AX885*AU885/9</f>
        <v>1.7777777777777777</v>
      </c>
      <c r="AK885" s="174">
        <f>SUM(AL885:AN885)</f>
        <v>1097.4492714451219</v>
      </c>
      <c r="AL885" s="174">
        <f>(VLOOKUP(C885,$B$36:$AG$39,8,FALSE)+VLOOKUP(C885,$B$40:$AG$43,8,FALSE)*$D$54)*$D$59/100</f>
        <v>1097.4492714451219</v>
      </c>
      <c r="AM885" s="174"/>
      <c r="AN885" s="174"/>
      <c r="AO885" s="176">
        <v>9</v>
      </c>
      <c r="AP885" s="174">
        <v>36</v>
      </c>
      <c r="AQ885" s="175">
        <f>VLOOKUP(C885,$B$45:$AA$48,8,FALSE)</f>
        <v>296</v>
      </c>
      <c r="AR885" s="31">
        <f>IF(LEFT(E885,1)*1=1,$S$57,$R$57)</f>
        <v>1</v>
      </c>
      <c r="AS885" s="2">
        <f>IF(LEFT(E885,1)*1=2,$U$57,$T$57)</f>
        <v>0</v>
      </c>
      <c r="AT885" s="33">
        <f>IF(LEFT(E885,1)*1=3,$W$57,$V$57)</f>
        <v>0</v>
      </c>
      <c r="AU885" s="31">
        <f>IF(MID(E885,3,1)*1=1,$Y$57,$X$57)</f>
        <v>0.8</v>
      </c>
      <c r="AV885" s="2">
        <f>IF(MID(E885,3,1)*1=2,$AA$57,$Z$57)</f>
        <v>1</v>
      </c>
      <c r="AW885" s="33">
        <f>IF(MID(E885,3,1)*1=3,$AC$57,$AB$57)</f>
        <v>0</v>
      </c>
      <c r="AX885" s="31">
        <f>IF(MID(E885,5,1)*1=1,$AE$57,$AD$57)</f>
        <v>2</v>
      </c>
      <c r="AY885" s="33">
        <f>IF(MID(E885,5,1)*1=2,$AG$57,$AF$57)</f>
        <v>0</v>
      </c>
      <c r="AZ885" s="2"/>
      <c r="BA885" s="101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</row>
    <row r="886" spans="1:71" ht="12" customHeight="1">
      <c r="A886" s="2"/>
      <c r="B886" s="107">
        <v>128</v>
      </c>
      <c r="C886" s="31">
        <v>10</v>
      </c>
      <c r="D886" s="106" t="s">
        <v>7</v>
      </c>
      <c r="E886" s="2" t="s">
        <v>150</v>
      </c>
      <c r="F886" s="2"/>
      <c r="G886" s="2"/>
      <c r="H886" s="33"/>
      <c r="I886" s="173">
        <f>M886/AE886</f>
        <v>322.78058472010389</v>
      </c>
      <c r="J886" s="174">
        <f>AH886/AE886</f>
        <v>16.483708638421163</v>
      </c>
      <c r="K886" s="207">
        <f>RANK(I886,$I$76:$I$977)</f>
        <v>809</v>
      </c>
      <c r="L886" s="208" t="e">
        <f>RANK(I886,$I$76:$I$450)</f>
        <v>#N/A</v>
      </c>
      <c r="M886" s="173">
        <f>N886+R886/2</f>
        <v>2898.1054923057054</v>
      </c>
      <c r="N886" s="174">
        <f>T886*(1+((AG886+IF(F886="백어택",8,0))/100)*((AI886/100-1)))</f>
        <v>2898.1054923057054</v>
      </c>
      <c r="O886" s="174"/>
      <c r="P886" s="174"/>
      <c r="Q886" s="174"/>
      <c r="R886" s="175">
        <f>X886*(1+(AG886/100)*(AI886/100-1))</f>
        <v>0</v>
      </c>
      <c r="S886" s="173">
        <f>SUM(T886:X886)</f>
        <v>2194.8985428902438</v>
      </c>
      <c r="T886" s="174">
        <f>AL886*AV886*AX886</f>
        <v>2194.8985428902438</v>
      </c>
      <c r="U886" s="174"/>
      <c r="V886" s="174"/>
      <c r="W886" s="174"/>
      <c r="X886" s="175">
        <f>AS886*AL886</f>
        <v>0</v>
      </c>
      <c r="Y886" s="173">
        <f>SUM(Z886:AD886)</f>
        <v>4389.7970857804876</v>
      </c>
      <c r="Z886" s="174">
        <f>T886*$D$58/100</f>
        <v>4389.7970857804876</v>
      </c>
      <c r="AA886" s="174"/>
      <c r="AB886" s="174"/>
      <c r="AC886" s="174"/>
      <c r="AD886" s="175">
        <f>X886*$D$58/100</f>
        <v>0</v>
      </c>
      <c r="AE886" s="173">
        <f>AO886*(1-$D$17/100)-AY886</f>
        <v>8.9785620000000002</v>
      </c>
      <c r="AF886" s="174">
        <f>AP886</f>
        <v>36</v>
      </c>
      <c r="AG886" s="174">
        <f>IF($D$57&gt;100,100,$D$57)</f>
        <v>19.001300000000001</v>
      </c>
      <c r="AH886" s="174">
        <f>AQ886*AR886</f>
        <v>148</v>
      </c>
      <c r="AI886" s="174">
        <f>$D$58+$D$19</f>
        <v>268.61079999999998</v>
      </c>
      <c r="AJ886" s="174">
        <f>10*AX886*AU886/9</f>
        <v>2.2222222222222223</v>
      </c>
      <c r="AK886" s="174">
        <f>SUM(AL886:AN886)</f>
        <v>1097.4492714451219</v>
      </c>
      <c r="AL886" s="174">
        <f>(VLOOKUP(C886,$B$36:$AG$39,8,FALSE)+VLOOKUP(C886,$B$40:$AG$43,8,FALSE)*$D$54)*$D$59/100</f>
        <v>1097.4492714451219</v>
      </c>
      <c r="AM886" s="174"/>
      <c r="AN886" s="174"/>
      <c r="AO886" s="176">
        <v>9</v>
      </c>
      <c r="AP886" s="174">
        <v>36</v>
      </c>
      <c r="AQ886" s="175">
        <f>VLOOKUP(C886,$B$45:$AA$48,8,FALSE)</f>
        <v>296</v>
      </c>
      <c r="AR886" s="31">
        <f>IF(LEFT(E886,1)*1=1,$S$57,$R$57)</f>
        <v>0.5</v>
      </c>
      <c r="AS886" s="2">
        <f>IF(LEFT(E886,1)*1=2,$U$57,$T$57)</f>
        <v>0</v>
      </c>
      <c r="AT886" s="33">
        <f>IF(LEFT(E886,1)*1=3,$W$57,$V$57)</f>
        <v>0</v>
      </c>
      <c r="AU886" s="31">
        <f>IF(MID(E886,3,1)*1=1,$Y$57,$X$57)</f>
        <v>1</v>
      </c>
      <c r="AV886" s="2">
        <f>IF(MID(E886,3,1)*1=2,$AA$57,$Z$57)</f>
        <v>1</v>
      </c>
      <c r="AW886" s="33">
        <f>IF(MID(E886,3,1)*1=3,$AC$57,$AB$57)</f>
        <v>0</v>
      </c>
      <c r="AX886" s="31">
        <f>IF(MID(E886,5,1)*1=1,$AE$57,$AD$57)</f>
        <v>2</v>
      </c>
      <c r="AY886" s="33">
        <f>IF(MID(E886,5,1)*1=2,$AG$57,$AF$57)</f>
        <v>0</v>
      </c>
      <c r="AZ886" s="2"/>
      <c r="BA886" s="101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</row>
    <row r="887" spans="1:71" ht="12" customHeight="1">
      <c r="A887" s="2"/>
      <c r="B887" s="107">
        <v>129</v>
      </c>
      <c r="C887" s="31">
        <v>10</v>
      </c>
      <c r="D887" s="106" t="s">
        <v>7</v>
      </c>
      <c r="E887" s="2" t="s">
        <v>164</v>
      </c>
      <c r="F887" s="2"/>
      <c r="G887" s="2"/>
      <c r="H887" s="33"/>
      <c r="I887" s="173">
        <f>M887/AE887</f>
        <v>322.78058472010389</v>
      </c>
      <c r="J887" s="174">
        <f>AH887/AE887</f>
        <v>16.483708638421163</v>
      </c>
      <c r="K887" s="207">
        <f>RANK(I887,$I$76:$I$977)</f>
        <v>809</v>
      </c>
      <c r="L887" s="208" t="e">
        <f>RANK(I887,$I$76:$I$450)</f>
        <v>#N/A</v>
      </c>
      <c r="M887" s="173">
        <f>N887+R887/2</f>
        <v>2898.1054923057054</v>
      </c>
      <c r="N887" s="174">
        <f>T887*(1+((AG887+IF(F887="백어택",8,0))/100)*((AI887/100-1)))</f>
        <v>2898.1054923057054</v>
      </c>
      <c r="O887" s="174"/>
      <c r="P887" s="174"/>
      <c r="Q887" s="174"/>
      <c r="R887" s="175">
        <f>X887*(1+(AG887/100)*(AI887/100-1))</f>
        <v>0</v>
      </c>
      <c r="S887" s="173">
        <f>SUM(T887:X887)</f>
        <v>2194.8985428902438</v>
      </c>
      <c r="T887" s="174">
        <f>AL887*AV887*AX887</f>
        <v>2194.8985428902438</v>
      </c>
      <c r="U887" s="174"/>
      <c r="V887" s="174"/>
      <c r="W887" s="174"/>
      <c r="X887" s="175">
        <f>AS887*AL887</f>
        <v>0</v>
      </c>
      <c r="Y887" s="173">
        <f>SUM(Z887:AD887)</f>
        <v>4389.7970857804876</v>
      </c>
      <c r="Z887" s="174">
        <f>T887*$D$58/100</f>
        <v>4389.7970857804876</v>
      </c>
      <c r="AA887" s="174"/>
      <c r="AB887" s="174"/>
      <c r="AC887" s="174"/>
      <c r="AD887" s="175">
        <f>X887*$D$58/100</f>
        <v>0</v>
      </c>
      <c r="AE887" s="173">
        <f>AO887*(1-$D$17/100)-AY887</f>
        <v>8.9785620000000002</v>
      </c>
      <c r="AF887" s="174">
        <f>AP887</f>
        <v>36</v>
      </c>
      <c r="AG887" s="174">
        <f>IF($D$57&gt;100,100,$D$57)</f>
        <v>19.001300000000001</v>
      </c>
      <c r="AH887" s="174">
        <f>AQ887*AR887</f>
        <v>148</v>
      </c>
      <c r="AI887" s="174">
        <f>$D$58+$D$19</f>
        <v>268.61079999999998</v>
      </c>
      <c r="AJ887" s="174">
        <f>10*AX887*AU887/9</f>
        <v>1.7777777777777777</v>
      </c>
      <c r="AK887" s="174">
        <f>SUM(AL887:AN887)</f>
        <v>1097.4492714451219</v>
      </c>
      <c r="AL887" s="174">
        <f>(VLOOKUP(C887,$B$36:$AG$39,8,FALSE)+VLOOKUP(C887,$B$40:$AG$43,8,FALSE)*$D$54)*$D$59/100</f>
        <v>1097.4492714451219</v>
      </c>
      <c r="AM887" s="174"/>
      <c r="AN887" s="174"/>
      <c r="AO887" s="176">
        <v>9</v>
      </c>
      <c r="AP887" s="174">
        <v>36</v>
      </c>
      <c r="AQ887" s="175">
        <f>VLOOKUP(C887,$B$45:$AA$48,8,FALSE)</f>
        <v>296</v>
      </c>
      <c r="AR887" s="31">
        <f>IF(LEFT(E887,1)*1=1,$S$57,$R$57)</f>
        <v>0.5</v>
      </c>
      <c r="AS887" s="2">
        <f>IF(LEFT(E887,1)*1=2,$U$57,$T$57)</f>
        <v>0</v>
      </c>
      <c r="AT887" s="33">
        <f>IF(LEFT(E887,1)*1=3,$W$57,$V$57)</f>
        <v>0</v>
      </c>
      <c r="AU887" s="31">
        <f>IF(MID(E887,3,1)*1=1,$Y$57,$X$57)</f>
        <v>0.8</v>
      </c>
      <c r="AV887" s="2">
        <f>IF(MID(E887,3,1)*1=2,$AA$57,$Z$57)</f>
        <v>1</v>
      </c>
      <c r="AW887" s="33">
        <f>IF(MID(E887,3,1)*1=3,$AC$57,$AB$57)</f>
        <v>0</v>
      </c>
      <c r="AX887" s="31">
        <f>IF(MID(E887,5,1)*1=1,$AE$57,$AD$57)</f>
        <v>2</v>
      </c>
      <c r="AY887" s="33">
        <f>IF(MID(E887,5,1)*1=2,$AG$57,$AF$57)</f>
        <v>0</v>
      </c>
      <c r="AZ887" s="2"/>
      <c r="BA887" s="101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</row>
    <row r="888" spans="1:71" ht="12" customHeight="1">
      <c r="A888" s="2"/>
      <c r="B888" s="107">
        <v>729</v>
      </c>
      <c r="C888" s="31">
        <v>1</v>
      </c>
      <c r="D888" s="111" t="s">
        <v>18</v>
      </c>
      <c r="E888" s="2" t="s">
        <v>67</v>
      </c>
      <c r="F888" s="2" t="s">
        <v>149</v>
      </c>
      <c r="G888" s="1"/>
      <c r="H888" s="33" t="s">
        <v>80</v>
      </c>
      <c r="I888" s="173">
        <f>M888/AE888</f>
        <v>320.6347696565785</v>
      </c>
      <c r="J888" s="174">
        <f>AH888/AE888</f>
        <v>5.4639558131976278</v>
      </c>
      <c r="K888" s="207">
        <f>RANK(I888,$I$76:$I$977)</f>
        <v>813</v>
      </c>
      <c r="L888" s="208" t="e">
        <f>RANK(I888,$I$451:$I$866)</f>
        <v>#N/A</v>
      </c>
      <c r="M888" s="173">
        <f>SUM(N888:R888)</f>
        <v>5926.8619371141158</v>
      </c>
      <c r="N888" s="174">
        <f>T888*(1+((AG888+IF(F888="백어택",8,0))/100)*(AI888/100-1))</f>
        <v>3538.1520790651439</v>
      </c>
      <c r="O888" s="174">
        <f>U888*(1+(($D$57+IF(F888="백어택",8,0))/100)*(AI888/100-1))</f>
        <v>2388.7098580489724</v>
      </c>
      <c r="P888" s="174"/>
      <c r="Q888" s="174"/>
      <c r="R888" s="175"/>
      <c r="S888" s="173">
        <f>SUM(T888:X888)</f>
        <v>4666.7726528107323</v>
      </c>
      <c r="T888" s="174">
        <f>AL888*IF(H888="근접",AT888,IF(AV888=1,AT888,1))*AX888*IF(F888="백어택",1.2,1)</f>
        <v>2785.9180016780488</v>
      </c>
      <c r="U888" s="174">
        <f>IF(AX888=1,AM888*IF(H888="근접",AT888,IF(AV888=1,AT888,1)),0)*AY888*IF(AX888=1,1,0)*IF(F888="백어택",1.2,1)</f>
        <v>1880.8546511326831</v>
      </c>
      <c r="V888" s="174"/>
      <c r="W888" s="174"/>
      <c r="X888" s="175"/>
      <c r="Y888" s="173">
        <f>SUM(Z888:AD888)</f>
        <v>9333.5453056214646</v>
      </c>
      <c r="Z888" s="174">
        <f>T888*$D$58/100</f>
        <v>5571.8360033560975</v>
      </c>
      <c r="AA888" s="174">
        <f>U888*$D$58/100</f>
        <v>3761.7093022653662</v>
      </c>
      <c r="AB888" s="174"/>
      <c r="AC888" s="174"/>
      <c r="AD888" s="175"/>
      <c r="AE888" s="173">
        <f>(AO888*(1-$D$20/100)*(1-$D$17/100)-AR888)*IF(AW888="보스대상",1,POWER(0.85,AW888))</f>
        <v>18.484776131615998</v>
      </c>
      <c r="AF888" s="174">
        <f>AP888</f>
        <v>36</v>
      </c>
      <c r="AG888" s="174">
        <f>IF($D$57+AU888&gt;100,100,$D$57+AU888)</f>
        <v>19.001300000000001</v>
      </c>
      <c r="AH888" s="174">
        <f>AQ888</f>
        <v>101</v>
      </c>
      <c r="AI888" s="174">
        <f>$D$58</f>
        <v>200</v>
      </c>
      <c r="AJ888" s="174">
        <f>10*AS888/IF(AX888=1,IF(AY888=1,4.5,4),4)</f>
        <v>2.2222222222222223</v>
      </c>
      <c r="AK888" s="174">
        <f>SUM(AL888:AN888)</f>
        <v>3888.97721067561</v>
      </c>
      <c r="AL888" s="174">
        <f>IF(AV888=1,$D$61*(VLOOKUP(C888,$B$36:$AG$39,25,FALSE)+VLOOKUP(C888,$B$40:$AG$43,25,FALSE)*$D$54),(IF(H888="근접",$D$61*(VLOOKUP(C888,$B$36:$AG$39,25,FALSE)+VLOOKUP(C888,$B$40:$AG$43,25,FALSE)*$D$54),$D$60*(VLOOKUP(C888,$B$36:$AG$39,25,FALSE)+VLOOKUP(C888,$B$40:$AG$43,25,FALSE)*$D$54))))*$D$59/100</f>
        <v>2321.5983347317074</v>
      </c>
      <c r="AM888" s="174">
        <f>(IF(AV888=1,$D$61*(VLOOKUP(C888,$B$36:$AG$39,26,FALSE)+VLOOKUP(C888,$B$40:$AG$43,26,FALSE)*$D$54),IF(H888="근접",$D$61*(VLOOKUP(C888,$B$36:$AG$39,26,FALSE)+VLOOKUP(C888,$B$40:$AG$43,26,FALSE)*$D$54),$D$60*(VLOOKUP(C888,$B$36:$AG$39,26,FALSE)+VLOOKUP(C888,$B$40:$AG$43,26,FALSE)*$D$54))))*$D$59/100</f>
        <v>1567.3788759439026</v>
      </c>
      <c r="AN888" s="174"/>
      <c r="AO888" s="176">
        <v>24</v>
      </c>
      <c r="AP888" s="174">
        <v>36</v>
      </c>
      <c r="AQ888" s="175">
        <f>VLOOKUP(C888,$B$45:$AA$48,25,FALSE)</f>
        <v>101</v>
      </c>
      <c r="AR888" s="31">
        <f>IF(LEFT(E888,1)*1=1,$S$68,$R$68)</f>
        <v>0</v>
      </c>
      <c r="AS888" s="2">
        <f>IF(LEFT(E888,1)*1=2,$U$68,$T$68)</f>
        <v>1</v>
      </c>
      <c r="AT888" s="33">
        <f>IF(LEFT(E888,1)*1=3,$W$68,$V$68)</f>
        <v>1</v>
      </c>
      <c r="AU888" s="31">
        <f>IF(MID(E888,3,1)*1=1,$Y$68,$X$68)</f>
        <v>0</v>
      </c>
      <c r="AV888" s="2">
        <f>IF(MID(E888,3,1)*1=2,$AA$68,$Z$68)</f>
        <v>0</v>
      </c>
      <c r="AW888" s="33" t="str">
        <f>IF(MID(E888,3,1)*1=3,$AC$68,$AB$68)</f>
        <v>보스대상</v>
      </c>
      <c r="AX888" s="31">
        <f>IF(MID(E888,5,1)*1=1,$AE$68,$AD$68)</f>
        <v>1</v>
      </c>
      <c r="AY888" s="33">
        <f>IF(MID(E888,5,1)*1=2,$AG$68,$AF$68)</f>
        <v>1</v>
      </c>
      <c r="AZ888" s="2"/>
      <c r="BA888" s="101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</row>
    <row r="889" spans="1:71" ht="12" customHeight="1">
      <c r="A889" s="2"/>
      <c r="B889" s="107">
        <v>68</v>
      </c>
      <c r="C889" s="31">
        <v>7</v>
      </c>
      <c r="D889" s="106" t="s">
        <v>4</v>
      </c>
      <c r="E889" s="2" t="s">
        <v>87</v>
      </c>
      <c r="F889" s="2"/>
      <c r="G889" s="2"/>
      <c r="H889" s="33"/>
      <c r="I889" s="173">
        <f>M889/AE889</f>
        <v>319.53285249405639</v>
      </c>
      <c r="J889" s="174">
        <f>AH889/AE889</f>
        <v>20.298350671299033</v>
      </c>
      <c r="K889" s="207">
        <f>RANK(I889,$I$76:$I$977)</f>
        <v>814</v>
      </c>
      <c r="L889" s="208" t="e">
        <f>RANK(I889,$I$76:$I$450)</f>
        <v>#N/A</v>
      </c>
      <c r="M889" s="173">
        <f>SUM(N889:R889)</f>
        <v>3825.2607028729867</v>
      </c>
      <c r="N889" s="174">
        <f>T889*(1+((AG889+IF(F889="백어택",8,0))/100)*((AI889/100-1)))</f>
        <v>1045.326270674921</v>
      </c>
      <c r="O889" s="174">
        <f>U889*(1+((AG889+IF(F889="백어택",8,0))/100)*(AI889/100-1))</f>
        <v>2779.9344321980657</v>
      </c>
      <c r="P889" s="174"/>
      <c r="Q889" s="174"/>
      <c r="R889" s="175"/>
      <c r="S889" s="173">
        <f>SUM(T889:X889)</f>
        <v>2897.0854115567076</v>
      </c>
      <c r="T889" s="174">
        <f>AT889*AL889*IF(F889="백어택",1.2,1)</f>
        <v>791.68446919573171</v>
      </c>
      <c r="U889" s="174">
        <f>AM889*AW889*AX889*AY889*IF(F889="백어택",1.2,1)</f>
        <v>2105.4009423609759</v>
      </c>
      <c r="V889" s="174"/>
      <c r="W889" s="174"/>
      <c r="X889" s="175"/>
      <c r="Y889" s="173">
        <f>SUM(Z889:AD889)</f>
        <v>5794.1708231134153</v>
      </c>
      <c r="Z889" s="174">
        <f>T889*$D$58/100</f>
        <v>1583.3689383914634</v>
      </c>
      <c r="AA889" s="174">
        <f>U889*$D$58/100</f>
        <v>4210.8018847219519</v>
      </c>
      <c r="AB889" s="174"/>
      <c r="AC889" s="174"/>
      <c r="AD889" s="175"/>
      <c r="AE889" s="173">
        <f>AO889*(1-$D$17/100)</f>
        <v>11.971416</v>
      </c>
      <c r="AF889" s="174">
        <f>AP889</f>
        <v>36</v>
      </c>
      <c r="AG889" s="174">
        <f>IF($D$57&gt;100,100,$D$57)</f>
        <v>19.001300000000001</v>
      </c>
      <c r="AH889" s="174">
        <f>AQ889</f>
        <v>243</v>
      </c>
      <c r="AI889" s="174">
        <f>$D$58+$D$19</f>
        <v>268.61079999999998</v>
      </c>
      <c r="AJ889" s="174">
        <f>10/IF(AY889=1,5,4)</f>
        <v>2</v>
      </c>
      <c r="AK889" s="174">
        <f>SUM(AL889:AN889)</f>
        <v>2633.1905884914636</v>
      </c>
      <c r="AL889" s="174">
        <f>(VLOOKUP(C889,$B$36:$AG$39,4,FALSE)+VLOOKUP(C889,$B$40:$AG$43,4,FALSE)*$D$54)*$D$59/100</f>
        <v>527.78964613048777</v>
      </c>
      <c r="AM889" s="174">
        <f>(VLOOKUP(C889,$B$36:$AG$39,5,FALSE)+VLOOKUP(C889,$B$40:$AG$43,5,FALSE)*$D$54)*$D$59/100</f>
        <v>2105.4009423609759</v>
      </c>
      <c r="AN889" s="174"/>
      <c r="AO889" s="176">
        <v>12</v>
      </c>
      <c r="AP889" s="174">
        <v>36</v>
      </c>
      <c r="AQ889" s="175">
        <f>VLOOKUP(C889,$B$45:$AA$48,4,FALSE)</f>
        <v>243</v>
      </c>
      <c r="AR889" s="31">
        <f>IF(LEFT(E889,1)*1=1,$S$54,$R$54)</f>
        <v>0</v>
      </c>
      <c r="AS889" s="2">
        <f>IF(LEFT(E889,1)*1=2,$U$54,$T$54)</f>
        <v>0</v>
      </c>
      <c r="AT889" s="33">
        <f>IF(LEFT(E889,1)*1=3,$W$54,$V$54)</f>
        <v>1.5</v>
      </c>
      <c r="AU889" s="31">
        <f>IF(MID(E889,3,1)*1=1,$Y$54,$X$54)</f>
        <v>0</v>
      </c>
      <c r="AV889" s="2">
        <f>IF(MID(E889,3,1)*1=2,$AA$54,$Z$54)</f>
        <v>0</v>
      </c>
      <c r="AW889" s="33">
        <f>IF(MID(E889,3,1)*1=3,$AC$54,$AB$54)</f>
        <v>1</v>
      </c>
      <c r="AX889" s="31">
        <f>IF(MID(E889,5,1)*1=1,$AE$54,$AD$54)</f>
        <v>1</v>
      </c>
      <c r="AY889" s="33">
        <f>IF(MID(E889,5,1)*1=2,$AG$54,$AF$54)</f>
        <v>1</v>
      </c>
      <c r="AZ889" s="2"/>
      <c r="BA889" s="101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</row>
    <row r="890" spans="1:71" ht="12" customHeight="1">
      <c r="A890" s="2"/>
      <c r="B890" s="107">
        <v>238</v>
      </c>
      <c r="C890" s="31">
        <v>1</v>
      </c>
      <c r="D890" s="106" t="s">
        <v>13</v>
      </c>
      <c r="E890" s="2" t="s">
        <v>67</v>
      </c>
      <c r="F890" s="2"/>
      <c r="G890" s="2"/>
      <c r="H890" s="33"/>
      <c r="I890" s="173">
        <f>M890/AE890</f>
        <v>318.47581674285118</v>
      </c>
      <c r="J890" s="174">
        <f>AH890/AE890</f>
        <v>4.2183815181094699</v>
      </c>
      <c r="K890" s="207">
        <f>RANK(I890,$I$76:$I$977)</f>
        <v>815</v>
      </c>
      <c r="L890" s="208" t="e">
        <f>RANK(I890,$I$76:$I$450)</f>
        <v>#N/A</v>
      </c>
      <c r="M890" s="173">
        <f>SUM(N890:R890)</f>
        <v>7625.2129763368721</v>
      </c>
      <c r="N890" s="174">
        <f>T890*(1+((AG890+IF(F890="백어택",8,0))/100)*((AI890/100-1)))</f>
        <v>5060.8110010400605</v>
      </c>
      <c r="O890" s="174">
        <f>U890*(1+($D$57/100)*($D$58/100-1))</f>
        <v>2564.4019752968111</v>
      </c>
      <c r="P890" s="174"/>
      <c r="Q890" s="174"/>
      <c r="R890" s="175">
        <f>X890*(1+($D$57/100)*($D$58/100-1))</f>
        <v>0</v>
      </c>
      <c r="S890" s="173">
        <f>SUM(T890:X890)</f>
        <v>5987.7733540951222</v>
      </c>
      <c r="T890" s="174">
        <f>AL890*AY890</f>
        <v>3832.8372523073172</v>
      </c>
      <c r="U890" s="174">
        <f>AM890*AU890*AW890</f>
        <v>2154.936101787805</v>
      </c>
      <c r="V890" s="174"/>
      <c r="W890" s="174"/>
      <c r="X890" s="175">
        <f>IF(AU890=1,0,U890*0.625)</f>
        <v>0</v>
      </c>
      <c r="Y890" s="173">
        <f>SUM(Z890:AD890)</f>
        <v>11975.546708190244</v>
      </c>
      <c r="Z890" s="174">
        <f>T890*$D$58/100</f>
        <v>7665.6745046146343</v>
      </c>
      <c r="AA890" s="174">
        <f>U890*$D$58/100</f>
        <v>4309.87220357561</v>
      </c>
      <c r="AB890" s="174"/>
      <c r="AC890" s="174"/>
      <c r="AD890" s="175">
        <f>X890*$D$58/100</f>
        <v>0</v>
      </c>
      <c r="AE890" s="173">
        <f>AO890*(1-$D$17/100)</f>
        <v>23.942831999999999</v>
      </c>
      <c r="AF890" s="174">
        <f>AP890</f>
        <v>36</v>
      </c>
      <c r="AG890" s="174">
        <f>IF($D$57+AT890&gt;100,100,$D$57+AT890)</f>
        <v>19.001300000000001</v>
      </c>
      <c r="AH890" s="174">
        <f>AQ890</f>
        <v>101</v>
      </c>
      <c r="AI890" s="174">
        <f>$D$58+$D$19</f>
        <v>268.61079999999998</v>
      </c>
      <c r="AJ890" s="174">
        <f>10/IF(AY890=1,2.5,2)</f>
        <v>4</v>
      </c>
      <c r="AK890" s="174">
        <f>SUM(AL890:AN890)</f>
        <v>5987.7733540951222</v>
      </c>
      <c r="AL890" s="174">
        <f>(VLOOKUP(C890,$B$36:$AG$39,17,FALSE)+VLOOKUP(C890,$B$40:$AG$43,17,FALSE)*$D$54)*$D$59/100</f>
        <v>3832.8372523073172</v>
      </c>
      <c r="AM890" s="174">
        <f>(VLOOKUP(C890,$B$36:$AG$39,18,FALSE)+VLOOKUP(C890,$B$40:$AG$43,18,FALSE)*$D$54)*$D$59/100</f>
        <v>2154.936101787805</v>
      </c>
      <c r="AN890" s="174"/>
      <c r="AO890" s="176">
        <v>24</v>
      </c>
      <c r="AP890" s="174">
        <v>36</v>
      </c>
      <c r="AQ890" s="175">
        <f>VLOOKUP(C890,$B$45:$AA$48,17,FALSE)</f>
        <v>101</v>
      </c>
      <c r="AR890" s="31">
        <f>IF(LEFT(E890,1)*1=1,$S$63,$R$63)</f>
        <v>0</v>
      </c>
      <c r="AS890" s="2">
        <f>IF(LEFT(E890,1)*1=2,$U$63,$T$63)</f>
        <v>0</v>
      </c>
      <c r="AT890" s="33">
        <f>IF(LEFT(E890,1)*1=3,$W$63,$V$63)</f>
        <v>0</v>
      </c>
      <c r="AU890" s="31">
        <f>IF(MID(E890,3,1)*1=1,$Y$63,$X$63)</f>
        <v>1</v>
      </c>
      <c r="AV890" s="2">
        <f>IF(MID(E890,3,1)*1=2,$AA$63,$Z$63)</f>
        <v>0</v>
      </c>
      <c r="AW890" s="33">
        <f>IF(MID(E890,3,1)*1=3,$AC$63,$AB$63)</f>
        <v>1</v>
      </c>
      <c r="AX890" s="31">
        <f>IF(MID(E890,5,1)*1=1,$AE$63,$AD$63)</f>
        <v>0</v>
      </c>
      <c r="AY890" s="33">
        <f>IF(MID(E890,5,1)*1=2,$AG$63,$AF$63)</f>
        <v>1</v>
      </c>
      <c r="AZ890" s="2"/>
      <c r="BA890" s="101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</row>
    <row r="891" spans="1:71" ht="12" hidden="1" customHeight="1">
      <c r="A891" s="2"/>
      <c r="B891" s="107">
        <v>140</v>
      </c>
      <c r="C891" s="31">
        <v>10</v>
      </c>
      <c r="D891" s="106" t="s">
        <v>7</v>
      </c>
      <c r="E891" s="2" t="s">
        <v>99</v>
      </c>
      <c r="F891" s="2"/>
      <c r="G891" s="2" t="s">
        <v>184</v>
      </c>
      <c r="H891" s="33"/>
      <c r="I891" s="173">
        <f>M891/AE891</f>
        <v>318.11691997601076</v>
      </c>
      <c r="J891" s="174">
        <f>AH891/AE891</f>
        <v>49.51023339726175</v>
      </c>
      <c r="K891" s="207">
        <f>RANK(I891,$I$76:$I$977)</f>
        <v>816</v>
      </c>
      <c r="L891" s="208" t="e">
        <f>RANK(I891,$I$76:$I$450)</f>
        <v>#N/A</v>
      </c>
      <c r="M891" s="173">
        <f>N891+R891/2</f>
        <v>1901.8817293256191</v>
      </c>
      <c r="N891" s="174">
        <f>T891*(1+((AG891+IF(F891="백어택",8,0))/100)*((AI891/100-1)))</f>
        <v>1449.0527461528527</v>
      </c>
      <c r="O891" s="174"/>
      <c r="P891" s="174"/>
      <c r="Q891" s="174"/>
      <c r="R891" s="175">
        <f>X891*(1+(AG891/100)*(AI891/100-1))</f>
        <v>905.65796634553283</v>
      </c>
      <c r="S891" s="173">
        <f>SUM(T891:X891)</f>
        <v>1783.3550660983231</v>
      </c>
      <c r="T891" s="174">
        <f>AL891*AV891*AX891</f>
        <v>1097.4492714451219</v>
      </c>
      <c r="U891" s="174"/>
      <c r="V891" s="174"/>
      <c r="W891" s="174"/>
      <c r="X891" s="175">
        <f>AS891*AL891</f>
        <v>685.90579465320116</v>
      </c>
      <c r="Y891" s="173">
        <f>SUM(Z891:AD891)</f>
        <v>3566.7101321966461</v>
      </c>
      <c r="Z891" s="174">
        <f>T891*$D$58/100</f>
        <v>2194.8985428902438</v>
      </c>
      <c r="AA891" s="174"/>
      <c r="AB891" s="174"/>
      <c r="AC891" s="174"/>
      <c r="AD891" s="175">
        <f>X891*$D$58/100</f>
        <v>1371.8115893064023</v>
      </c>
      <c r="AE891" s="173">
        <f>AO891*(1-$D$17/100)-AY891</f>
        <v>5.9785620000000002</v>
      </c>
      <c r="AF891" s="174">
        <f>AP891</f>
        <v>36</v>
      </c>
      <c r="AG891" s="174">
        <f>IF($D$57&gt;100,100,$D$57)</f>
        <v>19.001300000000001</v>
      </c>
      <c r="AH891" s="174">
        <f>AQ891*AR891</f>
        <v>296</v>
      </c>
      <c r="AI891" s="174">
        <f>$D$58+$D$19</f>
        <v>268.61079999999998</v>
      </c>
      <c r="AJ891" s="174">
        <f>10*AX891*AU891/9</f>
        <v>1.1111111111111112</v>
      </c>
      <c r="AK891" s="174">
        <f>SUM(AL891:AN891)</f>
        <v>1097.4492714451219</v>
      </c>
      <c r="AL891" s="174">
        <f>(VLOOKUP(C891,$B$36:$AG$39,8,FALSE)+VLOOKUP(C891,$B$40:$AG$43,8,FALSE)*$D$54)*$D$59/100</f>
        <v>1097.4492714451219</v>
      </c>
      <c r="AM891" s="174"/>
      <c r="AN891" s="174"/>
      <c r="AO891" s="176">
        <v>9</v>
      </c>
      <c r="AP891" s="174">
        <v>36</v>
      </c>
      <c r="AQ891" s="175">
        <f>VLOOKUP(C891,$B$45:$AA$48,8,FALSE)</f>
        <v>296</v>
      </c>
      <c r="AR891" s="31">
        <f>IF(LEFT(E891,1)*1=1,$S$57,$R$57)</f>
        <v>1</v>
      </c>
      <c r="AS891" s="2">
        <f>IF(LEFT(E891,1)*1=2,$U$57,$T$57)</f>
        <v>0.625</v>
      </c>
      <c r="AT891" s="33">
        <f>IF(LEFT(E891,1)*1=3,$W$57,$V$57)</f>
        <v>0</v>
      </c>
      <c r="AU891" s="31">
        <f>IF(MID(E891,3,1)*1=1,$Y$57,$X$57)</f>
        <v>1</v>
      </c>
      <c r="AV891" s="2">
        <f>IF(MID(E891,3,1)*1=2,$AA$57,$Z$57)</f>
        <v>1</v>
      </c>
      <c r="AW891" s="33">
        <f>IF(MID(E891,3,1)*1=3,$AC$57,$AB$57)</f>
        <v>0</v>
      </c>
      <c r="AX891" s="31">
        <f>IF(MID(E891,5,1)*1=1,$AE$57,$AD$57)</f>
        <v>1</v>
      </c>
      <c r="AY891" s="33">
        <f>IF(MID(E891,5,1)*1=2,$AG$57,$AF$57)</f>
        <v>3</v>
      </c>
      <c r="AZ891" s="2"/>
      <c r="BA891" s="101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</row>
    <row r="892" spans="1:71" ht="12" hidden="1" customHeight="1">
      <c r="A892" s="2"/>
      <c r="B892" s="107">
        <v>141</v>
      </c>
      <c r="C892" s="31">
        <v>10</v>
      </c>
      <c r="D892" s="106" t="s">
        <v>7</v>
      </c>
      <c r="E892" s="2" t="s">
        <v>170</v>
      </c>
      <c r="F892" s="2"/>
      <c r="G892" s="2" t="s">
        <v>184</v>
      </c>
      <c r="H892" s="33"/>
      <c r="I892" s="173">
        <f>M892/AE892</f>
        <v>318.11691997601076</v>
      </c>
      <c r="J892" s="174">
        <f>AH892/AE892</f>
        <v>49.51023339726175</v>
      </c>
      <c r="K892" s="207">
        <f>RANK(I892,$I$76:$I$977)</f>
        <v>816</v>
      </c>
      <c r="L892" s="208" t="e">
        <f>RANK(I892,$I$76:$I$450)</f>
        <v>#N/A</v>
      </c>
      <c r="M892" s="173">
        <f>N892+R892/2</f>
        <v>1901.8817293256191</v>
      </c>
      <c r="N892" s="174">
        <f>T892*(1+((AG892+IF(F892="백어택",8,0))/100)*((AI892/100-1)))</f>
        <v>1449.0527461528527</v>
      </c>
      <c r="O892" s="174"/>
      <c r="P892" s="174"/>
      <c r="Q892" s="174"/>
      <c r="R892" s="175">
        <f>X892*(1+(AG892/100)*(AI892/100-1))</f>
        <v>905.65796634553283</v>
      </c>
      <c r="S892" s="173">
        <f>SUM(T892:X892)</f>
        <v>1783.3550660983231</v>
      </c>
      <c r="T892" s="174">
        <f>AL892*AV892*AX892</f>
        <v>1097.4492714451219</v>
      </c>
      <c r="U892" s="174"/>
      <c r="V892" s="174"/>
      <c r="W892" s="174"/>
      <c r="X892" s="175">
        <f>AS892*AL892</f>
        <v>685.90579465320116</v>
      </c>
      <c r="Y892" s="173">
        <f>SUM(Z892:AD892)</f>
        <v>3566.7101321966461</v>
      </c>
      <c r="Z892" s="174">
        <f>T892*$D$58/100</f>
        <v>2194.8985428902438</v>
      </c>
      <c r="AA892" s="174"/>
      <c r="AB892" s="174"/>
      <c r="AC892" s="174"/>
      <c r="AD892" s="175">
        <f>X892*$D$58/100</f>
        <v>1371.8115893064023</v>
      </c>
      <c r="AE892" s="173">
        <f>AO892*(1-$D$17/100)-AY892</f>
        <v>5.9785620000000002</v>
      </c>
      <c r="AF892" s="174">
        <f>AP892</f>
        <v>36</v>
      </c>
      <c r="AG892" s="174">
        <f>IF($D$57&gt;100,100,$D$57)</f>
        <v>19.001300000000001</v>
      </c>
      <c r="AH892" s="174">
        <f>AQ892*AR892</f>
        <v>296</v>
      </c>
      <c r="AI892" s="174">
        <f>$D$58+$D$19</f>
        <v>268.61079999999998</v>
      </c>
      <c r="AJ892" s="174">
        <f>10*AX892*AU892/9</f>
        <v>0.88888888888888884</v>
      </c>
      <c r="AK892" s="174">
        <f>SUM(AL892:AN892)</f>
        <v>1097.4492714451219</v>
      </c>
      <c r="AL892" s="174">
        <f>(VLOOKUP(C892,$B$36:$AG$39,8,FALSE)+VLOOKUP(C892,$B$40:$AG$43,8,FALSE)*$D$54)*$D$59/100</f>
        <v>1097.4492714451219</v>
      </c>
      <c r="AM892" s="174"/>
      <c r="AN892" s="174"/>
      <c r="AO892" s="176">
        <v>9</v>
      </c>
      <c r="AP892" s="174">
        <v>36</v>
      </c>
      <c r="AQ892" s="175">
        <f>VLOOKUP(C892,$B$45:$AA$48,8,FALSE)</f>
        <v>296</v>
      </c>
      <c r="AR892" s="31">
        <f>IF(LEFT(E892,1)*1=1,$S$57,$R$57)</f>
        <v>1</v>
      </c>
      <c r="AS892" s="2">
        <f>IF(LEFT(E892,1)*1=2,$U$57,$T$57)</f>
        <v>0.625</v>
      </c>
      <c r="AT892" s="33">
        <f>IF(LEFT(E892,1)*1=3,$W$57,$V$57)</f>
        <v>0</v>
      </c>
      <c r="AU892" s="31">
        <f>IF(MID(E892,3,1)*1=1,$Y$57,$X$57)</f>
        <v>0.8</v>
      </c>
      <c r="AV892" s="2">
        <f>IF(MID(E892,3,1)*1=2,$AA$57,$Z$57)</f>
        <v>1</v>
      </c>
      <c r="AW892" s="33">
        <f>IF(MID(E892,3,1)*1=3,$AC$57,$AB$57)</f>
        <v>0</v>
      </c>
      <c r="AX892" s="31">
        <f>IF(MID(E892,5,1)*1=1,$AE$57,$AD$57)</f>
        <v>1</v>
      </c>
      <c r="AY892" s="33">
        <f>IF(MID(E892,5,1)*1=2,$AG$57,$AF$57)</f>
        <v>3</v>
      </c>
      <c r="AZ892" s="2"/>
      <c r="BA892" s="101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</row>
    <row r="893" spans="1:71" ht="12" customHeight="1">
      <c r="A893" s="2"/>
      <c r="B893" s="107">
        <v>344</v>
      </c>
      <c r="C893" s="31">
        <v>1</v>
      </c>
      <c r="D893" s="106" t="s">
        <v>20</v>
      </c>
      <c r="E893" s="2" t="s">
        <v>67</v>
      </c>
      <c r="F893" s="2" t="s">
        <v>149</v>
      </c>
      <c r="G893" s="2"/>
      <c r="H893" s="33"/>
      <c r="I893" s="173">
        <f>M893/AE893</f>
        <v>316.28571405248715</v>
      </c>
      <c r="J893" s="174">
        <f>AH893/AE893</f>
        <v>4.7334974130601317</v>
      </c>
      <c r="K893" s="207">
        <f>RANK(I893,$I$76:$I$977)</f>
        <v>818</v>
      </c>
      <c r="L893" s="208" t="e">
        <f>RANK(I893,$I$76:$I$450)</f>
        <v>#N/A</v>
      </c>
      <c r="M893" s="173">
        <f>SUM(N893:R893)</f>
        <v>5679.5817866690541</v>
      </c>
      <c r="N893" s="174">
        <f>T893*(1+((AG893+IF(F893="백어택",8,0))/100)*((AI893/100-1)))</f>
        <v>3033.1583859646043</v>
      </c>
      <c r="O893" s="174">
        <f>U893*(1+(($D$57+IF(F893="백어택",8,0))/100)*($D$58/100-1))</f>
        <v>2646.4234007044497</v>
      </c>
      <c r="P893" s="174"/>
      <c r="Q893" s="174"/>
      <c r="R893" s="175"/>
      <c r="S893" s="173">
        <f>SUM(T893:X893)</f>
        <v>4168.0332466273176</v>
      </c>
      <c r="T893" s="174">
        <f>AL893*AV893*IF(F893="백어택",1.2,1)</f>
        <v>2084.2566233136586</v>
      </c>
      <c r="U893" s="174">
        <f>AM893*AX893*AY893*IF(F893="백어택",1.2,1)</f>
        <v>2083.7766233136585</v>
      </c>
      <c r="V893" s="174"/>
      <c r="W893" s="174"/>
      <c r="X893" s="175"/>
      <c r="Y893" s="173">
        <f>SUM(Z893:AD893)</f>
        <v>8336.0664932546351</v>
      </c>
      <c r="Z893" s="174">
        <f>T893*$D$58/100</f>
        <v>4168.5132466273171</v>
      </c>
      <c r="AA893" s="174">
        <f>U893*$D$58/100</f>
        <v>4167.5532466273171</v>
      </c>
      <c r="AB893" s="174"/>
      <c r="AC893" s="174"/>
      <c r="AD893" s="175"/>
      <c r="AE893" s="173">
        <f>AO893*(1-$D$17/100)-AR893</f>
        <v>17.957124</v>
      </c>
      <c r="AF893" s="174">
        <f>AP893</f>
        <v>36</v>
      </c>
      <c r="AG893" s="174">
        <f>IF($D$57+AU893&gt;100,100,$D$57+AU893)</f>
        <v>19.001300000000001</v>
      </c>
      <c r="AH893" s="174">
        <f>AQ893*AS893</f>
        <v>85</v>
      </c>
      <c r="AI893" s="174">
        <f>$D$58+$D$19</f>
        <v>268.61079999999998</v>
      </c>
      <c r="AJ893" s="174">
        <f>10*IF(AV893=1,1,5/4.5)/IF(AX893=1,5,3.5)</f>
        <v>2</v>
      </c>
      <c r="AK893" s="174">
        <f>SUM(AL893:AN893)</f>
        <v>3473.3610388560978</v>
      </c>
      <c r="AL893" s="174">
        <f>(VLOOKUP(C893,$B$36:$AG$39,29,FALSE)+VLOOKUP(C893,$B$40:$AG$43,29,FALSE)*$D$54)*$D$59/100</f>
        <v>1736.880519428049</v>
      </c>
      <c r="AM893" s="174">
        <f>(VLOOKUP(C893,$B$36:$AG$39,30,FALSE)+VLOOKUP(C893,$B$40:$AG$43,30,FALSE)*$D$54)*$D$59/100</f>
        <v>1736.4805194280489</v>
      </c>
      <c r="AN893" s="174"/>
      <c r="AO893" s="176">
        <v>18</v>
      </c>
      <c r="AP893" s="174">
        <v>36</v>
      </c>
      <c r="AQ893" s="175">
        <f>VLOOKUP(C893,$B$45:$AG$48,29,FALSE)</f>
        <v>85</v>
      </c>
      <c r="AR893" s="31">
        <f>IF(LEFT(E893,1)*1=1,$S$70,$R$70)</f>
        <v>0</v>
      </c>
      <c r="AS893" s="2">
        <f>IF(LEFT(E893,1)*1=2,$U$70,$T$70)</f>
        <v>1</v>
      </c>
      <c r="AT893" s="33">
        <f>IF(LEFT(E893,1)*1=3,$W$70,$V$70)</f>
        <v>0</v>
      </c>
      <c r="AU893" s="31">
        <f>IF(MID(E893,3,1)*1=1,$Y$70,$X$70)</f>
        <v>0</v>
      </c>
      <c r="AV893" s="2">
        <f>IF(MID(E893,3,1)*1=2,$AA$70,$Z$70)</f>
        <v>1</v>
      </c>
      <c r="AW893" s="33">
        <f>IF(MID(E893,3,1)*1=3,$AC$70,$AB$70)</f>
        <v>0</v>
      </c>
      <c r="AX893" s="31">
        <f>IF(MID(E893,5,1)*1=1,$AE$70,$AD$70)</f>
        <v>1</v>
      </c>
      <c r="AY893" s="33">
        <f>IF(MID(E893,5,1)*1=2,$AG$70,$AF$70)</f>
        <v>1</v>
      </c>
      <c r="AZ893" s="2"/>
      <c r="BA893" s="101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</row>
    <row r="894" spans="1:71" ht="12" customHeight="1">
      <c r="A894" s="2"/>
      <c r="B894" s="107">
        <v>411</v>
      </c>
      <c r="C894" s="31">
        <v>7</v>
      </c>
      <c r="D894" s="111" t="s">
        <v>8</v>
      </c>
      <c r="E894" s="2" t="s">
        <v>91</v>
      </c>
      <c r="F894" s="2"/>
      <c r="G894" s="2"/>
      <c r="H894" s="33" t="s">
        <v>80</v>
      </c>
      <c r="I894" s="173">
        <f>M894/AE894</f>
        <v>312.58523631919121</v>
      </c>
      <c r="J894" s="174">
        <f>AH894/AE894</f>
        <v>19.637781784066725</v>
      </c>
      <c r="K894" s="207">
        <f>RANK(I894,$I$76:$I$977)</f>
        <v>819</v>
      </c>
      <c r="L894" s="208" t="e">
        <f>RANK(I894,$I$451:$I$866)</f>
        <v>#N/A</v>
      </c>
      <c r="M894" s="173">
        <f>SUM(N894:R894)</f>
        <v>5778.0681154085323</v>
      </c>
      <c r="N894" s="174">
        <f>T894*(1+((AG894+IF(F894="백어택",8,0))/100)*(IF(AY894=1,$D$58,$D$58+50)/100-1))</f>
        <v>2432.5529418545398</v>
      </c>
      <c r="O894" s="174">
        <f>U894*(1+((AG894+IF(F894="백어택",8,0))/100)*(AI894/100-1))</f>
        <v>3345.515173553993</v>
      </c>
      <c r="P894" s="174">
        <f>V894*(1+((AG894+IF(F894="백어택",8,0))/100)*(AI894/100-1))</f>
        <v>0</v>
      </c>
      <c r="Q894" s="174"/>
      <c r="R894" s="175"/>
      <c r="S894" s="173">
        <f>SUM(T894:X894)</f>
        <v>4655.3362881621961</v>
      </c>
      <c r="T894" s="174">
        <f>AL894*IF(H894="근접",AR894,1)*AY894*IF(F894="백어택",1.2,1)</f>
        <v>2044.1398050731711</v>
      </c>
      <c r="U894" s="174">
        <f>AM894*IF(H894="근접",AR894,1)*AY894*IF(F894="백어택",1.2,1)</f>
        <v>2611.1964830890247</v>
      </c>
      <c r="V894" s="174">
        <f>IF(AX894=1,0,AM894*IF(H894="근접",AR894,1)*AY894)*IF(F894="백어택",1.2,1)</f>
        <v>0</v>
      </c>
      <c r="W894" s="174"/>
      <c r="X894" s="175"/>
      <c r="Y894" s="173">
        <f>SUM(Z894:AD894)</f>
        <v>10564.046888207124</v>
      </c>
      <c r="Z894" s="174">
        <f>T894*IF(AY894=1,$D$58,$D$58+50)/100</f>
        <v>4088.2796101463423</v>
      </c>
      <c r="AA894" s="174">
        <f>U894*AI894/100</f>
        <v>6475.7672780607818</v>
      </c>
      <c r="AB894" s="174">
        <f>V894*AI894/100</f>
        <v>0</v>
      </c>
      <c r="AC894" s="174"/>
      <c r="AD894" s="175"/>
      <c r="AE894" s="173">
        <f>AO894*(1-$D$20/100)*(1-$D$17/100)</f>
        <v>18.484776131615998</v>
      </c>
      <c r="AF894" s="174">
        <f>AP894</f>
        <v>36</v>
      </c>
      <c r="AG894" s="174">
        <f>IF($D$57+AU894&gt;100,100,$D$57+AU894)</f>
        <v>19.001300000000001</v>
      </c>
      <c r="AH894" s="174">
        <f>IF(AX894=1,AQ894,AQ894*1.4)</f>
        <v>363</v>
      </c>
      <c r="AI894" s="174">
        <f>IF(AY894=1,$D$58,$D$58+50)*AW894</f>
        <v>248</v>
      </c>
      <c r="AJ894" s="174">
        <f>10/6/AX894</f>
        <v>1.6666666666666667</v>
      </c>
      <c r="AK894" s="174">
        <f>SUM(AL894:AN894)</f>
        <v>4655.3362881621961</v>
      </c>
      <c r="AL894" s="174">
        <f>(IF(H894="근접",$D$61*(VLOOKUP(C894,$B$36:$AG$39,9,FALSE)+VLOOKUP(C894,$B$40:$AG$43,9,FALSE)*$D$54),$D$60*(VLOOKUP(C894,$B$36:$AG$39,9,FALSE)+VLOOKUP(C894,$B$40:$AG$43,9,FALSE)*$D$54)))*$D$59/100</f>
        <v>2044.1398050731711</v>
      </c>
      <c r="AM894" s="174">
        <f>(IF(H894="근접",$D$61*(VLOOKUP(C894,$B$36:$AG$39,10,FALSE)+VLOOKUP(C894,$B$40:$AG$43,10,FALSE)*$D$54),$D$60*(VLOOKUP(C894,$B$36:$AG$39,10,FALSE)+VLOOKUP(C894,$B$40:$AG$43,10,FALSE)*$D$54)))*$D$59/100</f>
        <v>2611.1964830890247</v>
      </c>
      <c r="AN894" s="174"/>
      <c r="AO894" s="176">
        <v>24</v>
      </c>
      <c r="AP894" s="174">
        <v>36</v>
      </c>
      <c r="AQ894" s="175">
        <f>VLOOKUP(C894,$B$45:$AA$48,9,FALSE)</f>
        <v>363</v>
      </c>
      <c r="AR894" s="31">
        <f>IF(LEFT(E894,1)*1=1,$S$58,$R$58)</f>
        <v>1</v>
      </c>
      <c r="AS894" s="2">
        <f>IF(LEFT(E894,1)*1=2,$U$58,$T$58)</f>
        <v>0</v>
      </c>
      <c r="AT894" s="33">
        <f>IF(LEFT(E894,1)*1=3,$W$58,$V$58)</f>
        <v>0</v>
      </c>
      <c r="AU894" s="31">
        <f>IF(MID(E894,3,1)*1=1,$Y$58,$X$58)</f>
        <v>0</v>
      </c>
      <c r="AV894" s="2">
        <f>IF(MID(E894,3,1)*1=2,$AA$58,$Z$58)</f>
        <v>0</v>
      </c>
      <c r="AW894" s="33">
        <f>IF(MID(E894,3,1)*1=3,$AC$58,$AB$58)</f>
        <v>1.24</v>
      </c>
      <c r="AX894" s="31">
        <f>IF(MID(E894,5,1)*1=1,$AE$58,$AD$58)</f>
        <v>1</v>
      </c>
      <c r="AY894" s="33">
        <f>IF(MID(E894,5,1)*1=2,$AG$58,$AF$58)</f>
        <v>1</v>
      </c>
      <c r="AZ894" s="2"/>
      <c r="BA894" s="101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</row>
    <row r="895" spans="1:71" ht="12" customHeight="1">
      <c r="A895" s="2"/>
      <c r="B895" s="107">
        <v>414</v>
      </c>
      <c r="C895" s="31">
        <v>7</v>
      </c>
      <c r="D895" s="111" t="s">
        <v>8</v>
      </c>
      <c r="E895" s="2" t="s">
        <v>155</v>
      </c>
      <c r="F895" s="2"/>
      <c r="G895" s="2"/>
      <c r="H895" s="33" t="s">
        <v>80</v>
      </c>
      <c r="I895" s="173">
        <f>M895/AE895</f>
        <v>312.58523631919121</v>
      </c>
      <c r="J895" s="174">
        <f>AH895/AE895</f>
        <v>19.637781784066725</v>
      </c>
      <c r="K895" s="207">
        <f>RANK(I895,$I$76:$I$977)</f>
        <v>819</v>
      </c>
      <c r="L895" s="208" t="e">
        <f>RANK(I895,$I$451:$I$866)</f>
        <v>#N/A</v>
      </c>
      <c r="M895" s="173">
        <f>SUM(N895:R895)</f>
        <v>5778.0681154085323</v>
      </c>
      <c r="N895" s="174">
        <f>T895*(1+((AG895+IF(F895="백어택",8,0))/100)*(IF(AY895=1,$D$58,$D$58+50)/100-1))</f>
        <v>2432.5529418545398</v>
      </c>
      <c r="O895" s="174">
        <f>U895*(1+((AG895+IF(F895="백어택",8,0))/100)*(AI895/100-1))</f>
        <v>3345.515173553993</v>
      </c>
      <c r="P895" s="174">
        <f>V895*(1+((AG895+IF(F895="백어택",8,0))/100)*(AI895/100-1))</f>
        <v>0</v>
      </c>
      <c r="Q895" s="174"/>
      <c r="R895" s="175"/>
      <c r="S895" s="173">
        <f>SUM(T895:X895)</f>
        <v>4655.3362881621961</v>
      </c>
      <c r="T895" s="174">
        <f>AL895*IF(H895="근접",AR895,1)*AY895*IF(F895="백어택",1.2,1)</f>
        <v>2044.1398050731711</v>
      </c>
      <c r="U895" s="174">
        <f>AM895*IF(H895="근접",AR895,1)*AY895*IF(F895="백어택",1.2,1)</f>
        <v>2611.1964830890247</v>
      </c>
      <c r="V895" s="174">
        <f>IF(AX895=1,0,AM895*IF(H895="근접",AR895,1)*AY895)*IF(F895="백어택",1.2,1)</f>
        <v>0</v>
      </c>
      <c r="W895" s="174"/>
      <c r="X895" s="175"/>
      <c r="Y895" s="173">
        <f>SUM(Z895:AD895)</f>
        <v>10564.046888207124</v>
      </c>
      <c r="Z895" s="174">
        <f>T895*IF(AY895=1,$D$58,$D$58+50)/100</f>
        <v>4088.2796101463423</v>
      </c>
      <c r="AA895" s="174">
        <f>U895*AI895/100</f>
        <v>6475.7672780607818</v>
      </c>
      <c r="AB895" s="174">
        <f>V895*AI895/100</f>
        <v>0</v>
      </c>
      <c r="AC895" s="174"/>
      <c r="AD895" s="175"/>
      <c r="AE895" s="173">
        <f>AO895*(1-$D$20/100)*(1-$D$17/100)</f>
        <v>18.484776131615998</v>
      </c>
      <c r="AF895" s="174">
        <f>AP895</f>
        <v>36</v>
      </c>
      <c r="AG895" s="174">
        <f>IF($D$57+AU895&gt;100,100,$D$57+AU895)</f>
        <v>19.001300000000001</v>
      </c>
      <c r="AH895" s="174">
        <f>IF(AX895=1,AQ895,AQ895*1.4)</f>
        <v>363</v>
      </c>
      <c r="AI895" s="174">
        <f>IF(AY895=1,$D$58,$D$58+50)*AW895</f>
        <v>248</v>
      </c>
      <c r="AJ895" s="174">
        <f>10/6/AX895</f>
        <v>1.6666666666666667</v>
      </c>
      <c r="AK895" s="174">
        <f>SUM(AL895:AN895)</f>
        <v>4655.3362881621961</v>
      </c>
      <c r="AL895" s="174">
        <f>(IF(H895="근접",$D$61*(VLOOKUP(C895,$B$36:$AG$39,9,FALSE)+VLOOKUP(C895,$B$40:$AG$43,9,FALSE)*$D$54),$D$60*(VLOOKUP(C895,$B$36:$AG$39,9,FALSE)+VLOOKUP(C895,$B$40:$AG$43,9,FALSE)*$D$54)))*$D$59/100</f>
        <v>2044.1398050731711</v>
      </c>
      <c r="AM895" s="174">
        <f>(IF(H895="근접",$D$61*(VLOOKUP(C895,$B$36:$AG$39,10,FALSE)+VLOOKUP(C895,$B$40:$AG$43,10,FALSE)*$D$54),$D$60*(VLOOKUP(C895,$B$36:$AG$39,10,FALSE)+VLOOKUP(C895,$B$40:$AG$43,10,FALSE)*$D$54)))*$D$59/100</f>
        <v>2611.1964830890247</v>
      </c>
      <c r="AN895" s="174"/>
      <c r="AO895" s="176">
        <v>24</v>
      </c>
      <c r="AP895" s="174">
        <v>36</v>
      </c>
      <c r="AQ895" s="175">
        <f>VLOOKUP(C895,$B$45:$AA$48,9,FALSE)</f>
        <v>363</v>
      </c>
      <c r="AR895" s="31">
        <f>IF(LEFT(E895,1)*1=1,$S$58,$R$58)</f>
        <v>1.2</v>
      </c>
      <c r="AS895" s="2">
        <f>IF(LEFT(E895,1)*1=2,$U$58,$T$58)</f>
        <v>0</v>
      </c>
      <c r="AT895" s="33">
        <f>IF(LEFT(E895,1)*1=3,$W$58,$V$58)</f>
        <v>0</v>
      </c>
      <c r="AU895" s="31">
        <f>IF(MID(E895,3,1)*1=1,$Y$58,$X$58)</f>
        <v>0</v>
      </c>
      <c r="AV895" s="2">
        <f>IF(MID(E895,3,1)*1=2,$AA$58,$Z$58)</f>
        <v>0</v>
      </c>
      <c r="AW895" s="33">
        <f>IF(MID(E895,3,1)*1=3,$AC$58,$AB$58)</f>
        <v>1.24</v>
      </c>
      <c r="AX895" s="31">
        <f>IF(MID(E895,5,1)*1=1,$AE$58,$AD$58)</f>
        <v>1</v>
      </c>
      <c r="AY895" s="33">
        <f>IF(MID(E895,5,1)*1=2,$AG$58,$AF$58)</f>
        <v>1</v>
      </c>
      <c r="AZ895" s="2"/>
      <c r="BA895" s="101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</row>
    <row r="896" spans="1:71" ht="12" customHeight="1">
      <c r="A896" s="2"/>
      <c r="B896" s="107">
        <v>665</v>
      </c>
      <c r="C896" s="31">
        <v>4</v>
      </c>
      <c r="D896" s="111" t="s">
        <v>18</v>
      </c>
      <c r="E896" s="2" t="s">
        <v>79</v>
      </c>
      <c r="F896" s="2"/>
      <c r="G896" s="2"/>
      <c r="H896" s="33" t="s">
        <v>80</v>
      </c>
      <c r="I896" s="173">
        <f>M896/AE896</f>
        <v>311.83199557800708</v>
      </c>
      <c r="J896" s="174">
        <f>AH896/AE896</f>
        <v>10.765615909171565</v>
      </c>
      <c r="K896" s="207">
        <f>RANK(I896,$I$76:$I$977)</f>
        <v>821</v>
      </c>
      <c r="L896" s="208" t="e">
        <f>RANK(I896,$I$451:$I$866)</f>
        <v>#N/A</v>
      </c>
      <c r="M896" s="173">
        <f>SUM(N896:R896)</f>
        <v>5764.1446289345313</v>
      </c>
      <c r="N896" s="174">
        <f>T896*(1+((AG896+IF(F896="백어택",8,0))/100)*(AI896/100-1))</f>
        <v>3440.5758339368094</v>
      </c>
      <c r="O896" s="174">
        <f>U896*(1+(($D$57+IF(F896="백어택",8,0))/100)*(AI896/100-1))</f>
        <v>2323.5687949977214</v>
      </c>
      <c r="P896" s="174"/>
      <c r="Q896" s="174"/>
      <c r="R896" s="175"/>
      <c r="S896" s="173">
        <f>SUM(T896:X896)</f>
        <v>4843.7661008195128</v>
      </c>
      <c r="T896" s="174">
        <f>AL896*IF(H896="근접",AT896,IF(AV896=1,AT896,1))*AX896*IF(F896="백어택",1.2,1)</f>
        <v>2891.2086119536589</v>
      </c>
      <c r="U896" s="174">
        <f>IF(AX896=1,AM896*IF(H896="근접",AT896,IF(AV896=1,AT896,1)),0)*AY896*IF(AX896=1,1,0)*IF(F896="백어택",1.2,1)</f>
        <v>1952.5574888658539</v>
      </c>
      <c r="V896" s="174"/>
      <c r="W896" s="174"/>
      <c r="X896" s="175"/>
      <c r="Y896" s="173">
        <f>SUM(Z896:AD896)</f>
        <v>9687.5322016390255</v>
      </c>
      <c r="Z896" s="174">
        <f>T896*$D$58/100</f>
        <v>5782.4172239073177</v>
      </c>
      <c r="AA896" s="174">
        <f>U896*$D$58/100</f>
        <v>3905.1149777317078</v>
      </c>
      <c r="AB896" s="174"/>
      <c r="AC896" s="174"/>
      <c r="AD896" s="175"/>
      <c r="AE896" s="173">
        <f>(AO896*(1-$D$20/100)*(1-$D$17/100)-AR896)*IF(AW896="보스대상",1,POWER(0.85,AW896))</f>
        <v>18.484776131615998</v>
      </c>
      <c r="AF896" s="174">
        <f>AP896</f>
        <v>36</v>
      </c>
      <c r="AG896" s="174">
        <f>IF($D$57+AU896&gt;100,100,$D$57+AU896)</f>
        <v>19.001300000000001</v>
      </c>
      <c r="AH896" s="174">
        <f>AQ896</f>
        <v>199</v>
      </c>
      <c r="AI896" s="174">
        <f>$D$58</f>
        <v>200</v>
      </c>
      <c r="AJ896" s="174">
        <f>10*AS896/IF(AX896=1,IF(AY896=1,4.5,4),4)</f>
        <v>1.7777777777777777</v>
      </c>
      <c r="AK896" s="174">
        <f>SUM(AL896:AN896)</f>
        <v>4843.7661008195128</v>
      </c>
      <c r="AL896" s="174">
        <f>IF(AV896=1,$D$61*(VLOOKUP(C896,$B$36:$AG$39,25,FALSE)+VLOOKUP(C896,$B$40:$AG$43,25,FALSE)*$D$54),(IF(H896="근접",$D$61*(VLOOKUP(C896,$B$36:$AG$39,25,FALSE)+VLOOKUP(C896,$B$40:$AG$43,25,FALSE)*$D$54),$D$60*(VLOOKUP(C896,$B$36:$AG$39,25,FALSE)+VLOOKUP(C896,$B$40:$AG$43,25,FALSE)*$D$54))))*$D$59/100</f>
        <v>2891.2086119536589</v>
      </c>
      <c r="AM896" s="174">
        <f>(IF(AV896=1,$D$61*(VLOOKUP(C896,$B$36:$AG$39,26,FALSE)+VLOOKUP(C896,$B$40:$AG$43,26,FALSE)*$D$54),IF(H896="근접",$D$61*(VLOOKUP(C896,$B$36:$AG$39,26,FALSE)+VLOOKUP(C896,$B$40:$AG$43,26,FALSE)*$D$54),$D$60*(VLOOKUP(C896,$B$36:$AG$39,26,FALSE)+VLOOKUP(C896,$B$40:$AG$43,26,FALSE)*$D$54))))*$D$59/100</f>
        <v>1952.5574888658539</v>
      </c>
      <c r="AN896" s="174"/>
      <c r="AO896" s="176">
        <v>24</v>
      </c>
      <c r="AP896" s="174">
        <v>36</v>
      </c>
      <c r="AQ896" s="175">
        <f>VLOOKUP(C896,$B$45:$AA$48,25,FALSE)</f>
        <v>199</v>
      </c>
      <c r="AR896" s="31">
        <f>IF(LEFT(E896,1)*1=1,$S$68,$R$68)</f>
        <v>0</v>
      </c>
      <c r="AS896" s="2">
        <f>IF(LEFT(E896,1)*1=2,$U$68,$T$68)</f>
        <v>0.8</v>
      </c>
      <c r="AT896" s="33">
        <f>IF(LEFT(E896,1)*1=3,$W$68,$V$68)</f>
        <v>1</v>
      </c>
      <c r="AU896" s="31">
        <f>IF(MID(E896,3,1)*1=1,$Y$68,$X$68)</f>
        <v>0</v>
      </c>
      <c r="AV896" s="2">
        <f>IF(MID(E896,3,1)*1=2,$AA$68,$Z$68)</f>
        <v>0</v>
      </c>
      <c r="AW896" s="33" t="str">
        <f>IF(MID(E896,3,1)*1=3,$AC$68,$AB$68)</f>
        <v>보스대상</v>
      </c>
      <c r="AX896" s="31">
        <f>IF(MID(E896,5,1)*1=1,$AE$68,$AD$68)</f>
        <v>1</v>
      </c>
      <c r="AY896" s="33">
        <f>IF(MID(E896,5,1)*1=2,$AG$68,$AF$68)</f>
        <v>1</v>
      </c>
      <c r="AZ896" s="2"/>
      <c r="BA896" s="101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</row>
    <row r="897" spans="1:71" ht="12" customHeight="1">
      <c r="A897" s="2"/>
      <c r="B897" s="107">
        <v>666</v>
      </c>
      <c r="C897" s="31">
        <v>4</v>
      </c>
      <c r="D897" s="111" t="s">
        <v>18</v>
      </c>
      <c r="E897" s="2" t="s">
        <v>87</v>
      </c>
      <c r="F897" s="2"/>
      <c r="G897" s="2"/>
      <c r="H897" s="33" t="s">
        <v>80</v>
      </c>
      <c r="I897" s="173">
        <f>M897/AE897</f>
        <v>311.83199557800708</v>
      </c>
      <c r="J897" s="174">
        <f>AH897/AE897</f>
        <v>10.765615909171565</v>
      </c>
      <c r="K897" s="207">
        <f>RANK(I897,$I$76:$I$977)</f>
        <v>821</v>
      </c>
      <c r="L897" s="208" t="e">
        <f>RANK(I897,$I$451:$I$866)</f>
        <v>#N/A</v>
      </c>
      <c r="M897" s="173">
        <f>SUM(N897:R897)</f>
        <v>5764.1446289345313</v>
      </c>
      <c r="N897" s="174">
        <f>T897*(1+((AG897+IF(F897="백어택",8,0))/100)*(AI897/100-1))</f>
        <v>3440.5758339368094</v>
      </c>
      <c r="O897" s="174">
        <f>U897*(1+(($D$57+IF(F897="백어택",8,0))/100)*(AI897/100-1))</f>
        <v>2323.5687949977214</v>
      </c>
      <c r="P897" s="174"/>
      <c r="Q897" s="174"/>
      <c r="R897" s="175"/>
      <c r="S897" s="173">
        <f>SUM(T897:X897)</f>
        <v>4843.7661008195128</v>
      </c>
      <c r="T897" s="174">
        <f>AL897*IF(H897="근접",AT897,IF(AV897=1,AT897,1))*AX897*IF(F897="백어택",1.2,1)</f>
        <v>2891.2086119536589</v>
      </c>
      <c r="U897" s="174">
        <f>IF(AX897=1,AM897*IF(H897="근접",AT897,IF(AV897=1,AT897,1)),0)*AY897*IF(AX897=1,1,0)*IF(F897="백어택",1.2,1)</f>
        <v>1952.5574888658539</v>
      </c>
      <c r="V897" s="174"/>
      <c r="W897" s="174"/>
      <c r="X897" s="175"/>
      <c r="Y897" s="173">
        <f>SUM(Z897:AD897)</f>
        <v>9687.5322016390255</v>
      </c>
      <c r="Z897" s="174">
        <f>T897*$D$58/100</f>
        <v>5782.4172239073177</v>
      </c>
      <c r="AA897" s="174">
        <f>U897*$D$58/100</f>
        <v>3905.1149777317078</v>
      </c>
      <c r="AB897" s="174"/>
      <c r="AC897" s="174"/>
      <c r="AD897" s="175"/>
      <c r="AE897" s="173">
        <f>(AO897*(1-$D$20/100)*(1-$D$17/100)-AR897)*IF(AW897="보스대상",1,POWER(0.85,AW897))</f>
        <v>18.484776131615998</v>
      </c>
      <c r="AF897" s="174">
        <f>AP897</f>
        <v>36</v>
      </c>
      <c r="AG897" s="174">
        <f>IF($D$57+AU897&gt;100,100,$D$57+AU897)</f>
        <v>19.001300000000001</v>
      </c>
      <c r="AH897" s="174">
        <f>AQ897</f>
        <v>199</v>
      </c>
      <c r="AI897" s="174">
        <f>$D$58</f>
        <v>200</v>
      </c>
      <c r="AJ897" s="174">
        <f>10*AS897/IF(AX897=1,IF(AY897=1,4.5,4),4)</f>
        <v>2.2222222222222223</v>
      </c>
      <c r="AK897" s="174">
        <f>SUM(AL897:AN897)</f>
        <v>4843.7661008195128</v>
      </c>
      <c r="AL897" s="174">
        <f>IF(AV897=1,$D$61*(VLOOKUP(C897,$B$36:$AG$39,25,FALSE)+VLOOKUP(C897,$B$40:$AG$43,25,FALSE)*$D$54),(IF(H897="근접",$D$61*(VLOOKUP(C897,$B$36:$AG$39,25,FALSE)+VLOOKUP(C897,$B$40:$AG$43,25,FALSE)*$D$54),$D$60*(VLOOKUP(C897,$B$36:$AG$39,25,FALSE)+VLOOKUP(C897,$B$40:$AG$43,25,FALSE)*$D$54))))*$D$59/100</f>
        <v>2891.2086119536589</v>
      </c>
      <c r="AM897" s="174">
        <f>(IF(AV897=1,$D$61*(VLOOKUP(C897,$B$36:$AG$39,26,FALSE)+VLOOKUP(C897,$B$40:$AG$43,26,FALSE)*$D$54),IF(H897="근접",$D$61*(VLOOKUP(C897,$B$36:$AG$39,26,FALSE)+VLOOKUP(C897,$B$40:$AG$43,26,FALSE)*$D$54),$D$60*(VLOOKUP(C897,$B$36:$AG$39,26,FALSE)+VLOOKUP(C897,$B$40:$AG$43,26,FALSE)*$D$54))))*$D$59/100</f>
        <v>1952.5574888658539</v>
      </c>
      <c r="AN897" s="174"/>
      <c r="AO897" s="176">
        <v>24</v>
      </c>
      <c r="AP897" s="174">
        <v>36</v>
      </c>
      <c r="AQ897" s="175">
        <f>VLOOKUP(C897,$B$45:$AA$48,25,FALSE)</f>
        <v>199</v>
      </c>
      <c r="AR897" s="31">
        <f>IF(LEFT(E897,1)*1=1,$S$68,$R$68)</f>
        <v>0</v>
      </c>
      <c r="AS897" s="2">
        <f>IF(LEFT(E897,1)*1=2,$U$68,$T$68)</f>
        <v>1</v>
      </c>
      <c r="AT897" s="33">
        <f>IF(LEFT(E897,1)*1=3,$W$68,$V$68)</f>
        <v>1.2</v>
      </c>
      <c r="AU897" s="31">
        <f>IF(MID(E897,3,1)*1=1,$Y$68,$X$68)</f>
        <v>0</v>
      </c>
      <c r="AV897" s="2">
        <f>IF(MID(E897,3,1)*1=2,$AA$68,$Z$68)</f>
        <v>0</v>
      </c>
      <c r="AW897" s="33" t="str">
        <f>IF(MID(E897,3,1)*1=3,$AC$68,$AB$68)</f>
        <v>보스대상</v>
      </c>
      <c r="AX897" s="31">
        <f>IF(MID(E897,5,1)*1=1,$AE$68,$AD$68)</f>
        <v>1</v>
      </c>
      <c r="AY897" s="33">
        <f>IF(MID(E897,5,1)*1=2,$AG$68,$AF$68)</f>
        <v>1</v>
      </c>
      <c r="AZ897" s="2"/>
      <c r="BA897" s="101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</row>
    <row r="898" spans="1:71" ht="12" customHeight="1">
      <c r="A898" s="2"/>
      <c r="B898" s="107">
        <v>881</v>
      </c>
      <c r="C898" s="31">
        <v>1</v>
      </c>
      <c r="D898" s="113" t="s">
        <v>19</v>
      </c>
      <c r="E898" s="2" t="s">
        <v>67</v>
      </c>
      <c r="F898" s="2"/>
      <c r="G898" s="2"/>
      <c r="H898" s="33">
        <f>IF(AY898=1,4,6)</f>
        <v>4</v>
      </c>
      <c r="I898" s="173">
        <f>M898/AE898</f>
        <v>310.04584798912157</v>
      </c>
      <c r="J898" s="174">
        <f>AH898/AE898</f>
        <v>4.2183815181094699</v>
      </c>
      <c r="K898" s="207">
        <f>RANK(I898,$I$76:$I$977)</f>
        <v>823</v>
      </c>
      <c r="L898" s="208">
        <f>RANK(I898,$I$867:$I$977)</f>
        <v>32</v>
      </c>
      <c r="M898" s="173">
        <f>SUM(N898:R898)*(1+$D$22/100)</f>
        <v>7423.3756507010748</v>
      </c>
      <c r="N898" s="174">
        <f>T898*(1+($D$57/100)*($D$58/100-1))</f>
        <v>4279.9990871086256</v>
      </c>
      <c r="O898" s="174">
        <f>U898*(1+(AG898/100)*(AI898/100-1))</f>
        <v>2408.4690840443118</v>
      </c>
      <c r="P898" s="174"/>
      <c r="Q898" s="174"/>
      <c r="R898" s="175"/>
      <c r="S898" s="173">
        <f>SUM(T898:X898)</f>
        <v>5620.5000879426843</v>
      </c>
      <c r="T898" s="174">
        <f>AL898*AU898</f>
        <v>3596.5985977536593</v>
      </c>
      <c r="U898" s="174">
        <f>AM898*AU898</f>
        <v>2023.9014901890246</v>
      </c>
      <c r="V898" s="174"/>
      <c r="W898" s="174"/>
      <c r="X898" s="175"/>
      <c r="Y898" s="173">
        <f>SUM(Z898:AD898)</f>
        <v>11241.000175885369</v>
      </c>
      <c r="Z898" s="174">
        <f>T898*$D$58/100</f>
        <v>7193.1971955073186</v>
      </c>
      <c r="AA898" s="174">
        <f>U898*$D$58/100</f>
        <v>4047.8029803780491</v>
      </c>
      <c r="AB898" s="174"/>
      <c r="AC898" s="174"/>
      <c r="AD898" s="175"/>
      <c r="AE898" s="173">
        <f>AO898*(1-$D$17/100)</f>
        <v>23.942831999999999</v>
      </c>
      <c r="AF898" s="174">
        <f>AP898</f>
        <v>36</v>
      </c>
      <c r="AG898" s="174">
        <f>IF($D$57+AT898&gt;100,100,$D$57+AT898)</f>
        <v>19.001300000000001</v>
      </c>
      <c r="AH898" s="174">
        <f>AQ898</f>
        <v>101</v>
      </c>
      <c r="AI898" s="174">
        <f>$D$58</f>
        <v>200</v>
      </c>
      <c r="AJ898" s="174">
        <f>10/IF(AY898=1,(2.5+AX898),2)</f>
        <v>4</v>
      </c>
      <c r="AK898" s="174">
        <f>SUM(AL898:AN898)</f>
        <v>5620.5000879426843</v>
      </c>
      <c r="AL898" s="174">
        <f>(H898-1)*(VLOOKUP(C898,$B$36:$AG$39,27,FALSE)+VLOOKUP(C898,$B$40:$AG$43,27,FALSE)*$D$54)*$D$59/100</f>
        <v>3596.5985977536593</v>
      </c>
      <c r="AM898" s="174">
        <f>(VLOOKUP(C898,$B$36:$AG$39,28,FALSE)+VLOOKUP(C898,$B$40:$AG$43,28,FALSE)*$D$54)*$D$59/100</f>
        <v>2023.9014901890246</v>
      </c>
      <c r="AN898" s="174"/>
      <c r="AO898" s="176">
        <v>24</v>
      </c>
      <c r="AP898" s="174">
        <v>36</v>
      </c>
      <c r="AQ898" s="175">
        <f>VLOOKUP(C898,$B$45:$AG$48,27,FALSE)</f>
        <v>101</v>
      </c>
      <c r="AR898" s="31">
        <f>IF(LEFT(E898,1)*1=1,$S$69,$R$69)</f>
        <v>0</v>
      </c>
      <c r="AS898" s="2">
        <f>IF(LEFT(E898,1)*1=2,$U$69,$T$69)</f>
        <v>0</v>
      </c>
      <c r="AT898" s="33">
        <f>IF(LEFT(E898,1)*1=3,$W$69,$V$69)</f>
        <v>0</v>
      </c>
      <c r="AU898" s="31">
        <f>IF(MID(E898,3,1)*1=1,$Y$69,$X$69)</f>
        <v>1</v>
      </c>
      <c r="AV898" s="2">
        <f>IF(MID(E898,3,1)*1=2,$AA$69,$Z$69)</f>
        <v>0</v>
      </c>
      <c r="AW898" s="33">
        <f>IF(MID(E898,3,1)*1=3,$AC$69,$AB$69)</f>
        <v>0</v>
      </c>
      <c r="AX898" s="31">
        <f>IF(MID(E898,5,1)*1=1,$AE$69,$AD$69)</f>
        <v>0</v>
      </c>
      <c r="AY898" s="33">
        <f>IF(MID(E898,5,1)*1=2,$AG$69,$AF$69)</f>
        <v>1</v>
      </c>
      <c r="AZ898" s="2"/>
      <c r="BA898" s="101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</row>
    <row r="899" spans="1:71" ht="12" customHeight="1">
      <c r="A899" s="2"/>
      <c r="B899" s="107">
        <v>283</v>
      </c>
      <c r="C899" s="31">
        <v>10</v>
      </c>
      <c r="D899" s="106" t="s">
        <v>17</v>
      </c>
      <c r="E899" s="2" t="s">
        <v>144</v>
      </c>
      <c r="F899" s="2"/>
      <c r="G899" s="2"/>
      <c r="H899" s="33">
        <f>IF(AT899=1,3,IF(AY899=1,3,2))</f>
        <v>2</v>
      </c>
      <c r="I899" s="173">
        <f>M899/AE899</f>
        <v>309.15851987818667</v>
      </c>
      <c r="J899" s="174">
        <f>AH899/AE899</f>
        <v>34.707673678702669</v>
      </c>
      <c r="K899" s="207">
        <f>RANK(I899,$I$76:$I$977)</f>
        <v>824</v>
      </c>
      <c r="L899" s="208" t="e">
        <f>RANK(I899,$I$76:$I$450)</f>
        <v>#N/A</v>
      </c>
      <c r="M899" s="173">
        <f>SUM(N899:R899)</f>
        <v>2467.3768342706944</v>
      </c>
      <c r="N899" s="174">
        <f>T899*(1+((AG899+IF(F899="백어택",8,0))/100)*((AI899/100-1)))</f>
        <v>1233.6884171353472</v>
      </c>
      <c r="O899" s="174">
        <f>U899*(1+(AG899/100)*(AI899/100-1))</f>
        <v>1233.6884171353472</v>
      </c>
      <c r="P899" s="174">
        <f>V899*(1+(AG899/100)*(AI899/100-1))</f>
        <v>0</v>
      </c>
      <c r="Q899" s="174"/>
      <c r="R899" s="175"/>
      <c r="S899" s="173">
        <f>SUM(T899:X899)</f>
        <v>1868.6834667268295</v>
      </c>
      <c r="T899" s="174">
        <f>AL899*AV899</f>
        <v>934.34173336341473</v>
      </c>
      <c r="U899" s="174">
        <f>AL899*AW899</f>
        <v>934.34173336341473</v>
      </c>
      <c r="V899" s="174">
        <f>IF(H899=3,AL899,0)*(1+AW899-1+AW899-1)</f>
        <v>0</v>
      </c>
      <c r="W899" s="174"/>
      <c r="X899" s="175"/>
      <c r="Y899" s="173">
        <f>SUM(Z899:AD899)</f>
        <v>5019.4856094426705</v>
      </c>
      <c r="Z899" s="174">
        <f>T899*AI899/100</f>
        <v>2509.7428047213352</v>
      </c>
      <c r="AA899" s="174">
        <f>U899*AI899/100</f>
        <v>2509.7428047213352</v>
      </c>
      <c r="AB899" s="174">
        <f>V899*AI899/100</f>
        <v>0</v>
      </c>
      <c r="AC899" s="174"/>
      <c r="AD899" s="175"/>
      <c r="AE899" s="173">
        <f>AO899*(1-$D$17/100)</f>
        <v>7.980944</v>
      </c>
      <c r="AF899" s="174">
        <f>AP899</f>
        <v>36</v>
      </c>
      <c r="AG899" s="174">
        <f>IF($D$57&gt;100,100,$D$57)</f>
        <v>19.001300000000001</v>
      </c>
      <c r="AH899" s="174">
        <f>AQ899</f>
        <v>277</v>
      </c>
      <c r="AI899" s="174">
        <f>$D$58+$D$19</f>
        <v>268.61079999999998</v>
      </c>
      <c r="AJ899" s="174">
        <f>10*AR899/IF(AT899=0,IF(AY899=0,8,5),5)</f>
        <v>1.25</v>
      </c>
      <c r="AK899" s="174">
        <f>H899*SUM(AL899:AN899)</f>
        <v>1868.6834667268295</v>
      </c>
      <c r="AL899" s="174">
        <f>((VLOOKUP(C899,$B$36:$AG$39,24,FALSE)+VLOOKUP(C899,$B$40:$AG$43,24,FALSE)*$D$54))*$D$59/100</f>
        <v>934.34173336341473</v>
      </c>
      <c r="AM899" s="174"/>
      <c r="AN899" s="174"/>
      <c r="AO899" s="176">
        <v>8</v>
      </c>
      <c r="AP899" s="174">
        <v>36</v>
      </c>
      <c r="AQ899" s="175">
        <f>VLOOKUP(C899,$B$45:$AA$48,24,FALSE)</f>
        <v>277</v>
      </c>
      <c r="AR899" s="31">
        <f>IF(LEFT(E899,1)*1=1,$S$67,$R$67)</f>
        <v>1</v>
      </c>
      <c r="AS899" s="2">
        <f>IF(LEFT(E899,1)*1=2,$U$67,$T$67)</f>
        <v>0</v>
      </c>
      <c r="AT899" s="33">
        <f>IF(LEFT(E899,1)*1=3,$W$67,$V$67)</f>
        <v>0</v>
      </c>
      <c r="AU899" s="31">
        <f>IF(MID(E899,3,1)*1=1,$Y$67,$X$67)</f>
        <v>0</v>
      </c>
      <c r="AV899" s="2">
        <f>IF(MID(E899,3,1)*1=2,$AA$67,$Z$67)</f>
        <v>1</v>
      </c>
      <c r="AW899" s="33">
        <f>IF(MID(E899,3,1)*1=3,$AC$67,$AB$67)</f>
        <v>1</v>
      </c>
      <c r="AX899" s="31">
        <f>IF(MID(E899,5,1)*1=1,$AE$67,$AD$67)</f>
        <v>150</v>
      </c>
      <c r="AY899" s="33">
        <f>IF(MID(E899,5,1)*1=2,$AG$67,$AF$67)</f>
        <v>0</v>
      </c>
      <c r="AZ899" s="2"/>
      <c r="BA899" s="101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</row>
    <row r="900" spans="1:71" ht="12" customHeight="1">
      <c r="A900" s="2"/>
      <c r="B900" s="107">
        <v>286</v>
      </c>
      <c r="C900" s="31">
        <v>10</v>
      </c>
      <c r="D900" s="106" t="s">
        <v>17</v>
      </c>
      <c r="E900" s="2" t="s">
        <v>150</v>
      </c>
      <c r="F900" s="2"/>
      <c r="G900" s="2"/>
      <c r="H900" s="33">
        <f>IF(AT900=1,3,IF(AY900=1,3,2))</f>
        <v>2</v>
      </c>
      <c r="I900" s="173">
        <f>M900/AE900</f>
        <v>309.15851987818667</v>
      </c>
      <c r="J900" s="174">
        <f>AH900/AE900</f>
        <v>34.707673678702669</v>
      </c>
      <c r="K900" s="207">
        <f>RANK(I900,$I$76:$I$977)</f>
        <v>824</v>
      </c>
      <c r="L900" s="208" t="e">
        <f>RANK(I900,$I$76:$I$450)</f>
        <v>#N/A</v>
      </c>
      <c r="M900" s="173">
        <f>SUM(N900:R900)</f>
        <v>2467.3768342706944</v>
      </c>
      <c r="N900" s="174">
        <f>T900*(1+((AG900+IF(F900="백어택",8,0))/100)*((AI900/100-1)))</f>
        <v>1233.6884171353472</v>
      </c>
      <c r="O900" s="174">
        <f>U900*(1+(AG900/100)*(AI900/100-1))</f>
        <v>1233.6884171353472</v>
      </c>
      <c r="P900" s="174">
        <f>V900*(1+(AG900/100)*(AI900/100-1))</f>
        <v>0</v>
      </c>
      <c r="Q900" s="174"/>
      <c r="R900" s="175"/>
      <c r="S900" s="173">
        <f>SUM(T900:X900)</f>
        <v>1868.6834667268295</v>
      </c>
      <c r="T900" s="174">
        <f>AL900*AV900</f>
        <v>934.34173336341473</v>
      </c>
      <c r="U900" s="174">
        <f>AL900*AW900</f>
        <v>934.34173336341473</v>
      </c>
      <c r="V900" s="174">
        <f>IF(H900=3,AL900,0)*(1+AW900-1+AW900-1)</f>
        <v>0</v>
      </c>
      <c r="W900" s="174"/>
      <c r="X900" s="175"/>
      <c r="Y900" s="173">
        <f>SUM(Z900:AD900)</f>
        <v>5019.4856094426705</v>
      </c>
      <c r="Z900" s="174">
        <f>T900*AI900/100</f>
        <v>2509.7428047213352</v>
      </c>
      <c r="AA900" s="174">
        <f>U900*AI900/100</f>
        <v>2509.7428047213352</v>
      </c>
      <c r="AB900" s="174">
        <f>V900*AI900/100</f>
        <v>0</v>
      </c>
      <c r="AC900" s="174"/>
      <c r="AD900" s="175"/>
      <c r="AE900" s="173">
        <f>AO900*(1-$D$17/100)</f>
        <v>7.980944</v>
      </c>
      <c r="AF900" s="174">
        <f>AP900</f>
        <v>36</v>
      </c>
      <c r="AG900" s="174">
        <f>IF($D$57&gt;100,100,$D$57)</f>
        <v>19.001300000000001</v>
      </c>
      <c r="AH900" s="174">
        <f>AQ900</f>
        <v>277</v>
      </c>
      <c r="AI900" s="174">
        <f>$D$58+$D$19</f>
        <v>268.61079999999998</v>
      </c>
      <c r="AJ900" s="174">
        <f>10*AR900/IF(AT900=0,IF(AY900=0,8,5),5)</f>
        <v>1</v>
      </c>
      <c r="AK900" s="174">
        <f>H900*SUM(AL900:AN900)</f>
        <v>1868.6834667268295</v>
      </c>
      <c r="AL900" s="174">
        <f>((VLOOKUP(C900,$B$36:$AG$39,24,FALSE)+VLOOKUP(C900,$B$40:$AG$43,24,FALSE)*$D$54))*$D$59/100</f>
        <v>934.34173336341473</v>
      </c>
      <c r="AM900" s="174"/>
      <c r="AN900" s="174"/>
      <c r="AO900" s="176">
        <v>8</v>
      </c>
      <c r="AP900" s="174">
        <v>36</v>
      </c>
      <c r="AQ900" s="175">
        <f>VLOOKUP(C900,$B$45:$AA$48,24,FALSE)</f>
        <v>277</v>
      </c>
      <c r="AR900" s="31">
        <f>IF(LEFT(E900,1)*1=1,$S$67,$R$67)</f>
        <v>0.8</v>
      </c>
      <c r="AS900" s="2">
        <f>IF(LEFT(E900,1)*1=2,$U$67,$T$67)</f>
        <v>0</v>
      </c>
      <c r="AT900" s="33">
        <f>IF(LEFT(E900,1)*1=3,$W$67,$V$67)</f>
        <v>0</v>
      </c>
      <c r="AU900" s="31">
        <f>IF(MID(E900,3,1)*1=1,$Y$67,$X$67)</f>
        <v>0</v>
      </c>
      <c r="AV900" s="2">
        <f>IF(MID(E900,3,1)*1=2,$AA$67,$Z$67)</f>
        <v>1</v>
      </c>
      <c r="AW900" s="33">
        <f>IF(MID(E900,3,1)*1=3,$AC$67,$AB$67)</f>
        <v>1</v>
      </c>
      <c r="AX900" s="31">
        <f>IF(MID(E900,5,1)*1=1,$AE$67,$AD$67)</f>
        <v>150</v>
      </c>
      <c r="AY900" s="33">
        <f>IF(MID(E900,5,1)*1=2,$AG$67,$AF$67)</f>
        <v>0</v>
      </c>
      <c r="AZ900" s="2"/>
      <c r="BA900" s="101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</row>
    <row r="901" spans="1:71" ht="12" customHeight="1">
      <c r="A901" s="2"/>
      <c r="B901" s="107">
        <v>259</v>
      </c>
      <c r="C901" s="31">
        <v>4</v>
      </c>
      <c r="D901" s="106" t="s">
        <v>16</v>
      </c>
      <c r="E901" s="2" t="s">
        <v>87</v>
      </c>
      <c r="F901" s="2" t="s">
        <v>149</v>
      </c>
      <c r="G901" s="2"/>
      <c r="H901" s="33">
        <f>AX901*2</f>
        <v>2</v>
      </c>
      <c r="I901" s="173">
        <f>M901/AE901</f>
        <v>308.27090403618553</v>
      </c>
      <c r="J901" s="174">
        <f>AH901/AE901</f>
        <v>15.035815312073359</v>
      </c>
      <c r="K901" s="207">
        <f>RANK(I901,$I$76:$I$977)</f>
        <v>826</v>
      </c>
      <c r="L901" s="208" t="e">
        <f>RANK(I901,$I$76:$I$450)</f>
        <v>#N/A</v>
      </c>
      <c r="M901" s="173">
        <f>SUM(N901:R901)</f>
        <v>1845.2196164566278</v>
      </c>
      <c r="N901" s="174">
        <f>T901*(1+((AG901+IF(F901="백어택",8,0))/100)*((AI901/100-1)))</f>
        <v>1845.2196164566278</v>
      </c>
      <c r="O901" s="174"/>
      <c r="P901" s="174"/>
      <c r="Q901" s="174"/>
      <c r="R901" s="175"/>
      <c r="S901" s="173">
        <f>SUM(T901:X901)*H901</f>
        <v>2160.4418188858535</v>
      </c>
      <c r="T901" s="174">
        <f>AL901*AU901*AY901*IF(F901="백어택",1.2,1)</f>
        <v>1080.2209094429268</v>
      </c>
      <c r="U901" s="174"/>
      <c r="V901" s="174"/>
      <c r="W901" s="174"/>
      <c r="X901" s="175"/>
      <c r="Y901" s="173">
        <f>SUM(Z901:AD901)</f>
        <v>2160.4418188858535</v>
      </c>
      <c r="Z901" s="174">
        <f>T901*$D$58/100</f>
        <v>2160.4418188858535</v>
      </c>
      <c r="AA901" s="174"/>
      <c r="AB901" s="174"/>
      <c r="AC901" s="174"/>
      <c r="AD901" s="175"/>
      <c r="AE901" s="173">
        <f>AO901*(1-$D$17/100)</f>
        <v>5.9857079999999998</v>
      </c>
      <c r="AF901" s="174">
        <f>AP901</f>
        <v>36</v>
      </c>
      <c r="AG901" s="174">
        <f>IF($D$57+AT901&gt;100,100,$D$57+AT901)</f>
        <v>34.001300000000001</v>
      </c>
      <c r="AH901" s="174">
        <f>AQ901*AR901</f>
        <v>90</v>
      </c>
      <c r="AI901" s="174">
        <f>$D$58+$D$19</f>
        <v>268.61079999999998</v>
      </c>
      <c r="AJ901" s="174">
        <f>10*AS901/IF(AX901=1,5,3.5)</f>
        <v>2</v>
      </c>
      <c r="AK901" s="174">
        <f>SUM(AL901:AN901)</f>
        <v>900.18409120243905</v>
      </c>
      <c r="AL901" s="174">
        <f>((VLOOKUP(C901,$B$36:$AG$39,23,FALSE)+VLOOKUP(C901,$B$40:$AG$43,23,FALSE)*$D$54))*$D$59/100</f>
        <v>900.18409120243905</v>
      </c>
      <c r="AM901" s="174"/>
      <c r="AN901" s="174"/>
      <c r="AO901" s="176">
        <v>6</v>
      </c>
      <c r="AP901" s="174">
        <v>36</v>
      </c>
      <c r="AQ901" s="175">
        <f>VLOOKUP(C901,$B$45:$AA$48,23,FALSE)</f>
        <v>90</v>
      </c>
      <c r="AR901" s="31">
        <f>IF(LEFT(E901,1)*1=1,$S$66,$R$66)</f>
        <v>1</v>
      </c>
      <c r="AS901" s="2">
        <f>IF(LEFT(E901,1)*1=2,$U$66,$T$66)</f>
        <v>1</v>
      </c>
      <c r="AT901" s="33">
        <f>IF(LEFT(E901,1)*1=3,$W$66,$V$66)</f>
        <v>15</v>
      </c>
      <c r="AU901" s="31">
        <f>IF(MID(E901,3,1)*1=1,$Y$66,$X$66)</f>
        <v>1</v>
      </c>
      <c r="AV901" s="2">
        <f>IF(MID(E901,3,1)*1=2,$AA$66,$Z$66)</f>
        <v>0</v>
      </c>
      <c r="AW901" s="33">
        <f>IF(MID(E901,3,1)*1=3,$AC$66,$AB$66)</f>
        <v>0</v>
      </c>
      <c r="AX901" s="31">
        <f>IF(MID(E901,5,1)*1=1,$AE$66,$AD$66)</f>
        <v>1</v>
      </c>
      <c r="AY901" s="33">
        <f>IF(MID(E901,5,1)*1=2,$AG$66,$AF$66)</f>
        <v>1</v>
      </c>
      <c r="AZ901" s="2"/>
      <c r="BA901" s="101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</row>
    <row r="902" spans="1:71" ht="12" customHeight="1">
      <c r="A902" s="2"/>
      <c r="B902" s="107">
        <v>540</v>
      </c>
      <c r="C902" s="31">
        <v>4</v>
      </c>
      <c r="D902" s="111" t="s">
        <v>14</v>
      </c>
      <c r="E902" s="2" t="s">
        <v>67</v>
      </c>
      <c r="F902" s="1"/>
      <c r="G902" s="1"/>
      <c r="H902" s="33" t="s">
        <v>80</v>
      </c>
      <c r="I902" s="173">
        <f>M902/AE902</f>
        <v>307.53982860249698</v>
      </c>
      <c r="J902" s="174">
        <f>AH902/AE902</f>
        <v>9.0885601645267471</v>
      </c>
      <c r="K902" s="207">
        <f>RANK(I902,$I$76:$I$977)</f>
        <v>827</v>
      </c>
      <c r="L902" s="208" t="e">
        <f>RANK(I902,$I$451:$I$866)</f>
        <v>#N/A</v>
      </c>
      <c r="M902" s="173">
        <f>SUM(N902:R902)</f>
        <v>8527.2073249090681</v>
      </c>
      <c r="N902" s="174">
        <f>T902*(1+((AG902+IF(F902="백어택",8,0))/100)*(AI902/100-1))</f>
        <v>2545.028662741357</v>
      </c>
      <c r="O902" s="174">
        <f>U902*(1+((AG902+IF(F902="백어택",8,0))/100)*(AI902/100-1))</f>
        <v>2545.028662741357</v>
      </c>
      <c r="P902" s="174">
        <f>V902*(1+((AG902+IF(F902="백어택",8,0))/100)*(AI902*IF(AX902=1,AW902,1)/100-1))</f>
        <v>3437.149999426355</v>
      </c>
      <c r="Q902" s="174">
        <f>W902*(1+((AG902+IF(F902="백어택",8,0))/100)*(AI902*AW902/100-1))</f>
        <v>0</v>
      </c>
      <c r="R902" s="175"/>
      <c r="S902" s="173">
        <f>SUM(T902:X902)</f>
        <v>7165.6421609756108</v>
      </c>
      <c r="T902" s="174">
        <f>AL902*AY902*IF(F902="백어택",1.2,1)</f>
        <v>2138.6561850512198</v>
      </c>
      <c r="U902" s="174">
        <f>AM902*AY902*IF(F902="백어택",1.2,1)</f>
        <v>2138.6561850512198</v>
      </c>
      <c r="V902" s="174">
        <f>AN902*AY902*IF(F902="백어택",1.2,1)</f>
        <v>2888.3297908731711</v>
      </c>
      <c r="W902" s="174">
        <f>(T902+U902+V902)*IF(AX902=1,0,0.6)*IF(F902="백어택",1.2,1)</f>
        <v>0</v>
      </c>
      <c r="X902" s="175"/>
      <c r="Y902" s="173">
        <f>SUM(Z902:AD902)</f>
        <v>14331.284321951222</v>
      </c>
      <c r="Z902" s="174">
        <f>T902*AI902/100</f>
        <v>4277.3123701024397</v>
      </c>
      <c r="AA902" s="174">
        <f>U902*AI902/100</f>
        <v>4277.3123701024397</v>
      </c>
      <c r="AB902" s="174">
        <f>V902*AI902*IF(AX902=1,AW902,1)/100</f>
        <v>5776.6595817463422</v>
      </c>
      <c r="AC902" s="174">
        <f>W902*AI902*AW902/100</f>
        <v>0</v>
      </c>
      <c r="AD902" s="175"/>
      <c r="AE902" s="173">
        <f>AO902*(1-$D$20/100)*(1-$D$17/100)</f>
        <v>27.727164197424003</v>
      </c>
      <c r="AF902" s="174">
        <f>AP902</f>
        <v>36</v>
      </c>
      <c r="AG902" s="174">
        <f>IF($D$57+AU902&gt;100,100,$D$57+AU902)</f>
        <v>19.001300000000001</v>
      </c>
      <c r="AH902" s="174">
        <f>AQ902*AS902</f>
        <v>252</v>
      </c>
      <c r="AI902" s="174">
        <f>$D$58+IF(H902="근접",AR902,0)+IF(AY902=1,0,50)</f>
        <v>200</v>
      </c>
      <c r="AJ902" s="174">
        <f>10/3</f>
        <v>3.3333333333333335</v>
      </c>
      <c r="AK902" s="174">
        <f>SUM(AL902:AN902)</f>
        <v>7165.6421609756108</v>
      </c>
      <c r="AL902" s="174">
        <f>(IF(H902="근접",$D$61*(VLOOKUP(C902,$B$36:$AG$39,19,FALSE)+VLOOKUP(C902,$B$40:$AG$43,19,FALSE)*$D$54),$D$60*(VLOOKUP(C902,$B$36:$AG$39,19,FALSE)+VLOOKUP(C902,$B$40:$AG$43,19,FALSE)*$D$54)))*$D$59/100</f>
        <v>2138.6561850512198</v>
      </c>
      <c r="AM902" s="174">
        <f>(IF(H902="근접",$D$61*(VLOOKUP(C902,$B$36:$AG$39,20,FALSE)+VLOOKUP(C902,$B$40:$AG$43,20,FALSE)*$D$54),$D$60*(VLOOKUP(C902,$B$36:$AG$39,20,FALSE)+VLOOKUP(C902,$B$40:$AG$43,20,FALSE)*$D$54)))*$D$59/100</f>
        <v>2138.6561850512198</v>
      </c>
      <c r="AN902" s="174">
        <f>(IF(H902="근접",$D$61*(VLOOKUP(C902,$B$36:$AG$39,21,FALSE)+VLOOKUP(C902,$B$40:$AG$43,21,FALSE)*$D$54),$D$60*(VLOOKUP(C902,$B$36:$AG$39,21,FALSE)+VLOOKUP(C902,$B$40:$AG$43,21,FALSE)*$D$54)))*$D$59/100</f>
        <v>2888.3297908731711</v>
      </c>
      <c r="AO902" s="176">
        <v>36</v>
      </c>
      <c r="AP902" s="174">
        <v>36</v>
      </c>
      <c r="AQ902" s="175">
        <f>VLOOKUP(C902,$B$45:$AA$48,19,FALSE)</f>
        <v>252</v>
      </c>
      <c r="AR902" s="31">
        <f>IF(LEFT(E902,1)*1=1,$S$64,$R$64)</f>
        <v>0</v>
      </c>
      <c r="AS902" s="2">
        <f>IF(LEFT(E902,1)*1=2,$U$64,$T$64)</f>
        <v>1</v>
      </c>
      <c r="AT902" s="33">
        <f>IF(LEFT(E902,1)*1=3,$W$64,$V$64)</f>
        <v>0</v>
      </c>
      <c r="AU902" s="31">
        <f>IF(MID(E902,3,1)*1=1,$Y$64,$X$64)</f>
        <v>0</v>
      </c>
      <c r="AV902" s="2">
        <f>IF(MID(E902,3,1)*1=2,$AA$64,$Z$64)</f>
        <v>0</v>
      </c>
      <c r="AW902" s="33">
        <f>IF(MID(E902,3,1)*1=3,$AC$64,$AB$64)</f>
        <v>1</v>
      </c>
      <c r="AX902" s="31">
        <f>IF(MID(E902,5,1)*1=1,$AE$64,$AD$64)</f>
        <v>1</v>
      </c>
      <c r="AY902" s="33">
        <f>IF(MID(E902,5,1)*1=2,$AG$64,$AF$64)</f>
        <v>1</v>
      </c>
      <c r="AZ902" s="2"/>
      <c r="BA902" s="101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</row>
    <row r="903" spans="1:71" ht="12" customHeight="1">
      <c r="A903" s="2"/>
      <c r="B903" s="107">
        <v>541</v>
      </c>
      <c r="C903" s="31">
        <v>4</v>
      </c>
      <c r="D903" s="111" t="s">
        <v>14</v>
      </c>
      <c r="E903" s="2" t="s">
        <v>148</v>
      </c>
      <c r="F903" s="2"/>
      <c r="G903" s="2"/>
      <c r="H903" s="33" t="s">
        <v>80</v>
      </c>
      <c r="I903" s="173">
        <f>M903/AE903</f>
        <v>307.53982860249698</v>
      </c>
      <c r="J903" s="174">
        <f>AH903/AE903</f>
        <v>9.0885601645267471</v>
      </c>
      <c r="K903" s="207">
        <f>RANK(I903,$I$76:$I$977)</f>
        <v>827</v>
      </c>
      <c r="L903" s="208" t="e">
        <f>RANK(I903,$I$451:$I$866)</f>
        <v>#N/A</v>
      </c>
      <c r="M903" s="173">
        <f>SUM(N903:R903)</f>
        <v>8527.2073249090681</v>
      </c>
      <c r="N903" s="174">
        <f>T903*(1+((AG903+IF(F903="백어택",8,0))/100)*(AI903/100-1))</f>
        <v>2545.028662741357</v>
      </c>
      <c r="O903" s="174">
        <f>U903*(1+((AG903+IF(F903="백어택",8,0))/100)*(AI903/100-1))</f>
        <v>2545.028662741357</v>
      </c>
      <c r="P903" s="174">
        <f>V903*(1+((AG903+IF(F903="백어택",8,0))/100)*(AI903*IF(AX903=1,AW903,1)/100-1))</f>
        <v>3437.149999426355</v>
      </c>
      <c r="Q903" s="174">
        <f>W903*(1+((AG903+IF(F903="백어택",8,0))/100)*(AI903*AW903/100-1))</f>
        <v>0</v>
      </c>
      <c r="R903" s="175"/>
      <c r="S903" s="173">
        <f>SUM(T903:X903)</f>
        <v>7165.6421609756108</v>
      </c>
      <c r="T903" s="174">
        <f>AL903*AY903*IF(F903="백어택",1.2,1)</f>
        <v>2138.6561850512198</v>
      </c>
      <c r="U903" s="174">
        <f>AM903*AY903*IF(F903="백어택",1.2,1)</f>
        <v>2138.6561850512198</v>
      </c>
      <c r="V903" s="174">
        <f>AN903*AY903*IF(F903="백어택",1.2,1)</f>
        <v>2888.3297908731711</v>
      </c>
      <c r="W903" s="174">
        <f>(T903+U903+V903)*IF(AX903=1,0,0.6)*IF(F903="백어택",1.2,1)</f>
        <v>0</v>
      </c>
      <c r="X903" s="175"/>
      <c r="Y903" s="173">
        <f>SUM(Z903:AD903)</f>
        <v>14331.284321951222</v>
      </c>
      <c r="Z903" s="174">
        <f>T903*AI903/100</f>
        <v>4277.3123701024397</v>
      </c>
      <c r="AA903" s="174">
        <f>U903*AI903/100</f>
        <v>4277.3123701024397</v>
      </c>
      <c r="AB903" s="174">
        <f>V903*AI903*IF(AX903=1,AW903,1)/100</f>
        <v>5776.6595817463422</v>
      </c>
      <c r="AC903" s="174">
        <f>W903*AI903*AW903/100</f>
        <v>0</v>
      </c>
      <c r="AD903" s="175"/>
      <c r="AE903" s="173">
        <f>AO903*(1-$D$20/100)*(1-$D$17/100)</f>
        <v>27.727164197424003</v>
      </c>
      <c r="AF903" s="174">
        <f>AP903</f>
        <v>36</v>
      </c>
      <c r="AG903" s="174">
        <f>IF($D$57+AU903&gt;100,100,$D$57+AU903)</f>
        <v>19.001300000000001</v>
      </c>
      <c r="AH903" s="174">
        <f>AQ903*AS903</f>
        <v>252</v>
      </c>
      <c r="AI903" s="174">
        <f>$D$58+IF(H903="근접",AR903,0)+IF(AY903=1,0,50)</f>
        <v>200</v>
      </c>
      <c r="AJ903" s="174">
        <f>10/3</f>
        <v>3.3333333333333335</v>
      </c>
      <c r="AK903" s="174">
        <f>SUM(AL903:AN903)</f>
        <v>7165.6421609756108</v>
      </c>
      <c r="AL903" s="174">
        <f>(IF(H903="근접",$D$61*(VLOOKUP(C903,$B$36:$AG$39,19,FALSE)+VLOOKUP(C903,$B$40:$AG$43,19,FALSE)*$D$54),$D$60*(VLOOKUP(C903,$B$36:$AG$39,19,FALSE)+VLOOKUP(C903,$B$40:$AG$43,19,FALSE)*$D$54)))*$D$59/100</f>
        <v>2138.6561850512198</v>
      </c>
      <c r="AM903" s="174">
        <f>(IF(H903="근접",$D$61*(VLOOKUP(C903,$B$36:$AG$39,20,FALSE)+VLOOKUP(C903,$B$40:$AG$43,20,FALSE)*$D$54),$D$60*(VLOOKUP(C903,$B$36:$AG$39,20,FALSE)+VLOOKUP(C903,$B$40:$AG$43,20,FALSE)*$D$54)))*$D$59/100</f>
        <v>2138.6561850512198</v>
      </c>
      <c r="AN903" s="174">
        <f>(IF(H903="근접",$D$61*(VLOOKUP(C903,$B$36:$AG$39,21,FALSE)+VLOOKUP(C903,$B$40:$AG$43,21,FALSE)*$D$54),$D$60*(VLOOKUP(C903,$B$36:$AG$39,21,FALSE)+VLOOKUP(C903,$B$40:$AG$43,21,FALSE)*$D$54)))*$D$59/100</f>
        <v>2888.3297908731711</v>
      </c>
      <c r="AO903" s="176">
        <v>36</v>
      </c>
      <c r="AP903" s="174">
        <v>36</v>
      </c>
      <c r="AQ903" s="175">
        <f>VLOOKUP(C903,$B$45:$AA$48,19,FALSE)</f>
        <v>252</v>
      </c>
      <c r="AR903" s="31">
        <f>IF(LEFT(E903,1)*1=1,$S$64,$R$64)</f>
        <v>50</v>
      </c>
      <c r="AS903" s="2">
        <f>IF(LEFT(E903,1)*1=2,$U$64,$T$64)</f>
        <v>1</v>
      </c>
      <c r="AT903" s="33">
        <f>IF(LEFT(E903,1)*1=3,$W$64,$V$64)</f>
        <v>0</v>
      </c>
      <c r="AU903" s="31">
        <f>IF(MID(E903,3,1)*1=1,$Y$64,$X$64)</f>
        <v>0</v>
      </c>
      <c r="AV903" s="2">
        <f>IF(MID(E903,3,1)*1=2,$AA$64,$Z$64)</f>
        <v>0</v>
      </c>
      <c r="AW903" s="33">
        <f>IF(MID(E903,3,1)*1=3,$AC$64,$AB$64)</f>
        <v>1</v>
      </c>
      <c r="AX903" s="31">
        <f>IF(MID(E903,5,1)*1=1,$AE$64,$AD$64)</f>
        <v>1</v>
      </c>
      <c r="AY903" s="33">
        <f>IF(MID(E903,5,1)*1=2,$AG$64,$AF$64)</f>
        <v>1</v>
      </c>
      <c r="AZ903" s="2"/>
      <c r="BA903" s="101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</row>
    <row r="904" spans="1:71" ht="12" customHeight="1">
      <c r="A904" s="2"/>
      <c r="B904" s="107">
        <v>542</v>
      </c>
      <c r="C904" s="31">
        <v>4</v>
      </c>
      <c r="D904" s="111" t="s">
        <v>14</v>
      </c>
      <c r="E904" s="2" t="s">
        <v>79</v>
      </c>
      <c r="F904" s="2"/>
      <c r="G904" s="2"/>
      <c r="H904" s="33" t="s">
        <v>80</v>
      </c>
      <c r="I904" s="173">
        <f>M904/AE904</f>
        <v>307.53982860249698</v>
      </c>
      <c r="J904" s="174">
        <f>AH904/AE904</f>
        <v>4.5442800822633735</v>
      </c>
      <c r="K904" s="207">
        <f>RANK(I904,$I$76:$I$977)</f>
        <v>827</v>
      </c>
      <c r="L904" s="208" t="e">
        <f>RANK(I904,$I$451:$I$866)</f>
        <v>#N/A</v>
      </c>
      <c r="M904" s="173">
        <f>SUM(N904:R904)</f>
        <v>8527.2073249090681</v>
      </c>
      <c r="N904" s="174">
        <f>T904*(1+((AG904+IF(F904="백어택",8,0))/100)*(AI904/100-1))</f>
        <v>2545.028662741357</v>
      </c>
      <c r="O904" s="174">
        <f>U904*(1+((AG904+IF(F904="백어택",8,0))/100)*(AI904/100-1))</f>
        <v>2545.028662741357</v>
      </c>
      <c r="P904" s="174">
        <f>V904*(1+((AG904+IF(F904="백어택",8,0))/100)*(AI904*IF(AX904=1,AW904,1)/100-1))</f>
        <v>3437.149999426355</v>
      </c>
      <c r="Q904" s="174">
        <f>W904*(1+((AG904+IF(F904="백어택",8,0))/100)*(AI904*AW904/100-1))</f>
        <v>0</v>
      </c>
      <c r="R904" s="175"/>
      <c r="S904" s="173">
        <f>SUM(T904:X904)</f>
        <v>7165.6421609756108</v>
      </c>
      <c r="T904" s="174">
        <f>AL904*AY904*IF(F904="백어택",1.2,1)</f>
        <v>2138.6561850512198</v>
      </c>
      <c r="U904" s="174">
        <f>AM904*AY904*IF(F904="백어택",1.2,1)</f>
        <v>2138.6561850512198</v>
      </c>
      <c r="V904" s="174">
        <f>AN904*AY904*IF(F904="백어택",1.2,1)</f>
        <v>2888.3297908731711</v>
      </c>
      <c r="W904" s="174">
        <f>(T904+U904+V904)*IF(AX904=1,0,0.6)*IF(F904="백어택",1.2,1)</f>
        <v>0</v>
      </c>
      <c r="X904" s="175"/>
      <c r="Y904" s="173">
        <f>SUM(Z904:AD904)</f>
        <v>14331.284321951222</v>
      </c>
      <c r="Z904" s="174">
        <f>T904*AI904/100</f>
        <v>4277.3123701024397</v>
      </c>
      <c r="AA904" s="174">
        <f>U904*AI904/100</f>
        <v>4277.3123701024397</v>
      </c>
      <c r="AB904" s="174">
        <f>V904*AI904*IF(AX904=1,AW904,1)/100</f>
        <v>5776.6595817463422</v>
      </c>
      <c r="AC904" s="174">
        <f>W904*AI904*AW904/100</f>
        <v>0</v>
      </c>
      <c r="AD904" s="175"/>
      <c r="AE904" s="173">
        <f>AO904*(1-$D$20/100)*(1-$D$17/100)</f>
        <v>27.727164197424003</v>
      </c>
      <c r="AF904" s="174">
        <f>AP904</f>
        <v>36</v>
      </c>
      <c r="AG904" s="174">
        <f>IF($D$57+AU904&gt;100,100,$D$57+AU904)</f>
        <v>19.001300000000001</v>
      </c>
      <c r="AH904" s="174">
        <f>AQ904*AS904</f>
        <v>126</v>
      </c>
      <c r="AI904" s="174">
        <f>$D$58+IF(H904="근접",AR904,0)+IF(AY904=1,0,50)</f>
        <v>200</v>
      </c>
      <c r="AJ904" s="174">
        <f>10/3</f>
        <v>3.3333333333333335</v>
      </c>
      <c r="AK904" s="174">
        <f>SUM(AL904:AN904)</f>
        <v>7165.6421609756108</v>
      </c>
      <c r="AL904" s="174">
        <f>(IF(H904="근접",$D$61*(VLOOKUP(C904,$B$36:$AG$39,19,FALSE)+VLOOKUP(C904,$B$40:$AG$43,19,FALSE)*$D$54),$D$60*(VLOOKUP(C904,$B$36:$AG$39,19,FALSE)+VLOOKUP(C904,$B$40:$AG$43,19,FALSE)*$D$54)))*$D$59/100</f>
        <v>2138.6561850512198</v>
      </c>
      <c r="AM904" s="174">
        <f>(IF(H904="근접",$D$61*(VLOOKUP(C904,$B$36:$AG$39,20,FALSE)+VLOOKUP(C904,$B$40:$AG$43,20,FALSE)*$D$54),$D$60*(VLOOKUP(C904,$B$36:$AG$39,20,FALSE)+VLOOKUP(C904,$B$40:$AG$43,20,FALSE)*$D$54)))*$D$59/100</f>
        <v>2138.6561850512198</v>
      </c>
      <c r="AN904" s="174">
        <f>(IF(H904="근접",$D$61*(VLOOKUP(C904,$B$36:$AG$39,21,FALSE)+VLOOKUP(C904,$B$40:$AG$43,21,FALSE)*$D$54),$D$60*(VLOOKUP(C904,$B$36:$AG$39,21,FALSE)+VLOOKUP(C904,$B$40:$AG$43,21,FALSE)*$D$54)))*$D$59/100</f>
        <v>2888.3297908731711</v>
      </c>
      <c r="AO904" s="176">
        <v>36</v>
      </c>
      <c r="AP904" s="174">
        <v>36</v>
      </c>
      <c r="AQ904" s="175">
        <f>VLOOKUP(C904,$B$45:$AA$48,19,FALSE)</f>
        <v>252</v>
      </c>
      <c r="AR904" s="31">
        <f>IF(LEFT(E904,1)*1=1,$S$64,$R$64)</f>
        <v>0</v>
      </c>
      <c r="AS904" s="2">
        <f>IF(LEFT(E904,1)*1=2,$U$64,$T$64)</f>
        <v>0.5</v>
      </c>
      <c r="AT904" s="33">
        <f>IF(LEFT(E904,1)*1=3,$W$64,$V$64)</f>
        <v>0</v>
      </c>
      <c r="AU904" s="31">
        <f>IF(MID(E904,3,1)*1=1,$Y$64,$X$64)</f>
        <v>0</v>
      </c>
      <c r="AV904" s="2">
        <f>IF(MID(E904,3,1)*1=2,$AA$64,$Z$64)</f>
        <v>0</v>
      </c>
      <c r="AW904" s="33">
        <f>IF(MID(E904,3,1)*1=3,$AC$64,$AB$64)</f>
        <v>1</v>
      </c>
      <c r="AX904" s="31">
        <f>IF(MID(E904,5,1)*1=1,$AE$64,$AD$64)</f>
        <v>1</v>
      </c>
      <c r="AY904" s="33">
        <f>IF(MID(E904,5,1)*1=2,$AG$64,$AF$64)</f>
        <v>1</v>
      </c>
      <c r="AZ904" s="2"/>
      <c r="BA904" s="101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</row>
    <row r="905" spans="1:71" ht="12" customHeight="1">
      <c r="A905" s="2"/>
      <c r="B905" s="107">
        <v>605</v>
      </c>
      <c r="C905" s="31">
        <v>1</v>
      </c>
      <c r="D905" s="111" t="s">
        <v>14</v>
      </c>
      <c r="E905" s="2" t="s">
        <v>67</v>
      </c>
      <c r="F905" s="2" t="s">
        <v>149</v>
      </c>
      <c r="G905" s="1"/>
      <c r="H905" s="33" t="s">
        <v>80</v>
      </c>
      <c r="I905" s="173">
        <f>M905/AE905</f>
        <v>305.36441995791699</v>
      </c>
      <c r="J905" s="174">
        <f>AH905/AE905</f>
        <v>4.5803457972019714</v>
      </c>
      <c r="K905" s="207">
        <f>RANK(I905,$I$76:$I$977)</f>
        <v>830</v>
      </c>
      <c r="L905" s="208" t="e">
        <f>RANK(I905,$I$451:$I$866)</f>
        <v>#N/A</v>
      </c>
      <c r="M905" s="173">
        <f>SUM(N905:R905)</f>
        <v>8466.8894122243037</v>
      </c>
      <c r="N905" s="174">
        <f>T905*(1+((AG905+IF(F905="백어택",8,0))/100)*(AI905/100-1))</f>
        <v>2467.8115943167841</v>
      </c>
      <c r="O905" s="174">
        <f>U905*(1+((AG905+IF(F905="백어택",8,0))/100)*(AI905/100-1))</f>
        <v>2467.8115943167841</v>
      </c>
      <c r="P905" s="174">
        <f>V905*(1+((AG905+IF(F905="백어택",8,0))/100)*(AI905*IF(AX905=1,AW905,1)/100-1))</f>
        <v>3531.2662235907355</v>
      </c>
      <c r="Q905" s="174">
        <f>W905*(1+((AG905+IF(F905="백어택",8,0))/100)*(AI905*AW905/100-1))</f>
        <v>0</v>
      </c>
      <c r="R905" s="175"/>
      <c r="S905" s="173">
        <f>SUM(T905:X905)</f>
        <v>6666.7738143029273</v>
      </c>
      <c r="T905" s="174">
        <f>AL905*AY905*IF(F905="백어택",1.2,1)</f>
        <v>1943.1388452848782</v>
      </c>
      <c r="U905" s="174">
        <f>AM905*AY905*IF(F905="백어택",1.2,1)</f>
        <v>1943.1388452848782</v>
      </c>
      <c r="V905" s="174">
        <f>AN905*AY905*IF(F905="백어택",1.2,1)</f>
        <v>2780.4961237331709</v>
      </c>
      <c r="W905" s="174">
        <f>(T905+U905+V905)*IF(AX905=1,0,0.6)*IF(F905="백어택",1.2,1)</f>
        <v>0</v>
      </c>
      <c r="X905" s="175"/>
      <c r="Y905" s="173">
        <f>SUM(Z905:AD905)</f>
        <v>13333.547628605855</v>
      </c>
      <c r="Z905" s="174">
        <f>T905*AI905/100</f>
        <v>3886.2776905697565</v>
      </c>
      <c r="AA905" s="174">
        <f>U905*AI905/100</f>
        <v>3886.2776905697565</v>
      </c>
      <c r="AB905" s="174">
        <f>V905*AI905*IF(AX905=1,AW905,1)/100</f>
        <v>5560.9922474663417</v>
      </c>
      <c r="AC905" s="174">
        <f>W905*AI905*AW905/100</f>
        <v>0</v>
      </c>
      <c r="AD905" s="175"/>
      <c r="AE905" s="173">
        <f>AO905*(1-$D$20/100)*(1-$D$17/100)</f>
        <v>27.727164197424003</v>
      </c>
      <c r="AF905" s="174">
        <f>AP905</f>
        <v>36</v>
      </c>
      <c r="AG905" s="174">
        <f>IF($D$57+AU905&gt;100,100,$D$57+AU905)</f>
        <v>19.001300000000001</v>
      </c>
      <c r="AH905" s="174">
        <f>AQ905*AS905</f>
        <v>127</v>
      </c>
      <c r="AI905" s="174">
        <f>$D$58+IF(H905="근접",AR905,0)+IF(AY905=1,0,50)</f>
        <v>200</v>
      </c>
      <c r="AJ905" s="174">
        <f>10/3</f>
        <v>3.3333333333333335</v>
      </c>
      <c r="AK905" s="174">
        <f>SUM(AL905:AN905)</f>
        <v>5555.6448452524401</v>
      </c>
      <c r="AL905" s="174">
        <f>(IF(H905="근접",$D$61*(VLOOKUP(C905,$B$36:$AG$39,19,FALSE)+VLOOKUP(C905,$B$40:$AG$43,19,FALSE)*$D$54),$D$60*(VLOOKUP(C905,$B$36:$AG$39,19,FALSE)+VLOOKUP(C905,$B$40:$AG$43,19,FALSE)*$D$54)))*$D$59/100</f>
        <v>1619.2823710707319</v>
      </c>
      <c r="AM905" s="174">
        <f>(IF(H905="근접",$D$61*(VLOOKUP(C905,$B$36:$AG$39,20,FALSE)+VLOOKUP(C905,$B$40:$AG$43,20,FALSE)*$D$54),$D$60*(VLOOKUP(C905,$B$36:$AG$39,20,FALSE)+VLOOKUP(C905,$B$40:$AG$43,20,FALSE)*$D$54)))*$D$59/100</f>
        <v>1619.2823710707319</v>
      </c>
      <c r="AN905" s="174">
        <f>(IF(H905="근접",$D$61*(VLOOKUP(C905,$B$36:$AG$39,21,FALSE)+VLOOKUP(C905,$B$40:$AG$43,21,FALSE)*$D$54),$D$60*(VLOOKUP(C905,$B$36:$AG$39,21,FALSE)+VLOOKUP(C905,$B$40:$AG$43,21,FALSE)*$D$54)))*$D$59/100</f>
        <v>2317.0801031109759</v>
      </c>
      <c r="AO905" s="176">
        <v>36</v>
      </c>
      <c r="AP905" s="174">
        <v>36</v>
      </c>
      <c r="AQ905" s="175">
        <f>VLOOKUP(C905,$B$45:$AA$48,19,FALSE)</f>
        <v>127</v>
      </c>
      <c r="AR905" s="31">
        <f>IF(LEFT(E905,1)*1=1,$S$64,$R$64)</f>
        <v>0</v>
      </c>
      <c r="AS905" s="2">
        <f>IF(LEFT(E905,1)*1=2,$U$64,$T$64)</f>
        <v>1</v>
      </c>
      <c r="AT905" s="33">
        <f>IF(LEFT(E905,1)*1=3,$W$64,$V$64)</f>
        <v>0</v>
      </c>
      <c r="AU905" s="31">
        <f>IF(MID(E905,3,1)*1=1,$Y$64,$X$64)</f>
        <v>0</v>
      </c>
      <c r="AV905" s="2">
        <f>IF(MID(E905,3,1)*1=2,$AA$64,$Z$64)</f>
        <v>0</v>
      </c>
      <c r="AW905" s="33">
        <f>IF(MID(E905,3,1)*1=3,$AC$64,$AB$64)</f>
        <v>1</v>
      </c>
      <c r="AX905" s="31">
        <f>IF(MID(E905,5,1)*1=1,$AE$64,$AD$64)</f>
        <v>1</v>
      </c>
      <c r="AY905" s="33">
        <f>IF(MID(E905,5,1)*1=2,$AG$64,$AF$64)</f>
        <v>1</v>
      </c>
      <c r="AZ905" s="2"/>
      <c r="BA905" s="101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</row>
    <row r="906" spans="1:71" ht="12" customHeight="1">
      <c r="A906" s="2"/>
      <c r="B906" s="107">
        <v>760</v>
      </c>
      <c r="C906" s="31">
        <v>1</v>
      </c>
      <c r="D906" s="111" t="s">
        <v>21</v>
      </c>
      <c r="E906" s="2" t="s">
        <v>67</v>
      </c>
      <c r="F906" s="2"/>
      <c r="G906" s="2"/>
      <c r="H906" s="33"/>
      <c r="I906" s="173">
        <f>M906/AE906</f>
        <v>303.11748173658549</v>
      </c>
      <c r="J906" s="174">
        <f>AH906/AE906</f>
        <v>4.5803457972019714</v>
      </c>
      <c r="K906" s="207">
        <f>RANK(I906,$I$76:$I$977)</f>
        <v>831</v>
      </c>
      <c r="L906" s="208" t="e">
        <f>RANK(I906,$I$451:$I$866)</f>
        <v>#N/A</v>
      </c>
      <c r="M906" s="173">
        <f>SUM(N906:R906)</f>
        <v>8404.588187219977</v>
      </c>
      <c r="N906" s="174">
        <f>T906*(1+((AG906+IF(F906="백어택",8,0))/100)*(AI906/100-1))</f>
        <v>8404.588187219977</v>
      </c>
      <c r="O906" s="174"/>
      <c r="P906" s="174"/>
      <c r="Q906" s="174"/>
      <c r="R906" s="175">
        <f>X906*(1+(AG906/100)*(AI906/100-1))</f>
        <v>0</v>
      </c>
      <c r="S906" s="173">
        <f>SUM(T906:X906)</f>
        <v>7062.6019944487816</v>
      </c>
      <c r="T906" s="174">
        <f>AL906*AW906*AX906*AY906*IF(F906="백어택",1.2,1)</f>
        <v>7062.6019944487816</v>
      </c>
      <c r="U906" s="174"/>
      <c r="V906" s="174"/>
      <c r="W906" s="174"/>
      <c r="X906" s="175">
        <f>AL906*AS906+IF(AX906=1,AL906*AU906,AL906*AU906*2)</f>
        <v>0</v>
      </c>
      <c r="Y906" s="173">
        <f>SUM(Z906:AD906)</f>
        <v>14125.203988897563</v>
      </c>
      <c r="Z906" s="174">
        <f>T906*$D$58/100</f>
        <v>14125.203988897563</v>
      </c>
      <c r="AA906" s="174"/>
      <c r="AB906" s="174"/>
      <c r="AC906" s="174"/>
      <c r="AD906" s="175">
        <f>X906*$D$58/100</f>
        <v>0</v>
      </c>
      <c r="AE906" s="173">
        <f>AO906*(1-$D$20/100)*(1-$D$17/100)-AR906</f>
        <v>27.727164197424003</v>
      </c>
      <c r="AF906" s="174">
        <f>AP906</f>
        <v>36</v>
      </c>
      <c r="AG906" s="174">
        <f>IF($D$57&gt;100,100,$D$57)</f>
        <v>19.001300000000001</v>
      </c>
      <c r="AH906" s="174">
        <f>AQ906</f>
        <v>127</v>
      </c>
      <c r="AI906" s="174">
        <f>$D$58</f>
        <v>200</v>
      </c>
      <c r="AJ906" s="174">
        <f>10/6</f>
        <v>1.6666666666666667</v>
      </c>
      <c r="AK906" s="174">
        <f>SUM(AL906:AN906)</f>
        <v>7062.6019944487816</v>
      </c>
      <c r="AL906" s="174">
        <f>(VLOOKUP(C906,$B$36:$AG$39,31,FALSE)+VLOOKUP(C906,$B$40:$AG$43,31,FALSE)*$D$54)*$D$59/100</f>
        <v>7062.6019944487816</v>
      </c>
      <c r="AM906" s="174"/>
      <c r="AN906" s="174"/>
      <c r="AO906" s="176">
        <v>36</v>
      </c>
      <c r="AP906" s="174">
        <v>36</v>
      </c>
      <c r="AQ906" s="175">
        <f>VLOOKUP(C906,$B$45:$AG$48,31,FALSE)</f>
        <v>127</v>
      </c>
      <c r="AR906" s="31">
        <f>IF(LEFT(E906,1)*1=1,$S$71,$R$71)</f>
        <v>0</v>
      </c>
      <c r="AS906" s="2">
        <f>IF(LEFT(E906,1)*1=2,$U$71,$T$71)</f>
        <v>0</v>
      </c>
      <c r="AT906" s="33">
        <f>IF(LEFT(E906,1)*1=3,$W$71,$V$71)</f>
        <v>0</v>
      </c>
      <c r="AU906" s="31">
        <f>IF(MID(E906,3,1)*1=1,$Y$71,$X$71)</f>
        <v>0</v>
      </c>
      <c r="AV906" s="2">
        <f>IF(MID(E906,3,1)*1=2,$AA$71,$Z$71)</f>
        <v>0</v>
      </c>
      <c r="AW906" s="33">
        <f>IF(MID(E906,3,1)*1=3,$AC$71,$AB$71)</f>
        <v>1</v>
      </c>
      <c r="AX906" s="31">
        <f>IF(MID(E906,5,1)*1=1,$AE$71,$AD$71)</f>
        <v>1</v>
      </c>
      <c r="AY906" s="33">
        <f>IF(MID(E906,5,1)*1=2,$AG$71,$AF$71)</f>
        <v>1</v>
      </c>
      <c r="AZ906" s="2"/>
      <c r="BA906" s="101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</row>
    <row r="907" spans="1:71" ht="12" customHeight="1">
      <c r="A907" s="2"/>
      <c r="B907" s="107">
        <v>810</v>
      </c>
      <c r="C907" s="31">
        <v>7</v>
      </c>
      <c r="D907" s="113" t="s">
        <v>9</v>
      </c>
      <c r="E907" s="2" t="s">
        <v>67</v>
      </c>
      <c r="F907" s="2"/>
      <c r="G907" s="2"/>
      <c r="H907" s="33"/>
      <c r="I907" s="173">
        <f>M907/AE907</f>
        <v>302.93892929997224</v>
      </c>
      <c r="J907" s="174">
        <f>AH907/AE907</f>
        <v>12.752598912832589</v>
      </c>
      <c r="K907" s="207">
        <f>RANK(I907,$I$76:$I$977)</f>
        <v>832</v>
      </c>
      <c r="L907" s="208">
        <f>RANK(I907,$I$867:$I$977)</f>
        <v>41</v>
      </c>
      <c r="M907" s="173">
        <f>SUM(N907:R907)*(1+$D$22/100)</f>
        <v>10879.82383573367</v>
      </c>
      <c r="N907" s="174">
        <f>T907*(1+((AG907+IF(F907="백어택",8,0))/100)*(AI907/100-1))</f>
        <v>7842.5563124256623</v>
      </c>
      <c r="O907" s="174">
        <f>U907*(1+($D$57/100)*(AI907/100-1))</f>
        <v>1960.1747976702225</v>
      </c>
      <c r="P907" s="174"/>
      <c r="Q907" s="174"/>
      <c r="R907" s="175">
        <f>X907*(1+($D$57/100)*(AI907/100-1))</f>
        <v>0</v>
      </c>
      <c r="S907" s="173">
        <f>SUM(T907:X907)</f>
        <v>8237.4991786609771</v>
      </c>
      <c r="T907" s="174">
        <f>AL907*AU907*AY907</f>
        <v>6590.3114608207325</v>
      </c>
      <c r="U907" s="174">
        <f>AM907*AX907</f>
        <v>1647.1877178402442</v>
      </c>
      <c r="V907" s="174"/>
      <c r="W907" s="174"/>
      <c r="X907" s="175">
        <f>AM907*AS907</f>
        <v>0</v>
      </c>
      <c r="Y907" s="173">
        <f>SUM(Z907:AD907)</f>
        <v>16474.998357321954</v>
      </c>
      <c r="Z907" s="174">
        <f>T907*$D$58/100</f>
        <v>13180.622921641465</v>
      </c>
      <c r="AA907" s="174">
        <f>U907*$D$58/100</f>
        <v>3294.3754356804884</v>
      </c>
      <c r="AB907" s="174"/>
      <c r="AC907" s="174"/>
      <c r="AD907" s="175">
        <f>X907*$D$58/100</f>
        <v>0</v>
      </c>
      <c r="AE907" s="173">
        <f>AO907*(1-$D$17/100)</f>
        <v>35.914248000000001</v>
      </c>
      <c r="AF907" s="174">
        <f>AP907</f>
        <v>36</v>
      </c>
      <c r="AG907" s="174">
        <f>IF($D$57+AW907&gt;100,100,$D$57+AW907)</f>
        <v>19.001300000000001</v>
      </c>
      <c r="AH907" s="174">
        <f>AQ907</f>
        <v>458</v>
      </c>
      <c r="AI907" s="174">
        <f>$D$58</f>
        <v>200</v>
      </c>
      <c r="AJ907" s="174">
        <f>10/(6+AT907)</f>
        <v>1.6666666666666667</v>
      </c>
      <c r="AK907" s="174">
        <f>SUM(AL907:AN907)</f>
        <v>8237.4991786609771</v>
      </c>
      <c r="AL907" s="174">
        <f>(VLOOKUP(C907,$B$36:$AG$39,11,FALSE)+VLOOKUP(C907,$B$40:$AG$43,11,FALSE)*$D$54)*$D$59/100</f>
        <v>6590.3114608207325</v>
      </c>
      <c r="AM907" s="174">
        <f>(3*(VLOOKUP(C907,$B$36:$AG$39,12,FALSE)+VLOOKUP(C907,$B$40:$AG$43,12,FALSE)*$D$54))*$D$59/100</f>
        <v>1647.1877178402442</v>
      </c>
      <c r="AN907" s="174"/>
      <c r="AO907" s="176">
        <v>36</v>
      </c>
      <c r="AP907" s="174">
        <v>36</v>
      </c>
      <c r="AQ907" s="175">
        <f>VLOOKUP(C907,$B$45:$AA$48,11,FALSE)</f>
        <v>458</v>
      </c>
      <c r="AR907" s="31">
        <f>IF(LEFT(E907,1)*1=1,$S$59,$R$59)</f>
        <v>0</v>
      </c>
      <c r="AS907" s="2">
        <f>IF(LEFT(E907,1)*1=2,$U$59,$T$59)</f>
        <v>0</v>
      </c>
      <c r="AT907" s="33">
        <f>IF(LEFT(E907,1)*1=3,$W$59,$V$59)</f>
        <v>0</v>
      </c>
      <c r="AU907" s="31">
        <f>IF(MID(E907,3,1)*1=1,$Y$59,$X$59)</f>
        <v>1</v>
      </c>
      <c r="AV907" s="2">
        <f>IF(MID(E907,3,1)*1=2,$AA$59,$Z$59)</f>
        <v>0</v>
      </c>
      <c r="AW907" s="33">
        <f>IF(MID(E907,3,1)*1=3,$AC$59,$AB$59)</f>
        <v>0</v>
      </c>
      <c r="AX907" s="31">
        <f>IF(MID(E907,5,1)*1=1,$AE$59,$AD$59)</f>
        <v>1</v>
      </c>
      <c r="AY907" s="33">
        <f>IF(MID(E907,5,1)*1=2,$AG$59,$AF$59)</f>
        <v>1</v>
      </c>
      <c r="AZ907" s="2"/>
      <c r="BA907" s="101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</row>
    <row r="908" spans="1:71" ht="12" customHeight="1">
      <c r="A908" s="2"/>
      <c r="B908" s="107">
        <v>816</v>
      </c>
      <c r="C908" s="31">
        <v>7</v>
      </c>
      <c r="D908" s="113" t="s">
        <v>9</v>
      </c>
      <c r="E908" s="2" t="s">
        <v>87</v>
      </c>
      <c r="F908" s="2"/>
      <c r="G908" s="2"/>
      <c r="H908" s="33"/>
      <c r="I908" s="173">
        <f>M908/AE908</f>
        <v>302.93892929997224</v>
      </c>
      <c r="J908" s="174">
        <f>AH908/AE908</f>
        <v>12.752598912832589</v>
      </c>
      <c r="K908" s="207">
        <f>RANK(I908,$I$76:$I$977)</f>
        <v>832</v>
      </c>
      <c r="L908" s="208">
        <f>RANK(I908,$I$867:$I$977)</f>
        <v>41</v>
      </c>
      <c r="M908" s="173">
        <f>SUM(N908:R908)*(1+$D$22/100)</f>
        <v>10879.82383573367</v>
      </c>
      <c r="N908" s="174">
        <f>T908*(1+((AG908+IF(F908="백어택",8,0))/100)*(AI908/100-1))</f>
        <v>7842.5563124256623</v>
      </c>
      <c r="O908" s="174">
        <f>U908*(1+($D$57/100)*(AI908/100-1))</f>
        <v>1960.1747976702225</v>
      </c>
      <c r="P908" s="174"/>
      <c r="Q908" s="174"/>
      <c r="R908" s="175">
        <f>X908*(1+($D$57/100)*(AI908/100-1))</f>
        <v>0</v>
      </c>
      <c r="S908" s="173">
        <f>SUM(T908:X908)</f>
        <v>8237.4991786609771</v>
      </c>
      <c r="T908" s="174">
        <f>AL908*AU908*AY908</f>
        <v>6590.3114608207325</v>
      </c>
      <c r="U908" s="174">
        <f>AM908*AX908</f>
        <v>1647.1877178402442</v>
      </c>
      <c r="V908" s="174"/>
      <c r="W908" s="174"/>
      <c r="X908" s="175">
        <f>AM908*AS908</f>
        <v>0</v>
      </c>
      <c r="Y908" s="173">
        <f>SUM(Z908:AD908)</f>
        <v>16474.998357321954</v>
      </c>
      <c r="Z908" s="174">
        <f>T908*$D$58/100</f>
        <v>13180.622921641465</v>
      </c>
      <c r="AA908" s="174">
        <f>U908*$D$58/100</f>
        <v>3294.3754356804884</v>
      </c>
      <c r="AB908" s="174"/>
      <c r="AC908" s="174"/>
      <c r="AD908" s="175">
        <f>X908*$D$58/100</f>
        <v>0</v>
      </c>
      <c r="AE908" s="173">
        <f>AO908*(1-$D$17/100)</f>
        <v>35.914248000000001</v>
      </c>
      <c r="AF908" s="174">
        <f>AP908</f>
        <v>36</v>
      </c>
      <c r="AG908" s="174">
        <f>IF($D$57+AW908&gt;100,100,$D$57+AW908)</f>
        <v>19.001300000000001</v>
      </c>
      <c r="AH908" s="174">
        <f>AQ908</f>
        <v>458</v>
      </c>
      <c r="AI908" s="174">
        <f>$D$58</f>
        <v>200</v>
      </c>
      <c r="AJ908" s="174">
        <f>10/(6+AT908)</f>
        <v>1.4285714285714286</v>
      </c>
      <c r="AK908" s="174">
        <f>SUM(AL908:AN908)</f>
        <v>8237.4991786609771</v>
      </c>
      <c r="AL908" s="174">
        <f>(VLOOKUP(C908,$B$36:$AG$39,11,FALSE)+VLOOKUP(C908,$B$40:$AG$43,11,FALSE)*$D$54)*$D$59/100</f>
        <v>6590.3114608207325</v>
      </c>
      <c r="AM908" s="174">
        <f>(3*(VLOOKUP(C908,$B$36:$AG$39,12,FALSE)+VLOOKUP(C908,$B$40:$AG$43,12,FALSE)*$D$54))*$D$59/100</f>
        <v>1647.1877178402442</v>
      </c>
      <c r="AN908" s="174"/>
      <c r="AO908" s="176">
        <v>36</v>
      </c>
      <c r="AP908" s="174">
        <v>36</v>
      </c>
      <c r="AQ908" s="175">
        <f>VLOOKUP(C908,$B$45:$AA$48,11,FALSE)</f>
        <v>458</v>
      </c>
      <c r="AR908" s="31">
        <f>IF(LEFT(E908,1)*1=1,$S$59,$R$59)</f>
        <v>0</v>
      </c>
      <c r="AS908" s="2">
        <f>IF(LEFT(E908,1)*1=2,$U$59,$T$59)</f>
        <v>0</v>
      </c>
      <c r="AT908" s="33">
        <f>IF(LEFT(E908,1)*1=3,$W$59,$V$59)</f>
        <v>1</v>
      </c>
      <c r="AU908" s="31">
        <f>IF(MID(E908,3,1)*1=1,$Y$59,$X$59)</f>
        <v>1</v>
      </c>
      <c r="AV908" s="2">
        <f>IF(MID(E908,3,1)*1=2,$AA$59,$Z$59)</f>
        <v>0</v>
      </c>
      <c r="AW908" s="33">
        <f>IF(MID(E908,3,1)*1=3,$AC$59,$AB$59)</f>
        <v>0</v>
      </c>
      <c r="AX908" s="31">
        <f>IF(MID(E908,5,1)*1=1,$AE$59,$AD$59)</f>
        <v>1</v>
      </c>
      <c r="AY908" s="33">
        <f>IF(MID(E908,5,1)*1=2,$AG$59,$AF$59)</f>
        <v>1</v>
      </c>
      <c r="AZ908" s="2"/>
      <c r="BA908" s="101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</row>
    <row r="909" spans="1:71" ht="12" customHeight="1">
      <c r="A909" s="2"/>
      <c r="B909" s="107">
        <v>372</v>
      </c>
      <c r="C909" s="31">
        <v>4</v>
      </c>
      <c r="D909" s="106" t="s">
        <v>20</v>
      </c>
      <c r="E909" s="2" t="s">
        <v>67</v>
      </c>
      <c r="F909" s="2"/>
      <c r="G909" s="2"/>
      <c r="H909" s="33"/>
      <c r="I909" s="173">
        <f>M909/AE909</f>
        <v>302.41259904724171</v>
      </c>
      <c r="J909" s="174">
        <f>AH909/AE909</f>
        <v>9.4113066212607315</v>
      </c>
      <c r="K909" s="207">
        <f>RANK(I909,$I$76:$I$977)</f>
        <v>834</v>
      </c>
      <c r="L909" s="208" t="e">
        <f>RANK(I909,$I$76:$I$450)</f>
        <v>#N/A</v>
      </c>
      <c r="M909" s="173">
        <f>SUM(N909:R909)</f>
        <v>5430.4605402536017</v>
      </c>
      <c r="N909" s="174">
        <f>T909*(1+((AG909+IF(F909="백어택",8,0))/100)*((AI909/100-1)))</f>
        <v>2856.7378829942904</v>
      </c>
      <c r="O909" s="174">
        <f>U909*(1+(($D$57+IF(F909="백어택",8,0))/100)*($D$58/100-1))</f>
        <v>2573.7226572593117</v>
      </c>
      <c r="P909" s="174"/>
      <c r="Q909" s="174"/>
      <c r="R909" s="175"/>
      <c r="S909" s="173">
        <f>SUM(T909:X909)</f>
        <v>4326.3370441487805</v>
      </c>
      <c r="T909" s="174">
        <f>AL909*AV909*IF(F909="백어택",1.2,1)</f>
        <v>2163.5685220743903</v>
      </c>
      <c r="U909" s="174">
        <f>AM909*AX909*AY909*IF(F909="백어택",1.2,1)</f>
        <v>2162.7685220743906</v>
      </c>
      <c r="V909" s="174"/>
      <c r="W909" s="174"/>
      <c r="X909" s="175"/>
      <c r="Y909" s="173">
        <f>SUM(Z909:AD909)</f>
        <v>8652.674088297561</v>
      </c>
      <c r="Z909" s="174">
        <f>T909*$D$58/100</f>
        <v>4327.1370441487807</v>
      </c>
      <c r="AA909" s="174">
        <f>U909*$D$58/100</f>
        <v>4325.5370441487812</v>
      </c>
      <c r="AB909" s="174"/>
      <c r="AC909" s="174"/>
      <c r="AD909" s="175"/>
      <c r="AE909" s="173">
        <f>AO909*(1-$D$17/100)-AR909</f>
        <v>17.957124</v>
      </c>
      <c r="AF909" s="174">
        <f>AP909</f>
        <v>36</v>
      </c>
      <c r="AG909" s="174">
        <f>IF($D$57+AU909&gt;100,100,$D$57+AU909)</f>
        <v>19.001300000000001</v>
      </c>
      <c r="AH909" s="174">
        <f>AQ909*AS909</f>
        <v>169</v>
      </c>
      <c r="AI909" s="174">
        <f>$D$58+$D$19</f>
        <v>268.61079999999998</v>
      </c>
      <c r="AJ909" s="174">
        <f>10*IF(AV909=1,1,5/4.5)/IF(AX909=1,5,3.5)</f>
        <v>2</v>
      </c>
      <c r="AK909" s="174">
        <f>SUM(AL909:AN909)</f>
        <v>4326.3370441487805</v>
      </c>
      <c r="AL909" s="174">
        <f>(VLOOKUP(C909,$B$36:$AG$39,29,FALSE)+VLOOKUP(C909,$B$40:$AG$43,29,FALSE)*$D$54)*$D$59/100</f>
        <v>2163.5685220743903</v>
      </c>
      <c r="AM909" s="174">
        <f>(VLOOKUP(C909,$B$36:$AG$39,30,FALSE)+VLOOKUP(C909,$B$40:$AG$43,30,FALSE)*$D$54)*$D$59/100</f>
        <v>2162.7685220743906</v>
      </c>
      <c r="AN909" s="174"/>
      <c r="AO909" s="176">
        <v>18</v>
      </c>
      <c r="AP909" s="174">
        <v>36</v>
      </c>
      <c r="AQ909" s="175">
        <f>VLOOKUP(C909,$B$45:$AG$48,29,FALSE)</f>
        <v>169</v>
      </c>
      <c r="AR909" s="31">
        <f>IF(LEFT(E909,1)*1=1,$S$70,$R$70)</f>
        <v>0</v>
      </c>
      <c r="AS909" s="2">
        <f>IF(LEFT(E909,1)*1=2,$U$70,$T$70)</f>
        <v>1</v>
      </c>
      <c r="AT909" s="33">
        <f>IF(LEFT(E909,1)*1=3,$W$70,$V$70)</f>
        <v>0</v>
      </c>
      <c r="AU909" s="31">
        <f>IF(MID(E909,3,1)*1=1,$Y$70,$X$70)</f>
        <v>0</v>
      </c>
      <c r="AV909" s="2">
        <f>IF(MID(E909,3,1)*1=2,$AA$70,$Z$70)</f>
        <v>1</v>
      </c>
      <c r="AW909" s="33">
        <f>IF(MID(E909,3,1)*1=3,$AC$70,$AB$70)</f>
        <v>0</v>
      </c>
      <c r="AX909" s="31">
        <f>IF(MID(E909,5,1)*1=1,$AE$70,$AD$70)</f>
        <v>1</v>
      </c>
      <c r="AY909" s="33">
        <f>IF(MID(E909,5,1)*1=2,$AG$70,$AF$70)</f>
        <v>1</v>
      </c>
      <c r="AZ909" s="2"/>
      <c r="BA909" s="101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</row>
    <row r="910" spans="1:71" ht="12" customHeight="1">
      <c r="A910" s="2"/>
      <c r="B910" s="107">
        <v>374</v>
      </c>
      <c r="C910" s="31">
        <v>4</v>
      </c>
      <c r="D910" s="106" t="s">
        <v>20</v>
      </c>
      <c r="E910" s="2" t="s">
        <v>79</v>
      </c>
      <c r="F910" s="2"/>
      <c r="G910" s="2"/>
      <c r="H910" s="33"/>
      <c r="I910" s="173">
        <f>M910/AE910</f>
        <v>302.41259904724171</v>
      </c>
      <c r="J910" s="174">
        <f>AH910/AE910</f>
        <v>4.7056533106303657</v>
      </c>
      <c r="K910" s="207">
        <f>RANK(I910,$I$76:$I$977)</f>
        <v>834</v>
      </c>
      <c r="L910" s="208" t="e">
        <f>RANK(I910,$I$76:$I$450)</f>
        <v>#N/A</v>
      </c>
      <c r="M910" s="173">
        <f>SUM(N910:R910)</f>
        <v>5430.4605402536017</v>
      </c>
      <c r="N910" s="174">
        <f>T910*(1+((AG910+IF(F910="백어택",8,0))/100)*((AI910/100-1)))</f>
        <v>2856.7378829942904</v>
      </c>
      <c r="O910" s="174">
        <f>U910*(1+(($D$57+IF(F910="백어택",8,0))/100)*($D$58/100-1))</f>
        <v>2573.7226572593117</v>
      </c>
      <c r="P910" s="174"/>
      <c r="Q910" s="174"/>
      <c r="R910" s="175"/>
      <c r="S910" s="173">
        <f>SUM(T910:X910)</f>
        <v>4326.3370441487805</v>
      </c>
      <c r="T910" s="174">
        <f>AL910*AV910*IF(F910="백어택",1.2,1)</f>
        <v>2163.5685220743903</v>
      </c>
      <c r="U910" s="174">
        <f>AM910*AX910*AY910*IF(F910="백어택",1.2,1)</f>
        <v>2162.7685220743906</v>
      </c>
      <c r="V910" s="174"/>
      <c r="W910" s="174"/>
      <c r="X910" s="175"/>
      <c r="Y910" s="173">
        <f>SUM(Z910:AD910)</f>
        <v>8652.674088297561</v>
      </c>
      <c r="Z910" s="174">
        <f>T910*$D$58/100</f>
        <v>4327.1370441487807</v>
      </c>
      <c r="AA910" s="174">
        <f>U910*$D$58/100</f>
        <v>4325.5370441487812</v>
      </c>
      <c r="AB910" s="174"/>
      <c r="AC910" s="174"/>
      <c r="AD910" s="175"/>
      <c r="AE910" s="173">
        <f>AO910*(1-$D$17/100)-AR910</f>
        <v>17.957124</v>
      </c>
      <c r="AF910" s="174">
        <f>AP910</f>
        <v>36</v>
      </c>
      <c r="AG910" s="174">
        <f>IF($D$57+AU910&gt;100,100,$D$57+AU910)</f>
        <v>19.001300000000001</v>
      </c>
      <c r="AH910" s="174">
        <f>AQ910*AS910</f>
        <v>84.5</v>
      </c>
      <c r="AI910" s="174">
        <f>$D$58+$D$19</f>
        <v>268.61079999999998</v>
      </c>
      <c r="AJ910" s="174">
        <f>10*IF(AV910=1,1,5/4.5)/IF(AX910=1,5,3.5)</f>
        <v>2</v>
      </c>
      <c r="AK910" s="174">
        <f>SUM(AL910:AN910)</f>
        <v>4326.3370441487805</v>
      </c>
      <c r="AL910" s="174">
        <f>(VLOOKUP(C910,$B$36:$AG$39,29,FALSE)+VLOOKUP(C910,$B$40:$AG$43,29,FALSE)*$D$54)*$D$59/100</f>
        <v>2163.5685220743903</v>
      </c>
      <c r="AM910" s="174">
        <f>(VLOOKUP(C910,$B$36:$AG$39,30,FALSE)+VLOOKUP(C910,$B$40:$AG$43,30,FALSE)*$D$54)*$D$59/100</f>
        <v>2162.7685220743906</v>
      </c>
      <c r="AN910" s="174"/>
      <c r="AO910" s="176">
        <v>18</v>
      </c>
      <c r="AP910" s="174">
        <v>36</v>
      </c>
      <c r="AQ910" s="175">
        <f>VLOOKUP(C910,$B$45:$AG$48,29,FALSE)</f>
        <v>169</v>
      </c>
      <c r="AR910" s="31">
        <f>IF(LEFT(E910,1)*1=1,$S$70,$R$70)</f>
        <v>0</v>
      </c>
      <c r="AS910" s="2">
        <f>IF(LEFT(E910,1)*1=2,$U$70,$T$70)</f>
        <v>0.5</v>
      </c>
      <c r="AT910" s="33">
        <f>IF(LEFT(E910,1)*1=3,$W$70,$V$70)</f>
        <v>0</v>
      </c>
      <c r="AU910" s="31">
        <f>IF(MID(E910,3,1)*1=1,$Y$70,$X$70)</f>
        <v>0</v>
      </c>
      <c r="AV910" s="2">
        <f>IF(MID(E910,3,1)*1=2,$AA$70,$Z$70)</f>
        <v>1</v>
      </c>
      <c r="AW910" s="33">
        <f>IF(MID(E910,3,1)*1=3,$AC$70,$AB$70)</f>
        <v>0</v>
      </c>
      <c r="AX910" s="31">
        <f>IF(MID(E910,5,1)*1=1,$AE$70,$AD$70)</f>
        <v>1</v>
      </c>
      <c r="AY910" s="33">
        <f>IF(MID(E910,5,1)*1=2,$AG$70,$AF$70)</f>
        <v>1</v>
      </c>
      <c r="AZ910" s="2"/>
      <c r="BA910" s="101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</row>
    <row r="911" spans="1:71" ht="12" customHeight="1">
      <c r="A911" s="2"/>
      <c r="B911" s="107">
        <v>274</v>
      </c>
      <c r="C911" s="31">
        <v>7</v>
      </c>
      <c r="D911" s="106" t="s">
        <v>16</v>
      </c>
      <c r="E911" s="2" t="s">
        <v>163</v>
      </c>
      <c r="F911" s="2"/>
      <c r="G911" s="2"/>
      <c r="H911" s="33">
        <f>AX911*2</f>
        <v>2</v>
      </c>
      <c r="I911" s="173">
        <f>M911/AE911</f>
        <v>300.10562148457251</v>
      </c>
      <c r="J911" s="174">
        <f>AH911/AE911</f>
        <v>13.61576608815532</v>
      </c>
      <c r="K911" s="207">
        <f>RANK(I911,$I$76:$I$977)</f>
        <v>836</v>
      </c>
      <c r="L911" s="208" t="e">
        <f>RANK(I911,$I$76:$I$450)</f>
        <v>#N/A</v>
      </c>
      <c r="M911" s="173">
        <f>SUM(N911:R911)</f>
        <v>1796.3446193651773</v>
      </c>
      <c r="N911" s="174">
        <f>T911*(1+((AG911+IF(F911="백어택",8,0))/100)*((AI911/100-1)))</f>
        <v>1796.3446193651773</v>
      </c>
      <c r="O911" s="174"/>
      <c r="P911" s="174"/>
      <c r="Q911" s="174"/>
      <c r="R911" s="175"/>
      <c r="S911" s="173">
        <f>SUM(T911:X911)*H911</f>
        <v>2720.9459407473173</v>
      </c>
      <c r="T911" s="174">
        <f>AL911*AU911*AY911*IF(F911="백어택",1.2,1)</f>
        <v>1360.4729703736587</v>
      </c>
      <c r="U911" s="174"/>
      <c r="V911" s="174"/>
      <c r="W911" s="174"/>
      <c r="X911" s="175"/>
      <c r="Y911" s="173">
        <f>SUM(Z911:AD911)</f>
        <v>2720.9459407473173</v>
      </c>
      <c r="Z911" s="174">
        <f>T911*$D$58/100</f>
        <v>2720.9459407473173</v>
      </c>
      <c r="AA911" s="174"/>
      <c r="AB911" s="174"/>
      <c r="AC911" s="174"/>
      <c r="AD911" s="175"/>
      <c r="AE911" s="173">
        <f>AO911*(1-$D$17/100)</f>
        <v>5.9857079999999998</v>
      </c>
      <c r="AF911" s="174">
        <f>AP911</f>
        <v>36</v>
      </c>
      <c r="AG911" s="174">
        <f>IF($D$57+AT911&gt;100,100,$D$57+AT911)</f>
        <v>19.001300000000001</v>
      </c>
      <c r="AH911" s="174">
        <f>AQ911*AR911</f>
        <v>81.5</v>
      </c>
      <c r="AI911" s="174">
        <f>$D$58+$D$19</f>
        <v>268.61079999999998</v>
      </c>
      <c r="AJ911" s="174">
        <f>10*AS911/IF(AX911=1,5,3.5)</f>
        <v>2</v>
      </c>
      <c r="AK911" s="174">
        <f>SUM(AL911:AN911)</f>
        <v>971.7664074097562</v>
      </c>
      <c r="AL911" s="174">
        <f>((VLOOKUP(C911,$B$36:$AG$39,23,FALSE)+VLOOKUP(C911,$B$40:$AG$43,23,FALSE)*$D$54))*$D$59/100</f>
        <v>971.7664074097562</v>
      </c>
      <c r="AM911" s="174"/>
      <c r="AN911" s="174"/>
      <c r="AO911" s="176">
        <v>6</v>
      </c>
      <c r="AP911" s="174">
        <v>36</v>
      </c>
      <c r="AQ911" s="175">
        <f>VLOOKUP(C911,$B$45:$AA$48,23,FALSE)</f>
        <v>163</v>
      </c>
      <c r="AR911" s="31">
        <f>IF(LEFT(E911,1)*1=1,$S$66,$R$66)</f>
        <v>0.5</v>
      </c>
      <c r="AS911" s="2">
        <f>IF(LEFT(E911,1)*1=2,$U$66,$T$66)</f>
        <v>1</v>
      </c>
      <c r="AT911" s="33">
        <f>IF(LEFT(E911,1)*1=3,$W$66,$V$66)</f>
        <v>0</v>
      </c>
      <c r="AU911" s="31">
        <f>IF(MID(E911,3,1)*1=1,$Y$66,$X$66)</f>
        <v>1.4</v>
      </c>
      <c r="AV911" s="2">
        <f>IF(MID(E911,3,1)*1=2,$AA$66,$Z$66)</f>
        <v>0</v>
      </c>
      <c r="AW911" s="33">
        <f>IF(MID(E911,3,1)*1=3,$AC$66,$AB$66)</f>
        <v>0</v>
      </c>
      <c r="AX911" s="31">
        <f>IF(MID(E911,5,1)*1=1,$AE$66,$AD$66)</f>
        <v>1</v>
      </c>
      <c r="AY911" s="33">
        <f>IF(MID(E911,5,1)*1=2,$AG$66,$AF$66)</f>
        <v>1</v>
      </c>
      <c r="AZ911" s="2"/>
      <c r="BA911" s="101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</row>
    <row r="912" spans="1:71" ht="12" customHeight="1">
      <c r="A912" s="2"/>
      <c r="B912" s="107">
        <v>276</v>
      </c>
      <c r="C912" s="31">
        <v>7</v>
      </c>
      <c r="D912" s="106" t="s">
        <v>16</v>
      </c>
      <c r="E912" s="2" t="s">
        <v>168</v>
      </c>
      <c r="F912" s="2"/>
      <c r="G912" s="2"/>
      <c r="H912" s="33">
        <f>AX912*2</f>
        <v>2</v>
      </c>
      <c r="I912" s="173">
        <f>M912/AE912</f>
        <v>300.10562148457251</v>
      </c>
      <c r="J912" s="174">
        <f>AH912/AE912</f>
        <v>27.23153217631064</v>
      </c>
      <c r="K912" s="207">
        <f>RANK(I912,$I$76:$I$977)</f>
        <v>836</v>
      </c>
      <c r="L912" s="208" t="e">
        <f>RANK(I912,$I$76:$I$450)</f>
        <v>#N/A</v>
      </c>
      <c r="M912" s="173">
        <f>SUM(N912:R912)</f>
        <v>1796.3446193651773</v>
      </c>
      <c r="N912" s="174">
        <f>T912*(1+((AG912+IF(F912="백어택",8,0))/100)*((AI912/100-1)))</f>
        <v>1796.3446193651773</v>
      </c>
      <c r="O912" s="174"/>
      <c r="P912" s="174"/>
      <c r="Q912" s="174"/>
      <c r="R912" s="175"/>
      <c r="S912" s="173">
        <f>SUM(T912:X912)*H912</f>
        <v>2720.9459407473173</v>
      </c>
      <c r="T912" s="174">
        <f>AL912*AU912*AY912*IF(F912="백어택",1.2,1)</f>
        <v>1360.4729703736587</v>
      </c>
      <c r="U912" s="174"/>
      <c r="V912" s="174"/>
      <c r="W912" s="174"/>
      <c r="X912" s="175"/>
      <c r="Y912" s="173">
        <f>SUM(Z912:AD912)</f>
        <v>2720.9459407473173</v>
      </c>
      <c r="Z912" s="174">
        <f>T912*$D$58/100</f>
        <v>2720.9459407473173</v>
      </c>
      <c r="AA912" s="174"/>
      <c r="AB912" s="174"/>
      <c r="AC912" s="174"/>
      <c r="AD912" s="175"/>
      <c r="AE912" s="173">
        <f>AO912*(1-$D$17/100)</f>
        <v>5.9857079999999998</v>
      </c>
      <c r="AF912" s="174">
        <f>AP912</f>
        <v>36</v>
      </c>
      <c r="AG912" s="174">
        <f>IF($D$57+AT912&gt;100,100,$D$57+AT912)</f>
        <v>19.001300000000001</v>
      </c>
      <c r="AH912" s="174">
        <f>AQ912*AR912</f>
        <v>163</v>
      </c>
      <c r="AI912" s="174">
        <f>$D$58+$D$19</f>
        <v>268.61079999999998</v>
      </c>
      <c r="AJ912" s="174">
        <f>10*AS912/IF(AX912=1,5,3.5)</f>
        <v>1.8</v>
      </c>
      <c r="AK912" s="174">
        <f>SUM(AL912:AN912)</f>
        <v>971.7664074097562</v>
      </c>
      <c r="AL912" s="174">
        <f>((VLOOKUP(C912,$B$36:$AG$39,23,FALSE)+VLOOKUP(C912,$B$40:$AG$43,23,FALSE)*$D$54))*$D$59/100</f>
        <v>971.7664074097562</v>
      </c>
      <c r="AM912" s="174"/>
      <c r="AN912" s="174"/>
      <c r="AO912" s="176">
        <v>6</v>
      </c>
      <c r="AP912" s="174">
        <v>36</v>
      </c>
      <c r="AQ912" s="175">
        <f>VLOOKUP(C912,$B$45:$AA$48,23,FALSE)</f>
        <v>163</v>
      </c>
      <c r="AR912" s="31">
        <f>IF(LEFT(E912,1)*1=1,$S$66,$R$66)</f>
        <v>1</v>
      </c>
      <c r="AS912" s="2">
        <f>IF(LEFT(E912,1)*1=2,$U$66,$T$66)</f>
        <v>0.9</v>
      </c>
      <c r="AT912" s="33">
        <f>IF(LEFT(E912,1)*1=3,$W$66,$V$66)</f>
        <v>0</v>
      </c>
      <c r="AU912" s="31">
        <f>IF(MID(E912,3,1)*1=1,$Y$66,$X$66)</f>
        <v>1.4</v>
      </c>
      <c r="AV912" s="2">
        <f>IF(MID(E912,3,1)*1=2,$AA$66,$Z$66)</f>
        <v>0</v>
      </c>
      <c r="AW912" s="33">
        <f>IF(MID(E912,3,1)*1=3,$AC$66,$AB$66)</f>
        <v>0</v>
      </c>
      <c r="AX912" s="31">
        <f>IF(MID(E912,5,1)*1=1,$AE$66,$AD$66)</f>
        <v>1</v>
      </c>
      <c r="AY912" s="33">
        <f>IF(MID(E912,5,1)*1=2,$AG$66,$AF$66)</f>
        <v>1</v>
      </c>
      <c r="AZ912" s="2"/>
      <c r="BA912" s="101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</row>
    <row r="913" spans="1:71" ht="12" customHeight="1">
      <c r="A913" s="2"/>
      <c r="B913" s="107">
        <v>409</v>
      </c>
      <c r="C913" s="31">
        <v>7</v>
      </c>
      <c r="D913" s="111" t="s">
        <v>8</v>
      </c>
      <c r="E913" s="2" t="s">
        <v>67</v>
      </c>
      <c r="F913" s="2"/>
      <c r="G913" s="2"/>
      <c r="H913" s="33" t="s">
        <v>80</v>
      </c>
      <c r="I913" s="173">
        <f>M913/AE913</f>
        <v>299.70126026083727</v>
      </c>
      <c r="J913" s="174">
        <f>AH913/AE913</f>
        <v>19.637781784066725</v>
      </c>
      <c r="K913" s="207">
        <f>RANK(I913,$I$76:$I$977)</f>
        <v>838</v>
      </c>
      <c r="L913" s="208" t="e">
        <f>RANK(I913,$I$451:$I$866)</f>
        <v>#N/A</v>
      </c>
      <c r="M913" s="173">
        <f>SUM(N913:R913)</f>
        <v>5539.9107022847593</v>
      </c>
      <c r="N913" s="174">
        <f>T913*(1+((AG913+IF(F913="백어택",8,0))/100)*(IF(AY913=1,$D$58,$D$58+50)/100-1))</f>
        <v>2432.5529418545398</v>
      </c>
      <c r="O913" s="174">
        <f>U913*(1+((AG913+IF(F913="백어택",8,0))/100)*(AI913/100-1))</f>
        <v>3107.3577604302195</v>
      </c>
      <c r="P913" s="174">
        <f>V913*(1+((AG913+IF(F913="백어택",8,0))/100)*(AI913/100-1))</f>
        <v>0</v>
      </c>
      <c r="Q913" s="174"/>
      <c r="R913" s="175"/>
      <c r="S913" s="173">
        <f>SUM(T913:X913)</f>
        <v>4655.3362881621961</v>
      </c>
      <c r="T913" s="174">
        <f>AL913*IF(H913="근접",AR913,1)*AY913*IF(F913="백어택",1.2,1)</f>
        <v>2044.1398050731711</v>
      </c>
      <c r="U913" s="174">
        <f>AM913*IF(H913="근접",AR913,1)*AY913*IF(F913="백어택",1.2,1)</f>
        <v>2611.1964830890247</v>
      </c>
      <c r="V913" s="174">
        <f>IF(AX913=1,0,AM913*IF(H913="근접",AR913,1)*AY913)*IF(F913="백어택",1.2,1)</f>
        <v>0</v>
      </c>
      <c r="W913" s="174"/>
      <c r="X913" s="175"/>
      <c r="Y913" s="173">
        <f>SUM(Z913:AD913)</f>
        <v>9310.6725763243921</v>
      </c>
      <c r="Z913" s="174">
        <f>T913*IF(AY913=1,$D$58,$D$58+50)/100</f>
        <v>4088.2796101463423</v>
      </c>
      <c r="AA913" s="174">
        <f>U913*AI913/100</f>
        <v>5222.3929661780494</v>
      </c>
      <c r="AB913" s="174">
        <f>V913*AI913/100</f>
        <v>0</v>
      </c>
      <c r="AC913" s="174"/>
      <c r="AD913" s="175"/>
      <c r="AE913" s="173">
        <f>AO913*(1-$D$20/100)*(1-$D$17/100)</f>
        <v>18.484776131615998</v>
      </c>
      <c r="AF913" s="174">
        <f>AP913</f>
        <v>36</v>
      </c>
      <c r="AG913" s="174">
        <f>IF($D$57+AU913&gt;100,100,$D$57+AU913)</f>
        <v>19.001300000000001</v>
      </c>
      <c r="AH913" s="174">
        <f>IF(AX913=1,AQ913,AQ913*1.4)</f>
        <v>363</v>
      </c>
      <c r="AI913" s="174">
        <f>IF(AY913=1,$D$58,$D$58+50)*AW913</f>
        <v>200</v>
      </c>
      <c r="AJ913" s="174">
        <f>10/6/AX913</f>
        <v>1.6666666666666667</v>
      </c>
      <c r="AK913" s="174">
        <f>SUM(AL913:AN913)</f>
        <v>4655.3362881621961</v>
      </c>
      <c r="AL913" s="174">
        <f>(IF(H913="근접",$D$61*(VLOOKUP(C913,$B$36:$AG$39,9,FALSE)+VLOOKUP(C913,$B$40:$AG$43,9,FALSE)*$D$54),$D$60*(VLOOKUP(C913,$B$36:$AG$39,9,FALSE)+VLOOKUP(C913,$B$40:$AG$43,9,FALSE)*$D$54)))*$D$59/100</f>
        <v>2044.1398050731711</v>
      </c>
      <c r="AM913" s="174">
        <f>(IF(H913="근접",$D$61*(VLOOKUP(C913,$B$36:$AG$39,10,FALSE)+VLOOKUP(C913,$B$40:$AG$43,10,FALSE)*$D$54),$D$60*(VLOOKUP(C913,$B$36:$AG$39,10,FALSE)+VLOOKUP(C913,$B$40:$AG$43,10,FALSE)*$D$54)))*$D$59/100</f>
        <v>2611.1964830890247</v>
      </c>
      <c r="AN913" s="174"/>
      <c r="AO913" s="176">
        <v>24</v>
      </c>
      <c r="AP913" s="174">
        <v>36</v>
      </c>
      <c r="AQ913" s="175">
        <f>VLOOKUP(C913,$B$45:$AA$48,9,FALSE)</f>
        <v>363</v>
      </c>
      <c r="AR913" s="31">
        <f>IF(LEFT(E913,1)*1=1,$S$58,$R$58)</f>
        <v>1</v>
      </c>
      <c r="AS913" s="2">
        <f>IF(LEFT(E913,1)*1=2,$U$58,$T$58)</f>
        <v>0</v>
      </c>
      <c r="AT913" s="33">
        <f>IF(LEFT(E913,1)*1=3,$W$58,$V$58)</f>
        <v>0</v>
      </c>
      <c r="AU913" s="31">
        <f>IF(MID(E913,3,1)*1=1,$Y$58,$X$58)</f>
        <v>0</v>
      </c>
      <c r="AV913" s="2">
        <f>IF(MID(E913,3,1)*1=2,$AA$58,$Z$58)</f>
        <v>0</v>
      </c>
      <c r="AW913" s="33">
        <f>IF(MID(E913,3,1)*1=3,$AC$58,$AB$58)</f>
        <v>1</v>
      </c>
      <c r="AX913" s="31">
        <f>IF(MID(E913,5,1)*1=1,$AE$58,$AD$58)</f>
        <v>1</v>
      </c>
      <c r="AY913" s="33">
        <f>IF(MID(E913,5,1)*1=2,$AG$58,$AF$58)</f>
        <v>1</v>
      </c>
      <c r="AZ913" s="2"/>
      <c r="BA913" s="101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</row>
    <row r="914" spans="1:71" ht="12" customHeight="1">
      <c r="A914" s="2"/>
      <c r="B914" s="107">
        <v>412</v>
      </c>
      <c r="C914" s="31">
        <v>7</v>
      </c>
      <c r="D914" s="111" t="s">
        <v>8</v>
      </c>
      <c r="E914" s="2" t="s">
        <v>148</v>
      </c>
      <c r="F914" s="2"/>
      <c r="G914" s="2"/>
      <c r="H914" s="33" t="s">
        <v>80</v>
      </c>
      <c r="I914" s="173">
        <f>M914/AE914</f>
        <v>299.70126026083727</v>
      </c>
      <c r="J914" s="174">
        <f>AH914/AE914</f>
        <v>19.637781784066725</v>
      </c>
      <c r="K914" s="207">
        <f>RANK(I914,$I$76:$I$977)</f>
        <v>838</v>
      </c>
      <c r="L914" s="208" t="e">
        <f>RANK(I914,$I$451:$I$866)</f>
        <v>#N/A</v>
      </c>
      <c r="M914" s="173">
        <f>SUM(N914:R914)</f>
        <v>5539.9107022847593</v>
      </c>
      <c r="N914" s="174">
        <f>T914*(1+((AG914+IF(F914="백어택",8,0))/100)*(IF(AY914=1,$D$58,$D$58+50)/100-1))</f>
        <v>2432.5529418545398</v>
      </c>
      <c r="O914" s="174">
        <f>U914*(1+((AG914+IF(F914="백어택",8,0))/100)*(AI914/100-1))</f>
        <v>3107.3577604302195</v>
      </c>
      <c r="P914" s="174">
        <f>V914*(1+((AG914+IF(F914="백어택",8,0))/100)*(AI914/100-1))</f>
        <v>0</v>
      </c>
      <c r="Q914" s="174"/>
      <c r="R914" s="175"/>
      <c r="S914" s="173">
        <f>SUM(T914:X914)</f>
        <v>4655.3362881621961</v>
      </c>
      <c r="T914" s="174">
        <f>AL914*IF(H914="근접",AR914,1)*AY914*IF(F914="백어택",1.2,1)</f>
        <v>2044.1398050731711</v>
      </c>
      <c r="U914" s="174">
        <f>AM914*IF(H914="근접",AR914,1)*AY914*IF(F914="백어택",1.2,1)</f>
        <v>2611.1964830890247</v>
      </c>
      <c r="V914" s="174">
        <f>IF(AX914=1,0,AM914*IF(H914="근접",AR914,1)*AY914)*IF(F914="백어택",1.2,1)</f>
        <v>0</v>
      </c>
      <c r="W914" s="174"/>
      <c r="X914" s="175"/>
      <c r="Y914" s="173">
        <f>SUM(Z914:AD914)</f>
        <v>9310.6725763243921</v>
      </c>
      <c r="Z914" s="174">
        <f>T914*IF(AY914=1,$D$58,$D$58+50)/100</f>
        <v>4088.2796101463423</v>
      </c>
      <c r="AA914" s="174">
        <f>U914*AI914/100</f>
        <v>5222.3929661780494</v>
      </c>
      <c r="AB914" s="174">
        <f>V914*AI914/100</f>
        <v>0</v>
      </c>
      <c r="AC914" s="174"/>
      <c r="AD914" s="175"/>
      <c r="AE914" s="173">
        <f>AO914*(1-$D$20/100)*(1-$D$17/100)</f>
        <v>18.484776131615998</v>
      </c>
      <c r="AF914" s="174">
        <f>AP914</f>
        <v>36</v>
      </c>
      <c r="AG914" s="174">
        <f>IF($D$57+AU914&gt;100,100,$D$57+AU914)</f>
        <v>19.001300000000001</v>
      </c>
      <c r="AH914" s="174">
        <f>IF(AX914=1,AQ914,AQ914*1.4)</f>
        <v>363</v>
      </c>
      <c r="AI914" s="174">
        <f>IF(AY914=1,$D$58,$D$58+50)*AW914</f>
        <v>200</v>
      </c>
      <c r="AJ914" s="174">
        <f>10/6/AX914</f>
        <v>1.6666666666666667</v>
      </c>
      <c r="AK914" s="174">
        <f>SUM(AL914:AN914)</f>
        <v>4655.3362881621961</v>
      </c>
      <c r="AL914" s="174">
        <f>(IF(H914="근접",$D$61*(VLOOKUP(C914,$B$36:$AG$39,9,FALSE)+VLOOKUP(C914,$B$40:$AG$43,9,FALSE)*$D$54),$D$60*(VLOOKUP(C914,$B$36:$AG$39,9,FALSE)+VLOOKUP(C914,$B$40:$AG$43,9,FALSE)*$D$54)))*$D$59/100</f>
        <v>2044.1398050731711</v>
      </c>
      <c r="AM914" s="174">
        <f>(IF(H914="근접",$D$61*(VLOOKUP(C914,$B$36:$AG$39,10,FALSE)+VLOOKUP(C914,$B$40:$AG$43,10,FALSE)*$D$54),$D$60*(VLOOKUP(C914,$B$36:$AG$39,10,FALSE)+VLOOKUP(C914,$B$40:$AG$43,10,FALSE)*$D$54)))*$D$59/100</f>
        <v>2611.1964830890247</v>
      </c>
      <c r="AN914" s="174"/>
      <c r="AO914" s="176">
        <v>24</v>
      </c>
      <c r="AP914" s="174">
        <v>36</v>
      </c>
      <c r="AQ914" s="175">
        <f>VLOOKUP(C914,$B$45:$AA$48,9,FALSE)</f>
        <v>363</v>
      </c>
      <c r="AR914" s="31">
        <f>IF(LEFT(E914,1)*1=1,$S$58,$R$58)</f>
        <v>1.2</v>
      </c>
      <c r="AS914" s="2">
        <f>IF(LEFT(E914,1)*1=2,$U$58,$T$58)</f>
        <v>0</v>
      </c>
      <c r="AT914" s="33">
        <f>IF(LEFT(E914,1)*1=3,$W$58,$V$58)</f>
        <v>0</v>
      </c>
      <c r="AU914" s="31">
        <f>IF(MID(E914,3,1)*1=1,$Y$58,$X$58)</f>
        <v>0</v>
      </c>
      <c r="AV914" s="2">
        <f>IF(MID(E914,3,1)*1=2,$AA$58,$Z$58)</f>
        <v>0</v>
      </c>
      <c r="AW914" s="33">
        <f>IF(MID(E914,3,1)*1=3,$AC$58,$AB$58)</f>
        <v>1</v>
      </c>
      <c r="AX914" s="31">
        <f>IF(MID(E914,5,1)*1=1,$AE$58,$AD$58)</f>
        <v>1</v>
      </c>
      <c r="AY914" s="33">
        <f>IF(MID(E914,5,1)*1=2,$AG$58,$AF$58)</f>
        <v>1</v>
      </c>
      <c r="AZ914" s="2"/>
      <c r="BA914" s="101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</row>
    <row r="915" spans="1:71" ht="12" customHeight="1">
      <c r="A915" s="2"/>
      <c r="B915" s="107">
        <v>71</v>
      </c>
      <c r="C915" s="31">
        <v>4</v>
      </c>
      <c r="D915" s="106" t="s">
        <v>4</v>
      </c>
      <c r="E915" s="2" t="s">
        <v>87</v>
      </c>
      <c r="F915" s="2"/>
      <c r="G915" s="2"/>
      <c r="H915" s="33"/>
      <c r="I915" s="173">
        <f>M915/AE915</f>
        <v>296.23546740391777</v>
      </c>
      <c r="J915" s="174">
        <f>AH915/AE915</f>
        <v>11.193329176765722</v>
      </c>
      <c r="K915" s="207">
        <f>RANK(I915,$I$76:$I$977)</f>
        <v>840</v>
      </c>
      <c r="L915" s="208" t="e">
        <f>RANK(I915,$I$76:$I$450)</f>
        <v>#N/A</v>
      </c>
      <c r="M915" s="173">
        <f>SUM(N915:R915)</f>
        <v>3546.3580142467395</v>
      </c>
      <c r="N915" s="174">
        <f>T915*(1+((AG915+IF(F915="백어택",8,0))/100)*((AI915/100-1)))</f>
        <v>968.81558398252184</v>
      </c>
      <c r="O915" s="174">
        <f>U915*(1+((AG915+IF(F915="백어택",8,0))/100)*(AI915/100-1))</f>
        <v>2577.5424302642177</v>
      </c>
      <c r="P915" s="174"/>
      <c r="Q915" s="174"/>
      <c r="R915" s="175"/>
      <c r="S915" s="173">
        <f>SUM(T915:X915)</f>
        <v>2685.856694555488</v>
      </c>
      <c r="T915" s="174">
        <f>AT915*AL915*IF(F915="백어택",1.2,1)</f>
        <v>733.73861622987806</v>
      </c>
      <c r="U915" s="174">
        <f>AM915*AW915*AX915*AY915*IF(F915="백어택",1.2,1)</f>
        <v>1952.11807832561</v>
      </c>
      <c r="V915" s="174"/>
      <c r="W915" s="174"/>
      <c r="X915" s="175"/>
      <c r="Y915" s="173">
        <f>SUM(Z915:AD915)</f>
        <v>5371.7133891109761</v>
      </c>
      <c r="Z915" s="174">
        <f>T915*$D$58/100</f>
        <v>1467.4772324597561</v>
      </c>
      <c r="AA915" s="174">
        <f>U915*$D$58/100</f>
        <v>3904.23615665122</v>
      </c>
      <c r="AB915" s="174"/>
      <c r="AC915" s="174"/>
      <c r="AD915" s="175"/>
      <c r="AE915" s="173">
        <f>AO915*(1-$D$17/100)</f>
        <v>11.971416</v>
      </c>
      <c r="AF915" s="174">
        <f>AP915</f>
        <v>36</v>
      </c>
      <c r="AG915" s="174">
        <f>IF($D$57&gt;100,100,$D$57)</f>
        <v>19.001300000000001</v>
      </c>
      <c r="AH915" s="174">
        <f>AQ915</f>
        <v>134</v>
      </c>
      <c r="AI915" s="174">
        <f>$D$58+$D$19</f>
        <v>268.61079999999998</v>
      </c>
      <c r="AJ915" s="174">
        <f>10/IF(AY915=1,5,4)</f>
        <v>2</v>
      </c>
      <c r="AK915" s="174">
        <f>SUM(AL915:AN915)</f>
        <v>2441.2771558121954</v>
      </c>
      <c r="AL915" s="174">
        <f>(VLOOKUP(C915,$B$36:$AG$39,4,FALSE)+VLOOKUP(C915,$B$40:$AG$43,4,FALSE)*$D$54)*$D$59/100</f>
        <v>489.15907748658537</v>
      </c>
      <c r="AM915" s="174">
        <f>(VLOOKUP(C915,$B$36:$AG$39,5,FALSE)+VLOOKUP(C915,$B$40:$AG$43,5,FALSE)*$D$54)*$D$59/100</f>
        <v>1952.11807832561</v>
      </c>
      <c r="AN915" s="174"/>
      <c r="AO915" s="176">
        <v>12</v>
      </c>
      <c r="AP915" s="174">
        <v>36</v>
      </c>
      <c r="AQ915" s="175">
        <f>VLOOKUP(C915,$B$45:$AA$48,4,FALSE)</f>
        <v>134</v>
      </c>
      <c r="AR915" s="31">
        <f>IF(LEFT(E915,1)*1=1,$S$54,$R$54)</f>
        <v>0</v>
      </c>
      <c r="AS915" s="2">
        <f>IF(LEFT(E915,1)*1=2,$U$54,$T$54)</f>
        <v>0</v>
      </c>
      <c r="AT915" s="33">
        <f>IF(LEFT(E915,1)*1=3,$W$54,$V$54)</f>
        <v>1.5</v>
      </c>
      <c r="AU915" s="31">
        <f>IF(MID(E915,3,1)*1=1,$Y$54,$X$54)</f>
        <v>0</v>
      </c>
      <c r="AV915" s="2">
        <f>IF(MID(E915,3,1)*1=2,$AA$54,$Z$54)</f>
        <v>0</v>
      </c>
      <c r="AW915" s="33">
        <f>IF(MID(E915,3,1)*1=3,$AC$54,$AB$54)</f>
        <v>1</v>
      </c>
      <c r="AX915" s="31">
        <f>IF(MID(E915,5,1)*1=1,$AE$54,$AD$54)</f>
        <v>1</v>
      </c>
      <c r="AY915" s="33">
        <f>IF(MID(E915,5,1)*1=2,$AG$54,$AF$54)</f>
        <v>1</v>
      </c>
      <c r="AZ915" s="2"/>
      <c r="BA915" s="101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</row>
    <row r="916" spans="1:71" ht="12" customHeight="1">
      <c r="A916" s="2"/>
      <c r="B916" s="107">
        <v>301</v>
      </c>
      <c r="C916" s="31">
        <v>7</v>
      </c>
      <c r="D916" s="106" t="s">
        <v>17</v>
      </c>
      <c r="E916" s="2" t="s">
        <v>67</v>
      </c>
      <c r="F916" s="2"/>
      <c r="G916" s="2"/>
      <c r="H916" s="33">
        <f>IF(AT916=1,3,IF(AY916=1,3,2))</f>
        <v>2</v>
      </c>
      <c r="I916" s="173">
        <f>M916/AE916</f>
        <v>295.97923096477382</v>
      </c>
      <c r="J916" s="174">
        <f>AH916/AE916</f>
        <v>24.18260296025132</v>
      </c>
      <c r="K916" s="207">
        <f>RANK(I916,$I$76:$I$977)</f>
        <v>841</v>
      </c>
      <c r="L916" s="208" t="e">
        <f>RANK(I916,$I$76:$I$450)</f>
        <v>#N/A</v>
      </c>
      <c r="M916" s="173">
        <f>SUM(N916:R916)</f>
        <v>2362.1936674929257</v>
      </c>
      <c r="N916" s="174">
        <f>T916*(1+((AG916+IF(F916="백어택",8,0))/100)*((AI916/100-1)))</f>
        <v>1181.0968337464628</v>
      </c>
      <c r="O916" s="174">
        <f>U916*(1+(AG916/100)*(AI916/100-1))</f>
        <v>1181.0968337464628</v>
      </c>
      <c r="P916" s="174">
        <f>V916*(1+(AG916/100)*(AI916/100-1))</f>
        <v>0</v>
      </c>
      <c r="Q916" s="174"/>
      <c r="R916" s="175"/>
      <c r="S916" s="173">
        <f>SUM(T916:X916)</f>
        <v>1789.0223294390246</v>
      </c>
      <c r="T916" s="174">
        <f>AL916*AV916</f>
        <v>894.51116471951229</v>
      </c>
      <c r="U916" s="174">
        <f>AL916*AW916</f>
        <v>894.51116471951229</v>
      </c>
      <c r="V916" s="174">
        <f>IF(H916=3,AL916,0)*(1+AW916-1+AW916-1)</f>
        <v>0</v>
      </c>
      <c r="W916" s="174"/>
      <c r="X916" s="175"/>
      <c r="Y916" s="173">
        <f>SUM(Z916:AD916)</f>
        <v>4805.5071912847989</v>
      </c>
      <c r="Z916" s="174">
        <f>T916*AI916/100</f>
        <v>2402.7535956423994</v>
      </c>
      <c r="AA916" s="174">
        <f>U916*AI916/100</f>
        <v>2402.7535956423994</v>
      </c>
      <c r="AB916" s="174">
        <f>V916*AI916/100</f>
        <v>0</v>
      </c>
      <c r="AC916" s="174"/>
      <c r="AD916" s="175"/>
      <c r="AE916" s="173">
        <f>AO916*(1-$D$17/100)</f>
        <v>7.980944</v>
      </c>
      <c r="AF916" s="174">
        <f>AP916</f>
        <v>36</v>
      </c>
      <c r="AG916" s="174">
        <f>IF($D$57&gt;100,100,$D$57)</f>
        <v>19.001300000000001</v>
      </c>
      <c r="AH916" s="174">
        <f>AQ916</f>
        <v>193</v>
      </c>
      <c r="AI916" s="174">
        <f>$D$58+$D$19</f>
        <v>268.61079999999998</v>
      </c>
      <c r="AJ916" s="174">
        <f>10*AR916/IF(AT916=0,IF(AY916=0,8,5),5)</f>
        <v>1.25</v>
      </c>
      <c r="AK916" s="174">
        <f>H916*SUM(AL916:AN916)</f>
        <v>1789.0223294390246</v>
      </c>
      <c r="AL916" s="174">
        <f>((VLOOKUP(C916,$B$36:$AG$39,24,FALSE)+VLOOKUP(C916,$B$40:$AG$43,24,FALSE)*$D$54))*$D$59/100</f>
        <v>894.51116471951229</v>
      </c>
      <c r="AM916" s="174"/>
      <c r="AN916" s="174"/>
      <c r="AO916" s="176">
        <v>8</v>
      </c>
      <c r="AP916" s="174">
        <v>36</v>
      </c>
      <c r="AQ916" s="175">
        <f>VLOOKUP(C916,$B$45:$AA$48,24,FALSE)</f>
        <v>193</v>
      </c>
      <c r="AR916" s="31">
        <f>IF(LEFT(E916,1)*1=1,$S$67,$R$67)</f>
        <v>1</v>
      </c>
      <c r="AS916" s="2">
        <f>IF(LEFT(E916,1)*1=2,$U$67,$T$67)</f>
        <v>0</v>
      </c>
      <c r="AT916" s="33">
        <f>IF(LEFT(E916,1)*1=3,$W$67,$V$67)</f>
        <v>0</v>
      </c>
      <c r="AU916" s="31">
        <f>IF(MID(E916,3,1)*1=1,$Y$67,$X$67)</f>
        <v>0</v>
      </c>
      <c r="AV916" s="2">
        <f>IF(MID(E916,3,1)*1=2,$AA$67,$Z$67)</f>
        <v>1</v>
      </c>
      <c r="AW916" s="33">
        <f>IF(MID(E916,3,1)*1=3,$AC$67,$AB$67)</f>
        <v>1</v>
      </c>
      <c r="AX916" s="31">
        <f>IF(MID(E916,5,1)*1=1,$AE$67,$AD$67)</f>
        <v>0</v>
      </c>
      <c r="AY916" s="33">
        <f>IF(MID(E916,5,1)*1=2,$AG$67,$AF$67)</f>
        <v>0</v>
      </c>
      <c r="AZ916" s="2"/>
      <c r="BA916" s="101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</row>
    <row r="917" spans="1:71" ht="12" customHeight="1">
      <c r="A917" s="2"/>
      <c r="B917" s="107">
        <v>304</v>
      </c>
      <c r="C917" s="31">
        <v>7</v>
      </c>
      <c r="D917" s="106" t="s">
        <v>17</v>
      </c>
      <c r="E917" s="2" t="s">
        <v>148</v>
      </c>
      <c r="F917" s="2"/>
      <c r="G917" s="2"/>
      <c r="H917" s="33">
        <f>IF(AT917=1,3,IF(AY917=1,3,2))</f>
        <v>2</v>
      </c>
      <c r="I917" s="173">
        <f>M917/AE917</f>
        <v>295.97923096477382</v>
      </c>
      <c r="J917" s="174">
        <f>AH917/AE917</f>
        <v>24.18260296025132</v>
      </c>
      <c r="K917" s="207">
        <f>RANK(I917,$I$76:$I$977)</f>
        <v>841</v>
      </c>
      <c r="L917" s="208" t="e">
        <f>RANK(I917,$I$76:$I$450)</f>
        <v>#N/A</v>
      </c>
      <c r="M917" s="173">
        <f>SUM(N917:R917)</f>
        <v>2362.1936674929257</v>
      </c>
      <c r="N917" s="174">
        <f>T917*(1+((AG917+IF(F917="백어택",8,0))/100)*((AI917/100-1)))</f>
        <v>1181.0968337464628</v>
      </c>
      <c r="O917" s="174">
        <f>U917*(1+(AG917/100)*(AI917/100-1))</f>
        <v>1181.0968337464628</v>
      </c>
      <c r="P917" s="174">
        <f>V917*(1+(AG917/100)*(AI917/100-1))</f>
        <v>0</v>
      </c>
      <c r="Q917" s="174"/>
      <c r="R917" s="175"/>
      <c r="S917" s="173">
        <f>SUM(T917:X917)</f>
        <v>1789.0223294390246</v>
      </c>
      <c r="T917" s="174">
        <f>AL917*AV917</f>
        <v>894.51116471951229</v>
      </c>
      <c r="U917" s="174">
        <f>AL917*AW917</f>
        <v>894.51116471951229</v>
      </c>
      <c r="V917" s="174">
        <f>IF(H917=3,AL917,0)*(1+AW917-1+AW917-1)</f>
        <v>0</v>
      </c>
      <c r="W917" s="174"/>
      <c r="X917" s="175"/>
      <c r="Y917" s="173">
        <f>SUM(Z917:AD917)</f>
        <v>4805.5071912847989</v>
      </c>
      <c r="Z917" s="174">
        <f>T917*AI917/100</f>
        <v>2402.7535956423994</v>
      </c>
      <c r="AA917" s="174">
        <f>U917*AI917/100</f>
        <v>2402.7535956423994</v>
      </c>
      <c r="AB917" s="174">
        <f>V917*AI917/100</f>
        <v>0</v>
      </c>
      <c r="AC917" s="174"/>
      <c r="AD917" s="175"/>
      <c r="AE917" s="173">
        <f>AO917*(1-$D$17/100)</f>
        <v>7.980944</v>
      </c>
      <c r="AF917" s="174">
        <f>AP917</f>
        <v>36</v>
      </c>
      <c r="AG917" s="174">
        <f>IF($D$57&gt;100,100,$D$57)</f>
        <v>19.001300000000001</v>
      </c>
      <c r="AH917" s="174">
        <f>AQ917</f>
        <v>193</v>
      </c>
      <c r="AI917" s="174">
        <f>$D$58+$D$19</f>
        <v>268.61079999999998</v>
      </c>
      <c r="AJ917" s="174">
        <f>10*AR917/IF(AT917=0,IF(AY917=0,8,5),5)</f>
        <v>1</v>
      </c>
      <c r="AK917" s="174">
        <f>H917*SUM(AL917:AN917)</f>
        <v>1789.0223294390246</v>
      </c>
      <c r="AL917" s="174">
        <f>((VLOOKUP(C917,$B$36:$AG$39,24,FALSE)+VLOOKUP(C917,$B$40:$AG$43,24,FALSE)*$D$54))*$D$59/100</f>
        <v>894.51116471951229</v>
      </c>
      <c r="AM917" s="174"/>
      <c r="AN917" s="174"/>
      <c r="AO917" s="176">
        <v>8</v>
      </c>
      <c r="AP917" s="174">
        <v>36</v>
      </c>
      <c r="AQ917" s="175">
        <f>VLOOKUP(C917,$B$45:$AA$48,24,FALSE)</f>
        <v>193</v>
      </c>
      <c r="AR917" s="31">
        <f>IF(LEFT(E917,1)*1=1,$S$67,$R$67)</f>
        <v>0.8</v>
      </c>
      <c r="AS917" s="2">
        <f>IF(LEFT(E917,1)*1=2,$U$67,$T$67)</f>
        <v>0</v>
      </c>
      <c r="AT917" s="33">
        <f>IF(LEFT(E917,1)*1=3,$W$67,$V$67)</f>
        <v>0</v>
      </c>
      <c r="AU917" s="31">
        <f>IF(MID(E917,3,1)*1=1,$Y$67,$X$67)</f>
        <v>0</v>
      </c>
      <c r="AV917" s="2">
        <f>IF(MID(E917,3,1)*1=2,$AA$67,$Z$67)</f>
        <v>1</v>
      </c>
      <c r="AW917" s="33">
        <f>IF(MID(E917,3,1)*1=3,$AC$67,$AB$67)</f>
        <v>1</v>
      </c>
      <c r="AX917" s="31">
        <f>IF(MID(E917,5,1)*1=1,$AE$67,$AD$67)</f>
        <v>0</v>
      </c>
      <c r="AY917" s="33">
        <f>IF(MID(E917,5,1)*1=2,$AG$67,$AF$67)</f>
        <v>0</v>
      </c>
      <c r="AZ917" s="2"/>
      <c r="BA917" s="101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</row>
    <row r="918" spans="1:71" ht="12" customHeight="1">
      <c r="A918" s="2"/>
      <c r="B918" s="107">
        <v>66</v>
      </c>
      <c r="C918" s="31">
        <v>7</v>
      </c>
      <c r="D918" s="106" t="s">
        <v>4</v>
      </c>
      <c r="E918" s="2" t="s">
        <v>67</v>
      </c>
      <c r="F918" s="2"/>
      <c r="G918" s="2"/>
      <c r="H918" s="33"/>
      <c r="I918" s="173">
        <f>M918/AE918</f>
        <v>290.42668074085918</v>
      </c>
      <c r="J918" s="174">
        <f>AH918/AE918</f>
        <v>20.298350671299033</v>
      </c>
      <c r="K918" s="207">
        <f>RANK(I918,$I$76:$I$977)</f>
        <v>843</v>
      </c>
      <c r="L918" s="208" t="e">
        <f>RANK(I918,$I$76:$I$450)</f>
        <v>#N/A</v>
      </c>
      <c r="M918" s="173">
        <f>SUM(N918:R918)</f>
        <v>3476.8186126480132</v>
      </c>
      <c r="N918" s="174">
        <f>T918*(1+((AG918+IF(F918="백어택",8,0))/100)*((AI918/100-1)))</f>
        <v>696.88418044994739</v>
      </c>
      <c r="O918" s="174">
        <f>U918*(1+((AG918+IF(F918="백어택",8,0))/100)*(AI918/100-1))</f>
        <v>2779.9344321980657</v>
      </c>
      <c r="P918" s="174"/>
      <c r="Q918" s="174"/>
      <c r="R918" s="175"/>
      <c r="S918" s="173">
        <f>SUM(T918:X918)</f>
        <v>2633.1905884914636</v>
      </c>
      <c r="T918" s="174">
        <f>AT918*AL918*IF(F918="백어택",1.2,1)</f>
        <v>527.78964613048777</v>
      </c>
      <c r="U918" s="174">
        <f>AM918*AW918*AX918*AY918*IF(F918="백어택",1.2,1)</f>
        <v>2105.4009423609759</v>
      </c>
      <c r="V918" s="174"/>
      <c r="W918" s="174"/>
      <c r="X918" s="175"/>
      <c r="Y918" s="173">
        <f>SUM(Z918:AD918)</f>
        <v>5266.3811769829272</v>
      </c>
      <c r="Z918" s="174">
        <f>T918*$D$58/100</f>
        <v>1055.5792922609755</v>
      </c>
      <c r="AA918" s="174">
        <f>U918*$D$58/100</f>
        <v>4210.8018847219519</v>
      </c>
      <c r="AB918" s="174"/>
      <c r="AC918" s="174"/>
      <c r="AD918" s="175"/>
      <c r="AE918" s="173">
        <f>AO918*(1-$D$17/100)</f>
        <v>11.971416</v>
      </c>
      <c r="AF918" s="174">
        <f>AP918</f>
        <v>36</v>
      </c>
      <c r="AG918" s="174">
        <f>IF($D$57&gt;100,100,$D$57)</f>
        <v>19.001300000000001</v>
      </c>
      <c r="AH918" s="174">
        <f>AQ918</f>
        <v>243</v>
      </c>
      <c r="AI918" s="174">
        <f>$D$58+$D$19</f>
        <v>268.61079999999998</v>
      </c>
      <c r="AJ918" s="174">
        <f>10/IF(AY918=1,5,4)</f>
        <v>2</v>
      </c>
      <c r="AK918" s="174">
        <f>SUM(AL918:AN918)</f>
        <v>2633.1905884914636</v>
      </c>
      <c r="AL918" s="174">
        <f>(VLOOKUP(C918,$B$36:$AG$39,4,FALSE)+VLOOKUP(C918,$B$40:$AG$43,4,FALSE)*$D$54)*$D$59/100</f>
        <v>527.78964613048777</v>
      </c>
      <c r="AM918" s="174">
        <f>(VLOOKUP(C918,$B$36:$AG$39,5,FALSE)+VLOOKUP(C918,$B$40:$AG$43,5,FALSE)*$D$54)*$D$59/100</f>
        <v>2105.4009423609759</v>
      </c>
      <c r="AN918" s="174"/>
      <c r="AO918" s="176">
        <v>12</v>
      </c>
      <c r="AP918" s="174">
        <v>36</v>
      </c>
      <c r="AQ918" s="175">
        <f>VLOOKUP(C918,$B$45:$AA$48,4,FALSE)</f>
        <v>243</v>
      </c>
      <c r="AR918" s="31">
        <f>IF(LEFT(E918,1)*1=1,$S$54,$R$54)</f>
        <v>0</v>
      </c>
      <c r="AS918" s="2">
        <f>IF(LEFT(E918,1)*1=2,$U$54,$T$54)</f>
        <v>0</v>
      </c>
      <c r="AT918" s="33">
        <f>IF(LEFT(E918,1)*1=3,$W$54,$V$54)</f>
        <v>1</v>
      </c>
      <c r="AU918" s="31">
        <f>IF(MID(E918,3,1)*1=1,$Y$54,$X$54)</f>
        <v>0</v>
      </c>
      <c r="AV918" s="2">
        <f>IF(MID(E918,3,1)*1=2,$AA$54,$Z$54)</f>
        <v>0</v>
      </c>
      <c r="AW918" s="33">
        <f>IF(MID(E918,3,1)*1=3,$AC$54,$AB$54)</f>
        <v>1</v>
      </c>
      <c r="AX918" s="31">
        <f>IF(MID(E918,5,1)*1=1,$AE$54,$AD$54)</f>
        <v>1</v>
      </c>
      <c r="AY918" s="33">
        <f>IF(MID(E918,5,1)*1=2,$AG$54,$AF$54)</f>
        <v>1</v>
      </c>
      <c r="AZ918" s="2"/>
      <c r="BA918" s="101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</row>
    <row r="919" spans="1:71" ht="12" customHeight="1">
      <c r="A919" s="2"/>
      <c r="B919" s="107">
        <v>854</v>
      </c>
      <c r="C919" s="31">
        <v>7</v>
      </c>
      <c r="D919" s="113" t="s">
        <v>15</v>
      </c>
      <c r="E919" s="2" t="s">
        <v>67</v>
      </c>
      <c r="F919" s="2"/>
      <c r="G919" s="2"/>
      <c r="H919" s="33">
        <f>IF(AX919=AT919,3,4)</f>
        <v>3</v>
      </c>
      <c r="I919" s="173">
        <f>M919/AE919</f>
        <v>286.21354736378782</v>
      </c>
      <c r="J919" s="174">
        <f>AH919/AE919</f>
        <v>13.766124241276053</v>
      </c>
      <c r="K919" s="207">
        <f>RANK(I919,$I$76:$I$977)</f>
        <v>844</v>
      </c>
      <c r="L919" s="208">
        <f>RANK(I919,$I$867:$I$977)</f>
        <v>53</v>
      </c>
      <c r="M919" s="173">
        <f>SUM(N919:R919)*(1+$D$22/100)</f>
        <v>8565.9536008190189</v>
      </c>
      <c r="N919" s="174">
        <f>T919*(1+((AG919+IF(F919="백어택",8,0))/100)*(AI919/100-1))</f>
        <v>2572.6439789890846</v>
      </c>
      <c r="O919" s="174">
        <f>U919*(1+(AG919/100)*(AI919/100-1))</f>
        <v>2572.6439789890846</v>
      </c>
      <c r="P919" s="174">
        <f>V919*(1+(AG919/100)*(AI919/100-1))</f>
        <v>2572.6439789890846</v>
      </c>
      <c r="Q919" s="174">
        <f>W919*(1+(AG919/100)*(AI919/100-1))</f>
        <v>0</v>
      </c>
      <c r="R919" s="175">
        <f>X919*(1+(AG919/100)*(AI919/100-1))</f>
        <v>0</v>
      </c>
      <c r="S919" s="173">
        <f>SUM(T919:X919)</f>
        <v>6485.5862389463418</v>
      </c>
      <c r="T919" s="174">
        <f>AL919*AS919*AY919</f>
        <v>2161.8620796487808</v>
      </c>
      <c r="U919" s="174">
        <f>AL919*AS919*AY919</f>
        <v>2161.8620796487808</v>
      </c>
      <c r="V919" s="174">
        <f>AL919*AS919*AY919</f>
        <v>2161.8620796487808</v>
      </c>
      <c r="W919" s="174">
        <f>IF(H919=4,AL919*AS919*IF(AT919=0,AY919,1),0)</f>
        <v>0</v>
      </c>
      <c r="X919" s="175">
        <f>AL919*IF(H919=3,11,IF(AT919=1,15,13))*IF(AW919=1,0,AW919)</f>
        <v>0</v>
      </c>
      <c r="Y919" s="173">
        <f>SUM(Z919:AD919)</f>
        <v>12971.172477892684</v>
      </c>
      <c r="Z919" s="174">
        <f>T919*AI919/100</f>
        <v>4323.7241592975615</v>
      </c>
      <c r="AA919" s="174">
        <f>U919*AI919/100</f>
        <v>4323.7241592975615</v>
      </c>
      <c r="AB919" s="174">
        <f>V919*AI919/100</f>
        <v>4323.7241592975615</v>
      </c>
      <c r="AC919" s="174">
        <f>W919*AI919/100</f>
        <v>0</v>
      </c>
      <c r="AD919" s="175">
        <f>X919*AI919/100</f>
        <v>0</v>
      </c>
      <c r="AE919" s="173">
        <f>AO919*(1-$D$17/100)</f>
        <v>29.928540000000002</v>
      </c>
      <c r="AF919" s="174">
        <f>AP919</f>
        <v>36</v>
      </c>
      <c r="AG919" s="174">
        <f>IF($D$57+AX919&gt;100,100,$D$57+AX919)</f>
        <v>19.001300000000001</v>
      </c>
      <c r="AH919" s="174">
        <f>AQ919</f>
        <v>412</v>
      </c>
      <c r="AI919" s="174">
        <f>$D$58</f>
        <v>200</v>
      </c>
      <c r="AJ919" s="174">
        <f>10*AU919/IF(AT919=1,2.5,(IF(AY919=1,3,2.5)))</f>
        <v>3.3333333333333335</v>
      </c>
      <c r="AK919" s="174">
        <f>SUM(AL919:AN919)</f>
        <v>2161.8620796487808</v>
      </c>
      <c r="AL919" s="174">
        <f>((VLOOKUP(C919,$B$36:$AG$39,22,FALSE)+VLOOKUP(C919,$B$40:$AG$43,22,FALSE)*$D$54))*$D$59/100</f>
        <v>2161.8620796487808</v>
      </c>
      <c r="AM919" s="174"/>
      <c r="AN919" s="174"/>
      <c r="AO919" s="176">
        <v>30</v>
      </c>
      <c r="AP919" s="174">
        <v>36</v>
      </c>
      <c r="AQ919" s="175">
        <f>VLOOKUP(C919,$B$45:$AA$48,22,FALSE)</f>
        <v>412</v>
      </c>
      <c r="AR919" s="31">
        <f>IF(LEFT(E919,1)*1=1,$S$65,$R$65)</f>
        <v>0</v>
      </c>
      <c r="AS919" s="2">
        <f>IF(LEFT(E919,1)*1=2,$U$65,$T$65)</f>
        <v>1</v>
      </c>
      <c r="AT919" s="33">
        <f>IF(LEFT(E919,1)*1=3,$W$65,$V$65)</f>
        <v>0</v>
      </c>
      <c r="AU919" s="31">
        <f>IF(MID(E919,3,1)*1=1,$Y$65,$X$65)</f>
        <v>1</v>
      </c>
      <c r="AV919" s="2">
        <f>IF(MID(E919,3,1)*1=2,$AA$65,$Z$65)</f>
        <v>0</v>
      </c>
      <c r="AW919" s="33">
        <f>IF(MID(E919,3,1)*1=3,$AC$65,$AB$65)</f>
        <v>1</v>
      </c>
      <c r="AX919" s="31">
        <f>IF(MID(E919,5,1)*1=1,$AE$65,$AD$65)</f>
        <v>0</v>
      </c>
      <c r="AY919" s="33">
        <f>IF(MID(E919,5,1)*1=2,$AG$65,$AF$65)</f>
        <v>1</v>
      </c>
      <c r="AZ919" s="2"/>
      <c r="BA919" s="101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</row>
    <row r="920" spans="1:71" ht="12" customHeight="1">
      <c r="A920" s="2"/>
      <c r="B920" s="107">
        <v>855</v>
      </c>
      <c r="C920" s="31">
        <v>7</v>
      </c>
      <c r="D920" s="113" t="s">
        <v>15</v>
      </c>
      <c r="E920" s="2" t="s">
        <v>136</v>
      </c>
      <c r="F920" s="2"/>
      <c r="G920" s="2"/>
      <c r="H920" s="33">
        <f>IF(AX920=AT920,3,4)</f>
        <v>3</v>
      </c>
      <c r="I920" s="173">
        <f>M920/AE920</f>
        <v>286.21354736378782</v>
      </c>
      <c r="J920" s="174">
        <f>AH920/AE920</f>
        <v>13.766124241276053</v>
      </c>
      <c r="K920" s="207">
        <f>RANK(I920,$I$76:$I$977)</f>
        <v>844</v>
      </c>
      <c r="L920" s="208">
        <f>RANK(I920,$I$867:$I$977)</f>
        <v>53</v>
      </c>
      <c r="M920" s="173">
        <f>SUM(N920:R920)*(1+$D$22/100)</f>
        <v>8565.9536008190189</v>
      </c>
      <c r="N920" s="174">
        <f>T920*(1+((AG920+IF(F920="백어택",8,0))/100)*(AI920/100-1))</f>
        <v>2572.6439789890846</v>
      </c>
      <c r="O920" s="174">
        <f>U920*(1+(AG920/100)*(AI920/100-1))</f>
        <v>2572.6439789890846</v>
      </c>
      <c r="P920" s="174">
        <f>V920*(1+(AG920/100)*(AI920/100-1))</f>
        <v>2572.6439789890846</v>
      </c>
      <c r="Q920" s="174">
        <f>W920*(1+(AG920/100)*(AI920/100-1))</f>
        <v>0</v>
      </c>
      <c r="R920" s="175">
        <f>X920*(1+(AG920/100)*(AI920/100-1))</f>
        <v>0</v>
      </c>
      <c r="S920" s="173">
        <f>SUM(T920:X920)</f>
        <v>6485.5862389463418</v>
      </c>
      <c r="T920" s="174">
        <f>AL920*AS920*AY920</f>
        <v>2161.8620796487808</v>
      </c>
      <c r="U920" s="174">
        <f>AL920*AS920*AY920</f>
        <v>2161.8620796487808</v>
      </c>
      <c r="V920" s="174">
        <f>AL920*AS920*AY920</f>
        <v>2161.8620796487808</v>
      </c>
      <c r="W920" s="174">
        <f>IF(H920=4,AL920*AS920*IF(AT920=0,AY920,1),0)</f>
        <v>0</v>
      </c>
      <c r="X920" s="175">
        <f>AL920*IF(H920=3,11,IF(AT920=1,15,13))*IF(AW920=1,0,AW920)</f>
        <v>0</v>
      </c>
      <c r="Y920" s="173">
        <f>SUM(Z920:AD920)</f>
        <v>12971.172477892684</v>
      </c>
      <c r="Z920" s="174">
        <f>T920*AI920/100</f>
        <v>4323.7241592975615</v>
      </c>
      <c r="AA920" s="174">
        <f>U920*AI920/100</f>
        <v>4323.7241592975615</v>
      </c>
      <c r="AB920" s="174">
        <f>V920*AI920/100</f>
        <v>4323.7241592975615</v>
      </c>
      <c r="AC920" s="174">
        <f>W920*AI920/100</f>
        <v>0</v>
      </c>
      <c r="AD920" s="175">
        <f>X920*AI920/100</f>
        <v>0</v>
      </c>
      <c r="AE920" s="173">
        <f>AO920*(1-$D$17/100)</f>
        <v>29.928540000000002</v>
      </c>
      <c r="AF920" s="174">
        <f>AP920</f>
        <v>36</v>
      </c>
      <c r="AG920" s="174">
        <f>IF($D$57+AX920&gt;100,100,$D$57+AX920)</f>
        <v>19.001300000000001</v>
      </c>
      <c r="AH920" s="174">
        <f>AQ920</f>
        <v>412</v>
      </c>
      <c r="AI920" s="174">
        <f>$D$58</f>
        <v>200</v>
      </c>
      <c r="AJ920" s="174">
        <f>10*AU920/IF(AT920=1,2.5,(IF(AY920=1,3,2.5)))</f>
        <v>2.6666666666666665</v>
      </c>
      <c r="AK920" s="174">
        <f>SUM(AL920:AN920)</f>
        <v>2161.8620796487808</v>
      </c>
      <c r="AL920" s="174">
        <f>((VLOOKUP(C920,$B$36:$AG$39,22,FALSE)+VLOOKUP(C920,$B$40:$AG$43,22,FALSE)*$D$54))*$D$59/100</f>
        <v>2161.8620796487808</v>
      </c>
      <c r="AM920" s="174"/>
      <c r="AN920" s="174"/>
      <c r="AO920" s="176">
        <v>30</v>
      </c>
      <c r="AP920" s="174">
        <v>36</v>
      </c>
      <c r="AQ920" s="175">
        <f>VLOOKUP(C920,$B$45:$AA$48,22,FALSE)</f>
        <v>412</v>
      </c>
      <c r="AR920" s="31">
        <f>IF(LEFT(E920,1)*1=1,$S$65,$R$65)</f>
        <v>0</v>
      </c>
      <c r="AS920" s="2">
        <f>IF(LEFT(E920,1)*1=2,$U$65,$T$65)</f>
        <v>1</v>
      </c>
      <c r="AT920" s="33">
        <f>IF(LEFT(E920,1)*1=3,$W$65,$V$65)</f>
        <v>0</v>
      </c>
      <c r="AU920" s="31">
        <f>IF(MID(E920,3,1)*1=1,$Y$65,$X$65)</f>
        <v>0.8</v>
      </c>
      <c r="AV920" s="2">
        <f>IF(MID(E920,3,1)*1=2,$AA$65,$Z$65)</f>
        <v>0</v>
      </c>
      <c r="AW920" s="33">
        <f>IF(MID(E920,3,1)*1=3,$AC$65,$AB$65)</f>
        <v>1</v>
      </c>
      <c r="AX920" s="31">
        <f>IF(MID(E920,5,1)*1=1,$AE$65,$AD$65)</f>
        <v>0</v>
      </c>
      <c r="AY920" s="33">
        <f>IF(MID(E920,5,1)*1=2,$AG$65,$AF$65)</f>
        <v>1</v>
      </c>
      <c r="AZ920" s="2"/>
      <c r="BA920" s="101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</row>
    <row r="921" spans="1:71" ht="12" customHeight="1">
      <c r="A921" s="2"/>
      <c r="B921" s="107">
        <v>57</v>
      </c>
      <c r="C921" s="31">
        <v>1</v>
      </c>
      <c r="D921" s="106" t="s">
        <v>4</v>
      </c>
      <c r="E921" s="2" t="s">
        <v>67</v>
      </c>
      <c r="F921" s="2" t="s">
        <v>149</v>
      </c>
      <c r="G921" s="2"/>
      <c r="H921" s="33"/>
      <c r="I921" s="173">
        <f>M921/AE921</f>
        <v>285.67559821441722</v>
      </c>
      <c r="J921" s="174">
        <f>AH921/AE921</f>
        <v>5.5966645883828612</v>
      </c>
      <c r="K921" s="207">
        <f>RANK(I921,$I$76:$I$977)</f>
        <v>846</v>
      </c>
      <c r="L921" s="208" t="e">
        <f>RANK(I921,$I$76:$I$450)</f>
        <v>#N/A</v>
      </c>
      <c r="M921" s="173">
        <f>SUM(N921:R921)</f>
        <v>3419.9414272736458</v>
      </c>
      <c r="N921" s="174">
        <f>T921*(1+((AG921+IF(F921="백어택",8,0))/100)*((AI921/100-1)))</f>
        <v>683.55540265919512</v>
      </c>
      <c r="O921" s="174">
        <f>U921*(1+((AG921+IF(F921="백어택",8,0))/100)*(AI921/100-1))</f>
        <v>2736.3860246144509</v>
      </c>
      <c r="P921" s="174"/>
      <c r="Q921" s="174"/>
      <c r="R921" s="175"/>
      <c r="S921" s="173">
        <f>SUM(T921:X921)</f>
        <v>2350.0373749434148</v>
      </c>
      <c r="T921" s="174">
        <f>AT921*AL921*IF(F921="백어택",1.2,1)</f>
        <v>469.71001645902442</v>
      </c>
      <c r="U921" s="174">
        <f>AM921*AW921*AX921*AY921*IF(F921="백어택",1.2,1)</f>
        <v>1880.3273584843903</v>
      </c>
      <c r="V921" s="174"/>
      <c r="W921" s="174"/>
      <c r="X921" s="175"/>
      <c r="Y921" s="173">
        <f>SUM(Z921:AD921)</f>
        <v>4700.0747498868295</v>
      </c>
      <c r="Z921" s="174">
        <f>T921*$D$58/100</f>
        <v>939.42003291804883</v>
      </c>
      <c r="AA921" s="174">
        <f>U921*$D$58/100</f>
        <v>3760.654716968781</v>
      </c>
      <c r="AB921" s="174"/>
      <c r="AC921" s="174"/>
      <c r="AD921" s="175"/>
      <c r="AE921" s="173">
        <f>AO921*(1-$D$17/100)</f>
        <v>11.971416</v>
      </c>
      <c r="AF921" s="174">
        <f>AP921</f>
        <v>36</v>
      </c>
      <c r="AG921" s="174">
        <f>IF($D$57&gt;100,100,$D$57)</f>
        <v>19.001300000000001</v>
      </c>
      <c r="AH921" s="174">
        <f>AQ921</f>
        <v>67</v>
      </c>
      <c r="AI921" s="174">
        <f>$D$58+$D$19</f>
        <v>268.61079999999998</v>
      </c>
      <c r="AJ921" s="174">
        <f>10/IF(AY921=1,5,4)</f>
        <v>2</v>
      </c>
      <c r="AK921" s="174">
        <f>SUM(AL921:AN921)</f>
        <v>1958.3644791195125</v>
      </c>
      <c r="AL921" s="174">
        <f>(VLOOKUP(C921,$B$36:$AG$39,4,FALSE)+VLOOKUP(C921,$B$40:$AG$43,4,FALSE)*$D$54)*$D$59/100</f>
        <v>391.42501371585371</v>
      </c>
      <c r="AM921" s="174">
        <f>(VLOOKUP(C921,$B$36:$AG$39,5,FALSE)+VLOOKUP(C921,$B$40:$AG$43,5,FALSE)*$D$54)*$D$59/100</f>
        <v>1566.9394654036587</v>
      </c>
      <c r="AN921" s="174"/>
      <c r="AO921" s="176">
        <v>12</v>
      </c>
      <c r="AP921" s="174">
        <v>36</v>
      </c>
      <c r="AQ921" s="175">
        <f>VLOOKUP(C921,$B$45:$AA$48,4,FALSE)</f>
        <v>67</v>
      </c>
      <c r="AR921" s="31">
        <f>IF(LEFT(E921,1)*1=1,$S$54,$R$54)</f>
        <v>0</v>
      </c>
      <c r="AS921" s="2">
        <f>IF(LEFT(E921,1)*1=2,$U$54,$T$54)</f>
        <v>0</v>
      </c>
      <c r="AT921" s="33">
        <f>IF(LEFT(E921,1)*1=3,$W$54,$V$54)</f>
        <v>1</v>
      </c>
      <c r="AU921" s="31">
        <f>IF(MID(E921,3,1)*1=1,$Y$54,$X$54)</f>
        <v>0</v>
      </c>
      <c r="AV921" s="2">
        <f>IF(MID(E921,3,1)*1=2,$AA$54,$Z$54)</f>
        <v>0</v>
      </c>
      <c r="AW921" s="33">
        <f>IF(MID(E921,3,1)*1=3,$AC$54,$AB$54)</f>
        <v>1</v>
      </c>
      <c r="AX921" s="31">
        <f>IF(MID(E921,5,1)*1=1,$AE$54,$AD$54)</f>
        <v>1</v>
      </c>
      <c r="AY921" s="33">
        <f>IF(MID(E921,5,1)*1=2,$AG$54,$AF$54)</f>
        <v>1</v>
      </c>
      <c r="AZ921" s="2"/>
      <c r="BA921" s="101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</row>
    <row r="922" spans="1:71" ht="12" customHeight="1">
      <c r="A922" s="2"/>
      <c r="B922" s="107">
        <v>459</v>
      </c>
      <c r="C922" s="31">
        <v>1</v>
      </c>
      <c r="D922" s="111" t="s">
        <v>8</v>
      </c>
      <c r="E922" s="2" t="s">
        <v>67</v>
      </c>
      <c r="F922" s="2" t="s">
        <v>149</v>
      </c>
      <c r="G922" s="2"/>
      <c r="H922" s="33" t="s">
        <v>80</v>
      </c>
      <c r="I922" s="173">
        <f>M922/AE922</f>
        <v>285.3563249532744</v>
      </c>
      <c r="J922" s="174">
        <f>AH922/AE922</f>
        <v>5.4639558131976278</v>
      </c>
      <c r="K922" s="207">
        <f>RANK(I922,$I$76:$I$977)</f>
        <v>847</v>
      </c>
      <c r="L922" s="208" t="e">
        <f>RANK(I922,$I$451:$I$866)</f>
        <v>#N/A</v>
      </c>
      <c r="M922" s="173">
        <f>SUM(N922:R922)</f>
        <v>5274.7477845019457</v>
      </c>
      <c r="N922" s="174">
        <f>T922*(1+((AG922+IF(F922="백어택",8,0))/100)*(IF(AY922=1,$D$58,$D$58+50)/100-1))</f>
        <v>2316.3137904211603</v>
      </c>
      <c r="O922" s="174">
        <f>U922*(1+((AG922+IF(F922="백어택",8,0))/100)*(AI922/100-1))</f>
        <v>2958.4339940807859</v>
      </c>
      <c r="P922" s="174">
        <f>V922*(1+((AG922+IF(F922="백어택",8,0))/100)*(AI922/100-1))</f>
        <v>0</v>
      </c>
      <c r="Q922" s="174"/>
      <c r="R922" s="175"/>
      <c r="S922" s="173">
        <f>SUM(T922:X922)</f>
        <v>4153.3021980892681</v>
      </c>
      <c r="T922" s="174">
        <f>AL922*IF(H922="근접",AR922,1)*AY922*IF(F922="백어택",1.2,1)</f>
        <v>1823.8504569804879</v>
      </c>
      <c r="U922" s="174">
        <f>AM922*IF(H922="근접",AR922,1)*AY922*IF(F922="백어택",1.2,1)</f>
        <v>2329.4517411087804</v>
      </c>
      <c r="V922" s="174">
        <f>IF(AX922=1,0,AM922*IF(H922="근접",AR922,1)*AY922)*IF(F922="백어택",1.2,1)</f>
        <v>0</v>
      </c>
      <c r="W922" s="174"/>
      <c r="X922" s="175"/>
      <c r="Y922" s="173">
        <f>SUM(Z922:AD922)</f>
        <v>8306.6043961785363</v>
      </c>
      <c r="Z922" s="174">
        <f>T922*IF(AY922=1,$D$58,$D$58+50)/100</f>
        <v>3647.7009139609754</v>
      </c>
      <c r="AA922" s="174">
        <f>U922*AI922/100</f>
        <v>4658.9034822175608</v>
      </c>
      <c r="AB922" s="174">
        <f>V922*AI922/100</f>
        <v>0</v>
      </c>
      <c r="AC922" s="174"/>
      <c r="AD922" s="175"/>
      <c r="AE922" s="173">
        <f>AO922*(1-$D$20/100)*(1-$D$17/100)</f>
        <v>18.484776131615998</v>
      </c>
      <c r="AF922" s="174">
        <f>AP922</f>
        <v>36</v>
      </c>
      <c r="AG922" s="174">
        <f>IF($D$57+AU922&gt;100,100,$D$57+AU922)</f>
        <v>19.001300000000001</v>
      </c>
      <c r="AH922" s="174">
        <f>IF(AX922=1,AQ922,AQ922*1.4)</f>
        <v>101</v>
      </c>
      <c r="AI922" s="174">
        <f>IF(AY922=1,$D$58,$D$58+50)*AW922</f>
        <v>200</v>
      </c>
      <c r="AJ922" s="174">
        <f>10/6/AX922</f>
        <v>1.6666666666666667</v>
      </c>
      <c r="AK922" s="174">
        <f>SUM(AL922:AN922)</f>
        <v>3461.0851650743907</v>
      </c>
      <c r="AL922" s="174">
        <f>(IF(H922="근접",$D$61*(VLOOKUP(C922,$B$36:$AG$39,9,FALSE)+VLOOKUP(C922,$B$40:$AG$43,9,FALSE)*$D$54),$D$60*(VLOOKUP(C922,$B$36:$AG$39,9,FALSE)+VLOOKUP(C922,$B$40:$AG$43,9,FALSE)*$D$54)))*$D$59/100</f>
        <v>1519.8753808170734</v>
      </c>
      <c r="AM922" s="174">
        <f>(IF(H922="근접",$D$61*(VLOOKUP(C922,$B$36:$AG$39,10,FALSE)+VLOOKUP(C922,$B$40:$AG$43,10,FALSE)*$D$54),$D$60*(VLOOKUP(C922,$B$36:$AG$39,10,FALSE)+VLOOKUP(C922,$B$40:$AG$43,10,FALSE)*$D$54)))*$D$59/100</f>
        <v>1941.2097842573171</v>
      </c>
      <c r="AN922" s="174"/>
      <c r="AO922" s="176">
        <v>24</v>
      </c>
      <c r="AP922" s="174">
        <v>36</v>
      </c>
      <c r="AQ922" s="175">
        <f>VLOOKUP(C922,$B$45:$AA$48,9,FALSE)</f>
        <v>101</v>
      </c>
      <c r="AR922" s="31">
        <f>IF(LEFT(E922,1)*1=1,$S$58,$R$58)</f>
        <v>1</v>
      </c>
      <c r="AS922" s="2">
        <f>IF(LEFT(E922,1)*1=2,$U$58,$T$58)</f>
        <v>0</v>
      </c>
      <c r="AT922" s="33">
        <f>IF(LEFT(E922,1)*1=3,$W$58,$V$58)</f>
        <v>0</v>
      </c>
      <c r="AU922" s="31">
        <f>IF(MID(E922,3,1)*1=1,$Y$58,$X$58)</f>
        <v>0</v>
      </c>
      <c r="AV922" s="2">
        <f>IF(MID(E922,3,1)*1=2,$AA$58,$Z$58)</f>
        <v>0</v>
      </c>
      <c r="AW922" s="33">
        <f>IF(MID(E922,3,1)*1=3,$AC$58,$AB$58)</f>
        <v>1</v>
      </c>
      <c r="AX922" s="31">
        <f>IF(MID(E922,5,1)*1=1,$AE$58,$AD$58)</f>
        <v>1</v>
      </c>
      <c r="AY922" s="33">
        <f>IF(MID(E922,5,1)*1=2,$AG$58,$AF$58)</f>
        <v>1</v>
      </c>
      <c r="AZ922" s="2"/>
      <c r="BA922" s="101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</row>
    <row r="923" spans="1:71" ht="12" customHeight="1">
      <c r="A923" s="2"/>
      <c r="B923" s="107">
        <v>251</v>
      </c>
      <c r="C923" s="31">
        <v>7</v>
      </c>
      <c r="D923" s="106" t="s">
        <v>16</v>
      </c>
      <c r="E923" s="2" t="s">
        <v>148</v>
      </c>
      <c r="F923" s="2" t="s">
        <v>149</v>
      </c>
      <c r="G923" s="2"/>
      <c r="H923" s="33">
        <f>AX923*2</f>
        <v>2</v>
      </c>
      <c r="I923" s="173">
        <f>M923/AE923</f>
        <v>283.51203539626255</v>
      </c>
      <c r="J923" s="174">
        <f>AH923/AE923</f>
        <v>13.61576608815532</v>
      </c>
      <c r="K923" s="207">
        <f>RANK(I923,$I$76:$I$977)</f>
        <v>848</v>
      </c>
      <c r="L923" s="208" t="e">
        <f>RANK(I923,$I$76:$I$450)</f>
        <v>#N/A</v>
      </c>
      <c r="M923" s="173">
        <f>SUM(N923:R923)</f>
        <v>1697.0202583676919</v>
      </c>
      <c r="N923" s="174">
        <f>T923*(1+((AG923+IF(F923="백어택",8,0))/100)*((AI923/100-1)))</f>
        <v>1697.0202583676919</v>
      </c>
      <c r="O923" s="174"/>
      <c r="P923" s="174"/>
      <c r="Q923" s="174"/>
      <c r="R923" s="175"/>
      <c r="S923" s="173">
        <f>SUM(T923:X923)*H923</f>
        <v>2332.239377783415</v>
      </c>
      <c r="T923" s="174">
        <f>AL923*AU923*AY923*IF(F923="백어택",1.2,1)</f>
        <v>1166.1196888917075</v>
      </c>
      <c r="U923" s="174"/>
      <c r="V923" s="174"/>
      <c r="W923" s="174"/>
      <c r="X923" s="175"/>
      <c r="Y923" s="173">
        <f>SUM(Z923:AD923)</f>
        <v>2332.239377783415</v>
      </c>
      <c r="Z923" s="174">
        <f>T923*$D$58/100</f>
        <v>2332.239377783415</v>
      </c>
      <c r="AA923" s="174"/>
      <c r="AB923" s="174"/>
      <c r="AC923" s="174"/>
      <c r="AD923" s="175"/>
      <c r="AE923" s="173">
        <f>AO923*(1-$D$17/100)</f>
        <v>5.9857079999999998</v>
      </c>
      <c r="AF923" s="174">
        <f>AP923</f>
        <v>36</v>
      </c>
      <c r="AG923" s="174">
        <f>IF($D$57+AT923&gt;100,100,$D$57+AT923)</f>
        <v>19.001300000000001</v>
      </c>
      <c r="AH923" s="174">
        <f>AQ923*AR923</f>
        <v>81.5</v>
      </c>
      <c r="AI923" s="174">
        <f>$D$58+$D$19</f>
        <v>268.61079999999998</v>
      </c>
      <c r="AJ923" s="174">
        <f>10*AS923/IF(AX923=1,5,3.5)</f>
        <v>2</v>
      </c>
      <c r="AK923" s="174">
        <f>SUM(AL923:AN923)</f>
        <v>971.7664074097562</v>
      </c>
      <c r="AL923" s="174">
        <f>((VLOOKUP(C923,$B$36:$AG$39,23,FALSE)+VLOOKUP(C923,$B$40:$AG$43,23,FALSE)*$D$54))*$D$59/100</f>
        <v>971.7664074097562</v>
      </c>
      <c r="AM923" s="174"/>
      <c r="AN923" s="174"/>
      <c r="AO923" s="176">
        <v>6</v>
      </c>
      <c r="AP923" s="174">
        <v>36</v>
      </c>
      <c r="AQ923" s="175">
        <f>VLOOKUP(C923,$B$45:$AA$48,23,FALSE)</f>
        <v>163</v>
      </c>
      <c r="AR923" s="31">
        <f>IF(LEFT(E923,1)*1=1,$S$66,$R$66)</f>
        <v>0.5</v>
      </c>
      <c r="AS923" s="2">
        <f>IF(LEFT(E923,1)*1=2,$U$66,$T$66)</f>
        <v>1</v>
      </c>
      <c r="AT923" s="33">
        <f>IF(LEFT(E923,1)*1=3,$W$66,$V$66)</f>
        <v>0</v>
      </c>
      <c r="AU923" s="31">
        <f>IF(MID(E923,3,1)*1=1,$Y$66,$X$66)</f>
        <v>1</v>
      </c>
      <c r="AV923" s="2">
        <f>IF(MID(E923,3,1)*1=2,$AA$66,$Z$66)</f>
        <v>0</v>
      </c>
      <c r="AW923" s="33">
        <f>IF(MID(E923,3,1)*1=3,$AC$66,$AB$66)</f>
        <v>0</v>
      </c>
      <c r="AX923" s="31">
        <f>IF(MID(E923,5,1)*1=1,$AE$66,$AD$66)</f>
        <v>1</v>
      </c>
      <c r="AY923" s="33">
        <f>IF(MID(E923,5,1)*1=2,$AG$66,$AF$66)</f>
        <v>1</v>
      </c>
      <c r="AZ923" s="2"/>
      <c r="BA923" s="101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</row>
    <row r="924" spans="1:71" ht="12" customHeight="1">
      <c r="A924" s="2"/>
      <c r="B924" s="107">
        <v>253</v>
      </c>
      <c r="C924" s="31">
        <v>7</v>
      </c>
      <c r="D924" s="106" t="s">
        <v>16</v>
      </c>
      <c r="E924" s="2" t="s">
        <v>79</v>
      </c>
      <c r="F924" s="2" t="s">
        <v>149</v>
      </c>
      <c r="G924" s="2"/>
      <c r="H924" s="33">
        <f>AX924*2</f>
        <v>2</v>
      </c>
      <c r="I924" s="173">
        <f>M924/AE924</f>
        <v>283.51203539626255</v>
      </c>
      <c r="J924" s="174">
        <f>AH924/AE924</f>
        <v>27.23153217631064</v>
      </c>
      <c r="K924" s="207">
        <f>RANK(I924,$I$76:$I$977)</f>
        <v>848</v>
      </c>
      <c r="L924" s="208" t="e">
        <f>RANK(I924,$I$76:$I$450)</f>
        <v>#N/A</v>
      </c>
      <c r="M924" s="173">
        <f>SUM(N924:R924)</f>
        <v>1697.0202583676919</v>
      </c>
      <c r="N924" s="174">
        <f>T924*(1+((AG924+IF(F924="백어택",8,0))/100)*((AI924/100-1)))</f>
        <v>1697.0202583676919</v>
      </c>
      <c r="O924" s="174"/>
      <c r="P924" s="174"/>
      <c r="Q924" s="174"/>
      <c r="R924" s="175"/>
      <c r="S924" s="173">
        <f>SUM(T924:X924)*H924</f>
        <v>2332.239377783415</v>
      </c>
      <c r="T924" s="174">
        <f>AL924*AU924*AY924*IF(F924="백어택",1.2,1)</f>
        <v>1166.1196888917075</v>
      </c>
      <c r="U924" s="174"/>
      <c r="V924" s="174"/>
      <c r="W924" s="174"/>
      <c r="X924" s="175"/>
      <c r="Y924" s="173">
        <f>SUM(Z924:AD924)</f>
        <v>2332.239377783415</v>
      </c>
      <c r="Z924" s="174">
        <f>T924*$D$58/100</f>
        <v>2332.239377783415</v>
      </c>
      <c r="AA924" s="174"/>
      <c r="AB924" s="174"/>
      <c r="AC924" s="174"/>
      <c r="AD924" s="175"/>
      <c r="AE924" s="173">
        <f>AO924*(1-$D$17/100)</f>
        <v>5.9857079999999998</v>
      </c>
      <c r="AF924" s="174">
        <f>AP924</f>
        <v>36</v>
      </c>
      <c r="AG924" s="174">
        <f>IF($D$57+AT924&gt;100,100,$D$57+AT924)</f>
        <v>19.001300000000001</v>
      </c>
      <c r="AH924" s="174">
        <f>AQ924*AR924</f>
        <v>163</v>
      </c>
      <c r="AI924" s="174">
        <f>$D$58+$D$19</f>
        <v>268.61079999999998</v>
      </c>
      <c r="AJ924" s="174">
        <f>10*AS924/IF(AX924=1,5,3.5)</f>
        <v>1.8</v>
      </c>
      <c r="AK924" s="174">
        <f>SUM(AL924:AN924)</f>
        <v>971.7664074097562</v>
      </c>
      <c r="AL924" s="174">
        <f>((VLOOKUP(C924,$B$36:$AG$39,23,FALSE)+VLOOKUP(C924,$B$40:$AG$43,23,FALSE)*$D$54))*$D$59/100</f>
        <v>971.7664074097562</v>
      </c>
      <c r="AM924" s="174"/>
      <c r="AN924" s="174"/>
      <c r="AO924" s="176">
        <v>6</v>
      </c>
      <c r="AP924" s="174">
        <v>36</v>
      </c>
      <c r="AQ924" s="175">
        <f>VLOOKUP(C924,$B$45:$AA$48,23,FALSE)</f>
        <v>163</v>
      </c>
      <c r="AR924" s="31">
        <f>IF(LEFT(E924,1)*1=1,$S$66,$R$66)</f>
        <v>1</v>
      </c>
      <c r="AS924" s="2">
        <f>IF(LEFT(E924,1)*1=2,$U$66,$T$66)</f>
        <v>0.9</v>
      </c>
      <c r="AT924" s="33">
        <f>IF(LEFT(E924,1)*1=3,$W$66,$V$66)</f>
        <v>0</v>
      </c>
      <c r="AU924" s="31">
        <f>IF(MID(E924,3,1)*1=1,$Y$66,$X$66)</f>
        <v>1</v>
      </c>
      <c r="AV924" s="2">
        <f>IF(MID(E924,3,1)*1=2,$AA$66,$Z$66)</f>
        <v>0</v>
      </c>
      <c r="AW924" s="33">
        <f>IF(MID(E924,3,1)*1=3,$AC$66,$AB$66)</f>
        <v>0</v>
      </c>
      <c r="AX924" s="31">
        <f>IF(MID(E924,5,1)*1=1,$AE$66,$AD$66)</f>
        <v>1</v>
      </c>
      <c r="AY924" s="33">
        <f>IF(MID(E924,5,1)*1=2,$AG$66,$AF$66)</f>
        <v>1</v>
      </c>
      <c r="AZ924" s="2"/>
      <c r="BA924" s="101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</row>
    <row r="925" spans="1:71" ht="12" customHeight="1">
      <c r="A925" s="2"/>
      <c r="B925" s="107">
        <v>819</v>
      </c>
      <c r="C925" s="31">
        <v>4</v>
      </c>
      <c r="D925" s="113" t="s">
        <v>9</v>
      </c>
      <c r="E925" s="2" t="s">
        <v>67</v>
      </c>
      <c r="F925" s="2"/>
      <c r="G925" s="2"/>
      <c r="H925" s="33"/>
      <c r="I925" s="173">
        <f>M925/AE925</f>
        <v>280.65254109589603</v>
      </c>
      <c r="J925" s="174">
        <f>AH925/AE925</f>
        <v>7.0167138123009005</v>
      </c>
      <c r="K925" s="207">
        <f>RANK(I925,$I$76:$I$977)</f>
        <v>850</v>
      </c>
      <c r="L925" s="208">
        <f>RANK(I925,$I$867:$I$977)</f>
        <v>59</v>
      </c>
      <c r="M925" s="173">
        <f>SUM(N925:R925)*(1+$D$22/100)</f>
        <v>10079.424962748202</v>
      </c>
      <c r="N925" s="174">
        <f>T925*(1+((AG925+IF(F925="백어택",8,0))/100)*(AI925/100-1))</f>
        <v>7266.5896162145273</v>
      </c>
      <c r="O925" s="174">
        <f>U925*(1+($D$57/100)*(AI925/100-1))</f>
        <v>1814.9813858536318</v>
      </c>
      <c r="P925" s="174"/>
      <c r="Q925" s="174"/>
      <c r="R925" s="175">
        <f>X925*(1+($D$57/100)*(AI925/100-1))</f>
        <v>0</v>
      </c>
      <c r="S925" s="173">
        <f>SUM(T925:X925)</f>
        <v>7631.4889014390255</v>
      </c>
      <c r="T925" s="174">
        <f>AL925*AU925*AY925</f>
        <v>6106.3111211512205</v>
      </c>
      <c r="U925" s="174">
        <f>AM925*AX925</f>
        <v>1525.177780287805</v>
      </c>
      <c r="V925" s="174"/>
      <c r="W925" s="174"/>
      <c r="X925" s="175">
        <f>AM925*AS925</f>
        <v>0</v>
      </c>
      <c r="Y925" s="173">
        <f>SUM(Z925:AD925)</f>
        <v>15262.977802878051</v>
      </c>
      <c r="Z925" s="174">
        <f>T925*$D$58/100</f>
        <v>12212.622242302441</v>
      </c>
      <c r="AA925" s="174">
        <f>U925*$D$58/100</f>
        <v>3050.3555605756101</v>
      </c>
      <c r="AB925" s="174"/>
      <c r="AC925" s="174"/>
      <c r="AD925" s="175">
        <f>X925*$D$58/100</f>
        <v>0</v>
      </c>
      <c r="AE925" s="173">
        <f>AO925*(1-$D$17/100)</f>
        <v>35.914248000000001</v>
      </c>
      <c r="AF925" s="174">
        <f>AP925</f>
        <v>36</v>
      </c>
      <c r="AG925" s="174">
        <f>IF($D$57+AW925&gt;100,100,$D$57+AW925)</f>
        <v>19.001300000000001</v>
      </c>
      <c r="AH925" s="174">
        <f>AQ925</f>
        <v>252</v>
      </c>
      <c r="AI925" s="174">
        <f>$D$58</f>
        <v>200</v>
      </c>
      <c r="AJ925" s="174">
        <f>10/(6+AT925)</f>
        <v>1.6666666666666667</v>
      </c>
      <c r="AK925" s="174">
        <f>SUM(AL925:AN925)</f>
        <v>7631.4889014390255</v>
      </c>
      <c r="AL925" s="174">
        <f>(VLOOKUP(C925,$B$36:$AG$39,11,FALSE)+VLOOKUP(C925,$B$40:$AG$43,11,FALSE)*$D$54)*$D$59/100</f>
        <v>6106.3111211512205</v>
      </c>
      <c r="AM925" s="174">
        <f>(3*(VLOOKUP(C925,$B$36:$AG$39,12,FALSE)+VLOOKUP(C925,$B$40:$AG$43,12,FALSE)*$D$54))*$D$59/100</f>
        <v>1525.177780287805</v>
      </c>
      <c r="AN925" s="174"/>
      <c r="AO925" s="176">
        <v>36</v>
      </c>
      <c r="AP925" s="174">
        <v>36</v>
      </c>
      <c r="AQ925" s="175">
        <f>VLOOKUP(C925,$B$45:$AA$48,11,FALSE)</f>
        <v>252</v>
      </c>
      <c r="AR925" s="31">
        <f>IF(LEFT(E925,1)*1=1,$S$59,$R$59)</f>
        <v>0</v>
      </c>
      <c r="AS925" s="2">
        <f>IF(LEFT(E925,1)*1=2,$U$59,$T$59)</f>
        <v>0</v>
      </c>
      <c r="AT925" s="33">
        <f>IF(LEFT(E925,1)*1=3,$W$59,$V$59)</f>
        <v>0</v>
      </c>
      <c r="AU925" s="31">
        <f>IF(MID(E925,3,1)*1=1,$Y$59,$X$59)</f>
        <v>1</v>
      </c>
      <c r="AV925" s="2">
        <f>IF(MID(E925,3,1)*1=2,$AA$59,$Z$59)</f>
        <v>0</v>
      </c>
      <c r="AW925" s="33">
        <f>IF(MID(E925,3,1)*1=3,$AC$59,$AB$59)</f>
        <v>0</v>
      </c>
      <c r="AX925" s="31">
        <f>IF(MID(E925,5,1)*1=1,$AE$59,$AD$59)</f>
        <v>1</v>
      </c>
      <c r="AY925" s="33">
        <f>IF(MID(E925,5,1)*1=2,$AG$59,$AF$59)</f>
        <v>1</v>
      </c>
      <c r="AZ925" s="2"/>
      <c r="BA925" s="101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</row>
    <row r="926" spans="1:71" ht="12" customHeight="1">
      <c r="A926" s="2"/>
      <c r="B926" s="107">
        <v>821</v>
      </c>
      <c r="C926" s="31">
        <v>4</v>
      </c>
      <c r="D926" s="113" t="s">
        <v>9</v>
      </c>
      <c r="E926" s="2" t="s">
        <v>87</v>
      </c>
      <c r="F926" s="2"/>
      <c r="G926" s="2"/>
      <c r="H926" s="33"/>
      <c r="I926" s="173">
        <f>M926/AE926</f>
        <v>280.65254109589603</v>
      </c>
      <c r="J926" s="174">
        <f>AH926/AE926</f>
        <v>7.0167138123009005</v>
      </c>
      <c r="K926" s="207">
        <f>RANK(I926,$I$76:$I$977)</f>
        <v>850</v>
      </c>
      <c r="L926" s="208">
        <f>RANK(I926,$I$867:$I$977)</f>
        <v>59</v>
      </c>
      <c r="M926" s="173">
        <f>SUM(N926:R926)*(1+$D$22/100)</f>
        <v>10079.424962748202</v>
      </c>
      <c r="N926" s="174">
        <f>T926*(1+((AG926+IF(F926="백어택",8,0))/100)*(AI926/100-1))</f>
        <v>7266.5896162145273</v>
      </c>
      <c r="O926" s="174">
        <f>U926*(1+($D$57/100)*(AI926/100-1))</f>
        <v>1814.9813858536318</v>
      </c>
      <c r="P926" s="174"/>
      <c r="Q926" s="174"/>
      <c r="R926" s="175">
        <f>X926*(1+($D$57/100)*(AI926/100-1))</f>
        <v>0</v>
      </c>
      <c r="S926" s="173">
        <f>SUM(T926:X926)</f>
        <v>7631.4889014390255</v>
      </c>
      <c r="T926" s="174">
        <f>AL926*AU926*AY926</f>
        <v>6106.3111211512205</v>
      </c>
      <c r="U926" s="174">
        <f>AM926*AX926</f>
        <v>1525.177780287805</v>
      </c>
      <c r="V926" s="174"/>
      <c r="W926" s="174"/>
      <c r="X926" s="175">
        <f>AM926*AS926</f>
        <v>0</v>
      </c>
      <c r="Y926" s="173">
        <f>SUM(Z926:AD926)</f>
        <v>15262.977802878051</v>
      </c>
      <c r="Z926" s="174">
        <f>T926*$D$58/100</f>
        <v>12212.622242302441</v>
      </c>
      <c r="AA926" s="174">
        <f>U926*$D$58/100</f>
        <v>3050.3555605756101</v>
      </c>
      <c r="AB926" s="174"/>
      <c r="AC926" s="174"/>
      <c r="AD926" s="175">
        <f>X926*$D$58/100</f>
        <v>0</v>
      </c>
      <c r="AE926" s="173">
        <f>AO926*(1-$D$17/100)</f>
        <v>35.914248000000001</v>
      </c>
      <c r="AF926" s="174">
        <f>AP926</f>
        <v>36</v>
      </c>
      <c r="AG926" s="174">
        <f>IF($D$57+AW926&gt;100,100,$D$57+AW926)</f>
        <v>19.001300000000001</v>
      </c>
      <c r="AH926" s="174">
        <f>AQ926</f>
        <v>252</v>
      </c>
      <c r="AI926" s="174">
        <f>$D$58</f>
        <v>200</v>
      </c>
      <c r="AJ926" s="174">
        <f>10/(6+AT926)</f>
        <v>1.4285714285714286</v>
      </c>
      <c r="AK926" s="174">
        <f>SUM(AL926:AN926)</f>
        <v>7631.4889014390255</v>
      </c>
      <c r="AL926" s="174">
        <f>(VLOOKUP(C926,$B$36:$AG$39,11,FALSE)+VLOOKUP(C926,$B$40:$AG$43,11,FALSE)*$D$54)*$D$59/100</f>
        <v>6106.3111211512205</v>
      </c>
      <c r="AM926" s="174">
        <f>(3*(VLOOKUP(C926,$B$36:$AG$39,12,FALSE)+VLOOKUP(C926,$B$40:$AG$43,12,FALSE)*$D$54))*$D$59/100</f>
        <v>1525.177780287805</v>
      </c>
      <c r="AN926" s="174"/>
      <c r="AO926" s="176">
        <v>36</v>
      </c>
      <c r="AP926" s="174">
        <v>36</v>
      </c>
      <c r="AQ926" s="175">
        <f>VLOOKUP(C926,$B$45:$AA$48,11,FALSE)</f>
        <v>252</v>
      </c>
      <c r="AR926" s="31">
        <f>IF(LEFT(E926,1)*1=1,$S$59,$R$59)</f>
        <v>0</v>
      </c>
      <c r="AS926" s="2">
        <f>IF(LEFT(E926,1)*1=2,$U$59,$T$59)</f>
        <v>0</v>
      </c>
      <c r="AT926" s="33">
        <f>IF(LEFT(E926,1)*1=3,$W$59,$V$59)</f>
        <v>1</v>
      </c>
      <c r="AU926" s="31">
        <f>IF(MID(E926,3,1)*1=1,$Y$59,$X$59)</f>
        <v>1</v>
      </c>
      <c r="AV926" s="2">
        <f>IF(MID(E926,3,1)*1=2,$AA$59,$Z$59)</f>
        <v>0</v>
      </c>
      <c r="AW926" s="33">
        <f>IF(MID(E926,3,1)*1=3,$AC$59,$AB$59)</f>
        <v>0</v>
      </c>
      <c r="AX926" s="31">
        <f>IF(MID(E926,5,1)*1=1,$AE$59,$AD$59)</f>
        <v>1</v>
      </c>
      <c r="AY926" s="33">
        <f>IF(MID(E926,5,1)*1=2,$AG$59,$AF$59)</f>
        <v>1</v>
      </c>
      <c r="AZ926" s="2"/>
      <c r="BA926" s="101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</row>
    <row r="927" spans="1:71" ht="12" hidden="1" customHeight="1">
      <c r="A927" s="2"/>
      <c r="B927" s="107">
        <v>151</v>
      </c>
      <c r="C927" s="31">
        <v>7</v>
      </c>
      <c r="D927" s="106" t="s">
        <v>7</v>
      </c>
      <c r="E927" s="2" t="s">
        <v>101</v>
      </c>
      <c r="F927" s="2"/>
      <c r="G927" s="2" t="s">
        <v>184</v>
      </c>
      <c r="H927" s="33"/>
      <c r="I927" s="173">
        <f>M927/AE927</f>
        <v>279.72887462325923</v>
      </c>
      <c r="J927" s="174">
        <f>AH927/AE927</f>
        <v>22.943540402126754</v>
      </c>
      <c r="K927" s="207">
        <f>RANK(I927,$I$76:$I$977)</f>
        <v>852</v>
      </c>
      <c r="L927" s="208" t="e">
        <f>RANK(I927,$I$76:$I$450)</f>
        <v>#N/A</v>
      </c>
      <c r="M927" s="173">
        <f>N927+R927/2</f>
        <v>2511.5630439951597</v>
      </c>
      <c r="N927" s="174">
        <f>T927*(1+((AG927+IF(F927="백어택",8,0))/100)*((AI927/100-1)))</f>
        <v>2078.5349329615115</v>
      </c>
      <c r="O927" s="174"/>
      <c r="P927" s="174"/>
      <c r="Q927" s="174"/>
      <c r="R927" s="175">
        <f>X927*(1+(AG927/100)*(AI927/100-1))</f>
        <v>866.05622206729652</v>
      </c>
      <c r="S927" s="173">
        <f>SUM(T927:X927)</f>
        <v>2230.104753860518</v>
      </c>
      <c r="T927" s="174">
        <f>AL927*AV927*AX927</f>
        <v>1574.1915909603658</v>
      </c>
      <c r="U927" s="174"/>
      <c r="V927" s="174"/>
      <c r="W927" s="174"/>
      <c r="X927" s="175">
        <f>AS927*AL927</f>
        <v>655.91316290015243</v>
      </c>
      <c r="Y927" s="173">
        <f>SUM(Z927:AD927)</f>
        <v>4460.2095077210361</v>
      </c>
      <c r="Z927" s="174">
        <f>T927*$D$58/100</f>
        <v>3148.3831819207317</v>
      </c>
      <c r="AA927" s="174"/>
      <c r="AB927" s="174"/>
      <c r="AC927" s="174"/>
      <c r="AD927" s="175">
        <f>X927*$D$58/100</f>
        <v>1311.8263258003049</v>
      </c>
      <c r="AE927" s="173">
        <f>AO927*(1-$D$17/100)-AY927</f>
        <v>8.9785620000000002</v>
      </c>
      <c r="AF927" s="174">
        <f>AP927</f>
        <v>36</v>
      </c>
      <c r="AG927" s="174">
        <f>IF($D$57&gt;100,100,$D$57)</f>
        <v>19.001300000000001</v>
      </c>
      <c r="AH927" s="174">
        <f>AQ927*AR927</f>
        <v>206</v>
      </c>
      <c r="AI927" s="174">
        <f>$D$58+$D$19</f>
        <v>268.61079999999998</v>
      </c>
      <c r="AJ927" s="174">
        <f>10*AX927*AU927/9</f>
        <v>1.1111111111111112</v>
      </c>
      <c r="AK927" s="174">
        <f>SUM(AL927:AN927)</f>
        <v>1049.4610606402439</v>
      </c>
      <c r="AL927" s="174">
        <f>(VLOOKUP(C927,$B$36:$AG$39,8,FALSE)+VLOOKUP(C927,$B$40:$AG$43,8,FALSE)*$D$54)*$D$59/100</f>
        <v>1049.4610606402439</v>
      </c>
      <c r="AM927" s="174"/>
      <c r="AN927" s="174"/>
      <c r="AO927" s="176">
        <v>9</v>
      </c>
      <c r="AP927" s="174">
        <v>36</v>
      </c>
      <c r="AQ927" s="175">
        <f>VLOOKUP(C927,$B$45:$AA$48,8,FALSE)</f>
        <v>206</v>
      </c>
      <c r="AR927" s="31">
        <f>IF(LEFT(E927,1)*1=1,$S$57,$R$57)</f>
        <v>1</v>
      </c>
      <c r="AS927" s="2">
        <f>IF(LEFT(E927,1)*1=2,$U$57,$T$57)</f>
        <v>0.625</v>
      </c>
      <c r="AT927" s="33">
        <f>IF(LEFT(E927,1)*1=3,$W$57,$V$57)</f>
        <v>0</v>
      </c>
      <c r="AU927" s="31">
        <f>IF(MID(E927,3,1)*1=1,$Y$57,$X$57)</f>
        <v>1</v>
      </c>
      <c r="AV927" s="2">
        <f>IF(MID(E927,3,1)*1=2,$AA$57,$Z$57)</f>
        <v>1.5</v>
      </c>
      <c r="AW927" s="33">
        <f>IF(MID(E927,3,1)*1=3,$AC$57,$AB$57)</f>
        <v>0</v>
      </c>
      <c r="AX927" s="31">
        <f>IF(MID(E927,5,1)*1=1,$AE$57,$AD$57)</f>
        <v>1</v>
      </c>
      <c r="AY927" s="33">
        <f>IF(MID(E927,5,1)*1=2,$AG$57,$AF$57)</f>
        <v>0</v>
      </c>
      <c r="AZ927" s="2"/>
      <c r="BA927" s="101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</row>
    <row r="928" spans="1:71" ht="12" customHeight="1">
      <c r="A928" s="2"/>
      <c r="B928" s="107">
        <v>415</v>
      </c>
      <c r="C928" s="31">
        <v>4</v>
      </c>
      <c r="D928" s="111" t="s">
        <v>8</v>
      </c>
      <c r="E928" s="2" t="s">
        <v>67</v>
      </c>
      <c r="F928" s="2"/>
      <c r="G928" s="2"/>
      <c r="H928" s="33" t="s">
        <v>80</v>
      </c>
      <c r="I928" s="173">
        <f>M928/AE928</f>
        <v>277.65339560449115</v>
      </c>
      <c r="J928" s="174">
        <f>AH928/AE928</f>
        <v>10.765615909171565</v>
      </c>
      <c r="K928" s="207">
        <f>RANK(I928,$I$76:$I$977)</f>
        <v>853</v>
      </c>
      <c r="L928" s="208" t="e">
        <f>RANK(I928,$I$451:$I$866)</f>
        <v>#N/A</v>
      </c>
      <c r="M928" s="173">
        <f>SUM(N928:R928)</f>
        <v>5132.3608599320323</v>
      </c>
      <c r="N928" s="174">
        <f>T928*(1+((AG928+IF(F928="백어택",8,0))/100)*(IF(AY928=1,$D$58,$D$58+50)/100-1))</f>
        <v>2255.9033024304485</v>
      </c>
      <c r="O928" s="174">
        <f>U928*(1+((AG928+IF(F928="백어택",8,0))/100)*(AI928/100-1))</f>
        <v>2876.4575575015833</v>
      </c>
      <c r="P928" s="174">
        <f>V928*(1+((AG928+IF(F928="백어택",8,0))/100)*(AI928/100-1))</f>
        <v>0</v>
      </c>
      <c r="Q928" s="174"/>
      <c r="R928" s="175"/>
      <c r="S928" s="173">
        <f>SUM(T928:X928)</f>
        <v>4312.8611703670731</v>
      </c>
      <c r="T928" s="174">
        <f>AL928*IF(H928="근접",AR928,1)*AY928*IF(F928="백어택",1.2,1)</f>
        <v>1895.6963515780487</v>
      </c>
      <c r="U928" s="174">
        <f>AM928*IF(H928="근접",AR928,1)*AY928*IF(F928="백어택",1.2,1)</f>
        <v>2417.1648187890246</v>
      </c>
      <c r="V928" s="174">
        <f>IF(AX928=1,0,AM928*IF(H928="근접",AR928,1)*AY928)*IF(F928="백어택",1.2,1)</f>
        <v>0</v>
      </c>
      <c r="W928" s="174"/>
      <c r="X928" s="175"/>
      <c r="Y928" s="173">
        <f>SUM(Z928:AD928)</f>
        <v>8625.7223407341462</v>
      </c>
      <c r="Z928" s="174">
        <f>T928*IF(AY928=1,$D$58,$D$58+50)/100</f>
        <v>3791.3927031560975</v>
      </c>
      <c r="AA928" s="174">
        <f>U928*AI928/100</f>
        <v>4834.3296375780492</v>
      </c>
      <c r="AB928" s="174">
        <f>V928*AI928/100</f>
        <v>0</v>
      </c>
      <c r="AC928" s="174"/>
      <c r="AD928" s="175"/>
      <c r="AE928" s="173">
        <f>AO928*(1-$D$20/100)*(1-$D$17/100)</f>
        <v>18.484776131615998</v>
      </c>
      <c r="AF928" s="174">
        <f>AP928</f>
        <v>36</v>
      </c>
      <c r="AG928" s="174">
        <f>IF($D$57+AU928&gt;100,100,$D$57+AU928)</f>
        <v>19.001300000000001</v>
      </c>
      <c r="AH928" s="174">
        <f>IF(AX928=1,AQ928,AQ928*1.4)</f>
        <v>199</v>
      </c>
      <c r="AI928" s="174">
        <f>IF(AY928=1,$D$58,$D$58+50)*AW928</f>
        <v>200</v>
      </c>
      <c r="AJ928" s="174">
        <f>10/6/AX928</f>
        <v>1.6666666666666667</v>
      </c>
      <c r="AK928" s="174">
        <f>SUM(AL928:AN928)</f>
        <v>4312.8611703670731</v>
      </c>
      <c r="AL928" s="174">
        <f>(IF(H928="근접",$D$61*(VLOOKUP(C928,$B$36:$AG$39,9,FALSE)+VLOOKUP(C928,$B$40:$AG$43,9,FALSE)*$D$54),$D$60*(VLOOKUP(C928,$B$36:$AG$39,9,FALSE)+VLOOKUP(C928,$B$40:$AG$43,9,FALSE)*$D$54)))*$D$59/100</f>
        <v>1895.6963515780487</v>
      </c>
      <c r="AM928" s="174">
        <f>(IF(H928="근접",$D$61*(VLOOKUP(C928,$B$36:$AG$39,10,FALSE)+VLOOKUP(C928,$B$40:$AG$43,10,FALSE)*$D$54),$D$60*(VLOOKUP(C928,$B$36:$AG$39,10,FALSE)+VLOOKUP(C928,$B$40:$AG$43,10,FALSE)*$D$54)))*$D$59/100</f>
        <v>2417.1648187890246</v>
      </c>
      <c r="AN928" s="174"/>
      <c r="AO928" s="176">
        <v>24</v>
      </c>
      <c r="AP928" s="174">
        <v>36</v>
      </c>
      <c r="AQ928" s="175">
        <f>VLOOKUP(C928,$B$45:$AA$48,9,FALSE)</f>
        <v>199</v>
      </c>
      <c r="AR928" s="31">
        <f>IF(LEFT(E928,1)*1=1,$S$58,$R$58)</f>
        <v>1</v>
      </c>
      <c r="AS928" s="2">
        <f>IF(LEFT(E928,1)*1=2,$U$58,$T$58)</f>
        <v>0</v>
      </c>
      <c r="AT928" s="33">
        <f>IF(LEFT(E928,1)*1=3,$W$58,$V$58)</f>
        <v>0</v>
      </c>
      <c r="AU928" s="31">
        <f>IF(MID(E928,3,1)*1=1,$Y$58,$X$58)</f>
        <v>0</v>
      </c>
      <c r="AV928" s="2">
        <f>IF(MID(E928,3,1)*1=2,$AA$58,$Z$58)</f>
        <v>0</v>
      </c>
      <c r="AW928" s="33">
        <f>IF(MID(E928,3,1)*1=3,$AC$58,$AB$58)</f>
        <v>1</v>
      </c>
      <c r="AX928" s="31">
        <f>IF(MID(E928,5,1)*1=1,$AE$58,$AD$58)</f>
        <v>1</v>
      </c>
      <c r="AY928" s="33">
        <f>IF(MID(E928,5,1)*1=2,$AG$58,$AF$58)</f>
        <v>1</v>
      </c>
      <c r="AZ928" s="2"/>
      <c r="BA928" s="101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</row>
    <row r="929" spans="1:71" ht="12" customHeight="1">
      <c r="A929" s="2"/>
      <c r="B929" s="107">
        <v>416</v>
      </c>
      <c r="C929" s="31">
        <v>4</v>
      </c>
      <c r="D929" s="111" t="s">
        <v>8</v>
      </c>
      <c r="E929" s="2" t="s">
        <v>148</v>
      </c>
      <c r="F929" s="2"/>
      <c r="G929" s="2"/>
      <c r="H929" s="33" t="s">
        <v>80</v>
      </c>
      <c r="I929" s="173">
        <f>M929/AE929</f>
        <v>277.65339560449115</v>
      </c>
      <c r="J929" s="174">
        <f>AH929/AE929</f>
        <v>10.765615909171565</v>
      </c>
      <c r="K929" s="207">
        <f>RANK(I929,$I$76:$I$977)</f>
        <v>853</v>
      </c>
      <c r="L929" s="208" t="e">
        <f>RANK(I929,$I$451:$I$866)</f>
        <v>#N/A</v>
      </c>
      <c r="M929" s="173">
        <f>SUM(N929:R929)</f>
        <v>5132.3608599320323</v>
      </c>
      <c r="N929" s="174">
        <f>T929*(1+((AG929+IF(F929="백어택",8,0))/100)*(IF(AY929=1,$D$58,$D$58+50)/100-1))</f>
        <v>2255.9033024304485</v>
      </c>
      <c r="O929" s="174">
        <f>U929*(1+((AG929+IF(F929="백어택",8,0))/100)*(AI929/100-1))</f>
        <v>2876.4575575015833</v>
      </c>
      <c r="P929" s="174">
        <f>V929*(1+((AG929+IF(F929="백어택",8,0))/100)*(AI929/100-1))</f>
        <v>0</v>
      </c>
      <c r="Q929" s="174"/>
      <c r="R929" s="175"/>
      <c r="S929" s="173">
        <f>SUM(T929:X929)</f>
        <v>4312.8611703670731</v>
      </c>
      <c r="T929" s="174">
        <f>AL929*IF(H929="근접",AR929,1)*AY929*IF(F929="백어택",1.2,1)</f>
        <v>1895.6963515780487</v>
      </c>
      <c r="U929" s="174">
        <f>AM929*IF(H929="근접",AR929,1)*AY929*IF(F929="백어택",1.2,1)</f>
        <v>2417.1648187890246</v>
      </c>
      <c r="V929" s="174">
        <f>IF(AX929=1,0,AM929*IF(H929="근접",AR929,1)*AY929)*IF(F929="백어택",1.2,1)</f>
        <v>0</v>
      </c>
      <c r="W929" s="174"/>
      <c r="X929" s="175"/>
      <c r="Y929" s="173">
        <f>SUM(Z929:AD929)</f>
        <v>8625.7223407341462</v>
      </c>
      <c r="Z929" s="174">
        <f>T929*IF(AY929=1,$D$58,$D$58+50)/100</f>
        <v>3791.3927031560975</v>
      </c>
      <c r="AA929" s="174">
        <f>U929*AI929/100</f>
        <v>4834.3296375780492</v>
      </c>
      <c r="AB929" s="174">
        <f>V929*AI929/100</f>
        <v>0</v>
      </c>
      <c r="AC929" s="174"/>
      <c r="AD929" s="175"/>
      <c r="AE929" s="173">
        <f>AO929*(1-$D$20/100)*(1-$D$17/100)</f>
        <v>18.484776131615998</v>
      </c>
      <c r="AF929" s="174">
        <f>AP929</f>
        <v>36</v>
      </c>
      <c r="AG929" s="174">
        <f>IF($D$57+AU929&gt;100,100,$D$57+AU929)</f>
        <v>19.001300000000001</v>
      </c>
      <c r="AH929" s="174">
        <f>IF(AX929=1,AQ929,AQ929*1.4)</f>
        <v>199</v>
      </c>
      <c r="AI929" s="174">
        <f>IF(AY929=1,$D$58,$D$58+50)*AW929</f>
        <v>200</v>
      </c>
      <c r="AJ929" s="174">
        <f>10/6/AX929</f>
        <v>1.6666666666666667</v>
      </c>
      <c r="AK929" s="174">
        <f>SUM(AL929:AN929)</f>
        <v>4312.8611703670731</v>
      </c>
      <c r="AL929" s="174">
        <f>(IF(H929="근접",$D$61*(VLOOKUP(C929,$B$36:$AG$39,9,FALSE)+VLOOKUP(C929,$B$40:$AG$43,9,FALSE)*$D$54),$D$60*(VLOOKUP(C929,$B$36:$AG$39,9,FALSE)+VLOOKUP(C929,$B$40:$AG$43,9,FALSE)*$D$54)))*$D$59/100</f>
        <v>1895.6963515780487</v>
      </c>
      <c r="AM929" s="174">
        <f>(IF(H929="근접",$D$61*(VLOOKUP(C929,$B$36:$AG$39,10,FALSE)+VLOOKUP(C929,$B$40:$AG$43,10,FALSE)*$D$54),$D$60*(VLOOKUP(C929,$B$36:$AG$39,10,FALSE)+VLOOKUP(C929,$B$40:$AG$43,10,FALSE)*$D$54)))*$D$59/100</f>
        <v>2417.1648187890246</v>
      </c>
      <c r="AN929" s="174"/>
      <c r="AO929" s="176">
        <v>24</v>
      </c>
      <c r="AP929" s="174">
        <v>36</v>
      </c>
      <c r="AQ929" s="175">
        <f>VLOOKUP(C929,$B$45:$AA$48,9,FALSE)</f>
        <v>199</v>
      </c>
      <c r="AR929" s="31">
        <f>IF(LEFT(E929,1)*1=1,$S$58,$R$58)</f>
        <v>1.2</v>
      </c>
      <c r="AS929" s="2">
        <f>IF(LEFT(E929,1)*1=2,$U$58,$T$58)</f>
        <v>0</v>
      </c>
      <c r="AT929" s="33">
        <f>IF(LEFT(E929,1)*1=3,$W$58,$V$58)</f>
        <v>0</v>
      </c>
      <c r="AU929" s="31">
        <f>IF(MID(E929,3,1)*1=1,$Y$58,$X$58)</f>
        <v>0</v>
      </c>
      <c r="AV929" s="2">
        <f>IF(MID(E929,3,1)*1=2,$AA$58,$Z$58)</f>
        <v>0</v>
      </c>
      <c r="AW929" s="33">
        <f>IF(MID(E929,3,1)*1=3,$AC$58,$AB$58)</f>
        <v>1</v>
      </c>
      <c r="AX929" s="31">
        <f>IF(MID(E929,5,1)*1=1,$AE$58,$AD$58)</f>
        <v>1</v>
      </c>
      <c r="AY929" s="33">
        <f>IF(MID(E929,5,1)*1=2,$AG$58,$AF$58)</f>
        <v>1</v>
      </c>
      <c r="AZ929" s="2"/>
      <c r="BA929" s="101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</row>
    <row r="930" spans="1:71" ht="12" customHeight="1">
      <c r="A930" s="2"/>
      <c r="B930" s="107">
        <v>310</v>
      </c>
      <c r="C930" s="31">
        <v>4</v>
      </c>
      <c r="D930" s="106" t="s">
        <v>17</v>
      </c>
      <c r="E930" s="2" t="s">
        <v>67</v>
      </c>
      <c r="F930" s="2"/>
      <c r="G930" s="2"/>
      <c r="H930" s="33">
        <f>IF(AT930=1,3,IF(AY930=1,3,2))</f>
        <v>2</v>
      </c>
      <c r="I930" s="173">
        <f>M930/AE930</f>
        <v>274.45058103964618</v>
      </c>
      <c r="J930" s="174">
        <f>AH930/AE930</f>
        <v>13.281636858998134</v>
      </c>
      <c r="K930" s="207">
        <f>RANK(I930,$I$76:$I$977)</f>
        <v>855</v>
      </c>
      <c r="L930" s="208" t="e">
        <f>RANK(I930,$I$76:$I$450)</f>
        <v>#N/A</v>
      </c>
      <c r="M930" s="173">
        <f>SUM(N930:R930)</f>
        <v>2190.3747180448781</v>
      </c>
      <c r="N930" s="174">
        <f>T930*(1+((AG930+IF(F930="백어택",8,0))/100)*((AI930/100-1)))</f>
        <v>1095.1873590224391</v>
      </c>
      <c r="O930" s="174">
        <f>U930*(1+(AG930/100)*(AI930/100-1))</f>
        <v>1095.1873590224391</v>
      </c>
      <c r="P930" s="174">
        <f>V930*(1+(AG930/100)*(AI930/100-1))</f>
        <v>0</v>
      </c>
      <c r="Q930" s="174"/>
      <c r="R930" s="175"/>
      <c r="S930" s="173">
        <f>SUM(T930:X930)</f>
        <v>1658.8941602658538</v>
      </c>
      <c r="T930" s="174">
        <f>AL930*AV930</f>
        <v>829.44708013292689</v>
      </c>
      <c r="U930" s="174">
        <f>AL930*AW930</f>
        <v>829.44708013292689</v>
      </c>
      <c r="V930" s="174">
        <f>IF(H930=3,AL930,0)*(1+AW930-1+AW930-1)</f>
        <v>0</v>
      </c>
      <c r="W930" s="174"/>
      <c r="X930" s="175"/>
      <c r="Y930" s="173">
        <f>SUM(Z930:AD930)</f>
        <v>4455.9688750433916</v>
      </c>
      <c r="Z930" s="174">
        <f>T930*AI930/100</f>
        <v>2227.9844375216958</v>
      </c>
      <c r="AA930" s="174">
        <f>U930*AI930/100</f>
        <v>2227.9844375216958</v>
      </c>
      <c r="AB930" s="174">
        <f>V930*AI930/100</f>
        <v>0</v>
      </c>
      <c r="AC930" s="174"/>
      <c r="AD930" s="175"/>
      <c r="AE930" s="173">
        <f>AO930*(1-$D$17/100)</f>
        <v>7.980944</v>
      </c>
      <c r="AF930" s="174">
        <f>AP930</f>
        <v>36</v>
      </c>
      <c r="AG930" s="174">
        <f>IF($D$57&gt;100,100,$D$57)</f>
        <v>19.001300000000001</v>
      </c>
      <c r="AH930" s="174">
        <f>AQ930</f>
        <v>106</v>
      </c>
      <c r="AI930" s="174">
        <f>$D$58+$D$19</f>
        <v>268.61079999999998</v>
      </c>
      <c r="AJ930" s="174">
        <f>10*AR930/IF(AT930=0,IF(AY930=0,8,5),5)</f>
        <v>1.25</v>
      </c>
      <c r="AK930" s="174">
        <f>H930*SUM(AL930:AN930)</f>
        <v>1658.8941602658538</v>
      </c>
      <c r="AL930" s="174">
        <f>((VLOOKUP(C930,$B$36:$AG$39,24,FALSE)+VLOOKUP(C930,$B$40:$AG$43,24,FALSE)*$D$54))*$D$59/100</f>
        <v>829.44708013292689</v>
      </c>
      <c r="AM930" s="174"/>
      <c r="AN930" s="174"/>
      <c r="AO930" s="176">
        <v>8</v>
      </c>
      <c r="AP930" s="174">
        <v>36</v>
      </c>
      <c r="AQ930" s="175">
        <f>VLOOKUP(C930,$B$45:$AA$48,24,FALSE)</f>
        <v>106</v>
      </c>
      <c r="AR930" s="31">
        <f>IF(LEFT(E930,1)*1=1,$S$67,$R$67)</f>
        <v>1</v>
      </c>
      <c r="AS930" s="2">
        <f>IF(LEFT(E930,1)*1=2,$U$67,$T$67)</f>
        <v>0</v>
      </c>
      <c r="AT930" s="33">
        <f>IF(LEFT(E930,1)*1=3,$W$67,$V$67)</f>
        <v>0</v>
      </c>
      <c r="AU930" s="31">
        <f>IF(MID(E930,3,1)*1=1,$Y$67,$X$67)</f>
        <v>0</v>
      </c>
      <c r="AV930" s="2">
        <f>IF(MID(E930,3,1)*1=2,$AA$67,$Z$67)</f>
        <v>1</v>
      </c>
      <c r="AW930" s="33">
        <f>IF(MID(E930,3,1)*1=3,$AC$67,$AB$67)</f>
        <v>1</v>
      </c>
      <c r="AX930" s="31">
        <f>IF(MID(E930,5,1)*1=1,$AE$67,$AD$67)</f>
        <v>0</v>
      </c>
      <c r="AY930" s="33">
        <f>IF(MID(E930,5,1)*1=2,$AG$67,$AF$67)</f>
        <v>0</v>
      </c>
      <c r="AZ930" s="2"/>
      <c r="BA930" s="101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</row>
    <row r="931" spans="1:71" ht="12" customHeight="1">
      <c r="A931" s="2"/>
      <c r="B931" s="107">
        <v>311</v>
      </c>
      <c r="C931" s="31">
        <v>4</v>
      </c>
      <c r="D931" s="106" t="s">
        <v>17</v>
      </c>
      <c r="E931" s="2" t="s">
        <v>148</v>
      </c>
      <c r="F931" s="2"/>
      <c r="G931" s="2"/>
      <c r="H931" s="33">
        <f>IF(AT931=1,3,IF(AY931=1,3,2))</f>
        <v>2</v>
      </c>
      <c r="I931" s="173">
        <f>M931/AE931</f>
        <v>274.45058103964618</v>
      </c>
      <c r="J931" s="174">
        <f>AH931/AE931</f>
        <v>13.281636858998134</v>
      </c>
      <c r="K931" s="207">
        <f>RANK(I931,$I$76:$I$977)</f>
        <v>855</v>
      </c>
      <c r="L931" s="208" t="e">
        <f>RANK(I931,$I$76:$I$450)</f>
        <v>#N/A</v>
      </c>
      <c r="M931" s="173">
        <f>SUM(N931:R931)</f>
        <v>2190.3747180448781</v>
      </c>
      <c r="N931" s="174">
        <f>T931*(1+((AG931+IF(F931="백어택",8,0))/100)*((AI931/100-1)))</f>
        <v>1095.1873590224391</v>
      </c>
      <c r="O931" s="174">
        <f>U931*(1+(AG931/100)*(AI931/100-1))</f>
        <v>1095.1873590224391</v>
      </c>
      <c r="P931" s="174">
        <f>V931*(1+(AG931/100)*(AI931/100-1))</f>
        <v>0</v>
      </c>
      <c r="Q931" s="174"/>
      <c r="R931" s="175"/>
      <c r="S931" s="173">
        <f>SUM(T931:X931)</f>
        <v>1658.8941602658538</v>
      </c>
      <c r="T931" s="174">
        <f>AL931*AV931</f>
        <v>829.44708013292689</v>
      </c>
      <c r="U931" s="174">
        <f>AL931*AW931</f>
        <v>829.44708013292689</v>
      </c>
      <c r="V931" s="174">
        <f>IF(H931=3,AL931,0)*(1+AW931-1+AW931-1)</f>
        <v>0</v>
      </c>
      <c r="W931" s="174"/>
      <c r="X931" s="175"/>
      <c r="Y931" s="173">
        <f>SUM(Z931:AD931)</f>
        <v>4455.9688750433916</v>
      </c>
      <c r="Z931" s="174">
        <f>T931*AI931/100</f>
        <v>2227.9844375216958</v>
      </c>
      <c r="AA931" s="174">
        <f>U931*AI931/100</f>
        <v>2227.9844375216958</v>
      </c>
      <c r="AB931" s="174">
        <f>V931*AI931/100</f>
        <v>0</v>
      </c>
      <c r="AC931" s="174"/>
      <c r="AD931" s="175"/>
      <c r="AE931" s="173">
        <f>AO931*(1-$D$17/100)</f>
        <v>7.980944</v>
      </c>
      <c r="AF931" s="174">
        <f>AP931</f>
        <v>36</v>
      </c>
      <c r="AG931" s="174">
        <f>IF($D$57&gt;100,100,$D$57)</f>
        <v>19.001300000000001</v>
      </c>
      <c r="AH931" s="174">
        <f>AQ931</f>
        <v>106</v>
      </c>
      <c r="AI931" s="174">
        <f>$D$58+$D$19</f>
        <v>268.61079999999998</v>
      </c>
      <c r="AJ931" s="174">
        <f>10*AR931/IF(AT931=0,IF(AY931=0,8,5),5)</f>
        <v>1</v>
      </c>
      <c r="AK931" s="174">
        <f>H931*SUM(AL931:AN931)</f>
        <v>1658.8941602658538</v>
      </c>
      <c r="AL931" s="174">
        <f>((VLOOKUP(C931,$B$36:$AG$39,24,FALSE)+VLOOKUP(C931,$B$40:$AG$43,24,FALSE)*$D$54))*$D$59/100</f>
        <v>829.44708013292689</v>
      </c>
      <c r="AM931" s="174"/>
      <c r="AN931" s="174"/>
      <c r="AO931" s="176">
        <v>8</v>
      </c>
      <c r="AP931" s="174">
        <v>36</v>
      </c>
      <c r="AQ931" s="175">
        <f>VLOOKUP(C931,$B$45:$AA$48,24,FALSE)</f>
        <v>106</v>
      </c>
      <c r="AR931" s="31">
        <f>IF(LEFT(E931,1)*1=1,$S$67,$R$67)</f>
        <v>0.8</v>
      </c>
      <c r="AS931" s="2">
        <f>IF(LEFT(E931,1)*1=2,$U$67,$T$67)</f>
        <v>0</v>
      </c>
      <c r="AT931" s="33">
        <f>IF(LEFT(E931,1)*1=3,$W$67,$V$67)</f>
        <v>0</v>
      </c>
      <c r="AU931" s="31">
        <f>IF(MID(E931,3,1)*1=1,$Y$67,$X$67)</f>
        <v>0</v>
      </c>
      <c r="AV931" s="2">
        <f>IF(MID(E931,3,1)*1=2,$AA$67,$Z$67)</f>
        <v>1</v>
      </c>
      <c r="AW931" s="33">
        <f>IF(MID(E931,3,1)*1=3,$AC$67,$AB$67)</f>
        <v>1</v>
      </c>
      <c r="AX931" s="31">
        <f>IF(MID(E931,5,1)*1=1,$AE$67,$AD$67)</f>
        <v>0</v>
      </c>
      <c r="AY931" s="33">
        <f>IF(MID(E931,5,1)*1=2,$AG$67,$AF$67)</f>
        <v>0</v>
      </c>
      <c r="AZ931" s="2"/>
      <c r="BA931" s="101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</row>
    <row r="932" spans="1:71" ht="12" customHeight="1">
      <c r="A932" s="2"/>
      <c r="B932" s="107">
        <v>42</v>
      </c>
      <c r="C932" s="31">
        <v>1</v>
      </c>
      <c r="D932" s="106" t="s">
        <v>3</v>
      </c>
      <c r="E932" s="2" t="s">
        <v>67</v>
      </c>
      <c r="F932" s="2"/>
      <c r="G932" s="2"/>
      <c r="H932" s="33"/>
      <c r="I932" s="173">
        <f>M932/AE932</f>
        <v>271.59271125346197</v>
      </c>
      <c r="J932" s="174">
        <f>AH932/AE932</f>
        <v>7.5179076560366793</v>
      </c>
      <c r="K932" s="207">
        <f>RANK(I932,$I$76:$I$977)</f>
        <v>857</v>
      </c>
      <c r="L932" s="208" t="e">
        <f>RANK(I932,$I$76:$I$450)</f>
        <v>#N/A</v>
      </c>
      <c r="M932" s="173">
        <f>SUM(N932:R932)</f>
        <v>1625.6746644915374</v>
      </c>
      <c r="N932" s="174">
        <f>T932*(1+((AG932+IF(F932="백어택",8,0))/100)*((AI932/100-1)))</f>
        <v>1625.6746644915374</v>
      </c>
      <c r="O932" s="174"/>
      <c r="P932" s="174"/>
      <c r="Q932" s="174"/>
      <c r="R932" s="175">
        <f>X932*(1+(AG932/100)*(AI932/100-1))</f>
        <v>0</v>
      </c>
      <c r="S932" s="173">
        <f>SUM(T932:X932)</f>
        <v>1231.2149995158536</v>
      </c>
      <c r="T932" s="174">
        <f>AL932*AU932*AV932*AW932*AX932</f>
        <v>1231.2149995158536</v>
      </c>
      <c r="U932" s="174"/>
      <c r="V932" s="174"/>
      <c r="W932" s="174"/>
      <c r="X932" s="175">
        <f>AL932*AU932*AV932*IF(AW932=1,1,0.25)*AX932*AY932</f>
        <v>0</v>
      </c>
      <c r="Y932" s="173">
        <f>SUM(Z932:AD932)</f>
        <v>2462.4299990317072</v>
      </c>
      <c r="Z932" s="174">
        <f>T932*$D$58/100</f>
        <v>2462.4299990317072</v>
      </c>
      <c r="AA932" s="174"/>
      <c r="AB932" s="174"/>
      <c r="AC932" s="174"/>
      <c r="AD932" s="175">
        <f>X932*$D$58/100</f>
        <v>0</v>
      </c>
      <c r="AE932" s="173">
        <f>IF(AV932=1,AO932*(1-$D$17/100),AO932*(1-$D$17/100)+6)</f>
        <v>5.9857079999999998</v>
      </c>
      <c r="AF932" s="174">
        <f>AP932</f>
        <v>36</v>
      </c>
      <c r="AG932" s="174">
        <f>IF($D$57&gt;100,100,$D$57)</f>
        <v>19.001300000000001</v>
      </c>
      <c r="AH932" s="174">
        <f>AQ932</f>
        <v>45</v>
      </c>
      <c r="AI932" s="174">
        <f>$D$58+$D$19</f>
        <v>268.61079999999998</v>
      </c>
      <c r="AJ932" s="174">
        <f>10/13</f>
        <v>0.76923076923076927</v>
      </c>
      <c r="AK932" s="174">
        <f>SUM(AL932:AN932)</f>
        <v>1231.2149995158536</v>
      </c>
      <c r="AL932" s="174">
        <f>(VLOOKUP(C932,$B$36:$AG$39,3,FALSE)+VLOOKUP(C932,$B$40:$AG$43,3,FALSE)*$D$54)*$D$59/100</f>
        <v>1231.2149995158536</v>
      </c>
      <c r="AM932" s="174"/>
      <c r="AN932" s="174"/>
      <c r="AO932" s="176">
        <v>6</v>
      </c>
      <c r="AP932" s="174">
        <v>36</v>
      </c>
      <c r="AQ932" s="175">
        <f>VLOOKUP(C932,$B$45:$AA$48,3,FALSE)</f>
        <v>45</v>
      </c>
      <c r="AR932" s="31">
        <f>IF(LEFT(E932,1)*1=1,$S$53,$R$53)</f>
        <v>0</v>
      </c>
      <c r="AS932" s="2">
        <f>IF(LEFT(E932,1)*1=2,$U$53,$T$53)</f>
        <v>0</v>
      </c>
      <c r="AT932" s="33">
        <f>IF(LEFT(E932,1)*1=3,$W$53,$V$53)</f>
        <v>0</v>
      </c>
      <c r="AU932" s="31">
        <f>IF(MID(E932,3,1)*1=1,$Y$53,$X$53)</f>
        <v>1</v>
      </c>
      <c r="AV932" s="2">
        <f>IF(MID(E932,3,1)*1=2,$AA$53,$Z$53)</f>
        <v>1</v>
      </c>
      <c r="AW932" s="33">
        <f>IF(MID(E932,3,1)*1=3,$AC$53,$AB$53)</f>
        <v>1</v>
      </c>
      <c r="AX932" s="31">
        <f>IF(MID(E932,5,1)*1=1,$AE$53,$AD$53)</f>
        <v>1</v>
      </c>
      <c r="AY932" s="33">
        <f>IF(MID(E932,5,1)*1=2,$AG$53,$AF$53)</f>
        <v>0</v>
      </c>
      <c r="AZ932" s="2"/>
      <c r="BA932" s="101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</row>
    <row r="933" spans="1:71" ht="12" customHeight="1">
      <c r="A933" s="2"/>
      <c r="B933" s="107">
        <v>835</v>
      </c>
      <c r="C933" s="31">
        <v>1</v>
      </c>
      <c r="D933" s="113" t="s">
        <v>12</v>
      </c>
      <c r="E933" s="2" t="s">
        <v>67</v>
      </c>
      <c r="F933" s="2"/>
      <c r="G933" s="2"/>
      <c r="H933" s="33"/>
      <c r="I933" s="173">
        <f>M933/AE933</f>
        <v>271.55948041548925</v>
      </c>
      <c r="J933" s="174">
        <f>AH933/AE933</f>
        <v>4.2183815181094699</v>
      </c>
      <c r="K933" s="207">
        <f>RANK(I933,$I$76:$I$977)</f>
        <v>858</v>
      </c>
      <c r="L933" s="208">
        <f>RANK(I933,$I$867:$I$977)</f>
        <v>67</v>
      </c>
      <c r="M933" s="173">
        <f>SUM(N933:R933)*(1+$D$22/100)</f>
        <v>6501.9030175953494</v>
      </c>
      <c r="N933" s="174">
        <f>T933*(1+((AG933+IF(F933="백어택",8,0))/100)*(AI933/100-1))</f>
        <v>5858.220495820211</v>
      </c>
      <c r="O933" s="174">
        <f>U933*(1+($D$57/100)*(AI933/100-1))</f>
        <v>0</v>
      </c>
      <c r="P933" s="174"/>
      <c r="Q933" s="174"/>
      <c r="R933" s="175">
        <f>X933*(1+($D$57/100)*(AI933/100-1))</f>
        <v>0</v>
      </c>
      <c r="S933" s="173">
        <f>SUM(T933:X933)</f>
        <v>4922.8205875231706</v>
      </c>
      <c r="T933" s="174">
        <f>AL933*AU933*AW933</f>
        <v>4922.8205875231706</v>
      </c>
      <c r="U933" s="174">
        <f>AL933*AU933*AW933*AX933</f>
        <v>0</v>
      </c>
      <c r="V933" s="174"/>
      <c r="W933" s="174"/>
      <c r="X933" s="175">
        <f>AL933*AY933</f>
        <v>0</v>
      </c>
      <c r="Y933" s="173">
        <f>SUM(Z933:AD933)</f>
        <v>9845.6411750463412</v>
      </c>
      <c r="Z933" s="174">
        <f>T933*$D$58/100</f>
        <v>9845.6411750463412</v>
      </c>
      <c r="AA933" s="174">
        <f>U933*$D$58/100</f>
        <v>0</v>
      </c>
      <c r="AB933" s="174"/>
      <c r="AC933" s="174"/>
      <c r="AD933" s="175">
        <f>X933*$D$58/100</f>
        <v>0</v>
      </c>
      <c r="AE933" s="173">
        <f>AO933*(1-$D$17/100)</f>
        <v>23.942831999999999</v>
      </c>
      <c r="AF933" s="174">
        <f>AP933</f>
        <v>36</v>
      </c>
      <c r="AG933" s="174">
        <f>IF($D$57+AV933&gt;100,100,$D$57+AV933)</f>
        <v>19.001300000000001</v>
      </c>
      <c r="AH933" s="174">
        <f>AQ933</f>
        <v>101</v>
      </c>
      <c r="AI933" s="174">
        <f>$D$58</f>
        <v>200</v>
      </c>
      <c r="AJ933" s="174">
        <f>10/7</f>
        <v>1.4285714285714286</v>
      </c>
      <c r="AK933" s="174">
        <f>SUM(AL933:AN933)</f>
        <v>4922.8205875231706</v>
      </c>
      <c r="AL933" s="174">
        <f>(VLOOKUP(C933,$B$36:$AG$39,16,FALSE)+VLOOKUP(C933,$B$40:$AG$43,16,FALSE)*$D$54)*$D$59/100</f>
        <v>4922.8205875231706</v>
      </c>
      <c r="AM933" s="174"/>
      <c r="AN933" s="174"/>
      <c r="AO933" s="176">
        <v>24</v>
      </c>
      <c r="AP933" s="174">
        <v>36</v>
      </c>
      <c r="AQ933" s="175">
        <f>VLOOKUP(C933,$B$45:$AA$48,16,FALSE)</f>
        <v>101</v>
      </c>
      <c r="AR933" s="31">
        <f>IF(LEFT(E933,1)*1=1,$S$62,$R$62)</f>
        <v>0</v>
      </c>
      <c r="AS933" s="2">
        <f>IF(LEFT(E933,1)*1=2,$U$62,$T$62)</f>
        <v>0</v>
      </c>
      <c r="AT933" s="33">
        <f>IF(LEFT(E933,1)*1=3,$W$62,$V$62)</f>
        <v>0</v>
      </c>
      <c r="AU933" s="31">
        <f>IF(MID(E933,3,1)*1=1,$Y$62,$X$62)</f>
        <v>1</v>
      </c>
      <c r="AV933" s="2">
        <f>IF(MID(E933,3,1)*1=2,$AA$62,$Z$62)</f>
        <v>0</v>
      </c>
      <c r="AW933" s="33">
        <f>IF(MID(E933,3,1)*1=3,$AC$62,$AB$62)</f>
        <v>1</v>
      </c>
      <c r="AX933" s="31">
        <f>IF(MID(E933,5,1)*1=1,$AE$62,$AD$62)</f>
        <v>0</v>
      </c>
      <c r="AY933" s="33">
        <f>IF(MID(E933,5,1)*1=2,$AG$62,$AF$62)</f>
        <v>0</v>
      </c>
      <c r="AZ933" s="2"/>
      <c r="BA933" s="101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</row>
    <row r="934" spans="1:71" ht="12" customHeight="1">
      <c r="A934" s="2"/>
      <c r="B934" s="107">
        <v>70</v>
      </c>
      <c r="C934" s="31">
        <v>4</v>
      </c>
      <c r="D934" s="106" t="s">
        <v>4</v>
      </c>
      <c r="E934" s="2" t="s">
        <v>67</v>
      </c>
      <c r="F934" s="2"/>
      <c r="G934" s="2"/>
      <c r="H934" s="33"/>
      <c r="I934" s="173">
        <f>M934/AE934</f>
        <v>269.25966704795536</v>
      </c>
      <c r="J934" s="174">
        <f>AH934/AE934</f>
        <v>11.193329176765722</v>
      </c>
      <c r="K934" s="207">
        <f>RANK(I934,$I$76:$I$977)</f>
        <v>859</v>
      </c>
      <c r="L934" s="208" t="e">
        <f>RANK(I934,$I$76:$I$450)</f>
        <v>#N/A</v>
      </c>
      <c r="M934" s="173">
        <f>SUM(N934:R934)</f>
        <v>3223.4194862525655</v>
      </c>
      <c r="N934" s="174">
        <f>T934*(1+((AG934+IF(F934="백어택",8,0))/100)*((AI934/100-1)))</f>
        <v>645.87705598834782</v>
      </c>
      <c r="O934" s="174">
        <f>U934*(1+((AG934+IF(F934="백어택",8,0))/100)*(AI934/100-1))</f>
        <v>2577.5424302642177</v>
      </c>
      <c r="P934" s="174"/>
      <c r="Q934" s="174"/>
      <c r="R934" s="175"/>
      <c r="S934" s="173">
        <f>SUM(T934:X934)</f>
        <v>2441.2771558121954</v>
      </c>
      <c r="T934" s="174">
        <f>AT934*AL934*IF(F934="백어택",1.2,1)</f>
        <v>489.15907748658537</v>
      </c>
      <c r="U934" s="174">
        <f>AM934*AW934*AX934*AY934*IF(F934="백어택",1.2,1)</f>
        <v>1952.11807832561</v>
      </c>
      <c r="V934" s="174"/>
      <c r="W934" s="174"/>
      <c r="X934" s="175"/>
      <c r="Y934" s="173">
        <f>SUM(Z934:AD934)</f>
        <v>4882.5543116243907</v>
      </c>
      <c r="Z934" s="174">
        <f>T934*$D$58/100</f>
        <v>978.31815497317075</v>
      </c>
      <c r="AA934" s="174">
        <f>U934*$D$58/100</f>
        <v>3904.23615665122</v>
      </c>
      <c r="AB934" s="174"/>
      <c r="AC934" s="174"/>
      <c r="AD934" s="175"/>
      <c r="AE934" s="173">
        <f>AO934*(1-$D$17/100)</f>
        <v>11.971416</v>
      </c>
      <c r="AF934" s="174">
        <f>AP934</f>
        <v>36</v>
      </c>
      <c r="AG934" s="174">
        <f>IF($D$57&gt;100,100,$D$57)</f>
        <v>19.001300000000001</v>
      </c>
      <c r="AH934" s="174">
        <f>AQ934</f>
        <v>134</v>
      </c>
      <c r="AI934" s="174">
        <f>$D$58+$D$19</f>
        <v>268.61079999999998</v>
      </c>
      <c r="AJ934" s="174">
        <f>10/IF(AY934=1,5,4)</f>
        <v>2</v>
      </c>
      <c r="AK934" s="174">
        <f>SUM(AL934:AN934)</f>
        <v>2441.2771558121954</v>
      </c>
      <c r="AL934" s="174">
        <f>(VLOOKUP(C934,$B$36:$AG$39,4,FALSE)+VLOOKUP(C934,$B$40:$AG$43,4,FALSE)*$D$54)*$D$59/100</f>
        <v>489.15907748658537</v>
      </c>
      <c r="AM934" s="174">
        <f>(VLOOKUP(C934,$B$36:$AG$39,5,FALSE)+VLOOKUP(C934,$B$40:$AG$43,5,FALSE)*$D$54)*$D$59/100</f>
        <v>1952.11807832561</v>
      </c>
      <c r="AN934" s="174"/>
      <c r="AO934" s="176">
        <v>12</v>
      </c>
      <c r="AP934" s="174">
        <v>36</v>
      </c>
      <c r="AQ934" s="175">
        <f>VLOOKUP(C934,$B$45:$AA$48,4,FALSE)</f>
        <v>134</v>
      </c>
      <c r="AR934" s="31">
        <f>IF(LEFT(E934,1)*1=1,$S$54,$R$54)</f>
        <v>0</v>
      </c>
      <c r="AS934" s="2">
        <f>IF(LEFT(E934,1)*1=2,$U$54,$T$54)</f>
        <v>0</v>
      </c>
      <c r="AT934" s="33">
        <f>IF(LEFT(E934,1)*1=3,$W$54,$V$54)</f>
        <v>1</v>
      </c>
      <c r="AU934" s="31">
        <f>IF(MID(E934,3,1)*1=1,$Y$54,$X$54)</f>
        <v>0</v>
      </c>
      <c r="AV934" s="2">
        <f>IF(MID(E934,3,1)*1=2,$AA$54,$Z$54)</f>
        <v>0</v>
      </c>
      <c r="AW934" s="33">
        <f>IF(MID(E934,3,1)*1=3,$AC$54,$AB$54)</f>
        <v>1</v>
      </c>
      <c r="AX934" s="31">
        <f>IF(MID(E934,5,1)*1=1,$AE$54,$AD$54)</f>
        <v>1</v>
      </c>
      <c r="AY934" s="33">
        <f>IF(MID(E934,5,1)*1=2,$AG$54,$AF$54)</f>
        <v>1</v>
      </c>
      <c r="AZ934" s="2"/>
      <c r="BA934" s="101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</row>
    <row r="935" spans="1:71" ht="12" customHeight="1">
      <c r="A935" s="2"/>
      <c r="B935" s="107">
        <v>124</v>
      </c>
      <c r="C935" s="31">
        <v>1</v>
      </c>
      <c r="D935" s="106" t="s">
        <v>6</v>
      </c>
      <c r="E935" s="2" t="s">
        <v>67</v>
      </c>
      <c r="F935" s="2"/>
      <c r="G935" s="2"/>
      <c r="H935" s="33"/>
      <c r="I935" s="173">
        <f>M935/AE935</f>
        <v>267.46558140822088</v>
      </c>
      <c r="J935" s="174">
        <f>AH935/AE935</f>
        <v>4.5608639779955862</v>
      </c>
      <c r="K935" s="207">
        <f>RANK(I935,$I$76:$I$977)</f>
        <v>860</v>
      </c>
      <c r="L935" s="208" t="e">
        <f>RANK(I935,$I$76:$I$450)</f>
        <v>#N/A</v>
      </c>
      <c r="M935" s="173">
        <f>SUM(N935:R935)</f>
        <v>5336.5695678661295</v>
      </c>
      <c r="N935" s="174">
        <f>T935*(1+((AG935+IF(F935="백어택",8,0))/100)*((AI935/100-1)))</f>
        <v>5336.5695678661295</v>
      </c>
      <c r="O935" s="174"/>
      <c r="P935" s="174"/>
      <c r="Q935" s="174"/>
      <c r="R935" s="175"/>
      <c r="S935" s="173">
        <f>SUM(T935:X935)</f>
        <v>4041.6847487573173</v>
      </c>
      <c r="T935" s="174">
        <f>AL935*AW935*AT935*AX935*AY935</f>
        <v>4041.6847487573173</v>
      </c>
      <c r="U935" s="174"/>
      <c r="V935" s="174"/>
      <c r="W935" s="174"/>
      <c r="X935" s="175"/>
      <c r="Y935" s="173">
        <f>SUM(Z935:AD935)</f>
        <v>8083.3694975146345</v>
      </c>
      <c r="Z935" s="174">
        <f>T935*$D$58/100</f>
        <v>8083.3694975146345</v>
      </c>
      <c r="AA935" s="174"/>
      <c r="AB935" s="174"/>
      <c r="AC935" s="174"/>
      <c r="AD935" s="175"/>
      <c r="AE935" s="173">
        <f>AO935*(1-$D$17/100)</f>
        <v>19.952359999999999</v>
      </c>
      <c r="AF935" s="174">
        <f>AP935</f>
        <v>36</v>
      </c>
      <c r="AG935" s="174">
        <f>IF($D$57+AV935&gt;100,100,$D$57+AV935)</f>
        <v>19.001300000000001</v>
      </c>
      <c r="AH935" s="174">
        <f>AQ935*AR935</f>
        <v>91</v>
      </c>
      <c r="AI935" s="174">
        <f>$D$58+$D$19</f>
        <v>268.61079999999998</v>
      </c>
      <c r="AJ935" s="174">
        <f>10/IF(AX935=1,IF(AY935=1,5,6),4)</f>
        <v>2</v>
      </c>
      <c r="AK935" s="174">
        <f>SUM(AL935:AN935)</f>
        <v>4041.6847487573173</v>
      </c>
      <c r="AL935" s="174">
        <f>(VLOOKUP(C935,$B$36:$AG$39,7,FALSE)+VLOOKUP(C935,$B$40:$AG$43,7,FALSE)*$D$54)*$D$59/100</f>
        <v>4041.6847487573173</v>
      </c>
      <c r="AM935" s="174"/>
      <c r="AN935" s="174"/>
      <c r="AO935" s="176">
        <v>20</v>
      </c>
      <c r="AP935" s="174">
        <v>36</v>
      </c>
      <c r="AQ935" s="175">
        <f>VLOOKUP(C935,$B$45:$AA$48,7,FALSE)</f>
        <v>91</v>
      </c>
      <c r="AR935" s="31">
        <f>IF(LEFT(E935,1)*1=1,$S$56,$R$56)</f>
        <v>1</v>
      </c>
      <c r="AS935" s="2">
        <f>IF(LEFT(E935,1)*1=2,$U$56,$T$56)</f>
        <v>0</v>
      </c>
      <c r="AT935" s="33">
        <f>IF(LEFT(E935,1)*1=3,$W$56,$V$56)</f>
        <v>1</v>
      </c>
      <c r="AU935" s="31">
        <f>IF(MID(E935,3,1)*1=1,$Y$56,$X$56)</f>
        <v>0</v>
      </c>
      <c r="AV935" s="2">
        <f>IF(MID(E935,3,1)*1=2,$AA$56,$Z$56)</f>
        <v>0</v>
      </c>
      <c r="AW935" s="33">
        <f>IF(MID(E935,3,1)*1=3,$AC$56,$AB$56)</f>
        <v>1</v>
      </c>
      <c r="AX935" s="31">
        <f>IF(MID(E935,5,1)*1=1,$AE$56,$AD$56)</f>
        <v>1</v>
      </c>
      <c r="AY935" s="33">
        <f>IF(MID(E935,5,1)*1=2,$AG$56,$AF$56)</f>
        <v>1</v>
      </c>
      <c r="AZ935" s="2"/>
      <c r="BA935" s="101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</row>
    <row r="936" spans="1:71" ht="12" customHeight="1">
      <c r="A936" s="2"/>
      <c r="B936" s="107">
        <v>863</v>
      </c>
      <c r="C936" s="31">
        <v>4</v>
      </c>
      <c r="D936" s="113" t="s">
        <v>15</v>
      </c>
      <c r="E936" s="2" t="s">
        <v>67</v>
      </c>
      <c r="F936" s="2"/>
      <c r="G936" s="2"/>
      <c r="H936" s="33">
        <f>IF(AX936=AT936,3,4)</f>
        <v>3</v>
      </c>
      <c r="I936" s="173">
        <f>M936/AE936</f>
        <v>265.05192067097363</v>
      </c>
      <c r="J936" s="174">
        <f>AH936/AE936</f>
        <v>7.5847335018681159</v>
      </c>
      <c r="K936" s="207">
        <f>RANK(I936,$I$76:$I$977)</f>
        <v>861</v>
      </c>
      <c r="L936" s="208">
        <f>RANK(I936,$I$867:$I$977)</f>
        <v>70</v>
      </c>
      <c r="M936" s="173">
        <f>SUM(N936:R936)*(1+$D$22/100)</f>
        <v>7932.6170098780613</v>
      </c>
      <c r="N936" s="174">
        <f>T936*(1+((AG936+IF(F936="백어택",8,0))/100)*(AI936/100-1))</f>
        <v>2382.4316986888575</v>
      </c>
      <c r="O936" s="174">
        <f>U936*(1+(AG936/100)*(AI936/100-1))</f>
        <v>2382.4316986888575</v>
      </c>
      <c r="P936" s="174">
        <f>V936*(1+(AG936/100)*(AI936/100-1))</f>
        <v>2382.4316986888575</v>
      </c>
      <c r="Q936" s="174">
        <f>W936*(1+(AG936/100)*(AI936/100-1))</f>
        <v>0</v>
      </c>
      <c r="R936" s="175">
        <f>X936*(1+(AG936/100)*(AI936/100-1))</f>
        <v>0</v>
      </c>
      <c r="S936" s="173">
        <f>SUM(T936:X936)</f>
        <v>6006.0647203573171</v>
      </c>
      <c r="T936" s="174">
        <f>AL936*AS936*AY936</f>
        <v>2002.021573452439</v>
      </c>
      <c r="U936" s="174">
        <f>AL936*AS936*AY936</f>
        <v>2002.021573452439</v>
      </c>
      <c r="V936" s="174">
        <f>AL936*AS936*AY936</f>
        <v>2002.021573452439</v>
      </c>
      <c r="W936" s="174">
        <f>IF(H936=4,AL936*AS936*IF(AT936=0,AY936,1),0)</f>
        <v>0</v>
      </c>
      <c r="X936" s="175">
        <f>AL936*IF(H936=3,11,IF(AT936=1,15,13))*IF(AW936=1,0,AW936)</f>
        <v>0</v>
      </c>
      <c r="Y936" s="173">
        <f>SUM(Z936:AD936)</f>
        <v>12012.129440714634</v>
      </c>
      <c r="Z936" s="174">
        <f>T936*AI936/100</f>
        <v>4004.0431469048781</v>
      </c>
      <c r="AA936" s="174">
        <f>U936*AI936/100</f>
        <v>4004.0431469048781</v>
      </c>
      <c r="AB936" s="174">
        <f>V936*AI936/100</f>
        <v>4004.0431469048781</v>
      </c>
      <c r="AC936" s="174">
        <f>W936*AI936/100</f>
        <v>0</v>
      </c>
      <c r="AD936" s="175">
        <f>X936*AI936/100</f>
        <v>0</v>
      </c>
      <c r="AE936" s="173">
        <f>AO936*(1-$D$17/100)</f>
        <v>29.928540000000002</v>
      </c>
      <c r="AF936" s="174">
        <f>AP936</f>
        <v>36</v>
      </c>
      <c r="AG936" s="174">
        <f>IF($D$57+AX936&gt;100,100,$D$57+AX936)</f>
        <v>19.001300000000001</v>
      </c>
      <c r="AH936" s="174">
        <f>AQ936</f>
        <v>227</v>
      </c>
      <c r="AI936" s="174">
        <f>$D$58</f>
        <v>200</v>
      </c>
      <c r="AJ936" s="174">
        <f>10*AU936/IF(AT936=1,2.5,(IF(AY936=1,3,2.5)))</f>
        <v>3.3333333333333335</v>
      </c>
      <c r="AK936" s="174">
        <f>SUM(AL936:AN936)</f>
        <v>2002.021573452439</v>
      </c>
      <c r="AL936" s="174">
        <f>((VLOOKUP(C936,$B$36:$AG$39,22,FALSE)+VLOOKUP(C936,$B$40:$AG$43,22,FALSE)*$D$54))*$D$59/100</f>
        <v>2002.021573452439</v>
      </c>
      <c r="AM936" s="174"/>
      <c r="AN936" s="174"/>
      <c r="AO936" s="176">
        <v>30</v>
      </c>
      <c r="AP936" s="174">
        <v>36</v>
      </c>
      <c r="AQ936" s="175">
        <f>VLOOKUP(C936,$B$45:$AA$48,22,FALSE)</f>
        <v>227</v>
      </c>
      <c r="AR936" s="31">
        <f>IF(LEFT(E936,1)*1=1,$S$65,$R$65)</f>
        <v>0</v>
      </c>
      <c r="AS936" s="2">
        <f>IF(LEFT(E936,1)*1=2,$U$65,$T$65)</f>
        <v>1</v>
      </c>
      <c r="AT936" s="33">
        <f>IF(LEFT(E936,1)*1=3,$W$65,$V$65)</f>
        <v>0</v>
      </c>
      <c r="AU936" s="31">
        <f>IF(MID(E936,3,1)*1=1,$Y$65,$X$65)</f>
        <v>1</v>
      </c>
      <c r="AV936" s="2">
        <f>IF(MID(E936,3,1)*1=2,$AA$65,$Z$65)</f>
        <v>0</v>
      </c>
      <c r="AW936" s="33">
        <f>IF(MID(E936,3,1)*1=3,$AC$65,$AB$65)</f>
        <v>1</v>
      </c>
      <c r="AX936" s="31">
        <f>IF(MID(E936,5,1)*1=1,$AE$65,$AD$65)</f>
        <v>0</v>
      </c>
      <c r="AY936" s="33">
        <f>IF(MID(E936,5,1)*1=2,$AG$65,$AF$65)</f>
        <v>1</v>
      </c>
      <c r="AZ936" s="2"/>
      <c r="BA936" s="101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</row>
    <row r="937" spans="1:71" ht="12" customHeight="1">
      <c r="A937" s="2"/>
      <c r="B937" s="107">
        <v>93</v>
      </c>
      <c r="C937" s="31">
        <v>1</v>
      </c>
      <c r="D937" s="106" t="s">
        <v>5</v>
      </c>
      <c r="E937" s="2" t="s">
        <v>67</v>
      </c>
      <c r="F937" s="2"/>
      <c r="G937" s="2"/>
      <c r="H937" s="33">
        <v>9</v>
      </c>
      <c r="I937" s="173">
        <f>M937/AE937</f>
        <v>264.58926933120853</v>
      </c>
      <c r="J937" s="174">
        <f>AH937/AE937</f>
        <v>6.6408184294990669</v>
      </c>
      <c r="K937" s="207">
        <f>RANK(I937,$I$76:$I$977)</f>
        <v>862</v>
      </c>
      <c r="L937" s="208" t="e">
        <f>RANK(I937,$I$76:$I$450)</f>
        <v>#N/A</v>
      </c>
      <c r="M937" s="173">
        <f>SUM(N937:R937)</f>
        <v>2111.6721415332927</v>
      </c>
      <c r="N937" s="174">
        <f>T937*(1+((AG937+IF(F937="백어택",8,0))/100)*((AI937/100-1)))</f>
        <v>2111.6721415332927</v>
      </c>
      <c r="O937" s="174"/>
      <c r="P937" s="174"/>
      <c r="Q937" s="174"/>
      <c r="R937" s="175"/>
      <c r="S937" s="173">
        <f>SUM(T937:X937)</f>
        <v>1599.2882656682925</v>
      </c>
      <c r="T937" s="174">
        <f>AL937*AU937*AW937*AX937*AY937</f>
        <v>1599.2882656682925</v>
      </c>
      <c r="U937" s="174"/>
      <c r="V937" s="174"/>
      <c r="W937" s="174"/>
      <c r="X937" s="175"/>
      <c r="Y937" s="173">
        <f>SUM(Z937:AD937)</f>
        <v>3198.576531336585</v>
      </c>
      <c r="Z937" s="174">
        <f>T937*$D$58/100</f>
        <v>3198.576531336585</v>
      </c>
      <c r="AA937" s="174"/>
      <c r="AB937" s="174"/>
      <c r="AC937" s="174"/>
      <c r="AD937" s="175"/>
      <c r="AE937" s="173">
        <f>AO937*(1-$D$17/100)</f>
        <v>7.980944</v>
      </c>
      <c r="AF937" s="174">
        <f>AP937</f>
        <v>36</v>
      </c>
      <c r="AG937" s="174">
        <f>IF($D$57&gt;100,100,$D$57)</f>
        <v>19.001300000000001</v>
      </c>
      <c r="AH937" s="174">
        <f>AQ937</f>
        <v>53</v>
      </c>
      <c r="AI937" s="174">
        <f>$D$58+$D$19</f>
        <v>268.61079999999998</v>
      </c>
      <c r="AJ937" s="174">
        <f>1*AS937</f>
        <v>1</v>
      </c>
      <c r="AK937" s="174">
        <f>SUM(AL937:AN937)</f>
        <v>1599.2882656682925</v>
      </c>
      <c r="AL937" s="174">
        <f>(H937*(VLOOKUP(C937,$B$36:$AG$39,6,FALSE)+VLOOKUP(C937,$B$40:$AG$43,6,FALSE)*$D$54))*$D$59/100</f>
        <v>1599.2882656682925</v>
      </c>
      <c r="AM937" s="174"/>
      <c r="AN937" s="174"/>
      <c r="AO937" s="176">
        <v>8</v>
      </c>
      <c r="AP937" s="174">
        <v>36</v>
      </c>
      <c r="AQ937" s="175">
        <f>VLOOKUP(C937,$B$45:$AA$48,6,FALSE)</f>
        <v>53</v>
      </c>
      <c r="AR937" s="31">
        <f>IF(LEFT(E937,1)*1=1,$S$55,$R$55)</f>
        <v>0</v>
      </c>
      <c r="AS937" s="2">
        <f>IF(LEFT(E937,1)*1=2,$U$55,$T$55)</f>
        <v>1</v>
      </c>
      <c r="AT937" s="33">
        <f>IF(LEFT(E937,1)*1=3,$W$55,$V$55)</f>
        <v>0</v>
      </c>
      <c r="AU937" s="31">
        <f>IF(MID(E937,3,1)*1=1,$Y$55,$X$55)</f>
        <v>1</v>
      </c>
      <c r="AV937" s="2">
        <f>IF(MID(E937,3,1)*1=2,$AA$55,$Z$55)</f>
        <v>0</v>
      </c>
      <c r="AW937" s="33">
        <f>IF(MID(E937,3,1)*1=3,$AC$55,$AB$55)</f>
        <v>1</v>
      </c>
      <c r="AX937" s="31">
        <f>IF(MID(E937,5,1)*1=1,$AE$55,$AD$55)</f>
        <v>1</v>
      </c>
      <c r="AY937" s="33">
        <f>IF(MID(E937,5,1)*1=2,$AG$55,$AF$55)</f>
        <v>1</v>
      </c>
      <c r="AZ937" s="2"/>
      <c r="BA937" s="101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</row>
    <row r="938" spans="1:71" ht="12" customHeight="1">
      <c r="A938" s="2"/>
      <c r="B938" s="107">
        <v>257</v>
      </c>
      <c r="C938" s="31">
        <v>4</v>
      </c>
      <c r="D938" s="106" t="s">
        <v>16</v>
      </c>
      <c r="E938" s="2" t="s">
        <v>148</v>
      </c>
      <c r="F938" s="2" t="s">
        <v>149</v>
      </c>
      <c r="G938" s="2"/>
      <c r="H938" s="33">
        <f>AX938*2</f>
        <v>2</v>
      </c>
      <c r="I938" s="173">
        <f>M938/AE938</f>
        <v>262.62795460115638</v>
      </c>
      <c r="J938" s="174">
        <f>AH938/AE938</f>
        <v>7.5179076560366793</v>
      </c>
      <c r="K938" s="207">
        <f>RANK(I938,$I$76:$I$977)</f>
        <v>863</v>
      </c>
      <c r="L938" s="208" t="e">
        <f>RANK(I938,$I$76:$I$450)</f>
        <v>#N/A</v>
      </c>
      <c r="M938" s="173">
        <f>SUM(N938:R938)</f>
        <v>1572.0142488797785</v>
      </c>
      <c r="N938" s="174">
        <f>T938*(1+((AG938+IF(F938="백어택",8,0))/100)*((AI938/100-1)))</f>
        <v>1572.0142488797785</v>
      </c>
      <c r="O938" s="174"/>
      <c r="P938" s="174"/>
      <c r="Q938" s="174"/>
      <c r="R938" s="175"/>
      <c r="S938" s="173">
        <f>SUM(T938:X938)*H938</f>
        <v>2160.4418188858535</v>
      </c>
      <c r="T938" s="174">
        <f>AL938*AU938*AY938*IF(F938="백어택",1.2,1)</f>
        <v>1080.2209094429268</v>
      </c>
      <c r="U938" s="174"/>
      <c r="V938" s="174"/>
      <c r="W938" s="174"/>
      <c r="X938" s="175"/>
      <c r="Y938" s="173">
        <f>SUM(Z938:AD938)</f>
        <v>2160.4418188858535</v>
      </c>
      <c r="Z938" s="174">
        <f>T938*$D$58/100</f>
        <v>2160.4418188858535</v>
      </c>
      <c r="AA938" s="174"/>
      <c r="AB938" s="174"/>
      <c r="AC938" s="174"/>
      <c r="AD938" s="175"/>
      <c r="AE938" s="173">
        <f>AO938*(1-$D$17/100)</f>
        <v>5.9857079999999998</v>
      </c>
      <c r="AF938" s="174">
        <f>AP938</f>
        <v>36</v>
      </c>
      <c r="AG938" s="174">
        <f>IF($D$57+AT938&gt;100,100,$D$57+AT938)</f>
        <v>19.001300000000001</v>
      </c>
      <c r="AH938" s="174">
        <f>AQ938*AR938</f>
        <v>45</v>
      </c>
      <c r="AI938" s="174">
        <f>$D$58+$D$19</f>
        <v>268.61079999999998</v>
      </c>
      <c r="AJ938" s="174">
        <f>10*AS938/IF(AX938=1,5,3.5)</f>
        <v>2</v>
      </c>
      <c r="AK938" s="174">
        <f>SUM(AL938:AN938)</f>
        <v>900.18409120243905</v>
      </c>
      <c r="AL938" s="174">
        <f>((VLOOKUP(C938,$B$36:$AG$39,23,FALSE)+VLOOKUP(C938,$B$40:$AG$43,23,FALSE)*$D$54))*$D$59/100</f>
        <v>900.18409120243905</v>
      </c>
      <c r="AM938" s="174"/>
      <c r="AN938" s="174"/>
      <c r="AO938" s="176">
        <v>6</v>
      </c>
      <c r="AP938" s="174">
        <v>36</v>
      </c>
      <c r="AQ938" s="175">
        <f>VLOOKUP(C938,$B$45:$AA$48,23,FALSE)</f>
        <v>90</v>
      </c>
      <c r="AR938" s="31">
        <f>IF(LEFT(E938,1)*1=1,$S$66,$R$66)</f>
        <v>0.5</v>
      </c>
      <c r="AS938" s="2">
        <f>IF(LEFT(E938,1)*1=2,$U$66,$T$66)</f>
        <v>1</v>
      </c>
      <c r="AT938" s="33">
        <f>IF(LEFT(E938,1)*1=3,$W$66,$V$66)</f>
        <v>0</v>
      </c>
      <c r="AU938" s="31">
        <f>IF(MID(E938,3,1)*1=1,$Y$66,$X$66)</f>
        <v>1</v>
      </c>
      <c r="AV938" s="2">
        <f>IF(MID(E938,3,1)*1=2,$AA$66,$Z$66)</f>
        <v>0</v>
      </c>
      <c r="AW938" s="33">
        <f>IF(MID(E938,3,1)*1=3,$AC$66,$AB$66)</f>
        <v>0</v>
      </c>
      <c r="AX938" s="31">
        <f>IF(MID(E938,5,1)*1=1,$AE$66,$AD$66)</f>
        <v>1</v>
      </c>
      <c r="AY938" s="33">
        <f>IF(MID(E938,5,1)*1=2,$AG$66,$AF$66)</f>
        <v>1</v>
      </c>
      <c r="AZ938" s="2"/>
      <c r="BA938" s="101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</row>
    <row r="939" spans="1:71" ht="12" customHeight="1">
      <c r="A939" s="2"/>
      <c r="B939" s="107">
        <v>258</v>
      </c>
      <c r="C939" s="31">
        <v>4</v>
      </c>
      <c r="D939" s="106" t="s">
        <v>16</v>
      </c>
      <c r="E939" s="2" t="s">
        <v>79</v>
      </c>
      <c r="F939" s="2" t="s">
        <v>149</v>
      </c>
      <c r="G939" s="2"/>
      <c r="H939" s="33">
        <f>AX939*2</f>
        <v>2</v>
      </c>
      <c r="I939" s="173">
        <f>M939/AE939</f>
        <v>262.62795460115638</v>
      </c>
      <c r="J939" s="174">
        <f>AH939/AE939</f>
        <v>15.035815312073359</v>
      </c>
      <c r="K939" s="207">
        <f>RANK(I939,$I$76:$I$977)</f>
        <v>863</v>
      </c>
      <c r="L939" s="208" t="e">
        <f>RANK(I939,$I$76:$I$450)</f>
        <v>#N/A</v>
      </c>
      <c r="M939" s="173">
        <f>SUM(N939:R939)</f>
        <v>1572.0142488797785</v>
      </c>
      <c r="N939" s="174">
        <f>T939*(1+((AG939+IF(F939="백어택",8,0))/100)*((AI939/100-1)))</f>
        <v>1572.0142488797785</v>
      </c>
      <c r="O939" s="174"/>
      <c r="P939" s="174"/>
      <c r="Q939" s="174"/>
      <c r="R939" s="175"/>
      <c r="S939" s="173">
        <f>SUM(T939:X939)*H939</f>
        <v>2160.4418188858535</v>
      </c>
      <c r="T939" s="174">
        <f>AL939*AU939*AY939*IF(F939="백어택",1.2,1)</f>
        <v>1080.2209094429268</v>
      </c>
      <c r="U939" s="174"/>
      <c r="V939" s="174"/>
      <c r="W939" s="174"/>
      <c r="X939" s="175"/>
      <c r="Y939" s="173">
        <f>SUM(Z939:AD939)</f>
        <v>2160.4418188858535</v>
      </c>
      <c r="Z939" s="174">
        <f>T939*$D$58/100</f>
        <v>2160.4418188858535</v>
      </c>
      <c r="AA939" s="174"/>
      <c r="AB939" s="174"/>
      <c r="AC939" s="174"/>
      <c r="AD939" s="175"/>
      <c r="AE939" s="173">
        <f>AO939*(1-$D$17/100)</f>
        <v>5.9857079999999998</v>
      </c>
      <c r="AF939" s="174">
        <f>AP939</f>
        <v>36</v>
      </c>
      <c r="AG939" s="174">
        <f>IF($D$57+AT939&gt;100,100,$D$57+AT939)</f>
        <v>19.001300000000001</v>
      </c>
      <c r="AH939" s="174">
        <f>AQ939*AR939</f>
        <v>90</v>
      </c>
      <c r="AI939" s="174">
        <f>$D$58+$D$19</f>
        <v>268.61079999999998</v>
      </c>
      <c r="AJ939" s="174">
        <f>10*AS939/IF(AX939=1,5,3.5)</f>
        <v>1.8</v>
      </c>
      <c r="AK939" s="174">
        <f>SUM(AL939:AN939)</f>
        <v>900.18409120243905</v>
      </c>
      <c r="AL939" s="174">
        <f>((VLOOKUP(C939,$B$36:$AG$39,23,FALSE)+VLOOKUP(C939,$B$40:$AG$43,23,FALSE)*$D$54))*$D$59/100</f>
        <v>900.18409120243905</v>
      </c>
      <c r="AM939" s="174"/>
      <c r="AN939" s="174"/>
      <c r="AO939" s="176">
        <v>6</v>
      </c>
      <c r="AP939" s="174">
        <v>36</v>
      </c>
      <c r="AQ939" s="175">
        <f>VLOOKUP(C939,$B$45:$AA$48,23,FALSE)</f>
        <v>90</v>
      </c>
      <c r="AR939" s="31">
        <f>IF(LEFT(E939,1)*1=1,$S$66,$R$66)</f>
        <v>1</v>
      </c>
      <c r="AS939" s="2">
        <f>IF(LEFT(E939,1)*1=2,$U$66,$T$66)</f>
        <v>0.9</v>
      </c>
      <c r="AT939" s="33">
        <f>IF(LEFT(E939,1)*1=3,$W$66,$V$66)</f>
        <v>0</v>
      </c>
      <c r="AU939" s="31">
        <f>IF(MID(E939,3,1)*1=1,$Y$66,$X$66)</f>
        <v>1</v>
      </c>
      <c r="AV939" s="2">
        <f>IF(MID(E939,3,1)*1=2,$AA$66,$Z$66)</f>
        <v>0</v>
      </c>
      <c r="AW939" s="33">
        <f>IF(MID(E939,3,1)*1=3,$AC$66,$AB$66)</f>
        <v>0</v>
      </c>
      <c r="AX939" s="31">
        <f>IF(MID(E939,5,1)*1=1,$AE$66,$AD$66)</f>
        <v>1</v>
      </c>
      <c r="AY939" s="33">
        <f>IF(MID(E939,5,1)*1=2,$AG$66,$AF$66)</f>
        <v>1</v>
      </c>
      <c r="AZ939" s="2"/>
      <c r="BA939" s="101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</row>
    <row r="940" spans="1:71" ht="12" customHeight="1">
      <c r="A940" s="2"/>
      <c r="B940" s="107">
        <v>277</v>
      </c>
      <c r="C940" s="31">
        <v>7</v>
      </c>
      <c r="D940" s="106" t="s">
        <v>16</v>
      </c>
      <c r="E940" s="2" t="s">
        <v>87</v>
      </c>
      <c r="F940" s="2"/>
      <c r="G940" s="2"/>
      <c r="H940" s="33">
        <f>AX940*2</f>
        <v>2</v>
      </c>
      <c r="I940" s="173">
        <f>M940/AE940</f>
        <v>255.4215418788024</v>
      </c>
      <c r="J940" s="174">
        <f>AH940/AE940</f>
        <v>27.23153217631064</v>
      </c>
      <c r="K940" s="207">
        <f>RANK(I940,$I$76:$I$977)</f>
        <v>865</v>
      </c>
      <c r="L940" s="208" t="e">
        <f>RANK(I940,$I$76:$I$450)</f>
        <v>#N/A</v>
      </c>
      <c r="M940" s="173">
        <f>SUM(N940:R940)</f>
        <v>1528.8787665962825</v>
      </c>
      <c r="N940" s="174">
        <f>T940*(1+((AG940+IF(F940="백어택",8,0))/100)*((AI940/100-1)))</f>
        <v>1528.8787665962825</v>
      </c>
      <c r="O940" s="174"/>
      <c r="P940" s="174"/>
      <c r="Q940" s="174"/>
      <c r="R940" s="175"/>
      <c r="S940" s="173">
        <f>SUM(T940:X940)*H940</f>
        <v>1943.5328148195124</v>
      </c>
      <c r="T940" s="174">
        <f>AL940*AU940*AY940*IF(F940="백어택",1.2,1)</f>
        <v>971.7664074097562</v>
      </c>
      <c r="U940" s="174"/>
      <c r="V940" s="174"/>
      <c r="W940" s="174"/>
      <c r="X940" s="175"/>
      <c r="Y940" s="173">
        <f>SUM(Z940:AD940)</f>
        <v>1943.5328148195124</v>
      </c>
      <c r="Z940" s="174">
        <f>T940*$D$58/100</f>
        <v>1943.5328148195124</v>
      </c>
      <c r="AA940" s="174"/>
      <c r="AB940" s="174"/>
      <c r="AC940" s="174"/>
      <c r="AD940" s="175"/>
      <c r="AE940" s="173">
        <f>AO940*(1-$D$17/100)</f>
        <v>5.9857079999999998</v>
      </c>
      <c r="AF940" s="174">
        <f>AP940</f>
        <v>36</v>
      </c>
      <c r="AG940" s="174">
        <f>IF($D$57+AT940&gt;100,100,$D$57+AT940)</f>
        <v>34.001300000000001</v>
      </c>
      <c r="AH940" s="174">
        <f>AQ940*AR940</f>
        <v>163</v>
      </c>
      <c r="AI940" s="174">
        <f>$D$58+$D$19</f>
        <v>268.61079999999998</v>
      </c>
      <c r="AJ940" s="174">
        <f>10*AS940/IF(AX940=1,5,3.5)</f>
        <v>2</v>
      </c>
      <c r="AK940" s="174">
        <f>SUM(AL940:AN940)</f>
        <v>971.7664074097562</v>
      </c>
      <c r="AL940" s="174">
        <f>((VLOOKUP(C940,$B$36:$AG$39,23,FALSE)+VLOOKUP(C940,$B$40:$AG$43,23,FALSE)*$D$54))*$D$59/100</f>
        <v>971.7664074097562</v>
      </c>
      <c r="AM940" s="174"/>
      <c r="AN940" s="174"/>
      <c r="AO940" s="176">
        <v>6</v>
      </c>
      <c r="AP940" s="174">
        <v>36</v>
      </c>
      <c r="AQ940" s="175">
        <f>VLOOKUP(C940,$B$45:$AA$48,23,FALSE)</f>
        <v>163</v>
      </c>
      <c r="AR940" s="31">
        <f>IF(LEFT(E940,1)*1=1,$S$66,$R$66)</f>
        <v>1</v>
      </c>
      <c r="AS940" s="2">
        <f>IF(LEFT(E940,1)*1=2,$U$66,$T$66)</f>
        <v>1</v>
      </c>
      <c r="AT940" s="33">
        <f>IF(LEFT(E940,1)*1=3,$W$66,$V$66)</f>
        <v>15</v>
      </c>
      <c r="AU940" s="31">
        <f>IF(MID(E940,3,1)*1=1,$Y$66,$X$66)</f>
        <v>1</v>
      </c>
      <c r="AV940" s="2">
        <f>IF(MID(E940,3,1)*1=2,$AA$66,$Z$66)</f>
        <v>0</v>
      </c>
      <c r="AW940" s="33">
        <f>IF(MID(E940,3,1)*1=3,$AC$66,$AB$66)</f>
        <v>0</v>
      </c>
      <c r="AX940" s="31">
        <f>IF(MID(E940,5,1)*1=1,$AE$66,$AD$66)</f>
        <v>1</v>
      </c>
      <c r="AY940" s="33">
        <f>IF(MID(E940,5,1)*1=2,$AG$66,$AF$66)</f>
        <v>1</v>
      </c>
      <c r="AZ940" s="2"/>
      <c r="BA940" s="101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</row>
    <row r="941" spans="1:71" ht="12" customHeight="1">
      <c r="A941" s="2"/>
      <c r="B941" s="107">
        <v>667</v>
      </c>
      <c r="C941" s="31">
        <v>1</v>
      </c>
      <c r="D941" s="111" t="s">
        <v>18</v>
      </c>
      <c r="E941" s="2" t="s">
        <v>67</v>
      </c>
      <c r="F941" s="2"/>
      <c r="G941" s="1"/>
      <c r="H941" s="33" t="s">
        <v>80</v>
      </c>
      <c r="I941" s="173">
        <f>M941/AE941</f>
        <v>250.36459216253039</v>
      </c>
      <c r="J941" s="174">
        <f>AH941/AE941</f>
        <v>5.4639558131976278</v>
      </c>
      <c r="K941" s="207">
        <f>RANK(I941,$I$76:$I$977)</f>
        <v>866</v>
      </c>
      <c r="L941" s="208" t="e">
        <f>RANK(I941,$I$451:$I$866)</f>
        <v>#N/A</v>
      </c>
      <c r="M941" s="173">
        <f>SUM(N941:R941)</f>
        <v>4627.9334374077152</v>
      </c>
      <c r="N941" s="174">
        <f>T941*(1+((AG941+IF(F941="백어택",8,0))/100)*(AI941/100-1))</f>
        <v>2762.7321991090835</v>
      </c>
      <c r="O941" s="174">
        <f>U941*(1+(($D$57+IF(F941="백어택",8,0))/100)*(AI941/100-1))</f>
        <v>1865.2012382986313</v>
      </c>
      <c r="P941" s="174"/>
      <c r="Q941" s="174"/>
      <c r="R941" s="175"/>
      <c r="S941" s="173">
        <f>SUM(T941:X941)</f>
        <v>3888.97721067561</v>
      </c>
      <c r="T941" s="174">
        <f>AL941*IF(H941="근접",AT941,IF(AV941=1,AT941,1))*AX941*IF(F941="백어택",1.2,1)</f>
        <v>2321.5983347317074</v>
      </c>
      <c r="U941" s="174">
        <f>IF(AX941=1,AM941*IF(H941="근접",AT941,IF(AV941=1,AT941,1)),0)*AY941*IF(AX941=1,1,0)*IF(F941="백어택",1.2,1)</f>
        <v>1567.3788759439026</v>
      </c>
      <c r="V941" s="174"/>
      <c r="W941" s="174"/>
      <c r="X941" s="175"/>
      <c r="Y941" s="173">
        <f>SUM(Z941:AD941)</f>
        <v>7777.9544213512199</v>
      </c>
      <c r="Z941" s="174">
        <f>T941*$D$58/100</f>
        <v>4643.1966694634148</v>
      </c>
      <c r="AA941" s="174">
        <f>U941*$D$58/100</f>
        <v>3134.7577518878052</v>
      </c>
      <c r="AB941" s="174"/>
      <c r="AC941" s="174"/>
      <c r="AD941" s="175"/>
      <c r="AE941" s="173">
        <f>(AO941*(1-$D$20/100)*(1-$D$17/100)-AR941)*IF(AW941="보스대상",1,POWER(0.85,AW941))</f>
        <v>18.484776131615998</v>
      </c>
      <c r="AF941" s="174">
        <f>AP941</f>
        <v>36</v>
      </c>
      <c r="AG941" s="174">
        <f>IF($D$57+AU941&gt;100,100,$D$57+AU941)</f>
        <v>19.001300000000001</v>
      </c>
      <c r="AH941" s="174">
        <f>AQ941</f>
        <v>101</v>
      </c>
      <c r="AI941" s="174">
        <f>$D$58</f>
        <v>200</v>
      </c>
      <c r="AJ941" s="174">
        <f>10*AS941/IF(AX941=1,IF(AY941=1,4.5,4),4)</f>
        <v>2.2222222222222223</v>
      </c>
      <c r="AK941" s="174">
        <f>SUM(AL941:AN941)</f>
        <v>3888.97721067561</v>
      </c>
      <c r="AL941" s="174">
        <f>IF(AV941=1,$D$61*(VLOOKUP(C941,$B$36:$AG$39,25,FALSE)+VLOOKUP(C941,$B$40:$AG$43,25,FALSE)*$D$54),(IF(H941="근접",$D$61*(VLOOKUP(C941,$B$36:$AG$39,25,FALSE)+VLOOKUP(C941,$B$40:$AG$43,25,FALSE)*$D$54),$D$60*(VLOOKUP(C941,$B$36:$AG$39,25,FALSE)+VLOOKUP(C941,$B$40:$AG$43,25,FALSE)*$D$54))))*$D$59/100</f>
        <v>2321.5983347317074</v>
      </c>
      <c r="AM941" s="174">
        <f>(IF(AV941=1,$D$61*(VLOOKUP(C941,$B$36:$AG$39,26,FALSE)+VLOOKUP(C941,$B$40:$AG$43,26,FALSE)*$D$54),IF(H941="근접",$D$61*(VLOOKUP(C941,$B$36:$AG$39,26,FALSE)+VLOOKUP(C941,$B$40:$AG$43,26,FALSE)*$D$54),$D$60*(VLOOKUP(C941,$B$36:$AG$39,26,FALSE)+VLOOKUP(C941,$B$40:$AG$43,26,FALSE)*$D$54))))*$D$59/100</f>
        <v>1567.3788759439026</v>
      </c>
      <c r="AN941" s="174"/>
      <c r="AO941" s="176">
        <v>24</v>
      </c>
      <c r="AP941" s="174">
        <v>36</v>
      </c>
      <c r="AQ941" s="175">
        <f>VLOOKUP(C941,$B$45:$AA$48,25,FALSE)</f>
        <v>101</v>
      </c>
      <c r="AR941" s="31">
        <f>IF(LEFT(E941,1)*1=1,$S$68,$R$68)</f>
        <v>0</v>
      </c>
      <c r="AS941" s="2">
        <f>IF(LEFT(E941,1)*1=2,$U$68,$T$68)</f>
        <v>1</v>
      </c>
      <c r="AT941" s="33">
        <f>IF(LEFT(E941,1)*1=3,$W$68,$V$68)</f>
        <v>1</v>
      </c>
      <c r="AU941" s="31">
        <f>IF(MID(E941,3,1)*1=1,$Y$68,$X$68)</f>
        <v>0</v>
      </c>
      <c r="AV941" s="2">
        <f>IF(MID(E941,3,1)*1=2,$AA$68,$Z$68)</f>
        <v>0</v>
      </c>
      <c r="AW941" s="33" t="str">
        <f>IF(MID(E941,3,1)*1=3,$AC$68,$AB$68)</f>
        <v>보스대상</v>
      </c>
      <c r="AX941" s="31">
        <f>IF(MID(E941,5,1)*1=1,$AE$68,$AD$68)</f>
        <v>1</v>
      </c>
      <c r="AY941" s="33">
        <f>IF(MID(E941,5,1)*1=2,$AG$68,$AF$68)</f>
        <v>1</v>
      </c>
      <c r="AZ941" s="2"/>
      <c r="BA941" s="101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</row>
    <row r="942" spans="1:71" ht="12" customHeight="1">
      <c r="A942" s="2"/>
      <c r="B942" s="107">
        <v>375</v>
      </c>
      <c r="C942" s="31">
        <v>1</v>
      </c>
      <c r="D942" s="106" t="s">
        <v>20</v>
      </c>
      <c r="E942" s="2" t="s">
        <v>67</v>
      </c>
      <c r="F942" s="2"/>
      <c r="G942" s="2"/>
      <c r="H942" s="33"/>
      <c r="I942" s="173">
        <f>M942/AE942</f>
        <v>242.78837354811517</v>
      </c>
      <c r="J942" s="174">
        <f>AH942/AE942</f>
        <v>4.7334974130601317</v>
      </c>
      <c r="K942" s="207">
        <f>RANK(I942,$I$76:$I$977)</f>
        <v>867</v>
      </c>
      <c r="L942" s="208" t="e">
        <f>RANK(I942,$I$76:$I$450)</f>
        <v>#N/A</v>
      </c>
      <c r="M942" s="173">
        <f>SUM(N942:R942)</f>
        <v>4359.7809295618245</v>
      </c>
      <c r="N942" s="174">
        <f>T942*(1+((AG942+IF(F942="백어택",8,0))/100)*((AI942/100-1)))</f>
        <v>2293.3465371956941</v>
      </c>
      <c r="O942" s="174">
        <f>U942*(1+(($D$57+IF(F942="백어택",8,0))/100)*($D$58/100-1))</f>
        <v>2066.4343923661309</v>
      </c>
      <c r="P942" s="174"/>
      <c r="Q942" s="174"/>
      <c r="R942" s="175"/>
      <c r="S942" s="173">
        <f>SUM(T942:X942)</f>
        <v>3473.3610388560978</v>
      </c>
      <c r="T942" s="174">
        <f>AL942*AV942*IF(F942="백어택",1.2,1)</f>
        <v>1736.880519428049</v>
      </c>
      <c r="U942" s="174">
        <f>AM942*AX942*AY942*IF(F942="백어택",1.2,1)</f>
        <v>1736.4805194280489</v>
      </c>
      <c r="V942" s="174"/>
      <c r="W942" s="174"/>
      <c r="X942" s="175"/>
      <c r="Y942" s="173">
        <f>SUM(Z942:AD942)</f>
        <v>6946.7220777121956</v>
      </c>
      <c r="Z942" s="174">
        <f>T942*$D$58/100</f>
        <v>3473.7610388560979</v>
      </c>
      <c r="AA942" s="174">
        <f>U942*$D$58/100</f>
        <v>3472.9610388560977</v>
      </c>
      <c r="AB942" s="174"/>
      <c r="AC942" s="174"/>
      <c r="AD942" s="175"/>
      <c r="AE942" s="173">
        <f>AO942*(1-$D$17/100)-AR942</f>
        <v>17.957124</v>
      </c>
      <c r="AF942" s="174">
        <f>AP942</f>
        <v>36</v>
      </c>
      <c r="AG942" s="174">
        <f>IF($D$57+AU942&gt;100,100,$D$57+AU942)</f>
        <v>19.001300000000001</v>
      </c>
      <c r="AH942" s="174">
        <f>AQ942*AS942</f>
        <v>85</v>
      </c>
      <c r="AI942" s="174">
        <f>$D$58+$D$19</f>
        <v>268.61079999999998</v>
      </c>
      <c r="AJ942" s="174">
        <f>10*IF(AV942=1,1,5/4.5)/IF(AX942=1,5,3.5)</f>
        <v>2</v>
      </c>
      <c r="AK942" s="174">
        <f>SUM(AL942:AN942)</f>
        <v>3473.3610388560978</v>
      </c>
      <c r="AL942" s="174">
        <f>(VLOOKUP(C942,$B$36:$AG$39,29,FALSE)+VLOOKUP(C942,$B$40:$AG$43,29,FALSE)*$D$54)*$D$59/100</f>
        <v>1736.880519428049</v>
      </c>
      <c r="AM942" s="174">
        <f>(VLOOKUP(C942,$B$36:$AG$39,30,FALSE)+VLOOKUP(C942,$B$40:$AG$43,30,FALSE)*$D$54)*$D$59/100</f>
        <v>1736.4805194280489</v>
      </c>
      <c r="AN942" s="174"/>
      <c r="AO942" s="176">
        <v>18</v>
      </c>
      <c r="AP942" s="174">
        <v>36</v>
      </c>
      <c r="AQ942" s="175">
        <f>VLOOKUP(C942,$B$45:$AG$48,29,FALSE)</f>
        <v>85</v>
      </c>
      <c r="AR942" s="31">
        <f>IF(LEFT(E942,1)*1=1,$S$70,$R$70)</f>
        <v>0</v>
      </c>
      <c r="AS942" s="2">
        <f>IF(LEFT(E942,1)*1=2,$U$70,$T$70)</f>
        <v>1</v>
      </c>
      <c r="AT942" s="33">
        <f>IF(LEFT(E942,1)*1=3,$W$70,$V$70)</f>
        <v>0</v>
      </c>
      <c r="AU942" s="31">
        <f>IF(MID(E942,3,1)*1=1,$Y$70,$X$70)</f>
        <v>0</v>
      </c>
      <c r="AV942" s="2">
        <f>IF(MID(E942,3,1)*1=2,$AA$70,$Z$70)</f>
        <v>1</v>
      </c>
      <c r="AW942" s="33">
        <f>IF(MID(E942,3,1)*1=3,$AC$70,$AB$70)</f>
        <v>0</v>
      </c>
      <c r="AX942" s="31">
        <f>IF(MID(E942,5,1)*1=1,$AE$70,$AD$70)</f>
        <v>1</v>
      </c>
      <c r="AY942" s="33">
        <f>IF(MID(E942,5,1)*1=2,$AG$70,$AF$70)</f>
        <v>1</v>
      </c>
      <c r="AZ942" s="2"/>
      <c r="BA942" s="101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</row>
    <row r="943" spans="1:71" ht="12" customHeight="1">
      <c r="A943" s="2"/>
      <c r="B943" s="107">
        <v>134</v>
      </c>
      <c r="C943" s="31">
        <v>10</v>
      </c>
      <c r="D943" s="106" t="s">
        <v>7</v>
      </c>
      <c r="E943" s="2" t="s">
        <v>92</v>
      </c>
      <c r="F943" s="2"/>
      <c r="G943" s="2"/>
      <c r="H943" s="33"/>
      <c r="I943" s="173">
        <f>M943/AE943</f>
        <v>242.3747961721987</v>
      </c>
      <c r="J943" s="174">
        <f>AH943/AE943</f>
        <v>49.51023339726175</v>
      </c>
      <c r="K943" s="207">
        <f>RANK(I943,$I$76:$I$977)</f>
        <v>868</v>
      </c>
      <c r="L943" s="208" t="e">
        <f>RANK(I943,$I$76:$I$450)</f>
        <v>#N/A</v>
      </c>
      <c r="M943" s="173">
        <f>N943+R943/2</f>
        <v>1449.0527461528527</v>
      </c>
      <c r="N943" s="174">
        <f>T943*(1+((AG943+IF(F943="백어택",8,0))/100)*((AI943/100-1)))</f>
        <v>1449.0527461528527</v>
      </c>
      <c r="O943" s="174"/>
      <c r="P943" s="174"/>
      <c r="Q943" s="174"/>
      <c r="R943" s="175">
        <f>X943*(1+(AG943/100)*(AI943/100-1))</f>
        <v>0</v>
      </c>
      <c r="S943" s="173">
        <f>SUM(T943:X943)</f>
        <v>1097.4492714451219</v>
      </c>
      <c r="T943" s="174">
        <f>AL943*AV943*AX943</f>
        <v>1097.4492714451219</v>
      </c>
      <c r="U943" s="174"/>
      <c r="V943" s="174"/>
      <c r="W943" s="174"/>
      <c r="X943" s="175">
        <f>AS943*AL943</f>
        <v>0</v>
      </c>
      <c r="Y943" s="173">
        <f>SUM(Z943:AD943)</f>
        <v>2194.8985428902438</v>
      </c>
      <c r="Z943" s="174">
        <f>T943*$D$58/100</f>
        <v>2194.8985428902438</v>
      </c>
      <c r="AA943" s="174"/>
      <c r="AB943" s="174"/>
      <c r="AC943" s="174"/>
      <c r="AD943" s="175">
        <f>X943*$D$58/100</f>
        <v>0</v>
      </c>
      <c r="AE943" s="173">
        <f>AO943*(1-$D$17/100)-AY943</f>
        <v>5.9785620000000002</v>
      </c>
      <c r="AF943" s="174">
        <f>AP943</f>
        <v>36</v>
      </c>
      <c r="AG943" s="174">
        <f>IF($D$57&gt;100,100,$D$57)</f>
        <v>19.001300000000001</v>
      </c>
      <c r="AH943" s="174">
        <f>AQ943*AR943</f>
        <v>296</v>
      </c>
      <c r="AI943" s="174">
        <f>$D$58+$D$19</f>
        <v>268.61079999999998</v>
      </c>
      <c r="AJ943" s="174">
        <f>10*AX943*AU943/9</f>
        <v>1.1111111111111112</v>
      </c>
      <c r="AK943" s="174">
        <f>SUM(AL943:AN943)</f>
        <v>1097.4492714451219</v>
      </c>
      <c r="AL943" s="174">
        <f>(VLOOKUP(C943,$B$36:$AG$39,8,FALSE)+VLOOKUP(C943,$B$40:$AG$43,8,FALSE)*$D$54)*$D$59/100</f>
        <v>1097.4492714451219</v>
      </c>
      <c r="AM943" s="174"/>
      <c r="AN943" s="174"/>
      <c r="AO943" s="176">
        <v>9</v>
      </c>
      <c r="AP943" s="174">
        <v>36</v>
      </c>
      <c r="AQ943" s="175">
        <f>VLOOKUP(C943,$B$45:$AA$48,8,FALSE)</f>
        <v>296</v>
      </c>
      <c r="AR943" s="31">
        <f>IF(LEFT(E943,1)*1=1,$S$57,$R$57)</f>
        <v>1</v>
      </c>
      <c r="AS943" s="2">
        <f>IF(LEFT(E943,1)*1=2,$U$57,$T$57)</f>
        <v>0</v>
      </c>
      <c r="AT943" s="33">
        <f>IF(LEFT(E943,1)*1=3,$W$57,$V$57)</f>
        <v>0</v>
      </c>
      <c r="AU943" s="31">
        <f>IF(MID(E943,3,1)*1=1,$Y$57,$X$57)</f>
        <v>1</v>
      </c>
      <c r="AV943" s="2">
        <f>IF(MID(E943,3,1)*1=2,$AA$57,$Z$57)</f>
        <v>1</v>
      </c>
      <c r="AW943" s="33">
        <f>IF(MID(E943,3,1)*1=3,$AC$57,$AB$57)</f>
        <v>0</v>
      </c>
      <c r="AX943" s="31">
        <f>IF(MID(E943,5,1)*1=1,$AE$57,$AD$57)</f>
        <v>1</v>
      </c>
      <c r="AY943" s="33">
        <f>IF(MID(E943,5,1)*1=2,$AG$57,$AF$57)</f>
        <v>3</v>
      </c>
      <c r="AZ943" s="2"/>
      <c r="BA943" s="101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</row>
    <row r="944" spans="1:71" ht="12" customHeight="1">
      <c r="A944" s="2"/>
      <c r="B944" s="107">
        <v>135</v>
      </c>
      <c r="C944" s="31">
        <v>10</v>
      </c>
      <c r="D944" s="106" t="s">
        <v>7</v>
      </c>
      <c r="E944" s="2" t="s">
        <v>139</v>
      </c>
      <c r="F944" s="2"/>
      <c r="G944" s="2"/>
      <c r="H944" s="33"/>
      <c r="I944" s="173">
        <f>M944/AE944</f>
        <v>242.3747961721987</v>
      </c>
      <c r="J944" s="174">
        <f>AH944/AE944</f>
        <v>49.51023339726175</v>
      </c>
      <c r="K944" s="207">
        <f>RANK(I944,$I$76:$I$977)</f>
        <v>868</v>
      </c>
      <c r="L944" s="208" t="e">
        <f>RANK(I944,$I$76:$I$450)</f>
        <v>#N/A</v>
      </c>
      <c r="M944" s="173">
        <f>N944+R944/2</f>
        <v>1449.0527461528527</v>
      </c>
      <c r="N944" s="174">
        <f>T944*(1+((AG944+IF(F944="백어택",8,0))/100)*((AI944/100-1)))</f>
        <v>1449.0527461528527</v>
      </c>
      <c r="O944" s="174"/>
      <c r="P944" s="174"/>
      <c r="Q944" s="174"/>
      <c r="R944" s="175">
        <f>X944*(1+(AG944/100)*(AI944/100-1))</f>
        <v>0</v>
      </c>
      <c r="S944" s="173">
        <f>SUM(T944:X944)</f>
        <v>1097.4492714451219</v>
      </c>
      <c r="T944" s="174">
        <f>AL944*AV944*AX944</f>
        <v>1097.4492714451219</v>
      </c>
      <c r="U944" s="174"/>
      <c r="V944" s="174"/>
      <c r="W944" s="174"/>
      <c r="X944" s="175">
        <f>AS944*AL944</f>
        <v>0</v>
      </c>
      <c r="Y944" s="173">
        <f>SUM(Z944:AD944)</f>
        <v>2194.8985428902438</v>
      </c>
      <c r="Z944" s="174">
        <f>T944*$D$58/100</f>
        <v>2194.8985428902438</v>
      </c>
      <c r="AA944" s="174"/>
      <c r="AB944" s="174"/>
      <c r="AC944" s="174"/>
      <c r="AD944" s="175">
        <f>X944*$D$58/100</f>
        <v>0</v>
      </c>
      <c r="AE944" s="173">
        <f>AO944*(1-$D$17/100)-AY944</f>
        <v>5.9785620000000002</v>
      </c>
      <c r="AF944" s="174">
        <f>AP944</f>
        <v>36</v>
      </c>
      <c r="AG944" s="174">
        <f>IF($D$57&gt;100,100,$D$57)</f>
        <v>19.001300000000001</v>
      </c>
      <c r="AH944" s="174">
        <f>AQ944*AR944</f>
        <v>296</v>
      </c>
      <c r="AI944" s="174">
        <f>$D$58+$D$19</f>
        <v>268.61079999999998</v>
      </c>
      <c r="AJ944" s="174">
        <f>10*AX944*AU944/9</f>
        <v>0.88888888888888884</v>
      </c>
      <c r="AK944" s="174">
        <f>SUM(AL944:AN944)</f>
        <v>1097.4492714451219</v>
      </c>
      <c r="AL944" s="174">
        <f>(VLOOKUP(C944,$B$36:$AG$39,8,FALSE)+VLOOKUP(C944,$B$40:$AG$43,8,FALSE)*$D$54)*$D$59/100</f>
        <v>1097.4492714451219</v>
      </c>
      <c r="AM944" s="174"/>
      <c r="AN944" s="174"/>
      <c r="AO944" s="176">
        <v>9</v>
      </c>
      <c r="AP944" s="174">
        <v>36</v>
      </c>
      <c r="AQ944" s="175">
        <f>VLOOKUP(C944,$B$45:$AA$48,8,FALSE)</f>
        <v>296</v>
      </c>
      <c r="AR944" s="31">
        <f>IF(LEFT(E944,1)*1=1,$S$57,$R$57)</f>
        <v>1</v>
      </c>
      <c r="AS944" s="2">
        <f>IF(LEFT(E944,1)*1=2,$U$57,$T$57)</f>
        <v>0</v>
      </c>
      <c r="AT944" s="33">
        <f>IF(LEFT(E944,1)*1=3,$W$57,$V$57)</f>
        <v>0</v>
      </c>
      <c r="AU944" s="31">
        <f>IF(MID(E944,3,1)*1=1,$Y$57,$X$57)</f>
        <v>0.8</v>
      </c>
      <c r="AV944" s="2">
        <f>IF(MID(E944,3,1)*1=2,$AA$57,$Z$57)</f>
        <v>1</v>
      </c>
      <c r="AW944" s="33">
        <f>IF(MID(E944,3,1)*1=3,$AC$57,$AB$57)</f>
        <v>0</v>
      </c>
      <c r="AX944" s="31">
        <f>IF(MID(E944,5,1)*1=1,$AE$57,$AD$57)</f>
        <v>1</v>
      </c>
      <c r="AY944" s="33">
        <f>IF(MID(E944,5,1)*1=2,$AG$57,$AF$57)</f>
        <v>3</v>
      </c>
      <c r="AZ944" s="2"/>
      <c r="BA944" s="101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</row>
    <row r="945" spans="1:71" ht="12" customHeight="1">
      <c r="A945" s="2"/>
      <c r="B945" s="107">
        <v>137</v>
      </c>
      <c r="C945" s="31">
        <v>10</v>
      </c>
      <c r="D945" s="106" t="s">
        <v>7</v>
      </c>
      <c r="E945" s="2" t="s">
        <v>151</v>
      </c>
      <c r="F945" s="2"/>
      <c r="G945" s="2"/>
      <c r="H945" s="33"/>
      <c r="I945" s="173">
        <f>M945/AE945</f>
        <v>242.3747961721987</v>
      </c>
      <c r="J945" s="174">
        <f>AH945/AE945</f>
        <v>24.755116698630875</v>
      </c>
      <c r="K945" s="207">
        <f>RANK(I945,$I$76:$I$977)</f>
        <v>868</v>
      </c>
      <c r="L945" s="208" t="e">
        <f>RANK(I945,$I$76:$I$450)</f>
        <v>#N/A</v>
      </c>
      <c r="M945" s="173">
        <f>N945+R945/2</f>
        <v>1449.0527461528527</v>
      </c>
      <c r="N945" s="174">
        <f>T945*(1+((AG945+IF(F945="백어택",8,0))/100)*((AI945/100-1)))</f>
        <v>1449.0527461528527</v>
      </c>
      <c r="O945" s="174"/>
      <c r="P945" s="174"/>
      <c r="Q945" s="174"/>
      <c r="R945" s="175">
        <f>X945*(1+(AG945/100)*(AI945/100-1))</f>
        <v>0</v>
      </c>
      <c r="S945" s="173">
        <f>SUM(T945:X945)</f>
        <v>1097.4492714451219</v>
      </c>
      <c r="T945" s="174">
        <f>AL945*AV945*AX945</f>
        <v>1097.4492714451219</v>
      </c>
      <c r="U945" s="174"/>
      <c r="V945" s="174"/>
      <c r="W945" s="174"/>
      <c r="X945" s="175">
        <f>AS945*AL945</f>
        <v>0</v>
      </c>
      <c r="Y945" s="173">
        <f>SUM(Z945:AD945)</f>
        <v>2194.8985428902438</v>
      </c>
      <c r="Z945" s="174">
        <f>T945*$D$58/100</f>
        <v>2194.8985428902438</v>
      </c>
      <c r="AA945" s="174"/>
      <c r="AB945" s="174"/>
      <c r="AC945" s="174"/>
      <c r="AD945" s="175">
        <f>X945*$D$58/100</f>
        <v>0</v>
      </c>
      <c r="AE945" s="173">
        <f>AO945*(1-$D$17/100)-AY945</f>
        <v>5.9785620000000002</v>
      </c>
      <c r="AF945" s="174">
        <f>AP945</f>
        <v>36</v>
      </c>
      <c r="AG945" s="174">
        <f>IF($D$57&gt;100,100,$D$57)</f>
        <v>19.001300000000001</v>
      </c>
      <c r="AH945" s="174">
        <f>AQ945*AR945</f>
        <v>148</v>
      </c>
      <c r="AI945" s="174">
        <f>$D$58+$D$19</f>
        <v>268.61079999999998</v>
      </c>
      <c r="AJ945" s="174">
        <f>10*AX945*AU945/9</f>
        <v>1.1111111111111112</v>
      </c>
      <c r="AK945" s="174">
        <f>SUM(AL945:AN945)</f>
        <v>1097.4492714451219</v>
      </c>
      <c r="AL945" s="174">
        <f>(VLOOKUP(C945,$B$36:$AG$39,8,FALSE)+VLOOKUP(C945,$B$40:$AG$43,8,FALSE)*$D$54)*$D$59/100</f>
        <v>1097.4492714451219</v>
      </c>
      <c r="AM945" s="174"/>
      <c r="AN945" s="174"/>
      <c r="AO945" s="176">
        <v>9</v>
      </c>
      <c r="AP945" s="174">
        <v>36</v>
      </c>
      <c r="AQ945" s="175">
        <f>VLOOKUP(C945,$B$45:$AA$48,8,FALSE)</f>
        <v>296</v>
      </c>
      <c r="AR945" s="31">
        <f>IF(LEFT(E945,1)*1=1,$S$57,$R$57)</f>
        <v>0.5</v>
      </c>
      <c r="AS945" s="2">
        <f>IF(LEFT(E945,1)*1=2,$U$57,$T$57)</f>
        <v>0</v>
      </c>
      <c r="AT945" s="33">
        <f>IF(LEFT(E945,1)*1=3,$W$57,$V$57)</f>
        <v>0</v>
      </c>
      <c r="AU945" s="31">
        <f>IF(MID(E945,3,1)*1=1,$Y$57,$X$57)</f>
        <v>1</v>
      </c>
      <c r="AV945" s="2">
        <f>IF(MID(E945,3,1)*1=2,$AA$57,$Z$57)</f>
        <v>1</v>
      </c>
      <c r="AW945" s="33">
        <f>IF(MID(E945,3,1)*1=3,$AC$57,$AB$57)</f>
        <v>0</v>
      </c>
      <c r="AX945" s="31">
        <f>IF(MID(E945,5,1)*1=1,$AE$57,$AD$57)</f>
        <v>1</v>
      </c>
      <c r="AY945" s="33">
        <f>IF(MID(E945,5,1)*1=2,$AG$57,$AF$57)</f>
        <v>3</v>
      </c>
      <c r="AZ945" s="2"/>
      <c r="BA945" s="101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</row>
    <row r="946" spans="1:71" ht="12" customHeight="1">
      <c r="A946" s="2"/>
      <c r="B946" s="107">
        <v>138</v>
      </c>
      <c r="C946" s="31">
        <v>10</v>
      </c>
      <c r="D946" s="106" t="s">
        <v>7</v>
      </c>
      <c r="E946" s="2" t="s">
        <v>165</v>
      </c>
      <c r="F946" s="2"/>
      <c r="G946" s="2"/>
      <c r="H946" s="33"/>
      <c r="I946" s="173">
        <f>M946/AE946</f>
        <v>242.3747961721987</v>
      </c>
      <c r="J946" s="174">
        <f>AH946/AE946</f>
        <v>24.755116698630875</v>
      </c>
      <c r="K946" s="207">
        <f>RANK(I946,$I$76:$I$977)</f>
        <v>868</v>
      </c>
      <c r="L946" s="208" t="e">
        <f>RANK(I946,$I$76:$I$450)</f>
        <v>#N/A</v>
      </c>
      <c r="M946" s="173">
        <f>N946+R946/2</f>
        <v>1449.0527461528527</v>
      </c>
      <c r="N946" s="174">
        <f>T946*(1+((AG946+IF(F946="백어택",8,0))/100)*((AI946/100-1)))</f>
        <v>1449.0527461528527</v>
      </c>
      <c r="O946" s="174"/>
      <c r="P946" s="174"/>
      <c r="Q946" s="174"/>
      <c r="R946" s="175">
        <f>X946*(1+(AG946/100)*(AI946/100-1))</f>
        <v>0</v>
      </c>
      <c r="S946" s="173">
        <f>SUM(T946:X946)</f>
        <v>1097.4492714451219</v>
      </c>
      <c r="T946" s="174">
        <f>AL946*AV946*AX946</f>
        <v>1097.4492714451219</v>
      </c>
      <c r="U946" s="174"/>
      <c r="V946" s="174"/>
      <c r="W946" s="174"/>
      <c r="X946" s="175">
        <f>AS946*AL946</f>
        <v>0</v>
      </c>
      <c r="Y946" s="173">
        <f>SUM(Z946:AD946)</f>
        <v>2194.8985428902438</v>
      </c>
      <c r="Z946" s="174">
        <f>T946*$D$58/100</f>
        <v>2194.8985428902438</v>
      </c>
      <c r="AA946" s="174"/>
      <c r="AB946" s="174"/>
      <c r="AC946" s="174"/>
      <c r="AD946" s="175">
        <f>X946*$D$58/100</f>
        <v>0</v>
      </c>
      <c r="AE946" s="173">
        <f>AO946*(1-$D$17/100)-AY946</f>
        <v>5.9785620000000002</v>
      </c>
      <c r="AF946" s="174">
        <f>AP946</f>
        <v>36</v>
      </c>
      <c r="AG946" s="174">
        <f>IF($D$57&gt;100,100,$D$57)</f>
        <v>19.001300000000001</v>
      </c>
      <c r="AH946" s="174">
        <f>AQ946*AR946</f>
        <v>148</v>
      </c>
      <c r="AI946" s="174">
        <f>$D$58+$D$19</f>
        <v>268.61079999999998</v>
      </c>
      <c r="AJ946" s="174">
        <f>10*AX946*AU946/9</f>
        <v>0.88888888888888884</v>
      </c>
      <c r="AK946" s="174">
        <f>SUM(AL946:AN946)</f>
        <v>1097.4492714451219</v>
      </c>
      <c r="AL946" s="174">
        <f>(VLOOKUP(C946,$B$36:$AG$39,8,FALSE)+VLOOKUP(C946,$B$40:$AG$43,8,FALSE)*$D$54)*$D$59/100</f>
        <v>1097.4492714451219</v>
      </c>
      <c r="AM946" s="174"/>
      <c r="AN946" s="174"/>
      <c r="AO946" s="176">
        <v>9</v>
      </c>
      <c r="AP946" s="174">
        <v>36</v>
      </c>
      <c r="AQ946" s="175">
        <f>VLOOKUP(C946,$B$45:$AA$48,8,FALSE)</f>
        <v>296</v>
      </c>
      <c r="AR946" s="31">
        <f>IF(LEFT(E946,1)*1=1,$S$57,$R$57)</f>
        <v>0.5</v>
      </c>
      <c r="AS946" s="2">
        <f>IF(LEFT(E946,1)*1=2,$U$57,$T$57)</f>
        <v>0</v>
      </c>
      <c r="AT946" s="33">
        <f>IF(LEFT(E946,1)*1=3,$W$57,$V$57)</f>
        <v>0</v>
      </c>
      <c r="AU946" s="31">
        <f>IF(MID(E946,3,1)*1=1,$Y$57,$X$57)</f>
        <v>0.8</v>
      </c>
      <c r="AV946" s="2">
        <f>IF(MID(E946,3,1)*1=2,$AA$57,$Z$57)</f>
        <v>1</v>
      </c>
      <c r="AW946" s="33">
        <f>IF(MID(E946,3,1)*1=3,$AC$57,$AB$57)</f>
        <v>0</v>
      </c>
      <c r="AX946" s="31">
        <f>IF(MID(E946,5,1)*1=1,$AE$57,$AD$57)</f>
        <v>1</v>
      </c>
      <c r="AY946" s="33">
        <f>IF(MID(E946,5,1)*1=2,$AG$57,$AF$57)</f>
        <v>3</v>
      </c>
      <c r="AZ946" s="2"/>
      <c r="BA946" s="101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</row>
    <row r="947" spans="1:71" ht="12" customHeight="1">
      <c r="A947" s="2"/>
      <c r="B947" s="107">
        <v>543</v>
      </c>
      <c r="C947" s="31">
        <v>1</v>
      </c>
      <c r="D947" s="111" t="s">
        <v>14</v>
      </c>
      <c r="E947" s="2" t="s">
        <v>67</v>
      </c>
      <c r="F947" s="1"/>
      <c r="G947" s="1"/>
      <c r="H947" s="33" t="s">
        <v>80</v>
      </c>
      <c r="I947" s="173">
        <f>M947/AE947</f>
        <v>238.44088570181347</v>
      </c>
      <c r="J947" s="174">
        <f>AH947/AE947</f>
        <v>4.5803457972019714</v>
      </c>
      <c r="K947" s="207">
        <f>RANK(I947,$I$76:$I$977)</f>
        <v>872</v>
      </c>
      <c r="L947" s="208" t="e">
        <f>RANK(I947,$I$451:$I$866)</f>
        <v>#N/A</v>
      </c>
      <c r="M947" s="173">
        <f>SUM(N947:R947)</f>
        <v>6611.2895892333909</v>
      </c>
      <c r="N947" s="174">
        <f>T947*(1+((AG947+IF(F947="백어택",8,0))/100)*(AI947/100-1))</f>
        <v>1926.9670722449948</v>
      </c>
      <c r="O947" s="174">
        <f>U947*(1+((AG947+IF(F947="백어택",8,0))/100)*(AI947/100-1))</f>
        <v>1926.9670722449948</v>
      </c>
      <c r="P947" s="174">
        <f>V947*(1+((AG947+IF(F947="백어택",8,0))/100)*(AI947*IF(AX947=1,AW947,1)/100-1))</f>
        <v>2757.3554447434017</v>
      </c>
      <c r="Q947" s="174">
        <f>W947*(1+((AG947+IF(F947="백어택",8,0))/100)*(AI947*AW947/100-1))</f>
        <v>0</v>
      </c>
      <c r="R947" s="175"/>
      <c r="S947" s="173">
        <f>SUM(T947:X947)</f>
        <v>5555.6448452524401</v>
      </c>
      <c r="T947" s="174">
        <f>AL947*AY947*IF(F947="백어택",1.2,1)</f>
        <v>1619.2823710707319</v>
      </c>
      <c r="U947" s="174">
        <f>AM947*AY947*IF(F947="백어택",1.2,1)</f>
        <v>1619.2823710707319</v>
      </c>
      <c r="V947" s="174">
        <f>AN947*AY947*IF(F947="백어택",1.2,1)</f>
        <v>2317.0801031109759</v>
      </c>
      <c r="W947" s="174">
        <f>(T947+U947+V947)*IF(AX947=1,0,0.6)*IF(F947="백어택",1.2,1)</f>
        <v>0</v>
      </c>
      <c r="X947" s="175"/>
      <c r="Y947" s="173">
        <f>SUM(Z947:AD947)</f>
        <v>11111.28969050488</v>
      </c>
      <c r="Z947" s="174">
        <f>T947*AI947/100</f>
        <v>3238.5647421414637</v>
      </c>
      <c r="AA947" s="174">
        <f>U947*AI947/100</f>
        <v>3238.5647421414637</v>
      </c>
      <c r="AB947" s="174">
        <f>V947*AI947*IF(AX947=1,AW947,1)/100</f>
        <v>4634.1602062219517</v>
      </c>
      <c r="AC947" s="174">
        <f>W947*AI947*AW947/100</f>
        <v>0</v>
      </c>
      <c r="AD947" s="175"/>
      <c r="AE947" s="173">
        <f>AO947*(1-$D$20/100)*(1-$D$17/100)</f>
        <v>27.727164197424003</v>
      </c>
      <c r="AF947" s="174">
        <f>AP947</f>
        <v>36</v>
      </c>
      <c r="AG947" s="174">
        <f>IF($D$57+AU947&gt;100,100,$D$57+AU947)</f>
        <v>19.001300000000001</v>
      </c>
      <c r="AH947" s="174">
        <f>AQ947*AS947</f>
        <v>127</v>
      </c>
      <c r="AI947" s="174">
        <f>$D$58+IF(H947="근접",AR947,0)+IF(AY947=1,0,50)</f>
        <v>200</v>
      </c>
      <c r="AJ947" s="174">
        <f>10/3</f>
        <v>3.3333333333333335</v>
      </c>
      <c r="AK947" s="174">
        <f>SUM(AL947:AN947)</f>
        <v>5555.6448452524401</v>
      </c>
      <c r="AL947" s="174">
        <f>(IF(H947="근접",$D$61*(VLOOKUP(C947,$B$36:$AG$39,19,FALSE)+VLOOKUP(C947,$B$40:$AG$43,19,FALSE)*$D$54),$D$60*(VLOOKUP(C947,$B$36:$AG$39,19,FALSE)+VLOOKUP(C947,$B$40:$AG$43,19,FALSE)*$D$54)))*$D$59/100</f>
        <v>1619.2823710707319</v>
      </c>
      <c r="AM947" s="174">
        <f>(IF(H947="근접",$D$61*(VLOOKUP(C947,$B$36:$AG$39,20,FALSE)+VLOOKUP(C947,$B$40:$AG$43,20,FALSE)*$D$54),$D$60*(VLOOKUP(C947,$B$36:$AG$39,20,FALSE)+VLOOKUP(C947,$B$40:$AG$43,20,FALSE)*$D$54)))*$D$59/100</f>
        <v>1619.2823710707319</v>
      </c>
      <c r="AN947" s="174">
        <f>(IF(H947="근접",$D$61*(VLOOKUP(C947,$B$36:$AG$39,21,FALSE)+VLOOKUP(C947,$B$40:$AG$43,21,FALSE)*$D$54),$D$60*(VLOOKUP(C947,$B$36:$AG$39,21,FALSE)+VLOOKUP(C947,$B$40:$AG$43,21,FALSE)*$D$54)))*$D$59/100</f>
        <v>2317.0801031109759</v>
      </c>
      <c r="AO947" s="176">
        <v>36</v>
      </c>
      <c r="AP947" s="174">
        <v>36</v>
      </c>
      <c r="AQ947" s="175">
        <f>VLOOKUP(C947,$B$45:$AA$48,19,FALSE)</f>
        <v>127</v>
      </c>
      <c r="AR947" s="31">
        <f>IF(LEFT(E947,1)*1=1,$S$64,$R$64)</f>
        <v>0</v>
      </c>
      <c r="AS947" s="2">
        <f>IF(LEFT(E947,1)*1=2,$U$64,$T$64)</f>
        <v>1</v>
      </c>
      <c r="AT947" s="33">
        <f>IF(LEFT(E947,1)*1=3,$W$64,$V$64)</f>
        <v>0</v>
      </c>
      <c r="AU947" s="31">
        <f>IF(MID(E947,3,1)*1=1,$Y$64,$X$64)</f>
        <v>0</v>
      </c>
      <c r="AV947" s="2">
        <f>IF(MID(E947,3,1)*1=2,$AA$64,$Z$64)</f>
        <v>0</v>
      </c>
      <c r="AW947" s="33">
        <f>IF(MID(E947,3,1)*1=3,$AC$64,$AB$64)</f>
        <v>1</v>
      </c>
      <c r="AX947" s="31">
        <f>IF(MID(E947,5,1)*1=1,$AE$64,$AD$64)</f>
        <v>1</v>
      </c>
      <c r="AY947" s="33">
        <f>IF(MID(E947,5,1)*1=2,$AG$64,$AF$64)</f>
        <v>1</v>
      </c>
      <c r="AZ947" s="2"/>
      <c r="BA947" s="101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</row>
    <row r="948" spans="1:71" ht="12" customHeight="1">
      <c r="A948" s="2"/>
      <c r="B948" s="107">
        <v>281</v>
      </c>
      <c r="C948" s="31">
        <v>4</v>
      </c>
      <c r="D948" s="106" t="s">
        <v>16</v>
      </c>
      <c r="E948" s="2" t="s">
        <v>87</v>
      </c>
      <c r="F948" s="2"/>
      <c r="G948" s="2"/>
      <c r="H948" s="33">
        <f>AX948*2</f>
        <v>2</v>
      </c>
      <c r="I948" s="173">
        <f>M948/AE948</f>
        <v>236.60666472569719</v>
      </c>
      <c r="J948" s="174">
        <f>AH948/AE948</f>
        <v>15.035815312073359</v>
      </c>
      <c r="K948" s="207">
        <f>RANK(I948,$I$76:$I$977)</f>
        <v>873</v>
      </c>
      <c r="L948" s="208" t="e">
        <f>RANK(I948,$I$76:$I$450)</f>
        <v>#N/A</v>
      </c>
      <c r="M948" s="173">
        <f>SUM(N948:R948)</f>
        <v>1416.2584059019234</v>
      </c>
      <c r="N948" s="174">
        <f>T948*(1+((AG948+IF(F948="백어택",8,0))/100)*((AI948/100-1)))</f>
        <v>1416.2584059019234</v>
      </c>
      <c r="O948" s="174"/>
      <c r="P948" s="174"/>
      <c r="Q948" s="174"/>
      <c r="R948" s="175"/>
      <c r="S948" s="173">
        <f>SUM(T948:X948)*H948</f>
        <v>1800.3681824048781</v>
      </c>
      <c r="T948" s="174">
        <f>AL948*AU948*AY948*IF(F948="백어택",1.2,1)</f>
        <v>900.18409120243905</v>
      </c>
      <c r="U948" s="174"/>
      <c r="V948" s="174"/>
      <c r="W948" s="174"/>
      <c r="X948" s="175"/>
      <c r="Y948" s="173">
        <f>SUM(Z948:AD948)</f>
        <v>1800.3681824048781</v>
      </c>
      <c r="Z948" s="174">
        <f>T948*$D$58/100</f>
        <v>1800.3681824048781</v>
      </c>
      <c r="AA948" s="174"/>
      <c r="AB948" s="174"/>
      <c r="AC948" s="174"/>
      <c r="AD948" s="175"/>
      <c r="AE948" s="173">
        <f>AO948*(1-$D$17/100)</f>
        <v>5.9857079999999998</v>
      </c>
      <c r="AF948" s="174">
        <f>AP948</f>
        <v>36</v>
      </c>
      <c r="AG948" s="174">
        <f>IF($D$57+AT948&gt;100,100,$D$57+AT948)</f>
        <v>34.001300000000001</v>
      </c>
      <c r="AH948" s="174">
        <f>AQ948*AR948</f>
        <v>90</v>
      </c>
      <c r="AI948" s="174">
        <f>$D$58+$D$19</f>
        <v>268.61079999999998</v>
      </c>
      <c r="AJ948" s="174">
        <f>10*AS948/IF(AX948=1,5,3.5)</f>
        <v>2</v>
      </c>
      <c r="AK948" s="174">
        <f>SUM(AL948:AN948)</f>
        <v>900.18409120243905</v>
      </c>
      <c r="AL948" s="174">
        <f>((VLOOKUP(C948,$B$36:$AG$39,23,FALSE)+VLOOKUP(C948,$B$40:$AG$43,23,FALSE)*$D$54))*$D$59/100</f>
        <v>900.18409120243905</v>
      </c>
      <c r="AM948" s="174"/>
      <c r="AN948" s="174"/>
      <c r="AO948" s="176">
        <v>6</v>
      </c>
      <c r="AP948" s="174">
        <v>36</v>
      </c>
      <c r="AQ948" s="175">
        <f>VLOOKUP(C948,$B$45:$AA$48,23,FALSE)</f>
        <v>90</v>
      </c>
      <c r="AR948" s="31">
        <f>IF(LEFT(E948,1)*1=1,$S$66,$R$66)</f>
        <v>1</v>
      </c>
      <c r="AS948" s="2">
        <f>IF(LEFT(E948,1)*1=2,$U$66,$T$66)</f>
        <v>1</v>
      </c>
      <c r="AT948" s="33">
        <f>IF(LEFT(E948,1)*1=3,$W$66,$V$66)</f>
        <v>15</v>
      </c>
      <c r="AU948" s="31">
        <f>IF(MID(E948,3,1)*1=1,$Y$66,$X$66)</f>
        <v>1</v>
      </c>
      <c r="AV948" s="2">
        <f>IF(MID(E948,3,1)*1=2,$AA$66,$Z$66)</f>
        <v>0</v>
      </c>
      <c r="AW948" s="33">
        <f>IF(MID(E948,3,1)*1=3,$AC$66,$AB$66)</f>
        <v>0</v>
      </c>
      <c r="AX948" s="31">
        <f>IF(MID(E948,5,1)*1=1,$AE$66,$AD$66)</f>
        <v>1</v>
      </c>
      <c r="AY948" s="33">
        <f>IF(MID(E948,5,1)*1=2,$AG$66,$AF$66)</f>
        <v>1</v>
      </c>
      <c r="AZ948" s="2"/>
      <c r="BA948" s="101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</row>
    <row r="949" spans="1:71" ht="15.75" customHeight="1">
      <c r="A949" s="2"/>
      <c r="B949" s="107">
        <v>145</v>
      </c>
      <c r="C949" s="31">
        <v>7</v>
      </c>
      <c r="D949" s="106" t="s">
        <v>7</v>
      </c>
      <c r="E949" s="2" t="s">
        <v>89</v>
      </c>
      <c r="F949" s="2"/>
      <c r="G949" s="2"/>
      <c r="H949" s="33"/>
      <c r="I949" s="173">
        <f>M949/AE949</f>
        <v>231.49975830890418</v>
      </c>
      <c r="J949" s="174">
        <f>AH949/AE949</f>
        <v>22.943540402126754</v>
      </c>
      <c r="K949" s="207">
        <f>RANK(I949,$I$76:$I$977)</f>
        <v>874</v>
      </c>
      <c r="L949" s="208" t="e">
        <f>RANK(I949,$I$76:$I$450)</f>
        <v>#N/A</v>
      </c>
      <c r="M949" s="173">
        <f>N949+R949/2</f>
        <v>2078.5349329615115</v>
      </c>
      <c r="N949" s="174">
        <f>T949*(1+((AG949+IF(F949="백어택",8,0))/100)*((AI949/100-1)))</f>
        <v>2078.5349329615115</v>
      </c>
      <c r="O949" s="174"/>
      <c r="P949" s="174"/>
      <c r="Q949" s="174"/>
      <c r="R949" s="175">
        <f>X949*(1+(AG949/100)*(AI949/100-1))</f>
        <v>0</v>
      </c>
      <c r="S949" s="173">
        <f>SUM(T949:X949)</f>
        <v>1574.1915909603658</v>
      </c>
      <c r="T949" s="174">
        <f>AL949*AV949*AX949</f>
        <v>1574.1915909603658</v>
      </c>
      <c r="U949" s="174"/>
      <c r="V949" s="174"/>
      <c r="W949" s="174"/>
      <c r="X949" s="175">
        <f>AS949*AL949</f>
        <v>0</v>
      </c>
      <c r="Y949" s="173">
        <f>SUM(Z949:AD949)</f>
        <v>3148.3831819207317</v>
      </c>
      <c r="Z949" s="174">
        <f>T949*$D$58/100</f>
        <v>3148.3831819207317</v>
      </c>
      <c r="AA949" s="174"/>
      <c r="AB949" s="174"/>
      <c r="AC949" s="174"/>
      <c r="AD949" s="175">
        <f>X949*$D$58/100</f>
        <v>0</v>
      </c>
      <c r="AE949" s="173">
        <f>AO949*(1-$D$17/100)-AY949</f>
        <v>8.9785620000000002</v>
      </c>
      <c r="AF949" s="174">
        <f>AP949</f>
        <v>36</v>
      </c>
      <c r="AG949" s="174">
        <f>IF($D$57&gt;100,100,$D$57)</f>
        <v>19.001300000000001</v>
      </c>
      <c r="AH949" s="174">
        <f>AQ949*AR949</f>
        <v>206</v>
      </c>
      <c r="AI949" s="174">
        <f>$D$58+$D$19</f>
        <v>268.61079999999998</v>
      </c>
      <c r="AJ949" s="174">
        <f>10*AX949*AU949/9</f>
        <v>1.1111111111111112</v>
      </c>
      <c r="AK949" s="174">
        <f>SUM(AL949:AN949)</f>
        <v>1049.4610606402439</v>
      </c>
      <c r="AL949" s="174">
        <f>(VLOOKUP(C949,$B$36:$AG$39,8,FALSE)+VLOOKUP(C949,$B$40:$AG$43,8,FALSE)*$D$54)*$D$59/100</f>
        <v>1049.4610606402439</v>
      </c>
      <c r="AM949" s="174"/>
      <c r="AN949" s="174"/>
      <c r="AO949" s="176">
        <v>9</v>
      </c>
      <c r="AP949" s="174">
        <v>36</v>
      </c>
      <c r="AQ949" s="175">
        <f>VLOOKUP(C949,$B$45:$AA$48,8,FALSE)</f>
        <v>206</v>
      </c>
      <c r="AR949" s="31">
        <f>IF(LEFT(E949,1)*1=1,$S$57,$R$57)</f>
        <v>1</v>
      </c>
      <c r="AS949" s="2">
        <f>IF(LEFT(E949,1)*1=2,$U$57,$T$57)</f>
        <v>0</v>
      </c>
      <c r="AT949" s="33">
        <f>IF(LEFT(E949,1)*1=3,$W$57,$V$57)</f>
        <v>0</v>
      </c>
      <c r="AU949" s="31">
        <f>IF(MID(E949,3,1)*1=1,$Y$57,$X$57)</f>
        <v>1</v>
      </c>
      <c r="AV949" s="2">
        <f>IF(MID(E949,3,1)*1=2,$AA$57,$Z$57)</f>
        <v>1.5</v>
      </c>
      <c r="AW949" s="33">
        <f>IF(MID(E949,3,1)*1=3,$AC$57,$AB$57)</f>
        <v>0</v>
      </c>
      <c r="AX949" s="31">
        <f>IF(MID(E949,5,1)*1=1,$AE$57,$AD$57)</f>
        <v>1</v>
      </c>
      <c r="AY949" s="33">
        <f>IF(MID(E949,5,1)*1=2,$AG$57,$AF$57)</f>
        <v>0</v>
      </c>
      <c r="AZ949" s="2"/>
      <c r="BA949" s="101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</row>
    <row r="950" spans="1:71" ht="12" customHeight="1">
      <c r="A950" s="2"/>
      <c r="B950" s="107">
        <v>148</v>
      </c>
      <c r="C950" s="31">
        <v>7</v>
      </c>
      <c r="D950" s="106" t="s">
        <v>7</v>
      </c>
      <c r="E950" s="2" t="s">
        <v>152</v>
      </c>
      <c r="F950" s="2"/>
      <c r="G950" s="2"/>
      <c r="H950" s="33"/>
      <c r="I950" s="173">
        <f>M950/AE950</f>
        <v>231.49975830890418</v>
      </c>
      <c r="J950" s="174">
        <f>AH950/AE950</f>
        <v>11.471770201063377</v>
      </c>
      <c r="K950" s="207">
        <f>RANK(I950,$I$76:$I$977)</f>
        <v>874</v>
      </c>
      <c r="L950" s="208" t="e">
        <f>RANK(I950,$I$76:$I$450)</f>
        <v>#N/A</v>
      </c>
      <c r="M950" s="173">
        <f>N950+R950/2</f>
        <v>2078.5349329615115</v>
      </c>
      <c r="N950" s="174">
        <f>T950*(1+((AG950+IF(F950="백어택",8,0))/100)*((AI950/100-1)))</f>
        <v>2078.5349329615115</v>
      </c>
      <c r="O950" s="174"/>
      <c r="P950" s="174"/>
      <c r="Q950" s="174"/>
      <c r="R950" s="175">
        <f>X950*(1+(AG950/100)*(AI950/100-1))</f>
        <v>0</v>
      </c>
      <c r="S950" s="173">
        <f>SUM(T950:X950)</f>
        <v>1574.1915909603658</v>
      </c>
      <c r="T950" s="174">
        <f>AL950*AV950*AX950</f>
        <v>1574.1915909603658</v>
      </c>
      <c r="U950" s="174"/>
      <c r="V950" s="174"/>
      <c r="W950" s="174"/>
      <c r="X950" s="175">
        <f>AS950*AL950</f>
        <v>0</v>
      </c>
      <c r="Y950" s="173">
        <f>SUM(Z950:AD950)</f>
        <v>3148.3831819207317</v>
      </c>
      <c r="Z950" s="174">
        <f>T950*$D$58/100</f>
        <v>3148.3831819207317</v>
      </c>
      <c r="AA950" s="174"/>
      <c r="AB950" s="174"/>
      <c r="AC950" s="174"/>
      <c r="AD950" s="175">
        <f>X950*$D$58/100</f>
        <v>0</v>
      </c>
      <c r="AE950" s="173">
        <f>AO950*(1-$D$17/100)-AY950</f>
        <v>8.9785620000000002</v>
      </c>
      <c r="AF950" s="174">
        <f>AP950</f>
        <v>36</v>
      </c>
      <c r="AG950" s="174">
        <f>IF($D$57&gt;100,100,$D$57)</f>
        <v>19.001300000000001</v>
      </c>
      <c r="AH950" s="174">
        <f>AQ950*AR950</f>
        <v>103</v>
      </c>
      <c r="AI950" s="174">
        <f>$D$58+$D$19</f>
        <v>268.61079999999998</v>
      </c>
      <c r="AJ950" s="174">
        <f>10*AX950*AU950/9</f>
        <v>1.1111111111111112</v>
      </c>
      <c r="AK950" s="174">
        <f>SUM(AL950:AN950)</f>
        <v>1049.4610606402439</v>
      </c>
      <c r="AL950" s="174">
        <f>(VLOOKUP(C950,$B$36:$AG$39,8,FALSE)+VLOOKUP(C950,$B$40:$AG$43,8,FALSE)*$D$54)*$D$59/100</f>
        <v>1049.4610606402439</v>
      </c>
      <c r="AM950" s="174"/>
      <c r="AN950" s="174"/>
      <c r="AO950" s="176">
        <v>9</v>
      </c>
      <c r="AP950" s="174">
        <v>36</v>
      </c>
      <c r="AQ950" s="175">
        <f>VLOOKUP(C950,$B$45:$AA$48,8,FALSE)</f>
        <v>206</v>
      </c>
      <c r="AR950" s="31">
        <f>IF(LEFT(E950,1)*1=1,$S$57,$R$57)</f>
        <v>0.5</v>
      </c>
      <c r="AS950" s="2">
        <f>IF(LEFT(E950,1)*1=2,$U$57,$T$57)</f>
        <v>0</v>
      </c>
      <c r="AT950" s="33">
        <f>IF(LEFT(E950,1)*1=3,$W$57,$V$57)</f>
        <v>0</v>
      </c>
      <c r="AU950" s="31">
        <f>IF(MID(E950,3,1)*1=1,$Y$57,$X$57)</f>
        <v>1</v>
      </c>
      <c r="AV950" s="2">
        <f>IF(MID(E950,3,1)*1=2,$AA$57,$Z$57)</f>
        <v>1.5</v>
      </c>
      <c r="AW950" s="33">
        <f>IF(MID(E950,3,1)*1=3,$AC$57,$AB$57)</f>
        <v>0</v>
      </c>
      <c r="AX950" s="31">
        <f>IF(MID(E950,5,1)*1=1,$AE$57,$AD$57)</f>
        <v>1</v>
      </c>
      <c r="AY950" s="33">
        <f>IF(MID(E950,5,1)*1=2,$AG$57,$AF$57)</f>
        <v>0</v>
      </c>
      <c r="AZ950" s="2"/>
      <c r="BA950" s="101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</row>
    <row r="951" spans="1:71" ht="12" customHeight="1">
      <c r="A951" s="2"/>
      <c r="B951" s="107">
        <v>822</v>
      </c>
      <c r="C951" s="31">
        <v>1</v>
      </c>
      <c r="D951" s="113" t="s">
        <v>9</v>
      </c>
      <c r="E951" s="2" t="s">
        <v>67</v>
      </c>
      <c r="F951" s="2"/>
      <c r="G951" s="2"/>
      <c r="H951" s="33"/>
      <c r="I951" s="173">
        <f>M951/AE951</f>
        <v>225.26396161851446</v>
      </c>
      <c r="J951" s="174">
        <f>AH951/AE951</f>
        <v>3.5362010085802158</v>
      </c>
      <c r="K951" s="207">
        <f>RANK(I951,$I$76:$I$977)</f>
        <v>876</v>
      </c>
      <c r="L951" s="208">
        <f>RANK(I951,$I$867:$I$977)</f>
        <v>85</v>
      </c>
      <c r="M951" s="173">
        <f>SUM(N951:R951)*(1+$D$22/100)</f>
        <v>8090.1857830298095</v>
      </c>
      <c r="N951" s="174">
        <f>T951*(1+((AG951+IF(F951="백어택",8,0))/100)*(AI951/100-1))</f>
        <v>5831.906527302257</v>
      </c>
      <c r="O951" s="174">
        <f>U951*(1+($D$57/100)*(AI951/100-1))</f>
        <v>1457.3581757979507</v>
      </c>
      <c r="P951" s="174"/>
      <c r="Q951" s="174"/>
      <c r="R951" s="175">
        <f>X951*(1+($D$57/100)*(AI951/100-1))</f>
        <v>0</v>
      </c>
      <c r="S951" s="173">
        <f>SUM(T951:X951)</f>
        <v>6125.3656078548793</v>
      </c>
      <c r="T951" s="174">
        <f>AL951*AU951*AY951</f>
        <v>4900.7082505000008</v>
      </c>
      <c r="U951" s="174">
        <f>AM951*AX951</f>
        <v>1224.6573573548783</v>
      </c>
      <c r="V951" s="174"/>
      <c r="W951" s="174"/>
      <c r="X951" s="175">
        <f>AM951*AS951</f>
        <v>0</v>
      </c>
      <c r="Y951" s="173">
        <f>SUM(Z951:AD951)</f>
        <v>12250.731215709759</v>
      </c>
      <c r="Z951" s="174">
        <f>T951*$D$58/100</f>
        <v>9801.4165010000015</v>
      </c>
      <c r="AA951" s="174">
        <f>U951*$D$58/100</f>
        <v>2449.3147147097566</v>
      </c>
      <c r="AB951" s="174"/>
      <c r="AC951" s="174"/>
      <c r="AD951" s="175">
        <f>X951*$D$58/100</f>
        <v>0</v>
      </c>
      <c r="AE951" s="173">
        <f>AO951*(1-$D$17/100)</f>
        <v>35.914248000000001</v>
      </c>
      <c r="AF951" s="174">
        <f>AP951</f>
        <v>36</v>
      </c>
      <c r="AG951" s="174">
        <f>IF($D$57+AW951&gt;100,100,$D$57+AW951)</f>
        <v>19.001300000000001</v>
      </c>
      <c r="AH951" s="174">
        <f>AQ951</f>
        <v>127</v>
      </c>
      <c r="AI951" s="174">
        <f>$D$58</f>
        <v>200</v>
      </c>
      <c r="AJ951" s="174">
        <f>10/(6+AT951)</f>
        <v>1.6666666666666667</v>
      </c>
      <c r="AK951" s="174">
        <f>SUM(AL951:AN951)</f>
        <v>6125.3656078548793</v>
      </c>
      <c r="AL951" s="174">
        <f>(VLOOKUP(C951,$B$36:$AG$39,11,FALSE)+VLOOKUP(C951,$B$40:$AG$43,11,FALSE)*$D$54)*$D$59/100</f>
        <v>4900.7082505000008</v>
      </c>
      <c r="AM951" s="174">
        <f>(3*(VLOOKUP(C951,$B$36:$AG$39,12,FALSE)+VLOOKUP(C951,$B$40:$AG$43,12,FALSE)*$D$54))*$D$59/100</f>
        <v>1224.6573573548783</v>
      </c>
      <c r="AN951" s="174"/>
      <c r="AO951" s="176">
        <v>36</v>
      </c>
      <c r="AP951" s="174">
        <v>36</v>
      </c>
      <c r="AQ951" s="175">
        <f>VLOOKUP(C951,$B$45:$AA$48,11,FALSE)</f>
        <v>127</v>
      </c>
      <c r="AR951" s="31">
        <f>IF(LEFT(E951,1)*1=1,$S$59,$R$59)</f>
        <v>0</v>
      </c>
      <c r="AS951" s="2">
        <f>IF(LEFT(E951,1)*1=2,$U$59,$T$59)</f>
        <v>0</v>
      </c>
      <c r="AT951" s="33">
        <f>IF(LEFT(E951,1)*1=3,$W$59,$V$59)</f>
        <v>0</v>
      </c>
      <c r="AU951" s="31">
        <f>IF(MID(E951,3,1)*1=1,$Y$59,$X$59)</f>
        <v>1</v>
      </c>
      <c r="AV951" s="2">
        <f>IF(MID(E951,3,1)*1=2,$AA$59,$Z$59)</f>
        <v>0</v>
      </c>
      <c r="AW951" s="33">
        <f>IF(MID(E951,3,1)*1=3,$AC$59,$AB$59)</f>
        <v>0</v>
      </c>
      <c r="AX951" s="31">
        <f>IF(MID(E951,5,1)*1=1,$AE$59,$AD$59)</f>
        <v>1</v>
      </c>
      <c r="AY951" s="33">
        <f>IF(MID(E951,5,1)*1=2,$AG$59,$AF$59)</f>
        <v>1</v>
      </c>
      <c r="AZ951" s="2"/>
      <c r="BA951" s="101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</row>
    <row r="952" spans="1:71" ht="12" customHeight="1">
      <c r="A952" s="2"/>
      <c r="B952" s="107">
        <v>417</v>
      </c>
      <c r="C952" s="31">
        <v>1</v>
      </c>
      <c r="D952" s="111" t="s">
        <v>8</v>
      </c>
      <c r="E952" s="2" t="s">
        <v>67</v>
      </c>
      <c r="F952" s="2"/>
      <c r="G952" s="2"/>
      <c r="H952" s="33" t="s">
        <v>80</v>
      </c>
      <c r="I952" s="173">
        <f>M952/AE952</f>
        <v>222.81775614804798</v>
      </c>
      <c r="J952" s="174">
        <f>AH952/AE952</f>
        <v>5.4639558131976278</v>
      </c>
      <c r="K952" s="207">
        <f>RANK(I952,$I$76:$I$977)</f>
        <v>877</v>
      </c>
      <c r="L952" s="208" t="e">
        <f>RANK(I952,$I$451:$I$866)</f>
        <v>#N/A</v>
      </c>
      <c r="M952" s="173">
        <f>SUM(N952:R952)</f>
        <v>4118.7363405456708</v>
      </c>
      <c r="N952" s="174">
        <f>T952*(1+((AG952+IF(F952="백어택",8,0))/100)*(IF(AY952=1,$D$58,$D$58+50)/100-1))</f>
        <v>1808.6714615522678</v>
      </c>
      <c r="O952" s="174">
        <f>U952*(1+((AG952+IF(F952="백어택",8,0))/100)*(AI952/100-1))</f>
        <v>2310.0648789934025</v>
      </c>
      <c r="P952" s="174">
        <f>V952*(1+((AG952+IF(F952="백어택",8,0))/100)*(AI952/100-1))</f>
        <v>0</v>
      </c>
      <c r="Q952" s="174"/>
      <c r="R952" s="175"/>
      <c r="S952" s="173">
        <f>SUM(T952:X952)</f>
        <v>3461.0851650743907</v>
      </c>
      <c r="T952" s="174">
        <f>AL952*IF(H952="근접",AR952,1)*AY952*IF(F952="백어택",1.2,1)</f>
        <v>1519.8753808170734</v>
      </c>
      <c r="U952" s="174">
        <f>AM952*IF(H952="근접",AR952,1)*AY952*IF(F952="백어택",1.2,1)</f>
        <v>1941.2097842573171</v>
      </c>
      <c r="V952" s="174">
        <f>IF(AX952=1,0,AM952*IF(H952="근접",AR952,1)*AY952)*IF(F952="백어택",1.2,1)</f>
        <v>0</v>
      </c>
      <c r="W952" s="174"/>
      <c r="X952" s="175"/>
      <c r="Y952" s="173">
        <f>SUM(Z952:AD952)</f>
        <v>6922.1703301487814</v>
      </c>
      <c r="Z952" s="174">
        <f>T952*IF(AY952=1,$D$58,$D$58+50)/100</f>
        <v>3039.7507616341468</v>
      </c>
      <c r="AA952" s="174">
        <f>U952*AI952/100</f>
        <v>3882.4195685146342</v>
      </c>
      <c r="AB952" s="174">
        <f>V952*AI952/100</f>
        <v>0</v>
      </c>
      <c r="AC952" s="174"/>
      <c r="AD952" s="175"/>
      <c r="AE952" s="173">
        <f>AO952*(1-$D$20/100)*(1-$D$17/100)</f>
        <v>18.484776131615998</v>
      </c>
      <c r="AF952" s="174">
        <f>AP952</f>
        <v>36</v>
      </c>
      <c r="AG952" s="174">
        <f>IF($D$57+AU952&gt;100,100,$D$57+AU952)</f>
        <v>19.001300000000001</v>
      </c>
      <c r="AH952" s="174">
        <f>IF(AX952=1,AQ952,AQ952*1.4)</f>
        <v>101</v>
      </c>
      <c r="AI952" s="174">
        <f>IF(AY952=1,$D$58,$D$58+50)*AW952</f>
        <v>200</v>
      </c>
      <c r="AJ952" s="174">
        <f>10/6/AX952</f>
        <v>1.6666666666666667</v>
      </c>
      <c r="AK952" s="174">
        <f>SUM(AL952:AN952)</f>
        <v>3461.0851650743907</v>
      </c>
      <c r="AL952" s="174">
        <f>(IF(H952="근접",$D$61*(VLOOKUP(C952,$B$36:$AG$39,9,FALSE)+VLOOKUP(C952,$B$40:$AG$43,9,FALSE)*$D$54),$D$60*(VLOOKUP(C952,$B$36:$AG$39,9,FALSE)+VLOOKUP(C952,$B$40:$AG$43,9,FALSE)*$D$54)))*$D$59/100</f>
        <v>1519.8753808170734</v>
      </c>
      <c r="AM952" s="174">
        <f>(IF(H952="근접",$D$61*(VLOOKUP(C952,$B$36:$AG$39,10,FALSE)+VLOOKUP(C952,$B$40:$AG$43,10,FALSE)*$D$54),$D$60*(VLOOKUP(C952,$B$36:$AG$39,10,FALSE)+VLOOKUP(C952,$B$40:$AG$43,10,FALSE)*$D$54)))*$D$59/100</f>
        <v>1941.2097842573171</v>
      </c>
      <c r="AN952" s="174"/>
      <c r="AO952" s="176">
        <v>24</v>
      </c>
      <c r="AP952" s="174">
        <v>36</v>
      </c>
      <c r="AQ952" s="175">
        <f>VLOOKUP(C952,$B$45:$AA$48,9,FALSE)</f>
        <v>101</v>
      </c>
      <c r="AR952" s="31">
        <f>IF(LEFT(E952,1)*1=1,$S$58,$R$58)</f>
        <v>1</v>
      </c>
      <c r="AS952" s="2">
        <f>IF(LEFT(E952,1)*1=2,$U$58,$T$58)</f>
        <v>0</v>
      </c>
      <c r="AT952" s="33">
        <f>IF(LEFT(E952,1)*1=3,$W$58,$V$58)</f>
        <v>0</v>
      </c>
      <c r="AU952" s="31">
        <f>IF(MID(E952,3,1)*1=1,$Y$58,$X$58)</f>
        <v>0</v>
      </c>
      <c r="AV952" s="2">
        <f>IF(MID(E952,3,1)*1=2,$AA$58,$Z$58)</f>
        <v>0</v>
      </c>
      <c r="AW952" s="33">
        <f>IF(MID(E952,3,1)*1=3,$AC$58,$AB$58)</f>
        <v>1</v>
      </c>
      <c r="AX952" s="31">
        <f>IF(MID(E952,5,1)*1=1,$AE$58,$AD$58)</f>
        <v>1</v>
      </c>
      <c r="AY952" s="33">
        <f>IF(MID(E952,5,1)*1=2,$AG$58,$AF$58)</f>
        <v>1</v>
      </c>
      <c r="AZ952" s="2"/>
      <c r="BA952" s="101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</row>
    <row r="953" spans="1:71" ht="12" customHeight="1">
      <c r="A953" s="2"/>
      <c r="B953" s="107">
        <v>313</v>
      </c>
      <c r="C953" s="31">
        <v>1</v>
      </c>
      <c r="D953" s="106" t="s">
        <v>17</v>
      </c>
      <c r="E953" s="2" t="s">
        <v>67</v>
      </c>
      <c r="F953" s="2"/>
      <c r="G953" s="2"/>
      <c r="H953" s="33">
        <f>IF(AT953=1,3,IF(AY953=1,3,2))</f>
        <v>2</v>
      </c>
      <c r="I953" s="173">
        <f>M953/AE953</f>
        <v>220.42488102100648</v>
      </c>
      <c r="J953" s="174">
        <f>AH953/AE953</f>
        <v>6.6408184294990669</v>
      </c>
      <c r="K953" s="207">
        <f>RANK(I953,$I$76:$I$977)</f>
        <v>878</v>
      </c>
      <c r="L953" s="208" t="e">
        <f>RANK(I953,$I$76:$I$450)</f>
        <v>#N/A</v>
      </c>
      <c r="M953" s="173">
        <f>SUM(N953:R953)</f>
        <v>1759.1986316353157</v>
      </c>
      <c r="N953" s="174">
        <f>T953*(1+((AG953+IF(F953="백어택",8,0))/100)*((AI953/100-1)))</f>
        <v>879.59931581765784</v>
      </c>
      <c r="O953" s="174">
        <f>U953*(1+(AG953/100)*(AI953/100-1))</f>
        <v>879.59931581765784</v>
      </c>
      <c r="P953" s="174">
        <f>V953*(1+(AG953/100)*(AI953/100-1))</f>
        <v>0</v>
      </c>
      <c r="Q953" s="174"/>
      <c r="R953" s="175"/>
      <c r="S953" s="173">
        <f>SUM(T953:X953)</f>
        <v>1332.3402213902439</v>
      </c>
      <c r="T953" s="174">
        <f>AL953*AV953</f>
        <v>666.17011069512193</v>
      </c>
      <c r="U953" s="174">
        <f>AL953*AW953</f>
        <v>666.17011069512193</v>
      </c>
      <c r="V953" s="174">
        <f>IF(H953=3,AL953,0)*(1+AW953-1+AW953-1)</f>
        <v>0</v>
      </c>
      <c r="W953" s="174"/>
      <c r="X953" s="175"/>
      <c r="Y953" s="173">
        <f>SUM(Z953:AD953)</f>
        <v>3578.8097273981048</v>
      </c>
      <c r="Z953" s="174">
        <f>T953*AI953/100</f>
        <v>1789.4048636990524</v>
      </c>
      <c r="AA953" s="174">
        <f>U953*AI953/100</f>
        <v>1789.4048636990524</v>
      </c>
      <c r="AB953" s="174">
        <f>V953*AI953/100</f>
        <v>0</v>
      </c>
      <c r="AC953" s="174"/>
      <c r="AD953" s="175"/>
      <c r="AE953" s="173">
        <f>AO953*(1-$D$17/100)</f>
        <v>7.980944</v>
      </c>
      <c r="AF953" s="174">
        <f>AP953</f>
        <v>36</v>
      </c>
      <c r="AG953" s="174">
        <f>IF($D$57&gt;100,100,$D$57)</f>
        <v>19.001300000000001</v>
      </c>
      <c r="AH953" s="174">
        <f>AQ953</f>
        <v>53</v>
      </c>
      <c r="AI953" s="174">
        <f>$D$58+$D$19</f>
        <v>268.61079999999998</v>
      </c>
      <c r="AJ953" s="174">
        <f>10*AR953/IF(AT953=0,IF(AY953=0,8,5),5)</f>
        <v>1.25</v>
      </c>
      <c r="AK953" s="174">
        <f>H953*SUM(AL953:AN953)</f>
        <v>1332.3402213902439</v>
      </c>
      <c r="AL953" s="174">
        <f>((VLOOKUP(C953,$B$36:$AG$39,24,FALSE)+VLOOKUP(C953,$B$40:$AG$43,24,FALSE)*$D$54))*$D$59/100</f>
        <v>666.17011069512193</v>
      </c>
      <c r="AM953" s="174"/>
      <c r="AN953" s="174"/>
      <c r="AO953" s="176">
        <v>8</v>
      </c>
      <c r="AP953" s="174">
        <v>36</v>
      </c>
      <c r="AQ953" s="175">
        <f>VLOOKUP(C953,$B$45:$AA$48,24,FALSE)</f>
        <v>53</v>
      </c>
      <c r="AR953" s="31">
        <f>IF(LEFT(E953,1)*1=1,$S$67,$R$67)</f>
        <v>1</v>
      </c>
      <c r="AS953" s="2">
        <f>IF(LEFT(E953,1)*1=2,$U$67,$T$67)</f>
        <v>0</v>
      </c>
      <c r="AT953" s="33">
        <f>IF(LEFT(E953,1)*1=3,$W$67,$V$67)</f>
        <v>0</v>
      </c>
      <c r="AU953" s="31">
        <f>IF(MID(E953,3,1)*1=1,$Y$67,$X$67)</f>
        <v>0</v>
      </c>
      <c r="AV953" s="2">
        <f>IF(MID(E953,3,1)*1=2,$AA$67,$Z$67)</f>
        <v>1</v>
      </c>
      <c r="AW953" s="33">
        <f>IF(MID(E953,3,1)*1=3,$AC$67,$AB$67)</f>
        <v>1</v>
      </c>
      <c r="AX953" s="31">
        <f>IF(MID(E953,5,1)*1=1,$AE$67,$AD$67)</f>
        <v>0</v>
      </c>
      <c r="AY953" s="33">
        <f>IF(MID(E953,5,1)*1=2,$AG$67,$AF$67)</f>
        <v>0</v>
      </c>
      <c r="AZ953" s="2"/>
      <c r="BA953" s="101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</row>
    <row r="954" spans="1:71" ht="12" customHeight="1">
      <c r="A954" s="2"/>
      <c r="B954" s="107">
        <v>72</v>
      </c>
      <c r="C954" s="31">
        <v>1</v>
      </c>
      <c r="D954" s="106" t="s">
        <v>4</v>
      </c>
      <c r="E954" s="2" t="s">
        <v>67</v>
      </c>
      <c r="F954" s="2"/>
      <c r="G954" s="2"/>
      <c r="H954" s="33"/>
      <c r="I954" s="173">
        <f>M954/AE954</f>
        <v>215.99701056098675</v>
      </c>
      <c r="J954" s="174">
        <f>AH954/AE954</f>
        <v>5.5966645883828612</v>
      </c>
      <c r="K954" s="207">
        <f>RANK(I954,$I$76:$I$977)</f>
        <v>879</v>
      </c>
      <c r="L954" s="208" t="e">
        <f>RANK(I954,$I$76:$I$450)</f>
        <v>#N/A</v>
      </c>
      <c r="M954" s="173">
        <f>SUM(N954:R954)</f>
        <v>2585.7900681819656</v>
      </c>
      <c r="N954" s="174">
        <f>T954*(1+((AG954+IF(F954="백어택",8,0))/100)*((AI954/100-1)))</f>
        <v>516.83071445388305</v>
      </c>
      <c r="O954" s="174">
        <f>U954*(1+((AG954+IF(F954="백어택",8,0))/100)*(AI954/100-1))</f>
        <v>2068.9593537280825</v>
      </c>
      <c r="P954" s="174"/>
      <c r="Q954" s="174"/>
      <c r="R954" s="175"/>
      <c r="S954" s="173">
        <f>SUM(T954:X954)</f>
        <v>1958.3644791195125</v>
      </c>
      <c r="T954" s="174">
        <f>AT954*AL954*IF(F954="백어택",1.2,1)</f>
        <v>391.42501371585371</v>
      </c>
      <c r="U954" s="174">
        <f>AM954*AW954*AX954*AY954*IF(F954="백어택",1.2,1)</f>
        <v>1566.9394654036587</v>
      </c>
      <c r="V954" s="174"/>
      <c r="W954" s="174"/>
      <c r="X954" s="175"/>
      <c r="Y954" s="173">
        <f>SUM(Z954:AD954)</f>
        <v>3916.7289582390249</v>
      </c>
      <c r="Z954" s="174">
        <f>T954*$D$58/100</f>
        <v>782.85002743170742</v>
      </c>
      <c r="AA954" s="174">
        <f>U954*$D$58/100</f>
        <v>3133.8789308073174</v>
      </c>
      <c r="AB954" s="174"/>
      <c r="AC954" s="174"/>
      <c r="AD954" s="175"/>
      <c r="AE954" s="173">
        <f>AO954*(1-$D$17/100)</f>
        <v>11.971416</v>
      </c>
      <c r="AF954" s="174">
        <f>AP954</f>
        <v>36</v>
      </c>
      <c r="AG954" s="174">
        <f>IF($D$57&gt;100,100,$D$57)</f>
        <v>19.001300000000001</v>
      </c>
      <c r="AH954" s="174">
        <f>AQ954</f>
        <v>67</v>
      </c>
      <c r="AI954" s="174">
        <f>$D$58+$D$19</f>
        <v>268.61079999999998</v>
      </c>
      <c r="AJ954" s="174">
        <f>10/IF(AY954=1,5,4)</f>
        <v>2</v>
      </c>
      <c r="AK954" s="174">
        <f>SUM(AL954:AN954)</f>
        <v>1958.3644791195125</v>
      </c>
      <c r="AL954" s="174">
        <f>(VLOOKUP(C954,$B$36:$AG$39,4,FALSE)+VLOOKUP(C954,$B$40:$AG$43,4,FALSE)*$D$54)*$D$59/100</f>
        <v>391.42501371585371</v>
      </c>
      <c r="AM954" s="174">
        <f>(VLOOKUP(C954,$B$36:$AG$39,5,FALSE)+VLOOKUP(C954,$B$40:$AG$43,5,FALSE)*$D$54)*$D$59/100</f>
        <v>1566.9394654036587</v>
      </c>
      <c r="AN954" s="174"/>
      <c r="AO954" s="176">
        <v>12</v>
      </c>
      <c r="AP954" s="174">
        <v>36</v>
      </c>
      <c r="AQ954" s="175">
        <f>VLOOKUP(C954,$B$45:$AA$48,4,FALSE)</f>
        <v>67</v>
      </c>
      <c r="AR954" s="31">
        <f>IF(LEFT(E954,1)*1=1,$S$54,$R$54)</f>
        <v>0</v>
      </c>
      <c r="AS954" s="2">
        <f>IF(LEFT(E954,1)*1=2,$U$54,$T$54)</f>
        <v>0</v>
      </c>
      <c r="AT954" s="33">
        <f>IF(LEFT(E954,1)*1=3,$W$54,$V$54)</f>
        <v>1</v>
      </c>
      <c r="AU954" s="31">
        <f>IF(MID(E954,3,1)*1=1,$Y$54,$X$54)</f>
        <v>0</v>
      </c>
      <c r="AV954" s="2">
        <f>IF(MID(E954,3,1)*1=2,$AA$54,$Z$54)</f>
        <v>0</v>
      </c>
      <c r="AW954" s="33">
        <f>IF(MID(E954,3,1)*1=3,$AC$54,$AB$54)</f>
        <v>1</v>
      </c>
      <c r="AX954" s="31">
        <f>IF(MID(E954,5,1)*1=1,$AE$54,$AD$54)</f>
        <v>1</v>
      </c>
      <c r="AY954" s="33">
        <f>IF(MID(E954,5,1)*1=2,$AG$54,$AF$54)</f>
        <v>1</v>
      </c>
      <c r="AZ954" s="2"/>
      <c r="BA954" s="101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</row>
    <row r="955" spans="1:71" ht="12" customHeight="1">
      <c r="A955" s="2"/>
      <c r="B955" s="107">
        <v>273</v>
      </c>
      <c r="C955" s="31">
        <v>7</v>
      </c>
      <c r="D955" s="106" t="s">
        <v>16</v>
      </c>
      <c r="E955" s="2" t="s">
        <v>148</v>
      </c>
      <c r="F955" s="2"/>
      <c r="G955" s="2"/>
      <c r="H955" s="33">
        <f>AX955*2</f>
        <v>2</v>
      </c>
      <c r="I955" s="173">
        <f>M955/AE955</f>
        <v>214.36115820326606</v>
      </c>
      <c r="J955" s="174">
        <f>AH955/AE955</f>
        <v>13.61576608815532</v>
      </c>
      <c r="K955" s="207">
        <f>RANK(I955,$I$76:$I$977)</f>
        <v>880</v>
      </c>
      <c r="L955" s="208" t="e">
        <f>RANK(I955,$I$76:$I$450)</f>
        <v>#N/A</v>
      </c>
      <c r="M955" s="173">
        <f>SUM(N955:R955)</f>
        <v>1283.1032995465553</v>
      </c>
      <c r="N955" s="174">
        <f>T955*(1+((AG955+IF(F955="백어택",8,0))/100)*((AI955/100-1)))</f>
        <v>1283.1032995465553</v>
      </c>
      <c r="O955" s="174"/>
      <c r="P955" s="174"/>
      <c r="Q955" s="174"/>
      <c r="R955" s="175"/>
      <c r="S955" s="173">
        <f>SUM(T955:X955)*H955</f>
        <v>1943.5328148195124</v>
      </c>
      <c r="T955" s="174">
        <f>AL955*AU955*AY955*IF(F955="백어택",1.2,1)</f>
        <v>971.7664074097562</v>
      </c>
      <c r="U955" s="174"/>
      <c r="V955" s="174"/>
      <c r="W955" s="174"/>
      <c r="X955" s="175"/>
      <c r="Y955" s="173">
        <f>SUM(Z955:AD955)</f>
        <v>1943.5328148195124</v>
      </c>
      <c r="Z955" s="174">
        <f>T955*$D$58/100</f>
        <v>1943.5328148195124</v>
      </c>
      <c r="AA955" s="174"/>
      <c r="AB955" s="174"/>
      <c r="AC955" s="174"/>
      <c r="AD955" s="175"/>
      <c r="AE955" s="173">
        <f>AO955*(1-$D$17/100)</f>
        <v>5.9857079999999998</v>
      </c>
      <c r="AF955" s="174">
        <f>AP955</f>
        <v>36</v>
      </c>
      <c r="AG955" s="174">
        <f>IF($D$57+AT955&gt;100,100,$D$57+AT955)</f>
        <v>19.001300000000001</v>
      </c>
      <c r="AH955" s="174">
        <f>AQ955*AR955</f>
        <v>81.5</v>
      </c>
      <c r="AI955" s="174">
        <f>$D$58+$D$19</f>
        <v>268.61079999999998</v>
      </c>
      <c r="AJ955" s="174">
        <f>10*AS955/IF(AX955=1,5,3.5)</f>
        <v>2</v>
      </c>
      <c r="AK955" s="174">
        <f>SUM(AL955:AN955)</f>
        <v>971.7664074097562</v>
      </c>
      <c r="AL955" s="174">
        <f>((VLOOKUP(C955,$B$36:$AG$39,23,FALSE)+VLOOKUP(C955,$B$40:$AG$43,23,FALSE)*$D$54))*$D$59/100</f>
        <v>971.7664074097562</v>
      </c>
      <c r="AM955" s="174"/>
      <c r="AN955" s="174"/>
      <c r="AO955" s="176">
        <v>6</v>
      </c>
      <c r="AP955" s="174">
        <v>36</v>
      </c>
      <c r="AQ955" s="175">
        <f>VLOOKUP(C955,$B$45:$AA$48,23,FALSE)</f>
        <v>163</v>
      </c>
      <c r="AR955" s="31">
        <f>IF(LEFT(E955,1)*1=1,$S$66,$R$66)</f>
        <v>0.5</v>
      </c>
      <c r="AS955" s="2">
        <f>IF(LEFT(E955,1)*1=2,$U$66,$T$66)</f>
        <v>1</v>
      </c>
      <c r="AT955" s="33">
        <f>IF(LEFT(E955,1)*1=3,$W$66,$V$66)</f>
        <v>0</v>
      </c>
      <c r="AU955" s="31">
        <f>IF(MID(E955,3,1)*1=1,$Y$66,$X$66)</f>
        <v>1</v>
      </c>
      <c r="AV955" s="2">
        <f>IF(MID(E955,3,1)*1=2,$AA$66,$Z$66)</f>
        <v>0</v>
      </c>
      <c r="AW955" s="33">
        <f>IF(MID(E955,3,1)*1=3,$AC$66,$AB$66)</f>
        <v>0</v>
      </c>
      <c r="AX955" s="31">
        <f>IF(MID(E955,5,1)*1=1,$AE$66,$AD$66)</f>
        <v>1</v>
      </c>
      <c r="AY955" s="33">
        <f>IF(MID(E955,5,1)*1=2,$AG$66,$AF$66)</f>
        <v>1</v>
      </c>
      <c r="AZ955" s="2"/>
      <c r="BA955" s="101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</row>
    <row r="956" spans="1:71" ht="12" customHeight="1">
      <c r="A956" s="2"/>
      <c r="B956" s="107">
        <v>275</v>
      </c>
      <c r="C956" s="31">
        <v>7</v>
      </c>
      <c r="D956" s="106" t="s">
        <v>16</v>
      </c>
      <c r="E956" s="2" t="s">
        <v>79</v>
      </c>
      <c r="F956" s="2"/>
      <c r="G956" s="2"/>
      <c r="H956" s="33">
        <f>AX956*2</f>
        <v>2</v>
      </c>
      <c r="I956" s="173">
        <f>M956/AE956</f>
        <v>214.36115820326606</v>
      </c>
      <c r="J956" s="174">
        <f>AH956/AE956</f>
        <v>27.23153217631064</v>
      </c>
      <c r="K956" s="207">
        <f>RANK(I956,$I$76:$I$977)</f>
        <v>880</v>
      </c>
      <c r="L956" s="208" t="e">
        <f>RANK(I956,$I$76:$I$450)</f>
        <v>#N/A</v>
      </c>
      <c r="M956" s="173">
        <f>SUM(N956:R956)</f>
        <v>1283.1032995465553</v>
      </c>
      <c r="N956" s="174">
        <f>T956*(1+((AG956+IF(F956="백어택",8,0))/100)*((AI956/100-1)))</f>
        <v>1283.1032995465553</v>
      </c>
      <c r="O956" s="174"/>
      <c r="P956" s="174"/>
      <c r="Q956" s="174"/>
      <c r="R956" s="175"/>
      <c r="S956" s="173">
        <f>SUM(T956:X956)*H956</f>
        <v>1943.5328148195124</v>
      </c>
      <c r="T956" s="174">
        <f>AL956*AU956*AY956*IF(F956="백어택",1.2,1)</f>
        <v>971.7664074097562</v>
      </c>
      <c r="U956" s="174"/>
      <c r="V956" s="174"/>
      <c r="W956" s="174"/>
      <c r="X956" s="175"/>
      <c r="Y956" s="173">
        <f>SUM(Z956:AD956)</f>
        <v>1943.5328148195124</v>
      </c>
      <c r="Z956" s="174">
        <f>T956*$D$58/100</f>
        <v>1943.5328148195124</v>
      </c>
      <c r="AA956" s="174"/>
      <c r="AB956" s="174"/>
      <c r="AC956" s="174"/>
      <c r="AD956" s="175"/>
      <c r="AE956" s="173">
        <f>AO956*(1-$D$17/100)</f>
        <v>5.9857079999999998</v>
      </c>
      <c r="AF956" s="174">
        <f>AP956</f>
        <v>36</v>
      </c>
      <c r="AG956" s="174">
        <f>IF($D$57+AT956&gt;100,100,$D$57+AT956)</f>
        <v>19.001300000000001</v>
      </c>
      <c r="AH956" s="174">
        <f>AQ956*AR956</f>
        <v>163</v>
      </c>
      <c r="AI956" s="174">
        <f>$D$58+$D$19</f>
        <v>268.61079999999998</v>
      </c>
      <c r="AJ956" s="174">
        <f>10*AS956/IF(AX956=1,5,3.5)</f>
        <v>1.8</v>
      </c>
      <c r="AK956" s="174">
        <f>SUM(AL956:AN956)</f>
        <v>971.7664074097562</v>
      </c>
      <c r="AL956" s="174">
        <f>((VLOOKUP(C956,$B$36:$AG$39,23,FALSE)+VLOOKUP(C956,$B$40:$AG$43,23,FALSE)*$D$54))*$D$59/100</f>
        <v>971.7664074097562</v>
      </c>
      <c r="AM956" s="174"/>
      <c r="AN956" s="174"/>
      <c r="AO956" s="176">
        <v>6</v>
      </c>
      <c r="AP956" s="174">
        <v>36</v>
      </c>
      <c r="AQ956" s="175">
        <f>VLOOKUP(C956,$B$45:$AA$48,23,FALSE)</f>
        <v>163</v>
      </c>
      <c r="AR956" s="31">
        <f>IF(LEFT(E956,1)*1=1,$S$66,$R$66)</f>
        <v>1</v>
      </c>
      <c r="AS956" s="2">
        <f>IF(LEFT(E956,1)*1=2,$U$66,$T$66)</f>
        <v>0.9</v>
      </c>
      <c r="AT956" s="33">
        <f>IF(LEFT(E956,1)*1=3,$W$66,$V$66)</f>
        <v>0</v>
      </c>
      <c r="AU956" s="31">
        <f>IF(MID(E956,3,1)*1=1,$Y$66,$X$66)</f>
        <v>1</v>
      </c>
      <c r="AV956" s="2">
        <f>IF(MID(E956,3,1)*1=2,$AA$66,$Z$66)</f>
        <v>0</v>
      </c>
      <c r="AW956" s="33">
        <f>IF(MID(E956,3,1)*1=3,$AC$66,$AB$66)</f>
        <v>0</v>
      </c>
      <c r="AX956" s="31">
        <f>IF(MID(E956,5,1)*1=1,$AE$66,$AD$66)</f>
        <v>1</v>
      </c>
      <c r="AY956" s="33">
        <f>IF(MID(E956,5,1)*1=2,$AG$66,$AF$66)</f>
        <v>1</v>
      </c>
      <c r="AZ956" s="2"/>
      <c r="BA956" s="101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</row>
    <row r="957" spans="1:71" ht="12" customHeight="1">
      <c r="A957" s="2"/>
      <c r="B957" s="107">
        <v>866</v>
      </c>
      <c r="C957" s="31">
        <v>1</v>
      </c>
      <c r="D957" s="113" t="s">
        <v>15</v>
      </c>
      <c r="E957" s="2" t="s">
        <v>67</v>
      </c>
      <c r="F957" s="2"/>
      <c r="G957" s="2"/>
      <c r="H957" s="33">
        <f>IF(AX957=AT957,3,4)</f>
        <v>3</v>
      </c>
      <c r="I957" s="173">
        <f>M957/AE957</f>
        <v>212.76546465051447</v>
      </c>
      <c r="J957" s="174">
        <f>AH957/AE957</f>
        <v>3.8090732123919175</v>
      </c>
      <c r="K957" s="207">
        <f>RANK(I957,$I$76:$I$977)</f>
        <v>882</v>
      </c>
      <c r="L957" s="208">
        <f>RANK(I957,$I$867:$I$977)</f>
        <v>91</v>
      </c>
      <c r="M957" s="173">
        <f>SUM(N957:R957)*(1+$D$22/100)</f>
        <v>6367.7597194115087</v>
      </c>
      <c r="N957" s="174">
        <f>T957*(1+((AG957+IF(F957="백어택",8,0))/100)*(AI957/100-1))</f>
        <v>1912.4524209688584</v>
      </c>
      <c r="O957" s="174">
        <f>U957*(1+(AG957/100)*(AI957/100-1))</f>
        <v>1912.4524209688584</v>
      </c>
      <c r="P957" s="174">
        <f>V957*(1+(AG957/100)*(AI957/100-1))</f>
        <v>1912.4524209688584</v>
      </c>
      <c r="Q957" s="174">
        <f>W957*(1+(AG957/100)*(AI957/100-1))</f>
        <v>0</v>
      </c>
      <c r="R957" s="175">
        <f>X957*(1+(AG957/100)*(AI957/100-1))</f>
        <v>0</v>
      </c>
      <c r="S957" s="173">
        <f>SUM(T957:X957)</f>
        <v>4821.2559551085369</v>
      </c>
      <c r="T957" s="174">
        <f>AL957*AS957*AY957</f>
        <v>1607.0853183695124</v>
      </c>
      <c r="U957" s="174">
        <f>AL957*AS957*AY957</f>
        <v>1607.0853183695124</v>
      </c>
      <c r="V957" s="174">
        <f>AL957*AS957*AY957</f>
        <v>1607.0853183695124</v>
      </c>
      <c r="W957" s="174">
        <f>IF(H957=4,AL957*AS957*IF(AT957=0,AY957,1),0)</f>
        <v>0</v>
      </c>
      <c r="X957" s="175">
        <f>AL957*IF(H957=3,11,IF(AT957=1,15,13))*IF(AW957=1,0,AW957)</f>
        <v>0</v>
      </c>
      <c r="Y957" s="173">
        <f>SUM(Z957:AD957)</f>
        <v>9642.5119102170738</v>
      </c>
      <c r="Z957" s="174">
        <f>T957*AI957/100</f>
        <v>3214.1706367390248</v>
      </c>
      <c r="AA957" s="174">
        <f>U957*AI957/100</f>
        <v>3214.1706367390248</v>
      </c>
      <c r="AB957" s="174">
        <f>V957*AI957/100</f>
        <v>3214.1706367390248</v>
      </c>
      <c r="AC957" s="174">
        <f>W957*AI957/100</f>
        <v>0</v>
      </c>
      <c r="AD957" s="175">
        <f>X957*AI957/100</f>
        <v>0</v>
      </c>
      <c r="AE957" s="173">
        <f>AO957*(1-$D$17/100)</f>
        <v>29.928540000000002</v>
      </c>
      <c r="AF957" s="174">
        <f>AP957</f>
        <v>36</v>
      </c>
      <c r="AG957" s="174">
        <f>IF($D$57+AX957&gt;100,100,$D$57+AX957)</f>
        <v>19.001300000000001</v>
      </c>
      <c r="AH957" s="174">
        <f>AQ957</f>
        <v>114</v>
      </c>
      <c r="AI957" s="174">
        <f>$D$58</f>
        <v>200</v>
      </c>
      <c r="AJ957" s="174">
        <f>10*AU957/IF(AT957=1,2.5,(IF(AY957=1,3,2.5)))</f>
        <v>3.3333333333333335</v>
      </c>
      <c r="AK957" s="174">
        <f>SUM(AL957:AN957)</f>
        <v>1607.0853183695124</v>
      </c>
      <c r="AL957" s="174">
        <f>((VLOOKUP(C957,$B$36:$AG$39,22,FALSE)+VLOOKUP(C957,$B$40:$AG$43,22,FALSE)*$D$54))*$D$59/100</f>
        <v>1607.0853183695124</v>
      </c>
      <c r="AM957" s="174"/>
      <c r="AN957" s="174"/>
      <c r="AO957" s="176">
        <v>30</v>
      </c>
      <c r="AP957" s="174">
        <v>36</v>
      </c>
      <c r="AQ957" s="175">
        <f>VLOOKUP(C957,$B$45:$AA$48,22,FALSE)</f>
        <v>114</v>
      </c>
      <c r="AR957" s="31">
        <f>IF(LEFT(E957,1)*1=1,$S$65,$R$65)</f>
        <v>0</v>
      </c>
      <c r="AS957" s="2">
        <f>IF(LEFT(E957,1)*1=2,$U$65,$T$65)</f>
        <v>1</v>
      </c>
      <c r="AT957" s="33">
        <f>IF(LEFT(E957,1)*1=3,$W$65,$V$65)</f>
        <v>0</v>
      </c>
      <c r="AU957" s="31">
        <f>IF(MID(E957,3,1)*1=1,$Y$65,$X$65)</f>
        <v>1</v>
      </c>
      <c r="AV957" s="2">
        <f>IF(MID(E957,3,1)*1=2,$AA$65,$Z$65)</f>
        <v>0</v>
      </c>
      <c r="AW957" s="33">
        <f>IF(MID(E957,3,1)*1=3,$AC$65,$AB$65)</f>
        <v>1</v>
      </c>
      <c r="AX957" s="31">
        <f>IF(MID(E957,5,1)*1=1,$AE$65,$AD$65)</f>
        <v>0</v>
      </c>
      <c r="AY957" s="33">
        <f>IF(MID(E957,5,1)*1=2,$AG$65,$AF$65)</f>
        <v>1</v>
      </c>
      <c r="AZ957" s="2"/>
      <c r="BA957" s="101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</row>
    <row r="958" spans="1:71" ht="12" customHeight="1">
      <c r="A958" s="2"/>
      <c r="B958" s="107">
        <v>260</v>
      </c>
      <c r="C958" s="31">
        <v>1</v>
      </c>
      <c r="D958" s="106" t="s">
        <v>16</v>
      </c>
      <c r="E958" s="2" t="s">
        <v>67</v>
      </c>
      <c r="F958" s="2" t="s">
        <v>149</v>
      </c>
      <c r="G958" s="2"/>
      <c r="H958" s="33">
        <f>AX958*2</f>
        <v>2</v>
      </c>
      <c r="I958" s="173">
        <f>M958/AE958</f>
        <v>210.72185963983262</v>
      </c>
      <c r="J958" s="174">
        <f>AH958/AE958</f>
        <v>7.5179076560366793</v>
      </c>
      <c r="K958" s="207">
        <f>RANK(I958,$I$76:$I$977)</f>
        <v>883</v>
      </c>
      <c r="L958" s="208" t="e">
        <f>RANK(I958,$I$76:$I$450)</f>
        <v>#N/A</v>
      </c>
      <c r="M958" s="173">
        <f>SUM(N958:R958)</f>
        <v>1261.3195210210231</v>
      </c>
      <c r="N958" s="174">
        <f>T958*(1+((AG958+IF(F958="백어택",8,0))/100)*((AI958/100-1)))</f>
        <v>1261.3195210210231</v>
      </c>
      <c r="O958" s="174"/>
      <c r="P958" s="174"/>
      <c r="Q958" s="174"/>
      <c r="R958" s="175"/>
      <c r="S958" s="173">
        <f>SUM(T958:X958)*H958</f>
        <v>1733.4495804556097</v>
      </c>
      <c r="T958" s="174">
        <f>AL958*AU958*AY958*IF(F958="백어택",1.2,1)</f>
        <v>866.72479022780487</v>
      </c>
      <c r="U958" s="174"/>
      <c r="V958" s="174"/>
      <c r="W958" s="174"/>
      <c r="X958" s="175"/>
      <c r="Y958" s="173">
        <f>SUM(Z958:AD958)</f>
        <v>1733.4495804556097</v>
      </c>
      <c r="Z958" s="174">
        <f>T958*$D$58/100</f>
        <v>1733.4495804556097</v>
      </c>
      <c r="AA958" s="174"/>
      <c r="AB958" s="174"/>
      <c r="AC958" s="174"/>
      <c r="AD958" s="175"/>
      <c r="AE958" s="173">
        <f>AO958*(1-$D$17/100)</f>
        <v>5.9857079999999998</v>
      </c>
      <c r="AF958" s="174">
        <f>AP958</f>
        <v>36</v>
      </c>
      <c r="AG958" s="174">
        <f>IF($D$57+AT958&gt;100,100,$D$57+AT958)</f>
        <v>19.001300000000001</v>
      </c>
      <c r="AH958" s="174">
        <f>AQ958*AR958</f>
        <v>45</v>
      </c>
      <c r="AI958" s="174">
        <f>$D$58+$D$19</f>
        <v>268.61079999999998</v>
      </c>
      <c r="AJ958" s="174">
        <f>10*AS958/IF(AX958=1,5,3.5)</f>
        <v>2</v>
      </c>
      <c r="AK958" s="174">
        <f>SUM(AL958:AN958)</f>
        <v>722.27065852317071</v>
      </c>
      <c r="AL958" s="174">
        <f>((VLOOKUP(C958,$B$36:$AG$39,23,FALSE)+VLOOKUP(C958,$B$40:$AG$43,23,FALSE)*$D$54))*$D$59/100</f>
        <v>722.27065852317071</v>
      </c>
      <c r="AM958" s="174"/>
      <c r="AN958" s="174"/>
      <c r="AO958" s="176">
        <v>6</v>
      </c>
      <c r="AP958" s="174">
        <v>36</v>
      </c>
      <c r="AQ958" s="175">
        <f>VLOOKUP(C958,$B$45:$AA$48,23,FALSE)</f>
        <v>45</v>
      </c>
      <c r="AR958" s="31">
        <f>IF(LEFT(E958,1)*1=1,$S$66,$R$66)</f>
        <v>1</v>
      </c>
      <c r="AS958" s="2">
        <f>IF(LEFT(E958,1)*1=2,$U$66,$T$66)</f>
        <v>1</v>
      </c>
      <c r="AT958" s="33">
        <f>IF(LEFT(E958,1)*1=3,$W$66,$V$66)</f>
        <v>0</v>
      </c>
      <c r="AU958" s="31">
        <f>IF(MID(E958,3,1)*1=1,$Y$66,$X$66)</f>
        <v>1</v>
      </c>
      <c r="AV958" s="2">
        <f>IF(MID(E958,3,1)*1=2,$AA$66,$Z$66)</f>
        <v>0</v>
      </c>
      <c r="AW958" s="33">
        <f>IF(MID(E958,3,1)*1=3,$AC$66,$AB$66)</f>
        <v>0</v>
      </c>
      <c r="AX958" s="31">
        <f>IF(MID(E958,5,1)*1=1,$AE$66,$AD$66)</f>
        <v>1</v>
      </c>
      <c r="AY958" s="33">
        <f>IF(MID(E958,5,1)*1=2,$AG$66,$AF$66)</f>
        <v>1</v>
      </c>
      <c r="AZ958" s="2"/>
      <c r="BA958" s="101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</row>
    <row r="959" spans="1:71" ht="12" hidden="1" customHeight="1">
      <c r="A959" s="2"/>
      <c r="B959" s="107">
        <v>149</v>
      </c>
      <c r="C959" s="31">
        <v>7</v>
      </c>
      <c r="D959" s="106" t="s">
        <v>7</v>
      </c>
      <c r="E959" s="2" t="s">
        <v>79</v>
      </c>
      <c r="F959" s="2"/>
      <c r="G959" s="2" t="s">
        <v>184</v>
      </c>
      <c r="H959" s="33"/>
      <c r="I959" s="173">
        <f>M959/AE959</f>
        <v>202.56228852029116</v>
      </c>
      <c r="J959" s="174">
        <f>AH959/AE959</f>
        <v>22.943540402126754</v>
      </c>
      <c r="K959" s="207">
        <f>RANK(I959,$I$76:$I$977)</f>
        <v>884</v>
      </c>
      <c r="L959" s="208" t="e">
        <f>RANK(I959,$I$76:$I$450)</f>
        <v>#N/A</v>
      </c>
      <c r="M959" s="173">
        <f>N959+R959/2</f>
        <v>1818.7180663413226</v>
      </c>
      <c r="N959" s="174">
        <f>T959*(1+((AG959+IF(F959="백어택",8,0))/100)*((AI959/100-1)))</f>
        <v>1385.6899553076744</v>
      </c>
      <c r="O959" s="174"/>
      <c r="P959" s="174"/>
      <c r="Q959" s="174"/>
      <c r="R959" s="175">
        <f>X959*(1+(AG959/100)*(AI959/100-1))</f>
        <v>866.05622206729652</v>
      </c>
      <c r="S959" s="173">
        <f>SUM(T959:X959)</f>
        <v>1705.3742235403963</v>
      </c>
      <c r="T959" s="174">
        <f>AL959*AV959*AX959</f>
        <v>1049.4610606402439</v>
      </c>
      <c r="U959" s="174"/>
      <c r="V959" s="174"/>
      <c r="W959" s="174"/>
      <c r="X959" s="175">
        <f>AS959*AL959</f>
        <v>655.91316290015243</v>
      </c>
      <c r="Y959" s="173">
        <f>SUM(Z959:AD959)</f>
        <v>3410.7484470807926</v>
      </c>
      <c r="Z959" s="174">
        <f>T959*$D$58/100</f>
        <v>2098.9221212804878</v>
      </c>
      <c r="AA959" s="174"/>
      <c r="AB959" s="174"/>
      <c r="AC959" s="174"/>
      <c r="AD959" s="175">
        <f>X959*$D$58/100</f>
        <v>1311.8263258003049</v>
      </c>
      <c r="AE959" s="173">
        <f>AO959*(1-$D$17/100)-AY959</f>
        <v>8.9785620000000002</v>
      </c>
      <c r="AF959" s="174">
        <f>AP959</f>
        <v>36</v>
      </c>
      <c r="AG959" s="174">
        <f>IF($D$57&gt;100,100,$D$57)</f>
        <v>19.001300000000001</v>
      </c>
      <c r="AH959" s="174">
        <f>AQ959*AR959</f>
        <v>206</v>
      </c>
      <c r="AI959" s="174">
        <f>$D$58+$D$19</f>
        <v>268.61079999999998</v>
      </c>
      <c r="AJ959" s="174">
        <f>10*AX959*AU959/9</f>
        <v>1.1111111111111112</v>
      </c>
      <c r="AK959" s="174">
        <f>SUM(AL959:AN959)</f>
        <v>1049.4610606402439</v>
      </c>
      <c r="AL959" s="174">
        <f>(VLOOKUP(C959,$B$36:$AG$39,8,FALSE)+VLOOKUP(C959,$B$40:$AG$43,8,FALSE)*$D$54)*$D$59/100</f>
        <v>1049.4610606402439</v>
      </c>
      <c r="AM959" s="174"/>
      <c r="AN959" s="174"/>
      <c r="AO959" s="176">
        <v>9</v>
      </c>
      <c r="AP959" s="174">
        <v>36</v>
      </c>
      <c r="AQ959" s="175">
        <f>VLOOKUP(C959,$B$45:$AA$48,8,FALSE)</f>
        <v>206</v>
      </c>
      <c r="AR959" s="31">
        <f>IF(LEFT(E959,1)*1=1,$S$57,$R$57)</f>
        <v>1</v>
      </c>
      <c r="AS959" s="2">
        <f>IF(LEFT(E959,1)*1=2,$U$57,$T$57)</f>
        <v>0.625</v>
      </c>
      <c r="AT959" s="33">
        <f>IF(LEFT(E959,1)*1=3,$W$57,$V$57)</f>
        <v>0</v>
      </c>
      <c r="AU959" s="31">
        <f>IF(MID(E959,3,1)*1=1,$Y$57,$X$57)</f>
        <v>1</v>
      </c>
      <c r="AV959" s="2">
        <f>IF(MID(E959,3,1)*1=2,$AA$57,$Z$57)</f>
        <v>1</v>
      </c>
      <c r="AW959" s="33">
        <f>IF(MID(E959,3,1)*1=3,$AC$57,$AB$57)</f>
        <v>0</v>
      </c>
      <c r="AX959" s="31">
        <f>IF(MID(E959,5,1)*1=1,$AE$57,$AD$57)</f>
        <v>1</v>
      </c>
      <c r="AY959" s="33">
        <f>IF(MID(E959,5,1)*1=2,$AG$57,$AF$57)</f>
        <v>0</v>
      </c>
      <c r="AZ959" s="2"/>
      <c r="BA959" s="101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</row>
    <row r="960" spans="1:71" ht="12" hidden="1" customHeight="1">
      <c r="A960" s="2"/>
      <c r="B960" s="107">
        <v>150</v>
      </c>
      <c r="C960" s="31">
        <v>7</v>
      </c>
      <c r="D960" s="106" t="s">
        <v>7</v>
      </c>
      <c r="E960" s="2" t="s">
        <v>168</v>
      </c>
      <c r="F960" s="2"/>
      <c r="G960" s="2" t="s">
        <v>184</v>
      </c>
      <c r="H960" s="33"/>
      <c r="I960" s="173">
        <f>M960/AE960</f>
        <v>202.56228852029116</v>
      </c>
      <c r="J960" s="174">
        <f>AH960/AE960</f>
        <v>22.943540402126754</v>
      </c>
      <c r="K960" s="207">
        <f>RANK(I960,$I$76:$I$977)</f>
        <v>884</v>
      </c>
      <c r="L960" s="208" t="e">
        <f>RANK(I960,$I$76:$I$450)</f>
        <v>#N/A</v>
      </c>
      <c r="M960" s="173">
        <f>N960+R960/2</f>
        <v>1818.7180663413226</v>
      </c>
      <c r="N960" s="174">
        <f>T960*(1+((AG960+IF(F960="백어택",8,0))/100)*((AI960/100-1)))</f>
        <v>1385.6899553076744</v>
      </c>
      <c r="O960" s="174"/>
      <c r="P960" s="174"/>
      <c r="Q960" s="174"/>
      <c r="R960" s="175">
        <f>X960*(1+(AG960/100)*(AI960/100-1))</f>
        <v>866.05622206729652</v>
      </c>
      <c r="S960" s="173">
        <f>SUM(T960:X960)</f>
        <v>1705.3742235403963</v>
      </c>
      <c r="T960" s="174">
        <f>AL960*AV960*AX960</f>
        <v>1049.4610606402439</v>
      </c>
      <c r="U960" s="174"/>
      <c r="V960" s="174"/>
      <c r="W960" s="174"/>
      <c r="X960" s="175">
        <f>AS960*AL960</f>
        <v>655.91316290015243</v>
      </c>
      <c r="Y960" s="173">
        <f>SUM(Z960:AD960)</f>
        <v>3410.7484470807926</v>
      </c>
      <c r="Z960" s="174">
        <f>T960*$D$58/100</f>
        <v>2098.9221212804878</v>
      </c>
      <c r="AA960" s="174"/>
      <c r="AB960" s="174"/>
      <c r="AC960" s="174"/>
      <c r="AD960" s="175">
        <f>X960*$D$58/100</f>
        <v>1311.8263258003049</v>
      </c>
      <c r="AE960" s="173">
        <f>AO960*(1-$D$17/100)-AY960</f>
        <v>8.9785620000000002</v>
      </c>
      <c r="AF960" s="174">
        <f>AP960</f>
        <v>36</v>
      </c>
      <c r="AG960" s="174">
        <f>IF($D$57&gt;100,100,$D$57)</f>
        <v>19.001300000000001</v>
      </c>
      <c r="AH960" s="174">
        <f>AQ960*AR960</f>
        <v>206</v>
      </c>
      <c r="AI960" s="174">
        <f>$D$58+$D$19</f>
        <v>268.61079999999998</v>
      </c>
      <c r="AJ960" s="174">
        <f>10*AX960*AU960/9</f>
        <v>0.88888888888888884</v>
      </c>
      <c r="AK960" s="174">
        <f>SUM(AL960:AN960)</f>
        <v>1049.4610606402439</v>
      </c>
      <c r="AL960" s="174">
        <f>(VLOOKUP(C960,$B$36:$AG$39,8,FALSE)+VLOOKUP(C960,$B$40:$AG$43,8,FALSE)*$D$54)*$D$59/100</f>
        <v>1049.4610606402439</v>
      </c>
      <c r="AM960" s="174"/>
      <c r="AN960" s="174"/>
      <c r="AO960" s="176">
        <v>9</v>
      </c>
      <c r="AP960" s="174">
        <v>36</v>
      </c>
      <c r="AQ960" s="175">
        <f>VLOOKUP(C960,$B$45:$AA$48,8,FALSE)</f>
        <v>206</v>
      </c>
      <c r="AR960" s="31">
        <f>IF(LEFT(E960,1)*1=1,$S$57,$R$57)</f>
        <v>1</v>
      </c>
      <c r="AS960" s="2">
        <f>IF(LEFT(E960,1)*1=2,$U$57,$T$57)</f>
        <v>0.625</v>
      </c>
      <c r="AT960" s="33">
        <f>IF(LEFT(E960,1)*1=3,$W$57,$V$57)</f>
        <v>0</v>
      </c>
      <c r="AU960" s="31">
        <f>IF(MID(E960,3,1)*1=1,$Y$57,$X$57)</f>
        <v>0.8</v>
      </c>
      <c r="AV960" s="2">
        <f>IF(MID(E960,3,1)*1=2,$AA$57,$Z$57)</f>
        <v>1</v>
      </c>
      <c r="AW960" s="33">
        <f>IF(MID(E960,3,1)*1=3,$AC$57,$AB$57)</f>
        <v>0</v>
      </c>
      <c r="AX960" s="31">
        <f>IF(MID(E960,5,1)*1=1,$AE$57,$AD$57)</f>
        <v>1</v>
      </c>
      <c r="AY960" s="33">
        <f>IF(MID(E960,5,1)*1=2,$AG$57,$AF$57)</f>
        <v>0</v>
      </c>
      <c r="AZ960" s="2"/>
      <c r="BA960" s="101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</row>
    <row r="961" spans="1:71" ht="12" customHeight="1">
      <c r="A961" s="2"/>
      <c r="B961" s="107">
        <v>279</v>
      </c>
      <c r="C961" s="31">
        <v>4</v>
      </c>
      <c r="D961" s="106" t="s">
        <v>16</v>
      </c>
      <c r="E961" s="2" t="s">
        <v>148</v>
      </c>
      <c r="F961" s="2"/>
      <c r="G961" s="2"/>
      <c r="H961" s="33">
        <f>AX961*2</f>
        <v>2</v>
      </c>
      <c r="I961" s="173">
        <f>M961/AE961</f>
        <v>198.57087352983964</v>
      </c>
      <c r="J961" s="174">
        <f>AH961/AE961</f>
        <v>7.5179076560366793</v>
      </c>
      <c r="K961" s="207">
        <f>RANK(I961,$I$76:$I$977)</f>
        <v>886</v>
      </c>
      <c r="L961" s="208" t="e">
        <f>RANK(I961,$I$76:$I$450)</f>
        <v>#N/A</v>
      </c>
      <c r="M961" s="173">
        <f>SUM(N961:R961)</f>
        <v>1188.5872662545494</v>
      </c>
      <c r="N961" s="174">
        <f>T961*(1+((AG961+IF(F961="백어택",8,0))/100)*((AI961/100-1)))</f>
        <v>1188.5872662545494</v>
      </c>
      <c r="O961" s="174"/>
      <c r="P961" s="174"/>
      <c r="Q961" s="174"/>
      <c r="R961" s="175"/>
      <c r="S961" s="173">
        <f>SUM(T961:X961)*H961</f>
        <v>1800.3681824048781</v>
      </c>
      <c r="T961" s="174">
        <f>AL961*AU961*AY961*IF(F961="백어택",1.2,1)</f>
        <v>900.18409120243905</v>
      </c>
      <c r="U961" s="174"/>
      <c r="V961" s="174"/>
      <c r="W961" s="174"/>
      <c r="X961" s="175"/>
      <c r="Y961" s="173">
        <f>SUM(Z961:AD961)</f>
        <v>1800.3681824048781</v>
      </c>
      <c r="Z961" s="174">
        <f>T961*$D$58/100</f>
        <v>1800.3681824048781</v>
      </c>
      <c r="AA961" s="174"/>
      <c r="AB961" s="174"/>
      <c r="AC961" s="174"/>
      <c r="AD961" s="175"/>
      <c r="AE961" s="173">
        <f>AO961*(1-$D$17/100)</f>
        <v>5.9857079999999998</v>
      </c>
      <c r="AF961" s="174">
        <f>AP961</f>
        <v>36</v>
      </c>
      <c r="AG961" s="174">
        <f>IF($D$57+AT961&gt;100,100,$D$57+AT961)</f>
        <v>19.001300000000001</v>
      </c>
      <c r="AH961" s="174">
        <f>AQ961*AR961</f>
        <v>45</v>
      </c>
      <c r="AI961" s="174">
        <f>$D$58+$D$19</f>
        <v>268.61079999999998</v>
      </c>
      <c r="AJ961" s="174">
        <f>10*AS961/IF(AX961=1,5,3.5)</f>
        <v>2</v>
      </c>
      <c r="AK961" s="174">
        <f>SUM(AL961:AN961)</f>
        <v>900.18409120243905</v>
      </c>
      <c r="AL961" s="174">
        <f>((VLOOKUP(C961,$B$36:$AG$39,23,FALSE)+VLOOKUP(C961,$B$40:$AG$43,23,FALSE)*$D$54))*$D$59/100</f>
        <v>900.18409120243905</v>
      </c>
      <c r="AM961" s="174"/>
      <c r="AN961" s="174"/>
      <c r="AO961" s="176">
        <v>6</v>
      </c>
      <c r="AP961" s="174">
        <v>36</v>
      </c>
      <c r="AQ961" s="175">
        <f>VLOOKUP(C961,$B$45:$AA$48,23,FALSE)</f>
        <v>90</v>
      </c>
      <c r="AR961" s="31">
        <f>IF(LEFT(E961,1)*1=1,$S$66,$R$66)</f>
        <v>0.5</v>
      </c>
      <c r="AS961" s="2">
        <f>IF(LEFT(E961,1)*1=2,$U$66,$T$66)</f>
        <v>1</v>
      </c>
      <c r="AT961" s="33">
        <f>IF(LEFT(E961,1)*1=3,$W$66,$V$66)</f>
        <v>0</v>
      </c>
      <c r="AU961" s="31">
        <f>IF(MID(E961,3,1)*1=1,$Y$66,$X$66)</f>
        <v>1</v>
      </c>
      <c r="AV961" s="2">
        <f>IF(MID(E961,3,1)*1=2,$AA$66,$Z$66)</f>
        <v>0</v>
      </c>
      <c r="AW961" s="33">
        <f>IF(MID(E961,3,1)*1=3,$AC$66,$AB$66)</f>
        <v>0</v>
      </c>
      <c r="AX961" s="31">
        <f>IF(MID(E961,5,1)*1=1,$AE$66,$AD$66)</f>
        <v>1</v>
      </c>
      <c r="AY961" s="33">
        <f>IF(MID(E961,5,1)*1=2,$AG$66,$AF$66)</f>
        <v>1</v>
      </c>
      <c r="AZ961" s="2"/>
      <c r="BA961" s="101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</row>
    <row r="962" spans="1:71" ht="12" customHeight="1">
      <c r="A962" s="2"/>
      <c r="B962" s="107">
        <v>280</v>
      </c>
      <c r="C962" s="31">
        <v>4</v>
      </c>
      <c r="D962" s="106" t="s">
        <v>16</v>
      </c>
      <c r="E962" s="2" t="s">
        <v>79</v>
      </c>
      <c r="F962" s="2"/>
      <c r="G962" s="2"/>
      <c r="H962" s="33">
        <f>AX962*2</f>
        <v>2</v>
      </c>
      <c r="I962" s="173">
        <f>M962/AE962</f>
        <v>198.57087352983964</v>
      </c>
      <c r="J962" s="174">
        <f>AH962/AE962</f>
        <v>15.035815312073359</v>
      </c>
      <c r="K962" s="207">
        <f>RANK(I962,$I$76:$I$977)</f>
        <v>886</v>
      </c>
      <c r="L962" s="208" t="e">
        <f>RANK(I962,$I$76:$I$450)</f>
        <v>#N/A</v>
      </c>
      <c r="M962" s="173">
        <f>SUM(N962:R962)</f>
        <v>1188.5872662545494</v>
      </c>
      <c r="N962" s="174">
        <f>T962*(1+((AG962+IF(F962="백어택",8,0))/100)*((AI962/100-1)))</f>
        <v>1188.5872662545494</v>
      </c>
      <c r="O962" s="174"/>
      <c r="P962" s="174"/>
      <c r="Q962" s="174"/>
      <c r="R962" s="175"/>
      <c r="S962" s="173">
        <f>SUM(T962:X962)*H962</f>
        <v>1800.3681824048781</v>
      </c>
      <c r="T962" s="174">
        <f>AL962*AU962*AY962*IF(F962="백어택",1.2,1)</f>
        <v>900.18409120243905</v>
      </c>
      <c r="U962" s="174"/>
      <c r="V962" s="174"/>
      <c r="W962" s="174"/>
      <c r="X962" s="175"/>
      <c r="Y962" s="173">
        <f>SUM(Z962:AD962)</f>
        <v>1800.3681824048781</v>
      </c>
      <c r="Z962" s="174">
        <f>T962*$D$58/100</f>
        <v>1800.3681824048781</v>
      </c>
      <c r="AA962" s="174"/>
      <c r="AB962" s="174"/>
      <c r="AC962" s="174"/>
      <c r="AD962" s="175"/>
      <c r="AE962" s="173">
        <f>AO962*(1-$D$17/100)</f>
        <v>5.9857079999999998</v>
      </c>
      <c r="AF962" s="174">
        <f>AP962</f>
        <v>36</v>
      </c>
      <c r="AG962" s="174">
        <f>IF($D$57+AT962&gt;100,100,$D$57+AT962)</f>
        <v>19.001300000000001</v>
      </c>
      <c r="AH962" s="174">
        <f>AQ962*AR962</f>
        <v>90</v>
      </c>
      <c r="AI962" s="174">
        <f>$D$58+$D$19</f>
        <v>268.61079999999998</v>
      </c>
      <c r="AJ962" s="174">
        <f>10*AS962/IF(AX962=1,5,3.5)</f>
        <v>1.8</v>
      </c>
      <c r="AK962" s="174">
        <f>SUM(AL962:AN962)</f>
        <v>900.18409120243905</v>
      </c>
      <c r="AL962" s="174">
        <f>((VLOOKUP(C962,$B$36:$AG$39,23,FALSE)+VLOOKUP(C962,$B$40:$AG$43,23,FALSE)*$D$54))*$D$59/100</f>
        <v>900.18409120243905</v>
      </c>
      <c r="AM962" s="174"/>
      <c r="AN962" s="174"/>
      <c r="AO962" s="176">
        <v>6</v>
      </c>
      <c r="AP962" s="174">
        <v>36</v>
      </c>
      <c r="AQ962" s="175">
        <f>VLOOKUP(C962,$B$45:$AA$48,23,FALSE)</f>
        <v>90</v>
      </c>
      <c r="AR962" s="31">
        <f>IF(LEFT(E962,1)*1=1,$S$66,$R$66)</f>
        <v>1</v>
      </c>
      <c r="AS962" s="2">
        <f>IF(LEFT(E962,1)*1=2,$U$66,$T$66)</f>
        <v>0.9</v>
      </c>
      <c r="AT962" s="33">
        <f>IF(LEFT(E962,1)*1=3,$W$66,$V$66)</f>
        <v>0</v>
      </c>
      <c r="AU962" s="31">
        <f>IF(MID(E962,3,1)*1=1,$Y$66,$X$66)</f>
        <v>1</v>
      </c>
      <c r="AV962" s="2">
        <f>IF(MID(E962,3,1)*1=2,$AA$66,$Z$66)</f>
        <v>0</v>
      </c>
      <c r="AW962" s="33">
        <f>IF(MID(E962,3,1)*1=3,$AC$66,$AB$66)</f>
        <v>0</v>
      </c>
      <c r="AX962" s="31">
        <f>IF(MID(E962,5,1)*1=1,$AE$66,$AD$66)</f>
        <v>1</v>
      </c>
      <c r="AY962" s="33">
        <f>IF(MID(E962,5,1)*1=2,$AG$66,$AF$66)</f>
        <v>1</v>
      </c>
      <c r="AZ962" s="2"/>
      <c r="BA962" s="101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</row>
    <row r="963" spans="1:71" ht="12" customHeight="1">
      <c r="A963" s="2"/>
      <c r="B963" s="107">
        <v>36</v>
      </c>
      <c r="C963" s="31">
        <v>10</v>
      </c>
      <c r="D963" s="106" t="s">
        <v>3</v>
      </c>
      <c r="E963" s="2" t="s">
        <v>95</v>
      </c>
      <c r="F963" s="2"/>
      <c r="G963" s="2"/>
      <c r="H963" s="33"/>
      <c r="I963" s="173">
        <f>M963/AE963</f>
        <v>190.51239464755389</v>
      </c>
      <c r="J963" s="174">
        <f>AH963/AE963</f>
        <v>19.606684895043333</v>
      </c>
      <c r="K963" s="207">
        <f>RANK(I963,$I$76:$I$977)</f>
        <v>888</v>
      </c>
      <c r="L963" s="208" t="e">
        <f>RANK(I963,$I$76:$I$450)</f>
        <v>#N/A</v>
      </c>
      <c r="M963" s="173">
        <f>SUM(N963:R963)</f>
        <v>2283.4259326263436</v>
      </c>
      <c r="N963" s="174">
        <f>T963*(1+((AG963+IF(F963="백어택",8,0))/100)*((AI963/100-1)))</f>
        <v>1141.7129663131718</v>
      </c>
      <c r="O963" s="174"/>
      <c r="P963" s="174"/>
      <c r="Q963" s="174"/>
      <c r="R963" s="175">
        <f>X963*(1+(AG963/100)*(AI963/100-1))</f>
        <v>1141.7129663131718</v>
      </c>
      <c r="S963" s="173">
        <f>SUM(T963:X963)</f>
        <v>1729.3670867487806</v>
      </c>
      <c r="T963" s="174">
        <f>AL963*AU963*AV963*AW963*AX963</f>
        <v>864.6835433743903</v>
      </c>
      <c r="U963" s="174"/>
      <c r="V963" s="174"/>
      <c r="W963" s="174"/>
      <c r="X963" s="175">
        <f>AL963*AU963*AV963*IF(AW963=1,1,0.25)*AX963*AY963</f>
        <v>864.6835433743903</v>
      </c>
      <c r="Y963" s="173">
        <f>SUM(Z963:AD963)</f>
        <v>3458.7341734975612</v>
      </c>
      <c r="Z963" s="174">
        <f>T963*$D$58/100</f>
        <v>1729.3670867487806</v>
      </c>
      <c r="AA963" s="174"/>
      <c r="AB963" s="174"/>
      <c r="AC963" s="174"/>
      <c r="AD963" s="175">
        <f>X963*$D$58/100</f>
        <v>1729.3670867487806</v>
      </c>
      <c r="AE963" s="173">
        <f>IF(AV963=1,AO963*(1-$D$17/100),AO963*(1-$D$17/100)+6)</f>
        <v>11.985707999999999</v>
      </c>
      <c r="AF963" s="174">
        <f>AP963</f>
        <v>36</v>
      </c>
      <c r="AG963" s="174">
        <f>IF($D$57&gt;100,100,$D$57)</f>
        <v>19.001300000000001</v>
      </c>
      <c r="AH963" s="174">
        <f>AQ963</f>
        <v>235</v>
      </c>
      <c r="AI963" s="174">
        <f>$D$58+$D$19</f>
        <v>268.61079999999998</v>
      </c>
      <c r="AJ963" s="174">
        <f>10/13</f>
        <v>0.76923076923076927</v>
      </c>
      <c r="AK963" s="174">
        <f>SUM(AL963:AN963)</f>
        <v>1729.3670867487806</v>
      </c>
      <c r="AL963" s="174">
        <f>(VLOOKUP(C963,$B$36:$AG$39,3,FALSE)+VLOOKUP(C963,$B$40:$AG$43,3,FALSE)*$D$54)*$D$59/100</f>
        <v>1729.3670867487806</v>
      </c>
      <c r="AM963" s="174"/>
      <c r="AN963" s="174"/>
      <c r="AO963" s="176">
        <v>6</v>
      </c>
      <c r="AP963" s="174">
        <v>36</v>
      </c>
      <c r="AQ963" s="175">
        <f>VLOOKUP(C963,$B$45:$AA$48,3,FALSE)</f>
        <v>235</v>
      </c>
      <c r="AR963" s="31">
        <f>IF(LEFT(E963,1)*1=1,$S$53,$R$53)</f>
        <v>0</v>
      </c>
      <c r="AS963" s="2">
        <f>IF(LEFT(E963,1)*1=2,$U$53,$T$53)</f>
        <v>0</v>
      </c>
      <c r="AT963" s="33">
        <f>IF(LEFT(E963,1)*1=3,$W$53,$V$53)</f>
        <v>0</v>
      </c>
      <c r="AU963" s="31">
        <f>IF(MID(E963,3,1)*1=1,$Y$53,$X$53)</f>
        <v>1</v>
      </c>
      <c r="AV963" s="2">
        <f>IF(MID(E963,3,1)*1=2,$AA$53,$Z$53)</f>
        <v>0.5</v>
      </c>
      <c r="AW963" s="33">
        <f>IF(MID(E963,3,1)*1=3,$AC$53,$AB$53)</f>
        <v>1</v>
      </c>
      <c r="AX963" s="31">
        <f>IF(MID(E963,5,1)*1=1,$AE$53,$AD$53)</f>
        <v>1</v>
      </c>
      <c r="AY963" s="33">
        <f>IF(MID(E963,5,1)*1=2,$AG$53,$AF$53)</f>
        <v>1</v>
      </c>
      <c r="AZ963" s="2"/>
      <c r="BA963" s="101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</row>
    <row r="964" spans="1:71" ht="12" hidden="1" customHeight="1">
      <c r="A964" s="2"/>
      <c r="B964" s="107">
        <v>154</v>
      </c>
      <c r="C964" s="31">
        <v>4</v>
      </c>
      <c r="D964" s="106" t="s">
        <v>7</v>
      </c>
      <c r="E964" s="2" t="s">
        <v>79</v>
      </c>
      <c r="F964" s="2"/>
      <c r="G964" s="2" t="s">
        <v>184</v>
      </c>
      <c r="H964" s="33"/>
      <c r="I964" s="173">
        <f>M964/AE964</f>
        <v>187.80410116798191</v>
      </c>
      <c r="J964" s="174">
        <f>AH964/AE964</f>
        <v>12.585534298253997</v>
      </c>
      <c r="K964" s="207">
        <f>RANK(I964,$I$76:$I$977)</f>
        <v>889</v>
      </c>
      <c r="L964" s="208" t="e">
        <f>RANK(I964,$I$76:$I$450)</f>
        <v>#N/A</v>
      </c>
      <c r="M964" s="173">
        <f>N964+R964/2</f>
        <v>1686.2107661909981</v>
      </c>
      <c r="N964" s="174">
        <f>T964*(1+((AG964+IF(F964="백어택",8,0))/100)*((AI964/100-1)))</f>
        <v>1284.7320123359984</v>
      </c>
      <c r="O964" s="174"/>
      <c r="P964" s="174"/>
      <c r="Q964" s="174"/>
      <c r="R964" s="175">
        <f>X964*(1+(AG964/100)*(AI964/100-1))</f>
        <v>802.95750770999916</v>
      </c>
      <c r="S964" s="173">
        <f>SUM(T964:X964)</f>
        <v>1581.1248754477135</v>
      </c>
      <c r="T964" s="174">
        <f>AL964*AV964*AX964</f>
        <v>972.99992335243905</v>
      </c>
      <c r="U964" s="174"/>
      <c r="V964" s="174"/>
      <c r="W964" s="174"/>
      <c r="X964" s="175">
        <f>AS964*AL964</f>
        <v>608.12495209527447</v>
      </c>
      <c r="Y964" s="173">
        <f>SUM(Z964:AD964)</f>
        <v>3162.249750895427</v>
      </c>
      <c r="Z964" s="174">
        <f>T964*$D$58/100</f>
        <v>1945.9998467048781</v>
      </c>
      <c r="AA964" s="174"/>
      <c r="AB964" s="174"/>
      <c r="AC964" s="174"/>
      <c r="AD964" s="175">
        <f>X964*$D$58/100</f>
        <v>1216.2499041905489</v>
      </c>
      <c r="AE964" s="173">
        <f>AO964*(1-$D$17/100)-AY964</f>
        <v>8.9785620000000002</v>
      </c>
      <c r="AF964" s="174">
        <f>AP964</f>
        <v>36</v>
      </c>
      <c r="AG964" s="174">
        <f>IF($D$57&gt;100,100,$D$57)</f>
        <v>19.001300000000001</v>
      </c>
      <c r="AH964" s="174">
        <f>AQ964*AR964</f>
        <v>113</v>
      </c>
      <c r="AI964" s="174">
        <f>$D$58+$D$19</f>
        <v>268.61079999999998</v>
      </c>
      <c r="AJ964" s="174">
        <f>10*AX964*AU964/9</f>
        <v>1.1111111111111112</v>
      </c>
      <c r="AK964" s="174">
        <f>SUM(AL964:AN964)</f>
        <v>972.99992335243905</v>
      </c>
      <c r="AL964" s="174">
        <f>(VLOOKUP(C964,$B$36:$AG$39,8,FALSE)+VLOOKUP(C964,$B$40:$AG$43,8,FALSE)*$D$54)*$D$59/100</f>
        <v>972.99992335243905</v>
      </c>
      <c r="AM964" s="174"/>
      <c r="AN964" s="174"/>
      <c r="AO964" s="176">
        <v>9</v>
      </c>
      <c r="AP964" s="174">
        <v>36</v>
      </c>
      <c r="AQ964" s="175">
        <f>VLOOKUP(C964,$B$45:$AA$48,8,FALSE)</f>
        <v>113</v>
      </c>
      <c r="AR964" s="31">
        <f>IF(LEFT(E964,1)*1=1,$S$57,$R$57)</f>
        <v>1</v>
      </c>
      <c r="AS964" s="2">
        <f>IF(LEFT(E964,1)*1=2,$U$57,$T$57)</f>
        <v>0.625</v>
      </c>
      <c r="AT964" s="33">
        <f>IF(LEFT(E964,1)*1=3,$W$57,$V$57)</f>
        <v>0</v>
      </c>
      <c r="AU964" s="31">
        <f>IF(MID(E964,3,1)*1=1,$Y$57,$X$57)</f>
        <v>1</v>
      </c>
      <c r="AV964" s="2">
        <f>IF(MID(E964,3,1)*1=2,$AA$57,$Z$57)</f>
        <v>1</v>
      </c>
      <c r="AW964" s="33">
        <f>IF(MID(E964,3,1)*1=3,$AC$57,$AB$57)</f>
        <v>0</v>
      </c>
      <c r="AX964" s="31">
        <f>IF(MID(E964,5,1)*1=1,$AE$57,$AD$57)</f>
        <v>1</v>
      </c>
      <c r="AY964" s="33">
        <f>IF(MID(E964,5,1)*1=2,$AG$57,$AF$57)</f>
        <v>0</v>
      </c>
      <c r="AZ964" s="2"/>
      <c r="BA964" s="101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</row>
    <row r="965" spans="1:71" ht="12" customHeight="1">
      <c r="A965" s="2"/>
      <c r="B965" s="107">
        <v>282</v>
      </c>
      <c r="C965" s="31">
        <v>1</v>
      </c>
      <c r="D965" s="106" t="s">
        <v>16</v>
      </c>
      <c r="E965" s="2" t="s">
        <v>67</v>
      </c>
      <c r="F965" s="2"/>
      <c r="G965" s="2"/>
      <c r="H965" s="33">
        <f>AX965*2</f>
        <v>2</v>
      </c>
      <c r="I965" s="173">
        <f>M965/AE965</f>
        <v>159.32509471072723</v>
      </c>
      <c r="J965" s="174">
        <f>AH965/AE965</f>
        <v>7.5179076560366793</v>
      </c>
      <c r="K965" s="207">
        <f>RANK(I965,$I$76:$I$977)</f>
        <v>890</v>
      </c>
      <c r="L965" s="208" t="e">
        <f>RANK(I965,$I$76:$I$450)</f>
        <v>#N/A</v>
      </c>
      <c r="M965" s="173">
        <f>SUM(N965:R965)</f>
        <v>953.67349401075762</v>
      </c>
      <c r="N965" s="174">
        <f>T965*(1+((AG965+IF(F965="백어택",8,0))/100)*((AI965/100-1)))</f>
        <v>953.67349401075762</v>
      </c>
      <c r="O965" s="174"/>
      <c r="P965" s="174"/>
      <c r="Q965" s="174"/>
      <c r="R965" s="175"/>
      <c r="S965" s="173">
        <f>SUM(T965:X965)*H965</f>
        <v>1444.5413170463414</v>
      </c>
      <c r="T965" s="174">
        <f>AL965*AU965*AY965*IF(F965="백어택",1.2,1)</f>
        <v>722.27065852317071</v>
      </c>
      <c r="U965" s="174"/>
      <c r="V965" s="174"/>
      <c r="W965" s="174"/>
      <c r="X965" s="175"/>
      <c r="Y965" s="173">
        <f>SUM(Z965:AD965)</f>
        <v>1444.5413170463414</v>
      </c>
      <c r="Z965" s="174">
        <f>T965*$D$58/100</f>
        <v>1444.5413170463414</v>
      </c>
      <c r="AA965" s="174"/>
      <c r="AB965" s="174"/>
      <c r="AC965" s="174"/>
      <c r="AD965" s="175"/>
      <c r="AE965" s="173">
        <f>AO965*(1-$D$17/100)</f>
        <v>5.9857079999999998</v>
      </c>
      <c r="AF965" s="174">
        <f>AP965</f>
        <v>36</v>
      </c>
      <c r="AG965" s="174">
        <f>IF($D$57+AT965&gt;100,100,$D$57+AT965)</f>
        <v>19.001300000000001</v>
      </c>
      <c r="AH965" s="174">
        <f>AQ965*AR965</f>
        <v>45</v>
      </c>
      <c r="AI965" s="174">
        <f>$D$58+$D$19</f>
        <v>268.61079999999998</v>
      </c>
      <c r="AJ965" s="174">
        <f>10*AS965/IF(AX965=1,5,3.5)</f>
        <v>2</v>
      </c>
      <c r="AK965" s="174">
        <f>SUM(AL965:AN965)</f>
        <v>722.27065852317071</v>
      </c>
      <c r="AL965" s="174">
        <f>((VLOOKUP(C965,$B$36:$AG$39,23,FALSE)+VLOOKUP(C965,$B$40:$AG$43,23,FALSE)*$D$54))*$D$59/100</f>
        <v>722.27065852317071</v>
      </c>
      <c r="AM965" s="174"/>
      <c r="AN965" s="174"/>
      <c r="AO965" s="176">
        <v>6</v>
      </c>
      <c r="AP965" s="174">
        <v>36</v>
      </c>
      <c r="AQ965" s="175">
        <f>VLOOKUP(C965,$B$45:$AA$48,23,FALSE)</f>
        <v>45</v>
      </c>
      <c r="AR965" s="31">
        <f>IF(LEFT(E965,1)*1=1,$S$66,$R$66)</f>
        <v>1</v>
      </c>
      <c r="AS965" s="2">
        <f>IF(LEFT(E965,1)*1=2,$U$66,$T$66)</f>
        <v>1</v>
      </c>
      <c r="AT965" s="33">
        <f>IF(LEFT(E965,1)*1=3,$W$66,$V$66)</f>
        <v>0</v>
      </c>
      <c r="AU965" s="31">
        <f>IF(MID(E965,3,1)*1=1,$Y$66,$X$66)</f>
        <v>1</v>
      </c>
      <c r="AV965" s="2">
        <f>IF(MID(E965,3,1)*1=2,$AA$66,$Z$66)</f>
        <v>0</v>
      </c>
      <c r="AW965" s="33">
        <f>IF(MID(E965,3,1)*1=3,$AC$66,$AB$66)</f>
        <v>0</v>
      </c>
      <c r="AX965" s="31">
        <f>IF(MID(E965,5,1)*1=1,$AE$66,$AD$66)</f>
        <v>1</v>
      </c>
      <c r="AY965" s="33">
        <f>IF(MID(E965,5,1)*1=2,$AG$66,$AF$66)</f>
        <v>1</v>
      </c>
      <c r="AZ965" s="2"/>
      <c r="BA965" s="101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</row>
    <row r="966" spans="1:71" ht="12" customHeight="1">
      <c r="A966" s="2"/>
      <c r="B966" s="107">
        <v>143</v>
      </c>
      <c r="C966" s="31">
        <v>7</v>
      </c>
      <c r="D966" s="106" t="s">
        <v>7</v>
      </c>
      <c r="E966" s="2" t="s">
        <v>67</v>
      </c>
      <c r="F966" s="2"/>
      <c r="G966" s="2"/>
      <c r="H966" s="33"/>
      <c r="I966" s="173">
        <f>M966/AE966</f>
        <v>154.33317220593614</v>
      </c>
      <c r="J966" s="174">
        <f>AH966/AE966</f>
        <v>22.943540402126754</v>
      </c>
      <c r="K966" s="207">
        <f>RANK(I966,$I$76:$I$977)</f>
        <v>891</v>
      </c>
      <c r="L966" s="208" t="e">
        <f>RANK(I966,$I$76:$I$450)</f>
        <v>#N/A</v>
      </c>
      <c r="M966" s="173">
        <f>N966+R966/2</f>
        <v>1385.6899553076744</v>
      </c>
      <c r="N966" s="174">
        <f>T966*(1+((AG966+IF(F966="백어택",8,0))/100)*((AI966/100-1)))</f>
        <v>1385.6899553076744</v>
      </c>
      <c r="O966" s="174"/>
      <c r="P966" s="174"/>
      <c r="Q966" s="174"/>
      <c r="R966" s="175">
        <f>X966*(1+(AG966/100)*(AI966/100-1))</f>
        <v>0</v>
      </c>
      <c r="S966" s="173">
        <f>SUM(T966:X966)</f>
        <v>1049.4610606402439</v>
      </c>
      <c r="T966" s="174">
        <f>AL966*AV966*AX966</f>
        <v>1049.4610606402439</v>
      </c>
      <c r="U966" s="174"/>
      <c r="V966" s="174"/>
      <c r="W966" s="174"/>
      <c r="X966" s="175">
        <f>AS966*AL966</f>
        <v>0</v>
      </c>
      <c r="Y966" s="173">
        <f>SUM(Z966:AD966)</f>
        <v>2098.9221212804878</v>
      </c>
      <c r="Z966" s="174">
        <f>T966*$D$58/100</f>
        <v>2098.9221212804878</v>
      </c>
      <c r="AA966" s="174"/>
      <c r="AB966" s="174"/>
      <c r="AC966" s="174"/>
      <c r="AD966" s="175">
        <f>X966*$D$58/100</f>
        <v>0</v>
      </c>
      <c r="AE966" s="173">
        <f>AO966*(1-$D$17/100)-AY966</f>
        <v>8.9785620000000002</v>
      </c>
      <c r="AF966" s="174">
        <f>AP966</f>
        <v>36</v>
      </c>
      <c r="AG966" s="174">
        <f>IF($D$57&gt;100,100,$D$57)</f>
        <v>19.001300000000001</v>
      </c>
      <c r="AH966" s="174">
        <f>AQ966*AR966</f>
        <v>206</v>
      </c>
      <c r="AI966" s="174">
        <f>$D$58+$D$19</f>
        <v>268.61079999999998</v>
      </c>
      <c r="AJ966" s="174">
        <f>10*AX966*AU966/9</f>
        <v>1.1111111111111112</v>
      </c>
      <c r="AK966" s="174">
        <f>SUM(AL966:AN966)</f>
        <v>1049.4610606402439</v>
      </c>
      <c r="AL966" s="174">
        <f>(VLOOKUP(C966,$B$36:$AG$39,8,FALSE)+VLOOKUP(C966,$B$40:$AG$43,8,FALSE)*$D$54)*$D$59/100</f>
        <v>1049.4610606402439</v>
      </c>
      <c r="AM966" s="174"/>
      <c r="AN966" s="174"/>
      <c r="AO966" s="176">
        <v>9</v>
      </c>
      <c r="AP966" s="174">
        <v>36</v>
      </c>
      <c r="AQ966" s="175">
        <f>VLOOKUP(C966,$B$45:$AA$48,8,FALSE)</f>
        <v>206</v>
      </c>
      <c r="AR966" s="31">
        <f>IF(LEFT(E966,1)*1=1,$S$57,$R$57)</f>
        <v>1</v>
      </c>
      <c r="AS966" s="2">
        <f>IF(LEFT(E966,1)*1=2,$U$57,$T$57)</f>
        <v>0</v>
      </c>
      <c r="AT966" s="33">
        <f>IF(LEFT(E966,1)*1=3,$W$57,$V$57)</f>
        <v>0</v>
      </c>
      <c r="AU966" s="31">
        <f>IF(MID(E966,3,1)*1=1,$Y$57,$X$57)</f>
        <v>1</v>
      </c>
      <c r="AV966" s="2">
        <f>IF(MID(E966,3,1)*1=2,$AA$57,$Z$57)</f>
        <v>1</v>
      </c>
      <c r="AW966" s="33">
        <f>IF(MID(E966,3,1)*1=3,$AC$57,$AB$57)</f>
        <v>0</v>
      </c>
      <c r="AX966" s="31">
        <f>IF(MID(E966,5,1)*1=1,$AE$57,$AD$57)</f>
        <v>1</v>
      </c>
      <c r="AY966" s="33">
        <f>IF(MID(E966,5,1)*1=2,$AG$57,$AF$57)</f>
        <v>0</v>
      </c>
      <c r="AZ966" s="2"/>
      <c r="BA966" s="101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</row>
    <row r="967" spans="1:71" ht="12" customHeight="1">
      <c r="A967" s="2"/>
      <c r="B967" s="107">
        <v>144</v>
      </c>
      <c r="C967" s="31">
        <v>7</v>
      </c>
      <c r="D967" s="106" t="s">
        <v>7</v>
      </c>
      <c r="E967" s="2" t="s">
        <v>136</v>
      </c>
      <c r="F967" s="2"/>
      <c r="G967" s="2"/>
      <c r="H967" s="33"/>
      <c r="I967" s="173">
        <f>M967/AE967</f>
        <v>154.33317220593614</v>
      </c>
      <c r="J967" s="174">
        <f>AH967/AE967</f>
        <v>22.943540402126754</v>
      </c>
      <c r="K967" s="207">
        <f>RANK(I967,$I$76:$I$977)</f>
        <v>891</v>
      </c>
      <c r="L967" s="208" t="e">
        <f>RANK(I967,$I$76:$I$450)</f>
        <v>#N/A</v>
      </c>
      <c r="M967" s="173">
        <f>N967+R967/2</f>
        <v>1385.6899553076744</v>
      </c>
      <c r="N967" s="174">
        <f>T967*(1+((AG967+IF(F967="백어택",8,0))/100)*((AI967/100-1)))</f>
        <v>1385.6899553076744</v>
      </c>
      <c r="O967" s="174"/>
      <c r="P967" s="174"/>
      <c r="Q967" s="174"/>
      <c r="R967" s="175">
        <f>X967*(1+(AG967/100)*(AI967/100-1))</f>
        <v>0</v>
      </c>
      <c r="S967" s="173">
        <f>SUM(T967:X967)</f>
        <v>1049.4610606402439</v>
      </c>
      <c r="T967" s="174">
        <f>AL967*AV967*AX967</f>
        <v>1049.4610606402439</v>
      </c>
      <c r="U967" s="174"/>
      <c r="V967" s="174"/>
      <c r="W967" s="174"/>
      <c r="X967" s="175">
        <f>AS967*AL967</f>
        <v>0</v>
      </c>
      <c r="Y967" s="173">
        <f>SUM(Z967:AD967)</f>
        <v>2098.9221212804878</v>
      </c>
      <c r="Z967" s="174">
        <f>T967*$D$58/100</f>
        <v>2098.9221212804878</v>
      </c>
      <c r="AA967" s="174"/>
      <c r="AB967" s="174"/>
      <c r="AC967" s="174"/>
      <c r="AD967" s="175">
        <f>X967*$D$58/100</f>
        <v>0</v>
      </c>
      <c r="AE967" s="173">
        <f>AO967*(1-$D$17/100)-AY967</f>
        <v>8.9785620000000002</v>
      </c>
      <c r="AF967" s="174">
        <f>AP967</f>
        <v>36</v>
      </c>
      <c r="AG967" s="174">
        <f>IF($D$57&gt;100,100,$D$57)</f>
        <v>19.001300000000001</v>
      </c>
      <c r="AH967" s="174">
        <f>AQ967*AR967</f>
        <v>206</v>
      </c>
      <c r="AI967" s="174">
        <f>$D$58+$D$19</f>
        <v>268.61079999999998</v>
      </c>
      <c r="AJ967" s="174">
        <f>10*AX967*AU967/9</f>
        <v>0.88888888888888884</v>
      </c>
      <c r="AK967" s="174">
        <f>SUM(AL967:AN967)</f>
        <v>1049.4610606402439</v>
      </c>
      <c r="AL967" s="174">
        <f>(VLOOKUP(C967,$B$36:$AG$39,8,FALSE)+VLOOKUP(C967,$B$40:$AG$43,8,FALSE)*$D$54)*$D$59/100</f>
        <v>1049.4610606402439</v>
      </c>
      <c r="AM967" s="174"/>
      <c r="AN967" s="174"/>
      <c r="AO967" s="176">
        <v>9</v>
      </c>
      <c r="AP967" s="174">
        <v>36</v>
      </c>
      <c r="AQ967" s="175">
        <f>VLOOKUP(C967,$B$45:$AA$48,8,FALSE)</f>
        <v>206</v>
      </c>
      <c r="AR967" s="31">
        <f>IF(LEFT(E967,1)*1=1,$S$57,$R$57)</f>
        <v>1</v>
      </c>
      <c r="AS967" s="2">
        <f>IF(LEFT(E967,1)*1=2,$U$57,$T$57)</f>
        <v>0</v>
      </c>
      <c r="AT967" s="33">
        <f>IF(LEFT(E967,1)*1=3,$W$57,$V$57)</f>
        <v>0</v>
      </c>
      <c r="AU967" s="31">
        <f>IF(MID(E967,3,1)*1=1,$Y$57,$X$57)</f>
        <v>0.8</v>
      </c>
      <c r="AV967" s="2">
        <f>IF(MID(E967,3,1)*1=2,$AA$57,$Z$57)</f>
        <v>1</v>
      </c>
      <c r="AW967" s="33">
        <f>IF(MID(E967,3,1)*1=3,$AC$57,$AB$57)</f>
        <v>0</v>
      </c>
      <c r="AX967" s="31">
        <f>IF(MID(E967,5,1)*1=1,$AE$57,$AD$57)</f>
        <v>1</v>
      </c>
      <c r="AY967" s="33">
        <f>IF(MID(E967,5,1)*1=2,$AG$57,$AF$57)</f>
        <v>0</v>
      </c>
      <c r="AZ967" s="2"/>
      <c r="BA967" s="101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</row>
    <row r="968" spans="1:71" ht="12" customHeight="1">
      <c r="A968" s="2"/>
      <c r="B968" s="107">
        <v>146</v>
      </c>
      <c r="C968" s="31">
        <v>7</v>
      </c>
      <c r="D968" s="106" t="s">
        <v>7</v>
      </c>
      <c r="E968" s="2" t="s">
        <v>148</v>
      </c>
      <c r="F968" s="2"/>
      <c r="G968" s="2"/>
      <c r="H968" s="33"/>
      <c r="I968" s="173">
        <f>M968/AE968</f>
        <v>154.33317220593614</v>
      </c>
      <c r="J968" s="174">
        <f>AH968/AE968</f>
        <v>11.471770201063377</v>
      </c>
      <c r="K968" s="207">
        <f>RANK(I968,$I$76:$I$977)</f>
        <v>891</v>
      </c>
      <c r="L968" s="208" t="e">
        <f>RANK(I968,$I$76:$I$450)</f>
        <v>#N/A</v>
      </c>
      <c r="M968" s="173">
        <f>N968+R968/2</f>
        <v>1385.6899553076744</v>
      </c>
      <c r="N968" s="174">
        <f>T968*(1+((AG968+IF(F968="백어택",8,0))/100)*((AI968/100-1)))</f>
        <v>1385.6899553076744</v>
      </c>
      <c r="O968" s="174"/>
      <c r="P968" s="174"/>
      <c r="Q968" s="174"/>
      <c r="R968" s="175">
        <f>X968*(1+(AG968/100)*(AI968/100-1))</f>
        <v>0</v>
      </c>
      <c r="S968" s="173">
        <f>SUM(T968:X968)</f>
        <v>1049.4610606402439</v>
      </c>
      <c r="T968" s="174">
        <f>AL968*AV968*AX968</f>
        <v>1049.4610606402439</v>
      </c>
      <c r="U968" s="174"/>
      <c r="V968" s="174"/>
      <c r="W968" s="174"/>
      <c r="X968" s="175">
        <f>AS968*AL968</f>
        <v>0</v>
      </c>
      <c r="Y968" s="173">
        <f>SUM(Z968:AD968)</f>
        <v>2098.9221212804878</v>
      </c>
      <c r="Z968" s="174">
        <f>T968*$D$58/100</f>
        <v>2098.9221212804878</v>
      </c>
      <c r="AA968" s="174"/>
      <c r="AB968" s="174"/>
      <c r="AC968" s="174"/>
      <c r="AD968" s="175">
        <f>X968*$D$58/100</f>
        <v>0</v>
      </c>
      <c r="AE968" s="173">
        <f>AO968*(1-$D$17/100)-AY968</f>
        <v>8.9785620000000002</v>
      </c>
      <c r="AF968" s="174">
        <f>AP968</f>
        <v>36</v>
      </c>
      <c r="AG968" s="174">
        <f>IF($D$57&gt;100,100,$D$57)</f>
        <v>19.001300000000001</v>
      </c>
      <c r="AH968" s="174">
        <f>AQ968*AR968</f>
        <v>103</v>
      </c>
      <c r="AI968" s="174">
        <f>$D$58+$D$19</f>
        <v>268.61079999999998</v>
      </c>
      <c r="AJ968" s="174">
        <f>10*AX968*AU968/9</f>
        <v>1.1111111111111112</v>
      </c>
      <c r="AK968" s="174">
        <f>SUM(AL968:AN968)</f>
        <v>1049.4610606402439</v>
      </c>
      <c r="AL968" s="174">
        <f>(VLOOKUP(C968,$B$36:$AG$39,8,FALSE)+VLOOKUP(C968,$B$40:$AG$43,8,FALSE)*$D$54)*$D$59/100</f>
        <v>1049.4610606402439</v>
      </c>
      <c r="AM968" s="174"/>
      <c r="AN968" s="174"/>
      <c r="AO968" s="176">
        <v>9</v>
      </c>
      <c r="AP968" s="174">
        <v>36</v>
      </c>
      <c r="AQ968" s="175">
        <f>VLOOKUP(C968,$B$45:$AA$48,8,FALSE)</f>
        <v>206</v>
      </c>
      <c r="AR968" s="31">
        <f>IF(LEFT(E968,1)*1=1,$S$57,$R$57)</f>
        <v>0.5</v>
      </c>
      <c r="AS968" s="2">
        <f>IF(LEFT(E968,1)*1=2,$U$57,$T$57)</f>
        <v>0</v>
      </c>
      <c r="AT968" s="33">
        <f>IF(LEFT(E968,1)*1=3,$W$57,$V$57)</f>
        <v>0</v>
      </c>
      <c r="AU968" s="31">
        <f>IF(MID(E968,3,1)*1=1,$Y$57,$X$57)</f>
        <v>1</v>
      </c>
      <c r="AV968" s="2">
        <f>IF(MID(E968,3,1)*1=2,$AA$57,$Z$57)</f>
        <v>1</v>
      </c>
      <c r="AW968" s="33">
        <f>IF(MID(E968,3,1)*1=3,$AC$57,$AB$57)</f>
        <v>0</v>
      </c>
      <c r="AX968" s="31">
        <f>IF(MID(E968,5,1)*1=1,$AE$57,$AD$57)</f>
        <v>1</v>
      </c>
      <c r="AY968" s="33">
        <f>IF(MID(E968,5,1)*1=2,$AG$57,$AF$57)</f>
        <v>0</v>
      </c>
      <c r="AZ968" s="2"/>
      <c r="BA968" s="101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</row>
    <row r="969" spans="1:71" ht="12" customHeight="1">
      <c r="A969" s="2"/>
      <c r="B969" s="107">
        <v>147</v>
      </c>
      <c r="C969" s="31">
        <v>7</v>
      </c>
      <c r="D969" s="106" t="s">
        <v>7</v>
      </c>
      <c r="E969" s="2" t="s">
        <v>163</v>
      </c>
      <c r="F969" s="2"/>
      <c r="G969" s="2"/>
      <c r="H969" s="33"/>
      <c r="I969" s="173">
        <f>M969/AE969</f>
        <v>154.33317220593614</v>
      </c>
      <c r="J969" s="174">
        <f>AH969/AE969</f>
        <v>11.471770201063377</v>
      </c>
      <c r="K969" s="207">
        <f>RANK(I969,$I$76:$I$977)</f>
        <v>891</v>
      </c>
      <c r="L969" s="208" t="e">
        <f>RANK(I969,$I$76:$I$450)</f>
        <v>#N/A</v>
      </c>
      <c r="M969" s="173">
        <f>N969+R969/2</f>
        <v>1385.6899553076744</v>
      </c>
      <c r="N969" s="174">
        <f>T969*(1+((AG969+IF(F969="백어택",8,0))/100)*((AI969/100-1)))</f>
        <v>1385.6899553076744</v>
      </c>
      <c r="O969" s="174"/>
      <c r="P969" s="174"/>
      <c r="Q969" s="174"/>
      <c r="R969" s="175">
        <f>X969*(1+(AG969/100)*(AI969/100-1))</f>
        <v>0</v>
      </c>
      <c r="S969" s="173">
        <f>SUM(T969:X969)</f>
        <v>1049.4610606402439</v>
      </c>
      <c r="T969" s="174">
        <f>AL969*AV969*AX969</f>
        <v>1049.4610606402439</v>
      </c>
      <c r="U969" s="174"/>
      <c r="V969" s="174"/>
      <c r="W969" s="174"/>
      <c r="X969" s="175">
        <f>AS969*AL969</f>
        <v>0</v>
      </c>
      <c r="Y969" s="173">
        <f>SUM(Z969:AD969)</f>
        <v>2098.9221212804878</v>
      </c>
      <c r="Z969" s="174">
        <f>T969*$D$58/100</f>
        <v>2098.9221212804878</v>
      </c>
      <c r="AA969" s="174"/>
      <c r="AB969" s="174"/>
      <c r="AC969" s="174"/>
      <c r="AD969" s="175">
        <f>X969*$D$58/100</f>
        <v>0</v>
      </c>
      <c r="AE969" s="173">
        <f>AO969*(1-$D$17/100)-AY969</f>
        <v>8.9785620000000002</v>
      </c>
      <c r="AF969" s="174">
        <f>AP969</f>
        <v>36</v>
      </c>
      <c r="AG969" s="174">
        <f>IF($D$57&gt;100,100,$D$57)</f>
        <v>19.001300000000001</v>
      </c>
      <c r="AH969" s="174">
        <f>AQ969*AR969</f>
        <v>103</v>
      </c>
      <c r="AI969" s="174">
        <f>$D$58+$D$19</f>
        <v>268.61079999999998</v>
      </c>
      <c r="AJ969" s="174">
        <f>10*AX969*AU969/9</f>
        <v>0.88888888888888884</v>
      </c>
      <c r="AK969" s="174">
        <f>SUM(AL969:AN969)</f>
        <v>1049.4610606402439</v>
      </c>
      <c r="AL969" s="174">
        <f>(VLOOKUP(C969,$B$36:$AG$39,8,FALSE)+VLOOKUP(C969,$B$40:$AG$43,8,FALSE)*$D$54)*$D$59/100</f>
        <v>1049.4610606402439</v>
      </c>
      <c r="AM969" s="174"/>
      <c r="AN969" s="174"/>
      <c r="AO969" s="176">
        <v>9</v>
      </c>
      <c r="AP969" s="174">
        <v>36</v>
      </c>
      <c r="AQ969" s="175">
        <f>VLOOKUP(C969,$B$45:$AA$48,8,FALSE)</f>
        <v>206</v>
      </c>
      <c r="AR969" s="31">
        <f>IF(LEFT(E969,1)*1=1,$S$57,$R$57)</f>
        <v>0.5</v>
      </c>
      <c r="AS969" s="2">
        <f>IF(LEFT(E969,1)*1=2,$U$57,$T$57)</f>
        <v>0</v>
      </c>
      <c r="AT969" s="33">
        <f>IF(LEFT(E969,1)*1=3,$W$57,$V$57)</f>
        <v>0</v>
      </c>
      <c r="AU969" s="31">
        <f>IF(MID(E969,3,1)*1=1,$Y$57,$X$57)</f>
        <v>0.8</v>
      </c>
      <c r="AV969" s="2">
        <f>IF(MID(E969,3,1)*1=2,$AA$57,$Z$57)</f>
        <v>1</v>
      </c>
      <c r="AW969" s="33">
        <f>IF(MID(E969,3,1)*1=3,$AC$57,$AB$57)</f>
        <v>0</v>
      </c>
      <c r="AX969" s="31">
        <f>IF(MID(E969,5,1)*1=1,$AE$57,$AD$57)</f>
        <v>1</v>
      </c>
      <c r="AY969" s="33">
        <f>IF(MID(E969,5,1)*1=2,$AG$57,$AF$57)</f>
        <v>0</v>
      </c>
      <c r="AZ969" s="2"/>
      <c r="BA969" s="101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</row>
    <row r="970" spans="1:71" ht="12" customHeight="1">
      <c r="A970" s="2"/>
      <c r="B970" s="107">
        <v>152</v>
      </c>
      <c r="C970" s="31">
        <v>4</v>
      </c>
      <c r="D970" s="106" t="s">
        <v>7</v>
      </c>
      <c r="E970" s="2" t="s">
        <v>67</v>
      </c>
      <c r="F970" s="2"/>
      <c r="G970" s="2"/>
      <c r="H970" s="33"/>
      <c r="I970" s="173">
        <f>M970/AE970</f>
        <v>143.08883898512906</v>
      </c>
      <c r="J970" s="174">
        <f>AH970/AE970</f>
        <v>12.585534298253997</v>
      </c>
      <c r="K970" s="207">
        <f>RANK(I970,$I$76:$I$977)</f>
        <v>895</v>
      </c>
      <c r="L970" s="208" t="e">
        <f>RANK(I970,$I$76:$I$450)</f>
        <v>#N/A</v>
      </c>
      <c r="M970" s="173">
        <f>N970+R970/2</f>
        <v>1284.7320123359984</v>
      </c>
      <c r="N970" s="174">
        <f>T970*(1+((AG970+IF(F970="백어택",8,0))/100)*((AI970/100-1)))</f>
        <v>1284.7320123359984</v>
      </c>
      <c r="O970" s="174"/>
      <c r="P970" s="174"/>
      <c r="Q970" s="174"/>
      <c r="R970" s="175">
        <f>X970*(1+(AG970/100)*(AI970/100-1))</f>
        <v>0</v>
      </c>
      <c r="S970" s="173">
        <f>SUM(T970:X970)</f>
        <v>972.99992335243905</v>
      </c>
      <c r="T970" s="174">
        <f>AL970*AV970*AX970</f>
        <v>972.99992335243905</v>
      </c>
      <c r="U970" s="174"/>
      <c r="V970" s="174"/>
      <c r="W970" s="174"/>
      <c r="X970" s="175">
        <f>AS970*AL970</f>
        <v>0</v>
      </c>
      <c r="Y970" s="173">
        <f>SUM(Z970:AD970)</f>
        <v>1945.9998467048781</v>
      </c>
      <c r="Z970" s="174">
        <f>T970*$D$58/100</f>
        <v>1945.9998467048781</v>
      </c>
      <c r="AA970" s="174"/>
      <c r="AB970" s="174"/>
      <c r="AC970" s="174"/>
      <c r="AD970" s="175">
        <f>X970*$D$58/100</f>
        <v>0</v>
      </c>
      <c r="AE970" s="173">
        <f>AO970*(1-$D$17/100)-AY970</f>
        <v>8.9785620000000002</v>
      </c>
      <c r="AF970" s="174">
        <f>AP970</f>
        <v>36</v>
      </c>
      <c r="AG970" s="174">
        <f>IF($D$57&gt;100,100,$D$57)</f>
        <v>19.001300000000001</v>
      </c>
      <c r="AH970" s="174">
        <f>AQ970*AR970</f>
        <v>113</v>
      </c>
      <c r="AI970" s="174">
        <f>$D$58+$D$19</f>
        <v>268.61079999999998</v>
      </c>
      <c r="AJ970" s="174">
        <f>10*AX970*AU970/9</f>
        <v>1.1111111111111112</v>
      </c>
      <c r="AK970" s="174">
        <f>SUM(AL970:AN970)</f>
        <v>972.99992335243905</v>
      </c>
      <c r="AL970" s="174">
        <f>(VLOOKUP(C970,$B$36:$AG$39,8,FALSE)+VLOOKUP(C970,$B$40:$AG$43,8,FALSE)*$D$54)*$D$59/100</f>
        <v>972.99992335243905</v>
      </c>
      <c r="AM970" s="174"/>
      <c r="AN970" s="174"/>
      <c r="AO970" s="176">
        <v>9</v>
      </c>
      <c r="AP970" s="174">
        <v>36</v>
      </c>
      <c r="AQ970" s="175">
        <f>VLOOKUP(C970,$B$45:$AA$48,8,FALSE)</f>
        <v>113</v>
      </c>
      <c r="AR970" s="31">
        <f>IF(LEFT(E970,1)*1=1,$S$57,$R$57)</f>
        <v>1</v>
      </c>
      <c r="AS970" s="2">
        <f>IF(LEFT(E970,1)*1=2,$U$57,$T$57)</f>
        <v>0</v>
      </c>
      <c r="AT970" s="33">
        <f>IF(LEFT(E970,1)*1=3,$W$57,$V$57)</f>
        <v>0</v>
      </c>
      <c r="AU970" s="31">
        <f>IF(MID(E970,3,1)*1=1,$Y$57,$X$57)</f>
        <v>1</v>
      </c>
      <c r="AV970" s="2">
        <f>IF(MID(E970,3,1)*1=2,$AA$57,$Z$57)</f>
        <v>1</v>
      </c>
      <c r="AW970" s="33">
        <f>IF(MID(E970,3,1)*1=3,$AC$57,$AB$57)</f>
        <v>0</v>
      </c>
      <c r="AX970" s="31">
        <f>IF(MID(E970,5,1)*1=1,$AE$57,$AD$57)</f>
        <v>1</v>
      </c>
      <c r="AY970" s="33">
        <f>IF(MID(E970,5,1)*1=2,$AG$57,$AF$57)</f>
        <v>0</v>
      </c>
      <c r="AZ970" s="2"/>
      <c r="BA970" s="101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</row>
    <row r="971" spans="1:71" ht="12" customHeight="1">
      <c r="A971" s="2"/>
      <c r="B971" s="107">
        <v>153</v>
      </c>
      <c r="C971" s="31">
        <v>4</v>
      </c>
      <c r="D971" s="106" t="s">
        <v>7</v>
      </c>
      <c r="E971" s="2" t="s">
        <v>148</v>
      </c>
      <c r="F971" s="2"/>
      <c r="G971" s="2"/>
      <c r="H971" s="33"/>
      <c r="I971" s="173">
        <f>M971/AE971</f>
        <v>143.08883898512906</v>
      </c>
      <c r="J971" s="174">
        <f>AH971/AE971</f>
        <v>6.2927671491269983</v>
      </c>
      <c r="K971" s="207">
        <f>RANK(I971,$I$76:$I$977)</f>
        <v>895</v>
      </c>
      <c r="L971" s="208" t="e">
        <f>RANK(I971,$I$76:$I$450)</f>
        <v>#N/A</v>
      </c>
      <c r="M971" s="173">
        <f>N971+R971/2</f>
        <v>1284.7320123359984</v>
      </c>
      <c r="N971" s="174">
        <f>T971*(1+((AG971+IF(F971="백어택",8,0))/100)*((AI971/100-1)))</f>
        <v>1284.7320123359984</v>
      </c>
      <c r="O971" s="174"/>
      <c r="P971" s="174"/>
      <c r="Q971" s="174"/>
      <c r="R971" s="175">
        <f>X971*(1+(AG971/100)*(AI971/100-1))</f>
        <v>0</v>
      </c>
      <c r="S971" s="173">
        <f>SUM(T971:X971)</f>
        <v>972.99992335243905</v>
      </c>
      <c r="T971" s="174">
        <f>AL971*AV971*AX971</f>
        <v>972.99992335243905</v>
      </c>
      <c r="U971" s="174"/>
      <c r="V971" s="174"/>
      <c r="W971" s="174"/>
      <c r="X971" s="175">
        <f>AS971*AL971</f>
        <v>0</v>
      </c>
      <c r="Y971" s="173">
        <f>SUM(Z971:AD971)</f>
        <v>1945.9998467048781</v>
      </c>
      <c r="Z971" s="174">
        <f>T971*$D$58/100</f>
        <v>1945.9998467048781</v>
      </c>
      <c r="AA971" s="174"/>
      <c r="AB971" s="174"/>
      <c r="AC971" s="174"/>
      <c r="AD971" s="175">
        <f>X971*$D$58/100</f>
        <v>0</v>
      </c>
      <c r="AE971" s="173">
        <f>AO971*(1-$D$17/100)-AY971</f>
        <v>8.9785620000000002</v>
      </c>
      <c r="AF971" s="174">
        <f>AP971</f>
        <v>36</v>
      </c>
      <c r="AG971" s="174">
        <f>IF($D$57&gt;100,100,$D$57)</f>
        <v>19.001300000000001</v>
      </c>
      <c r="AH971" s="174">
        <f>AQ971*AR971</f>
        <v>56.5</v>
      </c>
      <c r="AI971" s="174">
        <f>$D$58+$D$19</f>
        <v>268.61079999999998</v>
      </c>
      <c r="AJ971" s="174">
        <f>10*AX971*AU971/9</f>
        <v>1.1111111111111112</v>
      </c>
      <c r="AK971" s="174">
        <f>SUM(AL971:AN971)</f>
        <v>972.99992335243905</v>
      </c>
      <c r="AL971" s="174">
        <f>(VLOOKUP(C971,$B$36:$AG$39,8,FALSE)+VLOOKUP(C971,$B$40:$AG$43,8,FALSE)*$D$54)*$D$59/100</f>
        <v>972.99992335243905</v>
      </c>
      <c r="AM971" s="174"/>
      <c r="AN971" s="174"/>
      <c r="AO971" s="176">
        <v>9</v>
      </c>
      <c r="AP971" s="174">
        <v>36</v>
      </c>
      <c r="AQ971" s="175">
        <f>VLOOKUP(C971,$B$45:$AA$48,8,FALSE)</f>
        <v>113</v>
      </c>
      <c r="AR971" s="31">
        <f>IF(LEFT(E971,1)*1=1,$S$57,$R$57)</f>
        <v>0.5</v>
      </c>
      <c r="AS971" s="2">
        <f>IF(LEFT(E971,1)*1=2,$U$57,$T$57)</f>
        <v>0</v>
      </c>
      <c r="AT971" s="33">
        <f>IF(LEFT(E971,1)*1=3,$W$57,$V$57)</f>
        <v>0</v>
      </c>
      <c r="AU971" s="31">
        <f>IF(MID(E971,3,1)*1=1,$Y$57,$X$57)</f>
        <v>1</v>
      </c>
      <c r="AV971" s="2">
        <f>IF(MID(E971,3,1)*1=2,$AA$57,$Z$57)</f>
        <v>1</v>
      </c>
      <c r="AW971" s="33">
        <f>IF(MID(E971,3,1)*1=3,$AC$57,$AB$57)</f>
        <v>0</v>
      </c>
      <c r="AX971" s="31">
        <f>IF(MID(E971,5,1)*1=1,$AE$57,$AD$57)</f>
        <v>1</v>
      </c>
      <c r="AY971" s="33">
        <f>IF(MID(E971,5,1)*1=2,$AG$57,$AF$57)</f>
        <v>0</v>
      </c>
      <c r="AZ971" s="2"/>
      <c r="BA971" s="101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</row>
    <row r="972" spans="1:71" ht="12" customHeight="1">
      <c r="A972" s="2"/>
      <c r="B972" s="107">
        <v>37</v>
      </c>
      <c r="C972" s="31">
        <v>10</v>
      </c>
      <c r="D972" s="106" t="s">
        <v>3</v>
      </c>
      <c r="E972" s="2" t="s">
        <v>98</v>
      </c>
      <c r="F972" s="2"/>
      <c r="G972" s="2" t="s">
        <v>137</v>
      </c>
      <c r="H972" s="33"/>
      <c r="I972" s="173">
        <f>M972/AE972</f>
        <v>119.21239792280753</v>
      </c>
      <c r="J972" s="174">
        <f>AH972/AE972</f>
        <v>39.260184425969328</v>
      </c>
      <c r="K972" s="207">
        <f>RANK(I972,$I$76:$I$977)</f>
        <v>897</v>
      </c>
      <c r="L972" s="208" t="e">
        <f>RANK(I972,$I$76:$I$450)</f>
        <v>#N/A</v>
      </c>
      <c r="M972" s="173">
        <f>SUM(N972:R972)</f>
        <v>713.57060394573239</v>
      </c>
      <c r="N972" s="174">
        <f>T972*(1+((AG972+IF(F972="백어택",8,0))/100)*((AI972/100-1)))</f>
        <v>142.71412078914648</v>
      </c>
      <c r="O972" s="174"/>
      <c r="P972" s="174"/>
      <c r="Q972" s="174"/>
      <c r="R972" s="175">
        <f>X972*(1+(AG972/100)*(AI972/100-1))</f>
        <v>570.85648315658591</v>
      </c>
      <c r="S972" s="173">
        <f>SUM(T972:X972)</f>
        <v>540.42721460899395</v>
      </c>
      <c r="T972" s="174">
        <f>AL972*AU972*AV972*AW972*AX972</f>
        <v>108.08544292179879</v>
      </c>
      <c r="U972" s="174"/>
      <c r="V972" s="174"/>
      <c r="W972" s="174"/>
      <c r="X972" s="175">
        <f>AL972*AU972*AV972*IF(AW972=1,1,0.25)*AX972*AY972</f>
        <v>432.34177168719515</v>
      </c>
      <c r="Y972" s="173">
        <f>SUM(Z972:AD972)</f>
        <v>1080.8544292179879</v>
      </c>
      <c r="Z972" s="174">
        <f>T972*$D$58/100</f>
        <v>216.17088584359757</v>
      </c>
      <c r="AA972" s="174"/>
      <c r="AB972" s="174"/>
      <c r="AC972" s="174"/>
      <c r="AD972" s="175">
        <f>X972*$D$58/100</f>
        <v>864.6835433743903</v>
      </c>
      <c r="AE972" s="173">
        <f>IF(AV972=1,AO972*(1-$D$17/100),AO972*(1-$D$17/100)+6)</f>
        <v>5.9857079999999998</v>
      </c>
      <c r="AF972" s="174">
        <f>AP972</f>
        <v>36</v>
      </c>
      <c r="AG972" s="174">
        <f>IF($D$57&gt;100,100,$D$57)</f>
        <v>19.001300000000001</v>
      </c>
      <c r="AH972" s="174">
        <f>AQ972</f>
        <v>235</v>
      </c>
      <c r="AI972" s="174">
        <f>$D$58+$D$19</f>
        <v>268.61079999999998</v>
      </c>
      <c r="AJ972" s="174">
        <f>10/13</f>
        <v>0.76923076923076927</v>
      </c>
      <c r="AK972" s="174">
        <f>SUM(AL972:AN972)</f>
        <v>1729.3670867487806</v>
      </c>
      <c r="AL972" s="174">
        <f>(VLOOKUP(C972,$B$36:$AG$39,3,FALSE)+VLOOKUP(C972,$B$40:$AG$43,3,FALSE)*$D$54)*$D$59/100</f>
        <v>1729.3670867487806</v>
      </c>
      <c r="AM972" s="174"/>
      <c r="AN972" s="174"/>
      <c r="AO972" s="176">
        <v>6</v>
      </c>
      <c r="AP972" s="174">
        <v>36</v>
      </c>
      <c r="AQ972" s="175">
        <f>VLOOKUP(C972,$B$45:$AA$48,3,FALSE)</f>
        <v>235</v>
      </c>
      <c r="AR972" s="31">
        <f>IF(LEFT(E972,1)*1=1,$S$53,$R$53)</f>
        <v>0</v>
      </c>
      <c r="AS972" s="2">
        <f>IF(LEFT(E972,1)*1=2,$U$53,$T$53)</f>
        <v>0</v>
      </c>
      <c r="AT972" s="33">
        <f>IF(LEFT(E972,1)*1=3,$W$53,$V$53)</f>
        <v>0</v>
      </c>
      <c r="AU972" s="31">
        <f>IF(MID(E972,3,1)*1=1,$Y$53,$X$53)</f>
        <v>1</v>
      </c>
      <c r="AV972" s="2">
        <f>IF(MID(E972,3,1)*1=2,$AA$53,$Z$53)</f>
        <v>1</v>
      </c>
      <c r="AW972" s="33">
        <f>IF(MID(E972,3,1)*1=3,$AC$53,$AB$53)</f>
        <v>6.25E-2</v>
      </c>
      <c r="AX972" s="31">
        <f>IF(MID(E972,5,1)*1=1,$AE$53,$AD$53)</f>
        <v>1</v>
      </c>
      <c r="AY972" s="33">
        <f>IF(MID(E972,5,1)*1=2,$AG$53,$AF$53)</f>
        <v>1</v>
      </c>
      <c r="AZ972" s="2"/>
      <c r="BA972" s="101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</row>
    <row r="973" spans="1:71" ht="12" customHeight="1">
      <c r="A973" s="2"/>
      <c r="B973" s="107">
        <v>155</v>
      </c>
      <c r="C973" s="31">
        <v>1</v>
      </c>
      <c r="D973" s="106" t="s">
        <v>7</v>
      </c>
      <c r="E973" s="2" t="s">
        <v>67</v>
      </c>
      <c r="F973" s="2"/>
      <c r="G973" s="2"/>
      <c r="H973" s="33"/>
      <c r="I973" s="173">
        <f>M973/AE973</f>
        <v>114.76676043089428</v>
      </c>
      <c r="J973" s="174">
        <f>AH973/AE973</f>
        <v>6.3484553539865294</v>
      </c>
      <c r="K973" s="207">
        <f>RANK(I973,$I$76:$I$977)</f>
        <v>898</v>
      </c>
      <c r="L973" s="208" t="e">
        <f>RANK(I973,$I$76:$I$450)</f>
        <v>#N/A</v>
      </c>
      <c r="M973" s="173">
        <f>N973+R973/2</f>
        <v>1030.4404740679311</v>
      </c>
      <c r="N973" s="174">
        <f>T973*(1+((AG973+IF(F973="백어택",8,0))/100)*((AI973/100-1)))</f>
        <v>1030.4404740679311</v>
      </c>
      <c r="O973" s="174"/>
      <c r="P973" s="174"/>
      <c r="Q973" s="174"/>
      <c r="R973" s="175">
        <f>X973*(1+(AG973/100)*(AI973/100-1))</f>
        <v>0</v>
      </c>
      <c r="S973" s="173">
        <f>SUM(T973:X973)</f>
        <v>780.41061689146341</v>
      </c>
      <c r="T973" s="174">
        <f>AL973*AV973*AX973</f>
        <v>780.41061689146341</v>
      </c>
      <c r="U973" s="174"/>
      <c r="V973" s="174"/>
      <c r="W973" s="174"/>
      <c r="X973" s="175">
        <f>AS973*AL973</f>
        <v>0</v>
      </c>
      <c r="Y973" s="173">
        <f>SUM(Z973:AD973)</f>
        <v>1560.8212337829268</v>
      </c>
      <c r="Z973" s="174">
        <f>T973*$D$58/100</f>
        <v>1560.8212337829268</v>
      </c>
      <c r="AA973" s="174"/>
      <c r="AB973" s="174"/>
      <c r="AC973" s="174"/>
      <c r="AD973" s="175">
        <f>X973*$D$58/100</f>
        <v>0</v>
      </c>
      <c r="AE973" s="173">
        <f>AO973*(1-$D$17/100)-AY973</f>
        <v>8.9785620000000002</v>
      </c>
      <c r="AF973" s="174">
        <f>AP973</f>
        <v>36</v>
      </c>
      <c r="AG973" s="174">
        <f>IF($D$57&gt;100,100,$D$57)</f>
        <v>19.001300000000001</v>
      </c>
      <c r="AH973" s="174">
        <f>AQ973*AR973</f>
        <v>57</v>
      </c>
      <c r="AI973" s="174">
        <f>$D$58+$D$19</f>
        <v>268.61079999999998</v>
      </c>
      <c r="AJ973" s="174">
        <f>10*AX973*AU973/9</f>
        <v>1.1111111111111112</v>
      </c>
      <c r="AK973" s="174">
        <f>SUM(AL973:AN973)</f>
        <v>780.41061689146341</v>
      </c>
      <c r="AL973" s="174">
        <f>(VLOOKUP(C973,$B$36:$AG$39,8,FALSE)+VLOOKUP(C973,$B$40:$AG$43,8,FALSE)*$D$54)*$D$59/100</f>
        <v>780.41061689146341</v>
      </c>
      <c r="AM973" s="174"/>
      <c r="AN973" s="174"/>
      <c r="AO973" s="176">
        <v>9</v>
      </c>
      <c r="AP973" s="174">
        <v>36</v>
      </c>
      <c r="AQ973" s="175">
        <f>VLOOKUP(C973,$B$45:$AA$48,8,FALSE)</f>
        <v>57</v>
      </c>
      <c r="AR973" s="31">
        <f>IF(LEFT(E973,1)*1=1,$S$57,$R$57)</f>
        <v>1</v>
      </c>
      <c r="AS973" s="2">
        <f>IF(LEFT(E973,1)*1=2,$U$57,$T$57)</f>
        <v>0</v>
      </c>
      <c r="AT973" s="33">
        <f>IF(LEFT(E973,1)*1=3,$W$57,$V$57)</f>
        <v>0</v>
      </c>
      <c r="AU973" s="31">
        <f>IF(MID(E973,3,1)*1=1,$Y$57,$X$57)</f>
        <v>1</v>
      </c>
      <c r="AV973" s="2">
        <f>IF(MID(E973,3,1)*1=2,$AA$57,$Z$57)</f>
        <v>1</v>
      </c>
      <c r="AW973" s="33">
        <f>IF(MID(E973,3,1)*1=3,$AC$57,$AB$57)</f>
        <v>0</v>
      </c>
      <c r="AX973" s="31">
        <f>IF(MID(E973,5,1)*1=1,$AE$57,$AD$57)</f>
        <v>1</v>
      </c>
      <c r="AY973" s="33">
        <f>IF(MID(E973,5,1)*1=2,$AG$57,$AF$57)</f>
        <v>0</v>
      </c>
      <c r="AZ973" s="2"/>
      <c r="BA973" s="101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</row>
    <row r="974" spans="1:71" ht="12" customHeight="1">
      <c r="A974" s="2"/>
      <c r="B974" s="107">
        <v>33</v>
      </c>
      <c r="C974" s="31">
        <v>10</v>
      </c>
      <c r="D974" s="106" t="s">
        <v>3</v>
      </c>
      <c r="E974" s="2" t="s">
        <v>140</v>
      </c>
      <c r="F974" s="2"/>
      <c r="G974" s="2"/>
      <c r="H974" s="33"/>
      <c r="I974" s="173">
        <f>M974/AE974</f>
        <v>114.30743678853236</v>
      </c>
      <c r="J974" s="174">
        <f>AH974/AE974</f>
        <v>19.606684895043333</v>
      </c>
      <c r="K974" s="207">
        <f>RANK(I974,$I$76:$I$977)</f>
        <v>899</v>
      </c>
      <c r="L974" s="208" t="e">
        <f>RANK(I974,$I$76:$I$450)</f>
        <v>#N/A</v>
      </c>
      <c r="M974" s="173">
        <f>SUM(N974:R974)</f>
        <v>1370.0555595758065</v>
      </c>
      <c r="N974" s="174">
        <f>T974*(1+((AG974+IF(F974="백어택",8,0))/100)*((AI974/100-1)))</f>
        <v>1370.0555595758065</v>
      </c>
      <c r="O974" s="174"/>
      <c r="P974" s="174"/>
      <c r="Q974" s="174"/>
      <c r="R974" s="175">
        <f>X974*(1+(AG974/100)*(AI974/100-1))</f>
        <v>0</v>
      </c>
      <c r="S974" s="173">
        <f>SUM(T974:X974)</f>
        <v>1037.6202520492684</v>
      </c>
      <c r="T974" s="174">
        <f>AL974*AU974*AV974*AW974*AX974</f>
        <v>1037.6202520492684</v>
      </c>
      <c r="U974" s="174"/>
      <c r="V974" s="174"/>
      <c r="W974" s="174"/>
      <c r="X974" s="175">
        <f>AL974*AU974*AV974*IF(AW974=1,1,0.25)*AX974*AY974</f>
        <v>0</v>
      </c>
      <c r="Y974" s="173">
        <f>SUM(Z974:AD974)</f>
        <v>2075.2405040985368</v>
      </c>
      <c r="Z974" s="174">
        <f>T974*$D$58/100</f>
        <v>2075.2405040985368</v>
      </c>
      <c r="AA974" s="174"/>
      <c r="AB974" s="174"/>
      <c r="AC974" s="174"/>
      <c r="AD974" s="175">
        <f>X974*$D$58/100</f>
        <v>0</v>
      </c>
      <c r="AE974" s="173">
        <f>IF(AV974=1,AO974*(1-$D$17/100),AO974*(1-$D$17/100)+6)</f>
        <v>11.985707999999999</v>
      </c>
      <c r="AF974" s="174">
        <f>AP974</f>
        <v>36</v>
      </c>
      <c r="AG974" s="174">
        <f>IF($D$57&gt;100,100,$D$57)</f>
        <v>19.001300000000001</v>
      </c>
      <c r="AH974" s="174">
        <f>AQ974</f>
        <v>235</v>
      </c>
      <c r="AI974" s="174">
        <f>$D$58+$D$19</f>
        <v>268.61079999999998</v>
      </c>
      <c r="AJ974" s="174">
        <f>10/13</f>
        <v>0.76923076923076927</v>
      </c>
      <c r="AK974" s="174">
        <f>SUM(AL974:AN974)</f>
        <v>1729.3670867487806</v>
      </c>
      <c r="AL974" s="174">
        <f>(VLOOKUP(C974,$B$36:$AG$39,3,FALSE)+VLOOKUP(C974,$B$40:$AG$43,3,FALSE)*$D$54)*$D$59/100</f>
        <v>1729.3670867487806</v>
      </c>
      <c r="AM974" s="174"/>
      <c r="AN974" s="174"/>
      <c r="AO974" s="176">
        <v>6</v>
      </c>
      <c r="AP974" s="174">
        <v>36</v>
      </c>
      <c r="AQ974" s="175">
        <f>VLOOKUP(C974,$B$45:$AA$48,3,FALSE)</f>
        <v>235</v>
      </c>
      <c r="AR974" s="31">
        <f>IF(LEFT(E974,1)*1=1,$S$53,$R$53)</f>
        <v>0</v>
      </c>
      <c r="AS974" s="2">
        <f>IF(LEFT(E974,1)*1=2,$U$53,$T$53)</f>
        <v>0</v>
      </c>
      <c r="AT974" s="33">
        <f>IF(LEFT(E974,1)*1=3,$W$53,$V$53)</f>
        <v>0</v>
      </c>
      <c r="AU974" s="31">
        <f>IF(MID(E974,3,1)*1=1,$Y$53,$X$53)</f>
        <v>1</v>
      </c>
      <c r="AV974" s="2">
        <f>IF(MID(E974,3,1)*1=2,$AA$53,$Z$53)</f>
        <v>0.5</v>
      </c>
      <c r="AW974" s="33">
        <f>IF(MID(E974,3,1)*1=3,$AC$53,$AB$53)</f>
        <v>1</v>
      </c>
      <c r="AX974" s="31">
        <f>IF(MID(E974,5,1)*1=1,$AE$53,$AD$53)</f>
        <v>1.2</v>
      </c>
      <c r="AY974" s="33">
        <f>IF(MID(E974,5,1)*1=2,$AG$53,$AF$53)</f>
        <v>0</v>
      </c>
      <c r="AZ974" s="2"/>
      <c r="BA974" s="101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</row>
    <row r="975" spans="1:71" ht="12" customHeight="1">
      <c r="A975" s="2"/>
      <c r="B975" s="107">
        <v>39</v>
      </c>
      <c r="C975" s="31">
        <v>7</v>
      </c>
      <c r="D975" s="106" t="s">
        <v>3</v>
      </c>
      <c r="E975" s="2" t="s">
        <v>89</v>
      </c>
      <c r="F975" s="2"/>
      <c r="G975" s="2"/>
      <c r="H975" s="33"/>
      <c r="I975" s="173">
        <f>M975/AE975</f>
        <v>91.134901607104894</v>
      </c>
      <c r="J975" s="174">
        <f>AH975/AE975</f>
        <v>13.599530374008779</v>
      </c>
      <c r="K975" s="207">
        <f>RANK(I975,$I$76:$I$977)</f>
        <v>900</v>
      </c>
      <c r="L975" s="208" t="e">
        <f>RANK(I975,$I$76:$I$450)</f>
        <v>#N/A</v>
      </c>
      <c r="M975" s="173">
        <f>SUM(N975:R975)</f>
        <v>1092.3163192714899</v>
      </c>
      <c r="N975" s="174">
        <f>T975*(1+((AG975+IF(F975="백어택",8,0))/100)*((AI975/100-1)))</f>
        <v>1092.3163192714899</v>
      </c>
      <c r="O975" s="174"/>
      <c r="P975" s="174"/>
      <c r="Q975" s="174"/>
      <c r="R975" s="175">
        <f>X975*(1+(AG975/100)*(AI975/100-1))</f>
        <v>0</v>
      </c>
      <c r="S975" s="173">
        <f>SUM(T975:X975)</f>
        <v>827.27268000060985</v>
      </c>
      <c r="T975" s="174">
        <f>AL975*AU975*AV975*AW975*AX975</f>
        <v>827.27268000060985</v>
      </c>
      <c r="U975" s="174"/>
      <c r="V975" s="174"/>
      <c r="W975" s="174"/>
      <c r="X975" s="175">
        <f>AL975*AU975*AV975*IF(AW975=1,1,0.25)*AX975*AY975</f>
        <v>0</v>
      </c>
      <c r="Y975" s="173">
        <f>SUM(Z975:AD975)</f>
        <v>1654.5453600012197</v>
      </c>
      <c r="Z975" s="174">
        <f>T975*$D$58/100</f>
        <v>1654.5453600012197</v>
      </c>
      <c r="AA975" s="174"/>
      <c r="AB975" s="174"/>
      <c r="AC975" s="174"/>
      <c r="AD975" s="175">
        <f>X975*$D$58/100</f>
        <v>0</v>
      </c>
      <c r="AE975" s="173">
        <f>IF(AV975=1,AO975*(1-$D$17/100),AO975*(1-$D$17/100)+6)</f>
        <v>11.985707999999999</v>
      </c>
      <c r="AF975" s="174">
        <f>AP975</f>
        <v>36</v>
      </c>
      <c r="AG975" s="174">
        <f>IF($D$57&gt;100,100,$D$57)</f>
        <v>19.001300000000001</v>
      </c>
      <c r="AH975" s="174">
        <f>AQ975</f>
        <v>163</v>
      </c>
      <c r="AI975" s="174">
        <f>$D$58+$D$19</f>
        <v>268.61079999999998</v>
      </c>
      <c r="AJ975" s="174">
        <f>10/13</f>
        <v>0.76923076923076927</v>
      </c>
      <c r="AK975" s="174">
        <f>SUM(AL975:AN975)</f>
        <v>1654.5453600012197</v>
      </c>
      <c r="AL975" s="174">
        <f>(VLOOKUP(C975,$B$36:$AG$39,3,FALSE)+VLOOKUP(C975,$B$40:$AG$43,3,FALSE)*$D$54)*$D$59/100</f>
        <v>1654.5453600012197</v>
      </c>
      <c r="AM975" s="174"/>
      <c r="AN975" s="174"/>
      <c r="AO975" s="176">
        <v>6</v>
      </c>
      <c r="AP975" s="174">
        <v>36</v>
      </c>
      <c r="AQ975" s="175">
        <f>VLOOKUP(C975,$B$45:$AA$48,3,FALSE)</f>
        <v>163</v>
      </c>
      <c r="AR975" s="31">
        <f>IF(LEFT(E975,1)*1=1,$S$53,$R$53)</f>
        <v>0</v>
      </c>
      <c r="AS975" s="2">
        <f>IF(LEFT(E975,1)*1=2,$U$53,$T$53)</f>
        <v>0</v>
      </c>
      <c r="AT975" s="33">
        <f>IF(LEFT(E975,1)*1=3,$W$53,$V$53)</f>
        <v>0</v>
      </c>
      <c r="AU975" s="31">
        <f>IF(MID(E975,3,1)*1=1,$Y$53,$X$53)</f>
        <v>1</v>
      </c>
      <c r="AV975" s="2">
        <f>IF(MID(E975,3,1)*1=2,$AA$53,$Z$53)</f>
        <v>0.5</v>
      </c>
      <c r="AW975" s="33">
        <f>IF(MID(E975,3,1)*1=3,$AC$53,$AB$53)</f>
        <v>1</v>
      </c>
      <c r="AX975" s="31">
        <f>IF(MID(E975,5,1)*1=1,$AE$53,$AD$53)</f>
        <v>1</v>
      </c>
      <c r="AY975" s="33">
        <f>IF(MID(E975,5,1)*1=2,$AG$53,$AF$53)</f>
        <v>0</v>
      </c>
      <c r="AZ975" s="2"/>
      <c r="BA975" s="101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</row>
    <row r="976" spans="1:71" ht="12" customHeight="1">
      <c r="A976" s="2"/>
      <c r="B976" s="107">
        <v>34</v>
      </c>
      <c r="C976" s="31">
        <v>10</v>
      </c>
      <c r="D976" s="106" t="s">
        <v>3</v>
      </c>
      <c r="E976" s="2" t="s">
        <v>141</v>
      </c>
      <c r="F976" s="2"/>
      <c r="G976" s="2" t="s">
        <v>137</v>
      </c>
      <c r="H976" s="33"/>
      <c r="I976" s="173">
        <f>M976/AE976</f>
        <v>28.610975501473813</v>
      </c>
      <c r="J976" s="174">
        <f>AH976/AE976</f>
        <v>39.260184425969328</v>
      </c>
      <c r="K976" s="207">
        <f>RANK(I976,$I$76:$I$977)</f>
        <v>901</v>
      </c>
      <c r="L976" s="208" t="e">
        <f>RANK(I976,$I$76:$I$450)</f>
        <v>#N/A</v>
      </c>
      <c r="M976" s="173">
        <f>SUM(N976:R976)</f>
        <v>171.25694494697581</v>
      </c>
      <c r="N976" s="174">
        <f>T976*(1+((AG976+IF(F976="백어택",8,0))/100)*((AI976/100-1)))</f>
        <v>171.25694494697581</v>
      </c>
      <c r="O976" s="174"/>
      <c r="P976" s="174"/>
      <c r="Q976" s="174"/>
      <c r="R976" s="175">
        <f>X976*(1+(AG976/100)*(AI976/100-1))</f>
        <v>0</v>
      </c>
      <c r="S976" s="173">
        <f>SUM(T976:X976)</f>
        <v>129.70253150615855</v>
      </c>
      <c r="T976" s="174">
        <f>AL976*AU976*AV976*AW976*AX976</f>
        <v>129.70253150615855</v>
      </c>
      <c r="U976" s="174"/>
      <c r="V976" s="174"/>
      <c r="W976" s="174"/>
      <c r="X976" s="175">
        <f>AL976*AU976*AV976*IF(AW976=1,1,0.25)*AX976*AY976</f>
        <v>0</v>
      </c>
      <c r="Y976" s="173">
        <f>SUM(Z976:AD976)</f>
        <v>259.4050630123171</v>
      </c>
      <c r="Z976" s="174">
        <f>T976*$D$58/100</f>
        <v>259.4050630123171</v>
      </c>
      <c r="AA976" s="174"/>
      <c r="AB976" s="174"/>
      <c r="AC976" s="174"/>
      <c r="AD976" s="175">
        <f>X976*$D$58/100</f>
        <v>0</v>
      </c>
      <c r="AE976" s="173">
        <f>IF(AV976=1,AO976*(1-$D$17/100),AO976*(1-$D$17/100)+6)</f>
        <v>5.9857079999999998</v>
      </c>
      <c r="AF976" s="174">
        <f>AP976</f>
        <v>36</v>
      </c>
      <c r="AG976" s="174">
        <f>IF($D$57&gt;100,100,$D$57)</f>
        <v>19.001300000000001</v>
      </c>
      <c r="AH976" s="174">
        <f>AQ976</f>
        <v>235</v>
      </c>
      <c r="AI976" s="174">
        <f>$D$58+$D$19</f>
        <v>268.61079999999998</v>
      </c>
      <c r="AJ976" s="174">
        <f>10/13</f>
        <v>0.76923076923076927</v>
      </c>
      <c r="AK976" s="174">
        <f>SUM(AL976:AN976)</f>
        <v>1729.3670867487806</v>
      </c>
      <c r="AL976" s="174">
        <f>(VLOOKUP(C976,$B$36:$AG$39,3,FALSE)+VLOOKUP(C976,$B$40:$AG$43,3,FALSE)*$D$54)*$D$59/100</f>
        <v>1729.3670867487806</v>
      </c>
      <c r="AM976" s="174"/>
      <c r="AN976" s="174"/>
      <c r="AO976" s="176">
        <v>6</v>
      </c>
      <c r="AP976" s="174">
        <v>36</v>
      </c>
      <c r="AQ976" s="175">
        <f>VLOOKUP(C976,$B$45:$AA$48,3,FALSE)</f>
        <v>235</v>
      </c>
      <c r="AR976" s="31">
        <f>IF(LEFT(E976,1)*1=1,$S$53,$R$53)</f>
        <v>0</v>
      </c>
      <c r="AS976" s="2">
        <f>IF(LEFT(E976,1)*1=2,$U$53,$T$53)</f>
        <v>0</v>
      </c>
      <c r="AT976" s="33">
        <f>IF(LEFT(E976,1)*1=3,$W$53,$V$53)</f>
        <v>0</v>
      </c>
      <c r="AU976" s="31">
        <f>IF(MID(E976,3,1)*1=1,$Y$53,$X$53)</f>
        <v>1</v>
      </c>
      <c r="AV976" s="2">
        <f>IF(MID(E976,3,1)*1=2,$AA$53,$Z$53)</f>
        <v>1</v>
      </c>
      <c r="AW976" s="33">
        <f>IF(MID(E976,3,1)*1=3,$AC$53,$AB$53)</f>
        <v>6.25E-2</v>
      </c>
      <c r="AX976" s="31">
        <f>IF(MID(E976,5,1)*1=1,$AE$53,$AD$53)</f>
        <v>1.2</v>
      </c>
      <c r="AY976" s="33">
        <f>IF(MID(E976,5,1)*1=2,$AG$53,$AF$53)</f>
        <v>0</v>
      </c>
      <c r="AZ976" s="2"/>
      <c r="BA976" s="101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</row>
    <row r="977" spans="1:71" ht="12" customHeight="1" thickBot="1">
      <c r="A977" s="2"/>
      <c r="B977" s="116">
        <v>40</v>
      </c>
      <c r="C977" s="81">
        <v>7</v>
      </c>
      <c r="D977" s="140" t="s">
        <v>3</v>
      </c>
      <c r="E977" s="82" t="s">
        <v>91</v>
      </c>
      <c r="F977" s="82"/>
      <c r="G977" s="82" t="s">
        <v>137</v>
      </c>
      <c r="H977" s="83"/>
      <c r="I977" s="179">
        <f>M977/AE977</f>
        <v>22.810925609624832</v>
      </c>
      <c r="J977" s="180">
        <f>AH977/AE977</f>
        <v>27.23153217631064</v>
      </c>
      <c r="K977" s="210">
        <f>RANK(I977,$I$76:$I$977)</f>
        <v>902</v>
      </c>
      <c r="L977" s="211" t="e">
        <f>RANK(I977,$I$76:$I$450)</f>
        <v>#N/A</v>
      </c>
      <c r="M977" s="183">
        <f>SUM(N977:R977)</f>
        <v>136.53953990893623</v>
      </c>
      <c r="N977" s="184">
        <f>T977*(1+((AG977+IF(F977="백어택",8,0))/100)*((AI977/100-1)))</f>
        <v>136.53953990893623</v>
      </c>
      <c r="O977" s="180"/>
      <c r="P977" s="180"/>
      <c r="Q977" s="180"/>
      <c r="R977" s="181">
        <f>X977*(1+(AG977/100)*(AI977/100-1))</f>
        <v>0</v>
      </c>
      <c r="S977" s="179">
        <f>SUM(T977:X977)</f>
        <v>103.40908500007623</v>
      </c>
      <c r="T977" s="180">
        <f>AL977*AU977*AV977*AW977*AX977</f>
        <v>103.40908500007623</v>
      </c>
      <c r="U977" s="180"/>
      <c r="V977" s="180"/>
      <c r="W977" s="180"/>
      <c r="X977" s="181">
        <f>AL977*AU977*AV977*IF(AW977=1,1,0.25)*AX977*AY977</f>
        <v>0</v>
      </c>
      <c r="Y977" s="179">
        <f>SUM(Z977:AD977)</f>
        <v>206.81817000015246</v>
      </c>
      <c r="Z977" s="180">
        <f>T977*$D$58/100</f>
        <v>206.81817000015246</v>
      </c>
      <c r="AA977" s="180"/>
      <c r="AB977" s="180"/>
      <c r="AC977" s="180"/>
      <c r="AD977" s="181">
        <f>X977*$D$58/100</f>
        <v>0</v>
      </c>
      <c r="AE977" s="179">
        <f>IF(AV977=1,AO977*(1-$D$17/100),AO977*(1-$D$17/100)+6)</f>
        <v>5.9857079999999998</v>
      </c>
      <c r="AF977" s="180">
        <f>AP977</f>
        <v>36</v>
      </c>
      <c r="AG977" s="180">
        <f>IF($D$57&gt;100,100,$D$57)</f>
        <v>19.001300000000001</v>
      </c>
      <c r="AH977" s="180">
        <f>AQ977</f>
        <v>163</v>
      </c>
      <c r="AI977" s="180">
        <f>$D$58+$D$19</f>
        <v>268.61079999999998</v>
      </c>
      <c r="AJ977" s="180">
        <f>10/13</f>
        <v>0.76923076923076927</v>
      </c>
      <c r="AK977" s="180">
        <f>SUM(AL977:AN977)</f>
        <v>1654.5453600012197</v>
      </c>
      <c r="AL977" s="180">
        <f>(VLOOKUP(C977,$B$36:$AG$39,3,FALSE)+VLOOKUP(C977,$B$40:$AG$43,3,FALSE)*$D$54)*$D$59/100</f>
        <v>1654.5453600012197</v>
      </c>
      <c r="AM977" s="180"/>
      <c r="AN977" s="180"/>
      <c r="AO977" s="182">
        <v>6</v>
      </c>
      <c r="AP977" s="180">
        <v>36</v>
      </c>
      <c r="AQ977" s="181">
        <f>VLOOKUP(C977,$B$45:$AA$48,3,FALSE)</f>
        <v>163</v>
      </c>
      <c r="AR977" s="81">
        <f>IF(LEFT(E977,1)*1=1,$S$53,$R$53)</f>
        <v>0</v>
      </c>
      <c r="AS977" s="82">
        <f>IF(LEFT(E977,1)*1=2,$U$53,$T$53)</f>
        <v>0</v>
      </c>
      <c r="AT977" s="83">
        <f>IF(LEFT(E977,1)*1=3,$W$53,$V$53)</f>
        <v>0</v>
      </c>
      <c r="AU977" s="81">
        <f>IF(MID(E977,3,1)*1=1,$Y$53,$X$53)</f>
        <v>1</v>
      </c>
      <c r="AV977" s="82">
        <f>IF(MID(E977,3,1)*1=2,$AA$53,$Z$53)</f>
        <v>1</v>
      </c>
      <c r="AW977" s="83">
        <f>IF(MID(E977,3,1)*1=3,$AC$53,$AB$53)</f>
        <v>6.25E-2</v>
      </c>
      <c r="AX977" s="81">
        <f>IF(MID(E977,5,1)*1=1,$AE$53,$AD$53)</f>
        <v>1</v>
      </c>
      <c r="AY977" s="83">
        <f>IF(MID(E977,5,1)*1=2,$AG$53,$AF$53)</f>
        <v>0</v>
      </c>
      <c r="AZ977" s="2"/>
      <c r="BA977" s="101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</row>
  </sheetData>
  <autoFilter ref="B75:AY977">
    <filterColumn colId="5">
      <filters blank="1">
        <filter val="공중"/>
        <filter val="넘어짐"/>
        <filter val="노말"/>
        <filter val="무력화대상"/>
        <filter val="버그있음"/>
        <filter val="보스대상"/>
        <filter val="생명50%이상"/>
        <filter val="생명50%이상, 공중"/>
        <filter val="생명력40%이하"/>
        <filter val="생명력50%이하"/>
        <filter val="원의중심부"/>
      </filters>
    </filterColumn>
    <sortState ref="B161:AY977">
      <sortCondition descending="1" ref="I75:I977"/>
    </sortState>
  </autoFilter>
  <mergeCells count="16">
    <mergeCell ref="F74:H74"/>
    <mergeCell ref="I74:R74"/>
    <mergeCell ref="S74:X74"/>
    <mergeCell ref="Y74:AD74"/>
    <mergeCell ref="F56:O57"/>
    <mergeCell ref="F58:O59"/>
    <mergeCell ref="F62:O63"/>
    <mergeCell ref="F64:O65"/>
    <mergeCell ref="F66:O67"/>
    <mergeCell ref="F69:O70"/>
    <mergeCell ref="F54:O55"/>
    <mergeCell ref="B2:C2"/>
    <mergeCell ref="B10:C10"/>
    <mergeCell ref="B11:C11"/>
    <mergeCell ref="B19:B22"/>
    <mergeCell ref="F52:O53"/>
  </mergeCells>
  <phoneticPr fontId="15" type="noConversion"/>
  <dataValidations disablePrompts="1" count="2">
    <dataValidation type="list" allowBlank="1" showErrorMessage="1" sqref="C76:C977">
      <formula1>$B$36:$B$39</formula1>
    </dataValidation>
    <dataValidation type="list" allowBlank="1" showErrorMessage="1" sqref="H451:H534 H557:H804">
      <formula1>$C$60:$C$61</formula1>
    </dataValidation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보스</vt:lpstr>
      <vt:lpstr>모든조합시트</vt:lpstr>
      <vt:lpstr>측정원본</vt:lpstr>
      <vt:lpstr>수정 dps표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Colorful</cp:lastModifiedBy>
  <dcterms:modified xsi:type="dcterms:W3CDTF">2019-02-10T18:05:14Z</dcterms:modified>
</cp:coreProperties>
</file>